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.10\公司资料\华锟金属\1-汇报\许志光\"/>
    </mc:Choice>
  </mc:AlternateContent>
  <xr:revisionPtr revIDLastSave="0" documentId="13_ncr:1_{E9AA5E3D-167B-4B0E-B014-5BEA88CFDFE0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销售合同" sheetId="1" r:id="rId1"/>
    <sheet name="采购合同" sheetId="2" r:id="rId2"/>
    <sheet name="收发货" sheetId="3" r:id="rId3"/>
    <sheet name="收开票" sheetId="5" r:id="rId4"/>
    <sheet name="收付款" sheetId="4" r:id="rId5"/>
    <sheet name="XG转款" sheetId="6" r:id="rId6"/>
    <sheet name="XG-中船" sheetId="7" r:id="rId7"/>
    <sheet name="上海中船" sheetId="9" r:id="rId8"/>
    <sheet name="其他库存" sheetId="12" r:id="rId9"/>
    <sheet name="锰片" sheetId="8" r:id="rId10"/>
    <sheet name="Sheet1" sheetId="10" r:id="rId11"/>
    <sheet name="Sheet2" sheetId="11" r:id="rId12"/>
  </sheets>
  <definedNames>
    <definedName name="_xlnm._FilterDatabase" localSheetId="11" hidden="1">Sheet2!$A$1:$M$36</definedName>
    <definedName name="_xlnm._FilterDatabase" localSheetId="6" hidden="1">'XG-中船'!$A$1:$H$147</definedName>
    <definedName name="_xlnm._FilterDatabase" localSheetId="5" hidden="1">XG转款!$A$1:$K$164</definedName>
    <definedName name="_xlnm._FilterDatabase" localSheetId="1" hidden="1">采购合同!$A$1:$S$408</definedName>
    <definedName name="_xlnm._FilterDatabase" localSheetId="9" hidden="1">锰片!$A$1:$K$1</definedName>
    <definedName name="_xlnm._FilterDatabase" localSheetId="8" hidden="1">其他库存!$A$1:$L$1</definedName>
    <definedName name="_xlnm._FilterDatabase" localSheetId="2" hidden="1">收发货!$A$1:$P$2141</definedName>
    <definedName name="_xlnm._FilterDatabase" localSheetId="4" hidden="1">收付款!$A$1:$L$1815</definedName>
    <definedName name="_xlnm._FilterDatabase" localSheetId="3" hidden="1">收开票!$A$1:$J$944</definedName>
    <definedName name="_xlnm._FilterDatabase" localSheetId="0" hidden="1">销售合同!$A$1:$X$354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09" i="2" l="1"/>
  <c r="M409" i="2"/>
  <c r="L409" i="2"/>
  <c r="K409" i="2"/>
  <c r="I409" i="2"/>
  <c r="O409" i="2" s="1"/>
  <c r="P355" i="1" l="1"/>
  <c r="O355" i="1"/>
  <c r="N355" i="1"/>
  <c r="M355" i="1"/>
  <c r="L355" i="1"/>
  <c r="K355" i="1"/>
  <c r="I355" i="1"/>
  <c r="Q355" i="1" l="1"/>
  <c r="N408" i="2"/>
  <c r="M408" i="2"/>
  <c r="L408" i="2"/>
  <c r="K408" i="2"/>
  <c r="I408" i="2"/>
  <c r="O408" i="2" l="1"/>
  <c r="N407" i="2"/>
  <c r="M407" i="2"/>
  <c r="L407" i="2"/>
  <c r="K407" i="2"/>
  <c r="I407" i="2"/>
  <c r="N406" i="2"/>
  <c r="M406" i="2"/>
  <c r="L406" i="2"/>
  <c r="K406" i="2"/>
  <c r="I406" i="2"/>
  <c r="O407" i="2" l="1"/>
  <c r="O406" i="2"/>
  <c r="P354" i="1"/>
  <c r="O354" i="1"/>
  <c r="N354" i="1"/>
  <c r="M354" i="1"/>
  <c r="L354" i="1"/>
  <c r="K354" i="1"/>
  <c r="I354" i="1"/>
  <c r="Q354" i="1" l="1"/>
  <c r="N405" i="2"/>
  <c r="M405" i="2"/>
  <c r="L405" i="2"/>
  <c r="K405" i="2"/>
  <c r="I405" i="2"/>
  <c r="O405" i="2" l="1"/>
  <c r="N404" i="2"/>
  <c r="M404" i="2"/>
  <c r="L404" i="2"/>
  <c r="K404" i="2"/>
  <c r="P353" i="1"/>
  <c r="O353" i="1"/>
  <c r="N353" i="1"/>
  <c r="M353" i="1"/>
  <c r="L353" i="1"/>
  <c r="K353" i="1"/>
  <c r="I353" i="1"/>
  <c r="O404" i="2" l="1"/>
  <c r="Q353" i="1"/>
  <c r="N403" i="2"/>
  <c r="M403" i="2"/>
  <c r="L403" i="2"/>
  <c r="K403" i="2"/>
  <c r="I403" i="2"/>
  <c r="P352" i="1"/>
  <c r="O352" i="1"/>
  <c r="N352" i="1"/>
  <c r="M352" i="1"/>
  <c r="L352" i="1"/>
  <c r="K352" i="1"/>
  <c r="I352" i="1"/>
  <c r="O403" i="2" l="1"/>
  <c r="Q352" i="1"/>
  <c r="N402" i="2"/>
  <c r="M402" i="2"/>
  <c r="L402" i="2"/>
  <c r="K402" i="2"/>
  <c r="I402" i="2"/>
  <c r="O402" i="2" l="1"/>
  <c r="P351" i="1"/>
  <c r="O351" i="1"/>
  <c r="N351" i="1"/>
  <c r="M351" i="1"/>
  <c r="L351" i="1"/>
  <c r="K351" i="1"/>
  <c r="I351" i="1"/>
  <c r="N401" i="2"/>
  <c r="M401" i="2"/>
  <c r="L401" i="2"/>
  <c r="K401" i="2"/>
  <c r="I401" i="2"/>
  <c r="N400" i="2"/>
  <c r="M400" i="2"/>
  <c r="L400" i="2"/>
  <c r="K400" i="2"/>
  <c r="I400" i="2"/>
  <c r="P350" i="1"/>
  <c r="O350" i="1"/>
  <c r="N350" i="1"/>
  <c r="M350" i="1"/>
  <c r="L350" i="1"/>
  <c r="K350" i="1"/>
  <c r="I350" i="1"/>
  <c r="N399" i="2"/>
  <c r="M399" i="2"/>
  <c r="L399" i="2"/>
  <c r="K399" i="2"/>
  <c r="I399" i="2"/>
  <c r="N395" i="2"/>
  <c r="N398" i="2"/>
  <c r="O398" i="2" s="1"/>
  <c r="M398" i="2"/>
  <c r="L398" i="2"/>
  <c r="K398" i="2"/>
  <c r="N397" i="2"/>
  <c r="M397" i="2"/>
  <c r="L397" i="2"/>
  <c r="K397" i="2"/>
  <c r="I397" i="2"/>
  <c r="P349" i="1"/>
  <c r="O349" i="1"/>
  <c r="N349" i="1"/>
  <c r="M349" i="1"/>
  <c r="L349" i="1"/>
  <c r="K349" i="1"/>
  <c r="I349" i="1"/>
  <c r="P348" i="1"/>
  <c r="O348" i="1"/>
  <c r="N348" i="1"/>
  <c r="M348" i="1"/>
  <c r="L348" i="1"/>
  <c r="K348" i="1"/>
  <c r="I348" i="1"/>
  <c r="Q351" i="1" l="1"/>
  <c r="O400" i="2"/>
  <c r="O401" i="2"/>
  <c r="Q350" i="1"/>
  <c r="O399" i="2"/>
  <c r="O397" i="2"/>
  <c r="Q349" i="1"/>
  <c r="Q348" i="1"/>
  <c r="P347" i="1"/>
  <c r="O347" i="1"/>
  <c r="N347" i="1"/>
  <c r="M347" i="1"/>
  <c r="L347" i="1"/>
  <c r="K347" i="1"/>
  <c r="I347" i="1"/>
  <c r="Q347" i="1" l="1"/>
  <c r="D2159" i="3"/>
  <c r="D2158" i="3"/>
  <c r="N396" i="2" l="1"/>
  <c r="M396" i="2"/>
  <c r="L396" i="2"/>
  <c r="K396" i="2"/>
  <c r="I396" i="2"/>
  <c r="M395" i="2"/>
  <c r="L395" i="2"/>
  <c r="K395" i="2"/>
  <c r="P346" i="1"/>
  <c r="O346" i="1"/>
  <c r="N346" i="1"/>
  <c r="M346" i="1"/>
  <c r="L346" i="1"/>
  <c r="K346" i="1"/>
  <c r="I346" i="1"/>
  <c r="P345" i="1"/>
  <c r="O345" i="1"/>
  <c r="N345" i="1"/>
  <c r="M345" i="1"/>
  <c r="L345" i="1"/>
  <c r="K345" i="1"/>
  <c r="I345" i="1"/>
  <c r="N394" i="2"/>
  <c r="M394" i="2"/>
  <c r="L394" i="2"/>
  <c r="K394" i="2"/>
  <c r="N393" i="2"/>
  <c r="M393" i="2"/>
  <c r="L393" i="2"/>
  <c r="K393" i="2"/>
  <c r="I393" i="2"/>
  <c r="O395" i="2" l="1"/>
  <c r="O396" i="2"/>
  <c r="Q346" i="1"/>
  <c r="Q345" i="1"/>
  <c r="O394" i="2"/>
  <c r="O393" i="2"/>
  <c r="P344" i="1" l="1"/>
  <c r="O344" i="1"/>
  <c r="N344" i="1"/>
  <c r="M344" i="1"/>
  <c r="L344" i="1"/>
  <c r="K344" i="1"/>
  <c r="I344" i="1"/>
  <c r="P343" i="1"/>
  <c r="O343" i="1"/>
  <c r="N343" i="1"/>
  <c r="M343" i="1"/>
  <c r="L343" i="1"/>
  <c r="K343" i="1"/>
  <c r="I343" i="1"/>
  <c r="Q344" i="1" l="1"/>
  <c r="Q343" i="1"/>
  <c r="N392" i="2"/>
  <c r="M392" i="2"/>
  <c r="L392" i="2"/>
  <c r="K392" i="2"/>
  <c r="I392" i="2"/>
  <c r="O392" i="2" l="1"/>
  <c r="E172" i="8"/>
  <c r="F177" i="8"/>
  <c r="E171" i="8"/>
  <c r="P342" i="1" l="1"/>
  <c r="O342" i="1"/>
  <c r="N342" i="1"/>
  <c r="M342" i="1"/>
  <c r="L342" i="1"/>
  <c r="K342" i="1"/>
  <c r="I342" i="1"/>
  <c r="N391" i="2"/>
  <c r="M391" i="2"/>
  <c r="L391" i="2"/>
  <c r="K391" i="2"/>
  <c r="I391" i="2"/>
  <c r="Q342" i="1" l="1"/>
  <c r="O391" i="2"/>
  <c r="P341" i="1"/>
  <c r="O341" i="1"/>
  <c r="N341" i="1"/>
  <c r="M341" i="1"/>
  <c r="L341" i="1"/>
  <c r="K341" i="1"/>
  <c r="I341" i="1"/>
  <c r="N390" i="2"/>
  <c r="M390" i="2"/>
  <c r="L390" i="2"/>
  <c r="K390" i="2"/>
  <c r="Q341" i="1" l="1"/>
  <c r="O390" i="2"/>
  <c r="N389" i="2"/>
  <c r="M389" i="2"/>
  <c r="L389" i="2"/>
  <c r="K389" i="2"/>
  <c r="I389" i="2"/>
  <c r="N388" i="2"/>
  <c r="M388" i="2"/>
  <c r="L388" i="2"/>
  <c r="K388" i="2"/>
  <c r="I388" i="2"/>
  <c r="O388" i="2" l="1"/>
  <c r="O389" i="2"/>
  <c r="P340" i="1"/>
  <c r="O340" i="1"/>
  <c r="N340" i="1"/>
  <c r="M340" i="1"/>
  <c r="L340" i="1"/>
  <c r="K340" i="1"/>
  <c r="I340" i="1"/>
  <c r="N387" i="2"/>
  <c r="M387" i="2"/>
  <c r="L387" i="2"/>
  <c r="K387" i="2"/>
  <c r="I387" i="2"/>
  <c r="Q340" i="1" l="1"/>
  <c r="O387" i="2"/>
  <c r="N386" i="2"/>
  <c r="M386" i="2"/>
  <c r="L386" i="2"/>
  <c r="K386" i="2"/>
  <c r="I386" i="2"/>
  <c r="P339" i="1"/>
  <c r="O339" i="1"/>
  <c r="N339" i="1"/>
  <c r="M339" i="1"/>
  <c r="L339" i="1"/>
  <c r="K339" i="1"/>
  <c r="I339" i="1"/>
  <c r="I384" i="2"/>
  <c r="M384" i="2"/>
  <c r="P338" i="1"/>
  <c r="O338" i="1"/>
  <c r="N338" i="1"/>
  <c r="M338" i="1"/>
  <c r="L338" i="1"/>
  <c r="K338" i="1"/>
  <c r="I338" i="1"/>
  <c r="O386" i="2" l="1"/>
  <c r="Q339" i="1"/>
  <c r="Q338" i="1"/>
  <c r="P337" i="1"/>
  <c r="O337" i="1"/>
  <c r="N337" i="1"/>
  <c r="M337" i="1"/>
  <c r="L337" i="1"/>
  <c r="K337" i="1"/>
  <c r="I337" i="1"/>
  <c r="N385" i="2"/>
  <c r="O385" i="2" s="1"/>
  <c r="M385" i="2"/>
  <c r="L385" i="2"/>
  <c r="K385" i="2"/>
  <c r="P336" i="1"/>
  <c r="O336" i="1"/>
  <c r="N336" i="1"/>
  <c r="M336" i="1"/>
  <c r="L336" i="1"/>
  <c r="K336" i="1"/>
  <c r="I336" i="1"/>
  <c r="N384" i="2"/>
  <c r="L384" i="2"/>
  <c r="K384" i="2"/>
  <c r="Q336" i="1" l="1"/>
  <c r="Q337" i="1"/>
  <c r="O384" i="2"/>
  <c r="N383" i="2"/>
  <c r="M383" i="2"/>
  <c r="L383" i="2"/>
  <c r="K383" i="2"/>
  <c r="I383" i="2"/>
  <c r="O383" i="2" l="1"/>
  <c r="N376" i="2"/>
  <c r="L318" i="1" l="1"/>
  <c r="L319" i="1"/>
  <c r="L320" i="1"/>
  <c r="L321" i="1"/>
  <c r="L322" i="1"/>
  <c r="L323" i="1"/>
  <c r="L324" i="1"/>
  <c r="L325" i="1"/>
  <c r="L326" i="1"/>
  <c r="P335" i="1" l="1"/>
  <c r="O335" i="1"/>
  <c r="N335" i="1"/>
  <c r="M335" i="1"/>
  <c r="L335" i="1"/>
  <c r="K335" i="1"/>
  <c r="I335" i="1"/>
  <c r="P334" i="1"/>
  <c r="O334" i="1"/>
  <c r="N334" i="1"/>
  <c r="M334" i="1"/>
  <c r="L334" i="1"/>
  <c r="K334" i="1"/>
  <c r="I334" i="1"/>
  <c r="Q334" i="1" l="1"/>
  <c r="Q335" i="1"/>
  <c r="N382" i="2"/>
  <c r="M382" i="2"/>
  <c r="L382" i="2"/>
  <c r="K382" i="2"/>
  <c r="I382" i="2"/>
  <c r="N381" i="2"/>
  <c r="M381" i="2"/>
  <c r="L381" i="2"/>
  <c r="K381" i="2"/>
  <c r="I381" i="2"/>
  <c r="O382" i="2" l="1"/>
  <c r="O381" i="2"/>
  <c r="P333" i="1"/>
  <c r="O333" i="1"/>
  <c r="N333" i="1"/>
  <c r="M333" i="1"/>
  <c r="L333" i="1"/>
  <c r="K333" i="1"/>
  <c r="I333" i="1"/>
  <c r="P330" i="1"/>
  <c r="P331" i="1"/>
  <c r="P329" i="1"/>
  <c r="L330" i="1"/>
  <c r="Q333" i="1" l="1"/>
  <c r="P332" i="1"/>
  <c r="O332" i="1"/>
  <c r="N332" i="1"/>
  <c r="M332" i="1"/>
  <c r="L332" i="1"/>
  <c r="K332" i="1"/>
  <c r="I332" i="1"/>
  <c r="O331" i="1"/>
  <c r="N331" i="1"/>
  <c r="M331" i="1"/>
  <c r="L331" i="1"/>
  <c r="K331" i="1"/>
  <c r="I331" i="1"/>
  <c r="N380" i="2"/>
  <c r="M380" i="2"/>
  <c r="L380" i="2"/>
  <c r="K380" i="2"/>
  <c r="I380" i="2"/>
  <c r="Q332" i="1" l="1"/>
  <c r="Q331" i="1"/>
  <c r="O380" i="2"/>
  <c r="O330" i="1"/>
  <c r="Q330" i="1" s="1"/>
  <c r="N330" i="1"/>
  <c r="M330" i="1"/>
  <c r="K330" i="1"/>
  <c r="I330" i="1"/>
  <c r="N379" i="2"/>
  <c r="M379" i="2"/>
  <c r="L379" i="2"/>
  <c r="K379" i="2"/>
  <c r="I379" i="2"/>
  <c r="O379" i="2" l="1"/>
  <c r="O329" i="1"/>
  <c r="N329" i="1"/>
  <c r="M329" i="1"/>
  <c r="L329" i="1"/>
  <c r="K329" i="1"/>
  <c r="I329" i="1"/>
  <c r="P328" i="1"/>
  <c r="O328" i="1"/>
  <c r="N328" i="1"/>
  <c r="M328" i="1"/>
  <c r="L328" i="1"/>
  <c r="K328" i="1"/>
  <c r="I328" i="1"/>
  <c r="Q329" i="1" l="1"/>
  <c r="Q328" i="1"/>
  <c r="N378" i="2"/>
  <c r="M378" i="2"/>
  <c r="L378" i="2"/>
  <c r="K378" i="2"/>
  <c r="I378" i="2"/>
  <c r="N377" i="2"/>
  <c r="M377" i="2"/>
  <c r="L377" i="2"/>
  <c r="K377" i="2"/>
  <c r="O378" i="2" l="1"/>
  <c r="O377" i="2"/>
  <c r="N371" i="2"/>
  <c r="M376" i="2" l="1"/>
  <c r="L376" i="2"/>
  <c r="K376" i="2"/>
  <c r="I376" i="2"/>
  <c r="O376" i="2" s="1"/>
  <c r="N375" i="2"/>
  <c r="M375" i="2"/>
  <c r="L375" i="2"/>
  <c r="K375" i="2"/>
  <c r="I375" i="2"/>
  <c r="O375" i="2" l="1"/>
  <c r="P327" i="1"/>
  <c r="O327" i="1"/>
  <c r="N327" i="1"/>
  <c r="M327" i="1"/>
  <c r="L327" i="1"/>
  <c r="K327" i="1"/>
  <c r="I327" i="1"/>
  <c r="Q327" i="1" l="1"/>
  <c r="S326" i="1"/>
  <c r="R326" i="1"/>
  <c r="P326" i="1"/>
  <c r="O326" i="1"/>
  <c r="N326" i="1"/>
  <c r="M326" i="1"/>
  <c r="K326" i="1"/>
  <c r="I326" i="1"/>
  <c r="P325" i="1"/>
  <c r="O325" i="1"/>
  <c r="N325" i="1"/>
  <c r="M325" i="1"/>
  <c r="K325" i="1"/>
  <c r="I325" i="1"/>
  <c r="Q326" i="1" l="1"/>
  <c r="Q325" i="1"/>
  <c r="N374" i="2" l="1"/>
  <c r="M374" i="2"/>
  <c r="L374" i="2"/>
  <c r="K374" i="2"/>
  <c r="I374" i="2"/>
  <c r="N373" i="2"/>
  <c r="M373" i="2"/>
  <c r="L373" i="2"/>
  <c r="K373" i="2"/>
  <c r="I373" i="2"/>
  <c r="P324" i="1"/>
  <c r="O324" i="1"/>
  <c r="N324" i="1"/>
  <c r="M324" i="1"/>
  <c r="K324" i="1"/>
  <c r="I324" i="1"/>
  <c r="Q324" i="1" l="1"/>
  <c r="O374" i="2"/>
  <c r="O373" i="2"/>
  <c r="P323" i="1"/>
  <c r="O323" i="1"/>
  <c r="N323" i="1"/>
  <c r="M323" i="1"/>
  <c r="K323" i="1"/>
  <c r="I323" i="1"/>
  <c r="N372" i="2"/>
  <c r="M372" i="2"/>
  <c r="L372" i="2"/>
  <c r="K372" i="2"/>
  <c r="I372" i="2"/>
  <c r="Q323" i="1" l="1"/>
  <c r="O372" i="2"/>
  <c r="P322" i="1"/>
  <c r="O322" i="1"/>
  <c r="N322" i="1"/>
  <c r="M322" i="1"/>
  <c r="K322" i="1"/>
  <c r="I322" i="1"/>
  <c r="P321" i="1"/>
  <c r="O321" i="1"/>
  <c r="N321" i="1"/>
  <c r="M321" i="1"/>
  <c r="K321" i="1"/>
  <c r="I321" i="1"/>
  <c r="P320" i="1"/>
  <c r="O320" i="1"/>
  <c r="N320" i="1"/>
  <c r="M320" i="1"/>
  <c r="K320" i="1"/>
  <c r="I320" i="1"/>
  <c r="Q322" i="1" l="1"/>
  <c r="Q321" i="1"/>
  <c r="Q320" i="1"/>
  <c r="M371" i="2"/>
  <c r="L371" i="2"/>
  <c r="K371" i="2"/>
  <c r="I371" i="2"/>
  <c r="I366" i="2"/>
  <c r="N370" i="2"/>
  <c r="M370" i="2"/>
  <c r="L370" i="2"/>
  <c r="K370" i="2"/>
  <c r="I370" i="2"/>
  <c r="O371" i="2" l="1"/>
  <c r="O370" i="2"/>
  <c r="P319" i="1"/>
  <c r="O319" i="1"/>
  <c r="N319" i="1"/>
  <c r="M319" i="1"/>
  <c r="K319" i="1"/>
  <c r="I319" i="1"/>
  <c r="N369" i="2"/>
  <c r="M369" i="2"/>
  <c r="L369" i="2"/>
  <c r="K369" i="2"/>
  <c r="I369" i="2"/>
  <c r="N368" i="2"/>
  <c r="M368" i="2"/>
  <c r="L368" i="2"/>
  <c r="K368" i="2"/>
  <c r="I368" i="2"/>
  <c r="P318" i="1"/>
  <c r="O318" i="1"/>
  <c r="N318" i="1"/>
  <c r="M318" i="1"/>
  <c r="K318" i="1"/>
  <c r="I318" i="1"/>
  <c r="P317" i="1"/>
  <c r="O317" i="1"/>
  <c r="N317" i="1"/>
  <c r="M317" i="1"/>
  <c r="L317" i="1"/>
  <c r="K317" i="1"/>
  <c r="I317" i="1"/>
  <c r="N367" i="2"/>
  <c r="M367" i="2"/>
  <c r="L367" i="2"/>
  <c r="K367" i="2"/>
  <c r="I367" i="2"/>
  <c r="Q319" i="1" l="1"/>
  <c r="O369" i="2"/>
  <c r="O368" i="2"/>
  <c r="Q318" i="1"/>
  <c r="Q317" i="1"/>
  <c r="O367" i="2"/>
  <c r="H933" i="5"/>
  <c r="E933" i="5"/>
  <c r="P316" i="1" l="1"/>
  <c r="O316" i="1"/>
  <c r="N316" i="1"/>
  <c r="M316" i="1"/>
  <c r="L316" i="1"/>
  <c r="K316" i="1"/>
  <c r="I316" i="1"/>
  <c r="N366" i="2"/>
  <c r="M366" i="2"/>
  <c r="L366" i="2"/>
  <c r="K366" i="2"/>
  <c r="O366" i="2" l="1"/>
  <c r="Q316" i="1"/>
  <c r="P315" i="1"/>
  <c r="O315" i="1"/>
  <c r="N315" i="1"/>
  <c r="M315" i="1"/>
  <c r="L315" i="1"/>
  <c r="K315" i="1"/>
  <c r="I315" i="1"/>
  <c r="P314" i="1"/>
  <c r="O314" i="1"/>
  <c r="N314" i="1"/>
  <c r="M314" i="1"/>
  <c r="L314" i="1"/>
  <c r="K314" i="1"/>
  <c r="I314" i="1"/>
  <c r="N365" i="2"/>
  <c r="M365" i="2"/>
  <c r="L365" i="2"/>
  <c r="K365" i="2"/>
  <c r="I365" i="2"/>
  <c r="Q315" i="1" l="1"/>
  <c r="Q314" i="1"/>
  <c r="O365" i="2"/>
  <c r="P313" i="1"/>
  <c r="O313" i="1"/>
  <c r="N313" i="1"/>
  <c r="M313" i="1"/>
  <c r="L313" i="1"/>
  <c r="K313" i="1"/>
  <c r="I313" i="1"/>
  <c r="N364" i="2"/>
  <c r="M364" i="2"/>
  <c r="L364" i="2"/>
  <c r="K364" i="2"/>
  <c r="I364" i="2"/>
  <c r="N363" i="2"/>
  <c r="M363" i="2"/>
  <c r="L363" i="2"/>
  <c r="K363" i="2"/>
  <c r="I363" i="2"/>
  <c r="P312" i="1"/>
  <c r="O312" i="1"/>
  <c r="N312" i="1"/>
  <c r="M312" i="1"/>
  <c r="L312" i="1"/>
  <c r="K312" i="1"/>
  <c r="I312" i="1"/>
  <c r="N362" i="2"/>
  <c r="M362" i="2"/>
  <c r="L362" i="2"/>
  <c r="K362" i="2"/>
  <c r="I362" i="2"/>
  <c r="P311" i="1"/>
  <c r="O311" i="1"/>
  <c r="N311" i="1"/>
  <c r="M311" i="1"/>
  <c r="L311" i="1"/>
  <c r="K311" i="1"/>
  <c r="I311" i="1"/>
  <c r="P310" i="1"/>
  <c r="O310" i="1"/>
  <c r="N310" i="1"/>
  <c r="M310" i="1"/>
  <c r="L310" i="1"/>
  <c r="K310" i="1"/>
  <c r="I310" i="1"/>
  <c r="E1576" i="4"/>
  <c r="N361" i="2"/>
  <c r="M361" i="2"/>
  <c r="L361" i="2"/>
  <c r="K361" i="2"/>
  <c r="I361" i="2"/>
  <c r="O362" i="2" l="1"/>
  <c r="Q313" i="1"/>
  <c r="O364" i="2"/>
  <c r="O363" i="2"/>
  <c r="Q312" i="1"/>
  <c r="Q311" i="1"/>
  <c r="Q310" i="1"/>
  <c r="O361" i="2"/>
  <c r="P309" i="1" l="1"/>
  <c r="O309" i="1"/>
  <c r="N309" i="1"/>
  <c r="M309" i="1"/>
  <c r="L309" i="1"/>
  <c r="K309" i="1"/>
  <c r="I309" i="1"/>
  <c r="N360" i="2"/>
  <c r="M360" i="2"/>
  <c r="L360" i="2"/>
  <c r="K360" i="2"/>
  <c r="I360" i="2"/>
  <c r="I359" i="2"/>
  <c r="N359" i="2"/>
  <c r="M359" i="2"/>
  <c r="L359" i="2"/>
  <c r="K359" i="2"/>
  <c r="I356" i="2"/>
  <c r="F1520" i="4"/>
  <c r="E1520" i="4"/>
  <c r="K349" i="2"/>
  <c r="K302" i="1"/>
  <c r="K304" i="1"/>
  <c r="I354" i="2"/>
  <c r="Q309" i="1" l="1"/>
  <c r="O360" i="2"/>
  <c r="O359" i="2"/>
  <c r="N358" i="2" l="1"/>
  <c r="M358" i="2"/>
  <c r="L358" i="2"/>
  <c r="K358" i="2"/>
  <c r="I358" i="2"/>
  <c r="O358" i="2" l="1"/>
  <c r="S308" i="1"/>
  <c r="R308" i="1"/>
  <c r="P308" i="1"/>
  <c r="O308" i="1"/>
  <c r="N308" i="1"/>
  <c r="M308" i="1"/>
  <c r="L308" i="1"/>
  <c r="K308" i="1"/>
  <c r="I308" i="1"/>
  <c r="Q308" i="1" l="1"/>
  <c r="K232" i="2"/>
  <c r="P307" i="1"/>
  <c r="O307" i="1"/>
  <c r="N307" i="1"/>
  <c r="M307" i="1"/>
  <c r="L307" i="1"/>
  <c r="K307" i="1"/>
  <c r="I307" i="1"/>
  <c r="N357" i="2"/>
  <c r="M357" i="2"/>
  <c r="L357" i="2"/>
  <c r="K357" i="2"/>
  <c r="I357" i="2"/>
  <c r="E1524" i="4"/>
  <c r="I890" i="5"/>
  <c r="F890" i="5"/>
  <c r="P306" i="1"/>
  <c r="O306" i="1"/>
  <c r="N306" i="1"/>
  <c r="M306" i="1"/>
  <c r="L306" i="1"/>
  <c r="K306" i="1"/>
  <c r="I306" i="1"/>
  <c r="P305" i="1"/>
  <c r="O305" i="1"/>
  <c r="N305" i="1"/>
  <c r="M305" i="1"/>
  <c r="L305" i="1"/>
  <c r="K305" i="1"/>
  <c r="I305" i="1"/>
  <c r="F1518" i="4"/>
  <c r="E1518" i="4"/>
  <c r="Q307" i="1" l="1"/>
  <c r="O357" i="2"/>
  <c r="Q306" i="1"/>
  <c r="Q305" i="1"/>
  <c r="N356" i="2"/>
  <c r="O356" i="2" s="1"/>
  <c r="M356" i="2"/>
  <c r="L356" i="2"/>
  <c r="K356" i="2"/>
  <c r="N355" i="2"/>
  <c r="M355" i="2"/>
  <c r="L355" i="2"/>
  <c r="K355" i="2"/>
  <c r="I355" i="2"/>
  <c r="O355" i="2" l="1"/>
  <c r="N354" i="2"/>
  <c r="M354" i="2"/>
  <c r="L354" i="2"/>
  <c r="K354" i="2"/>
  <c r="O354" i="2" l="1"/>
  <c r="D2040" i="3"/>
  <c r="I353" i="2"/>
  <c r="N353" i="2"/>
  <c r="M353" i="2"/>
  <c r="L353" i="2"/>
  <c r="K353" i="2"/>
  <c r="D1946" i="3"/>
  <c r="D1901" i="3"/>
  <c r="P304" i="1"/>
  <c r="O304" i="1"/>
  <c r="N304" i="1"/>
  <c r="M304" i="1"/>
  <c r="L304" i="1"/>
  <c r="I304" i="1"/>
  <c r="N352" i="2"/>
  <c r="M352" i="2"/>
  <c r="L352" i="2"/>
  <c r="K352" i="2"/>
  <c r="I352" i="2"/>
  <c r="N351" i="2"/>
  <c r="M351" i="2"/>
  <c r="L351" i="2"/>
  <c r="K351" i="2"/>
  <c r="I351" i="2"/>
  <c r="P303" i="1"/>
  <c r="O303" i="1"/>
  <c r="N303" i="1"/>
  <c r="M303" i="1"/>
  <c r="L303" i="1"/>
  <c r="K303" i="1"/>
  <c r="I303" i="1"/>
  <c r="N350" i="2"/>
  <c r="M350" i="2"/>
  <c r="L350" i="2"/>
  <c r="K350" i="2"/>
  <c r="I350" i="2"/>
  <c r="N349" i="2"/>
  <c r="M349" i="2"/>
  <c r="L349" i="2"/>
  <c r="I349" i="2"/>
  <c r="P302" i="1"/>
  <c r="O302" i="1"/>
  <c r="N302" i="1"/>
  <c r="M302" i="1"/>
  <c r="L302" i="1"/>
  <c r="I302" i="1"/>
  <c r="I341" i="2"/>
  <c r="Q303" i="1" l="1"/>
  <c r="O351" i="2"/>
  <c r="O353" i="2"/>
  <c r="O352" i="2"/>
  <c r="Q304" i="1"/>
  <c r="O350" i="2"/>
  <c r="O349" i="2"/>
  <c r="Q302" i="1"/>
  <c r="S301" i="1" l="1"/>
  <c r="R301" i="1"/>
  <c r="P301" i="1"/>
  <c r="O301" i="1"/>
  <c r="N301" i="1"/>
  <c r="M301" i="1"/>
  <c r="L301" i="1"/>
  <c r="K301" i="1"/>
  <c r="I301" i="1"/>
  <c r="S300" i="1"/>
  <c r="R300" i="1"/>
  <c r="P300" i="1"/>
  <c r="O300" i="1"/>
  <c r="N300" i="1"/>
  <c r="M300" i="1"/>
  <c r="L300" i="1"/>
  <c r="K300" i="1"/>
  <c r="I300" i="1"/>
  <c r="S299" i="1"/>
  <c r="R299" i="1"/>
  <c r="P299" i="1"/>
  <c r="O299" i="1"/>
  <c r="N299" i="1"/>
  <c r="M299" i="1"/>
  <c r="L299" i="1"/>
  <c r="K299" i="1"/>
  <c r="I299" i="1"/>
  <c r="S298" i="1"/>
  <c r="R298" i="1"/>
  <c r="P298" i="1"/>
  <c r="O298" i="1"/>
  <c r="N298" i="1"/>
  <c r="M298" i="1"/>
  <c r="L298" i="1"/>
  <c r="K298" i="1"/>
  <c r="I298" i="1"/>
  <c r="N348" i="2"/>
  <c r="M348" i="2"/>
  <c r="L348" i="2"/>
  <c r="K348" i="2"/>
  <c r="N347" i="2"/>
  <c r="M347" i="2"/>
  <c r="L347" i="2"/>
  <c r="K347" i="2"/>
  <c r="N346" i="2"/>
  <c r="M346" i="2"/>
  <c r="L346" i="2"/>
  <c r="K346" i="2"/>
  <c r="N345" i="2"/>
  <c r="M345" i="2"/>
  <c r="L345" i="2"/>
  <c r="K345" i="2"/>
  <c r="I348" i="2"/>
  <c r="I347" i="2"/>
  <c r="I346" i="2"/>
  <c r="I345" i="2"/>
  <c r="O345" i="2" l="1"/>
  <c r="O346" i="2"/>
  <c r="O347" i="2"/>
  <c r="O348" i="2"/>
  <c r="Q300" i="1"/>
  <c r="Q298" i="1"/>
  <c r="Q299" i="1"/>
  <c r="Q301" i="1"/>
  <c r="P297" i="1"/>
  <c r="O297" i="1"/>
  <c r="N297" i="1"/>
  <c r="M297" i="1"/>
  <c r="L297" i="1"/>
  <c r="K297" i="1"/>
  <c r="I297" i="1"/>
  <c r="N344" i="2"/>
  <c r="M344" i="2"/>
  <c r="L344" i="2"/>
  <c r="K344" i="2"/>
  <c r="I344" i="2"/>
  <c r="P296" i="1"/>
  <c r="O296" i="1"/>
  <c r="N296" i="1"/>
  <c r="M296" i="1"/>
  <c r="L296" i="1"/>
  <c r="K296" i="1"/>
  <c r="I296" i="1"/>
  <c r="F1480" i="4"/>
  <c r="O344" i="2" l="1"/>
  <c r="Q297" i="1"/>
  <c r="Q296" i="1"/>
  <c r="S295" i="1" l="1"/>
  <c r="R295" i="1"/>
  <c r="P295" i="1"/>
  <c r="O295" i="1"/>
  <c r="N295" i="1"/>
  <c r="M295" i="1"/>
  <c r="L295" i="1"/>
  <c r="K295" i="1"/>
  <c r="I295" i="1"/>
  <c r="N343" i="2"/>
  <c r="M343" i="2"/>
  <c r="L343" i="2"/>
  <c r="K343" i="2"/>
  <c r="I343" i="2"/>
  <c r="O343" i="2" l="1"/>
  <c r="Q295" i="1"/>
  <c r="N342" i="2"/>
  <c r="M342" i="2"/>
  <c r="L342" i="2"/>
  <c r="K342" i="2"/>
  <c r="I342" i="2"/>
  <c r="N341" i="2"/>
  <c r="M341" i="2"/>
  <c r="L341" i="2"/>
  <c r="K341" i="2"/>
  <c r="P294" i="1"/>
  <c r="O294" i="1"/>
  <c r="N294" i="1"/>
  <c r="M294" i="1"/>
  <c r="L294" i="1"/>
  <c r="K294" i="1"/>
  <c r="I294" i="1"/>
  <c r="N340" i="2"/>
  <c r="M340" i="2"/>
  <c r="L340" i="2"/>
  <c r="K340" i="2"/>
  <c r="I340" i="2"/>
  <c r="E1458" i="4"/>
  <c r="O342" i="2" l="1"/>
  <c r="O340" i="2"/>
  <c r="O341" i="2"/>
  <c r="Q294" i="1"/>
  <c r="F1443" i="4"/>
  <c r="E1444" i="4"/>
  <c r="F1444" i="4" s="1"/>
  <c r="S293" i="1"/>
  <c r="P293" i="1"/>
  <c r="O293" i="1"/>
  <c r="N293" i="1"/>
  <c r="M293" i="1"/>
  <c r="L293" i="1"/>
  <c r="K293" i="1"/>
  <c r="I293" i="1"/>
  <c r="N339" i="2"/>
  <c r="M339" i="2"/>
  <c r="L339" i="2"/>
  <c r="K339" i="2"/>
  <c r="I339" i="2"/>
  <c r="E1426" i="4"/>
  <c r="Q293" i="1" l="1"/>
  <c r="O339" i="2"/>
  <c r="N338" i="2"/>
  <c r="M338" i="2"/>
  <c r="L338" i="2"/>
  <c r="K338" i="2"/>
  <c r="I338" i="2"/>
  <c r="N337" i="2"/>
  <c r="M337" i="2"/>
  <c r="L337" i="2"/>
  <c r="K337" i="2"/>
  <c r="I337" i="2"/>
  <c r="N336" i="2"/>
  <c r="M336" i="2"/>
  <c r="L336" i="2"/>
  <c r="K336" i="2"/>
  <c r="I336" i="2"/>
  <c r="P292" i="1"/>
  <c r="O292" i="1"/>
  <c r="N292" i="1"/>
  <c r="M292" i="1"/>
  <c r="L292" i="1"/>
  <c r="K292" i="1"/>
  <c r="I292" i="1"/>
  <c r="F1406" i="4"/>
  <c r="O336" i="2" l="1"/>
  <c r="O337" i="2"/>
  <c r="O338" i="2"/>
  <c r="Q292" i="1"/>
  <c r="P291" i="1"/>
  <c r="O291" i="1"/>
  <c r="N291" i="1"/>
  <c r="M291" i="1"/>
  <c r="L291" i="1"/>
  <c r="K291" i="1"/>
  <c r="I291" i="1"/>
  <c r="N335" i="2"/>
  <c r="M335" i="2"/>
  <c r="L335" i="2"/>
  <c r="K335" i="2"/>
  <c r="I335" i="2"/>
  <c r="I1900" i="3"/>
  <c r="O335" i="2" l="1"/>
  <c r="Q291" i="1"/>
  <c r="F1403" i="4"/>
  <c r="F1402" i="4"/>
  <c r="F1401" i="4"/>
  <c r="F1400" i="4"/>
  <c r="F1399" i="4"/>
  <c r="P290" i="1"/>
  <c r="O290" i="1"/>
  <c r="N290" i="1"/>
  <c r="M290" i="1"/>
  <c r="L290" i="1"/>
  <c r="K290" i="1"/>
  <c r="I290" i="1"/>
  <c r="S289" i="1"/>
  <c r="R289" i="1"/>
  <c r="P289" i="1"/>
  <c r="O289" i="1"/>
  <c r="N289" i="1"/>
  <c r="M289" i="1"/>
  <c r="L289" i="1"/>
  <c r="K289" i="1"/>
  <c r="I289" i="1"/>
  <c r="S288" i="1"/>
  <c r="R288" i="1"/>
  <c r="P288" i="1"/>
  <c r="O288" i="1"/>
  <c r="N288" i="1"/>
  <c r="M288" i="1"/>
  <c r="L288" i="1"/>
  <c r="K288" i="1"/>
  <c r="I288" i="1"/>
  <c r="S287" i="1"/>
  <c r="R287" i="1"/>
  <c r="P287" i="1"/>
  <c r="O287" i="1"/>
  <c r="N287" i="1"/>
  <c r="M287" i="1"/>
  <c r="L287" i="1"/>
  <c r="K287" i="1"/>
  <c r="I287" i="1"/>
  <c r="N334" i="2"/>
  <c r="M334" i="2"/>
  <c r="L334" i="2"/>
  <c r="K334" i="2"/>
  <c r="I334" i="2"/>
  <c r="N333" i="2"/>
  <c r="M333" i="2"/>
  <c r="L333" i="2"/>
  <c r="K333" i="2"/>
  <c r="I333" i="2"/>
  <c r="N332" i="2"/>
  <c r="M332" i="2"/>
  <c r="L332" i="2"/>
  <c r="K332" i="2"/>
  <c r="I332" i="2"/>
  <c r="O332" i="2" l="1"/>
  <c r="O334" i="2"/>
  <c r="O333" i="2"/>
  <c r="Q290" i="1"/>
  <c r="Q288" i="1"/>
  <c r="Q287" i="1"/>
  <c r="Q289" i="1"/>
  <c r="F1350" i="4" l="1"/>
  <c r="F1349" i="4"/>
  <c r="F1348" i="4"/>
  <c r="P286" i="1"/>
  <c r="O286" i="1"/>
  <c r="N286" i="1"/>
  <c r="M286" i="1"/>
  <c r="L286" i="1"/>
  <c r="K286" i="1"/>
  <c r="I286" i="1"/>
  <c r="H326" i="2"/>
  <c r="P285" i="1"/>
  <c r="O285" i="1"/>
  <c r="N285" i="1"/>
  <c r="M285" i="1"/>
  <c r="L285" i="1"/>
  <c r="K285" i="1"/>
  <c r="I285" i="1"/>
  <c r="Q286" i="1" l="1"/>
  <c r="Q285" i="1"/>
  <c r="F1339" i="4" l="1"/>
  <c r="F1338" i="4"/>
  <c r="N331" i="2"/>
  <c r="M331" i="2"/>
  <c r="L331" i="2"/>
  <c r="K331" i="2"/>
  <c r="I331" i="2"/>
  <c r="O331" i="2" l="1"/>
  <c r="F1334" i="4"/>
  <c r="F1333" i="4"/>
  <c r="F1332" i="4"/>
  <c r="F1331" i="4"/>
  <c r="N330" i="2" l="1"/>
  <c r="M330" i="2"/>
  <c r="L330" i="2"/>
  <c r="K330" i="2"/>
  <c r="H330" i="2"/>
  <c r="D1942" i="3"/>
  <c r="O330" i="2" l="1"/>
  <c r="G324" i="2"/>
  <c r="N329" i="2" l="1"/>
  <c r="M329" i="2"/>
  <c r="L329" i="2"/>
  <c r="K329" i="2"/>
  <c r="I329" i="2"/>
  <c r="N328" i="2"/>
  <c r="M328" i="2"/>
  <c r="L328" i="2"/>
  <c r="K328" i="2"/>
  <c r="I328" i="2"/>
  <c r="O329" i="2" l="1"/>
  <c r="O328" i="2"/>
  <c r="H327" i="2"/>
  <c r="N327" i="2"/>
  <c r="M327" i="2"/>
  <c r="L327" i="2"/>
  <c r="K327" i="2"/>
  <c r="N326" i="2"/>
  <c r="M326" i="2"/>
  <c r="L326" i="2"/>
  <c r="K326" i="2"/>
  <c r="I326" i="2"/>
  <c r="P284" i="1"/>
  <c r="O284" i="1"/>
  <c r="N284" i="1"/>
  <c r="M284" i="1"/>
  <c r="L284" i="1"/>
  <c r="K284" i="1"/>
  <c r="I284" i="1"/>
  <c r="P283" i="1"/>
  <c r="O283" i="1"/>
  <c r="N283" i="1"/>
  <c r="M283" i="1"/>
  <c r="L283" i="1"/>
  <c r="K283" i="1"/>
  <c r="I283" i="1"/>
  <c r="N325" i="2"/>
  <c r="M325" i="2"/>
  <c r="L325" i="2"/>
  <c r="K325" i="2"/>
  <c r="I325" i="2"/>
  <c r="O327" i="2" l="1"/>
  <c r="O326" i="2"/>
  <c r="Q284" i="1"/>
  <c r="Q283" i="1"/>
  <c r="O325" i="2"/>
  <c r="N324" i="2" l="1"/>
  <c r="M324" i="2"/>
  <c r="L324" i="2"/>
  <c r="K324" i="2"/>
  <c r="I324" i="2"/>
  <c r="M317" i="2"/>
  <c r="S282" i="1"/>
  <c r="R282" i="1"/>
  <c r="O282" i="1"/>
  <c r="P282" i="1"/>
  <c r="N282" i="1"/>
  <c r="M282" i="1"/>
  <c r="L282" i="1"/>
  <c r="K282" i="1"/>
  <c r="I282" i="1"/>
  <c r="S281" i="1"/>
  <c r="R281" i="1"/>
  <c r="O281" i="1"/>
  <c r="P281" i="1"/>
  <c r="N281" i="1"/>
  <c r="M281" i="1"/>
  <c r="L281" i="1"/>
  <c r="K281" i="1"/>
  <c r="I281" i="1"/>
  <c r="S280" i="1"/>
  <c r="R280" i="1"/>
  <c r="O280" i="1"/>
  <c r="P280" i="1"/>
  <c r="N280" i="1"/>
  <c r="M280" i="1"/>
  <c r="L280" i="1"/>
  <c r="K280" i="1"/>
  <c r="I280" i="1"/>
  <c r="K323" i="2"/>
  <c r="N323" i="2"/>
  <c r="M323" i="2"/>
  <c r="L323" i="2"/>
  <c r="I323" i="2"/>
  <c r="K322" i="2"/>
  <c r="N322" i="2"/>
  <c r="M322" i="2"/>
  <c r="L322" i="2"/>
  <c r="I322" i="2"/>
  <c r="K321" i="2"/>
  <c r="N321" i="2"/>
  <c r="M321" i="2"/>
  <c r="L321" i="2"/>
  <c r="I321" i="2"/>
  <c r="M320" i="2"/>
  <c r="N320" i="2"/>
  <c r="L320" i="2"/>
  <c r="K320" i="2"/>
  <c r="I320" i="2"/>
  <c r="O279" i="1"/>
  <c r="P279" i="1"/>
  <c r="N279" i="1"/>
  <c r="M279" i="1"/>
  <c r="L279" i="1"/>
  <c r="K279" i="1"/>
  <c r="I279" i="1"/>
  <c r="K319" i="2"/>
  <c r="N319" i="2"/>
  <c r="M319" i="2"/>
  <c r="L319" i="2"/>
  <c r="I319" i="2"/>
  <c r="K318" i="2"/>
  <c r="N318" i="2"/>
  <c r="M318" i="2"/>
  <c r="L318" i="2"/>
  <c r="I318" i="2"/>
  <c r="S278" i="1"/>
  <c r="R278" i="1"/>
  <c r="O278" i="1"/>
  <c r="P278" i="1"/>
  <c r="N278" i="1"/>
  <c r="M278" i="1"/>
  <c r="L278" i="1"/>
  <c r="K278" i="1"/>
  <c r="I278" i="1"/>
  <c r="F1294" i="4"/>
  <c r="E1294" i="4"/>
  <c r="I317" i="2"/>
  <c r="N317" i="2"/>
  <c r="L317" i="2"/>
  <c r="K317" i="2"/>
  <c r="D1936" i="3"/>
  <c r="D1934" i="3"/>
  <c r="K312" i="2" s="1"/>
  <c r="E1273" i="4"/>
  <c r="N300" i="2" s="1"/>
  <c r="K309" i="2"/>
  <c r="N309" i="2"/>
  <c r="K316" i="2"/>
  <c r="N316" i="2"/>
  <c r="M316" i="2"/>
  <c r="L316" i="2"/>
  <c r="I316" i="2"/>
  <c r="E1256" i="4"/>
  <c r="N295" i="2" s="1"/>
  <c r="E1254" i="4"/>
  <c r="N272" i="2" s="1"/>
  <c r="D1863" i="3"/>
  <c r="H315" i="2"/>
  <c r="M315" i="2"/>
  <c r="N315" i="2"/>
  <c r="L315" i="2"/>
  <c r="K315" i="2"/>
  <c r="P277" i="1"/>
  <c r="O277" i="1"/>
  <c r="N277" i="1"/>
  <c r="M277" i="1"/>
  <c r="L277" i="1"/>
  <c r="K277" i="1"/>
  <c r="I277" i="1"/>
  <c r="P276" i="1"/>
  <c r="O276" i="1"/>
  <c r="N276" i="1"/>
  <c r="M276" i="1"/>
  <c r="L276" i="1"/>
  <c r="K276" i="1"/>
  <c r="I276" i="1"/>
  <c r="H314" i="2"/>
  <c r="I314" i="2" s="1"/>
  <c r="N314" i="2"/>
  <c r="M314" i="2"/>
  <c r="L314" i="2"/>
  <c r="K314" i="2"/>
  <c r="P275" i="1"/>
  <c r="O275" i="1"/>
  <c r="N275" i="1"/>
  <c r="M275" i="1"/>
  <c r="L275" i="1"/>
  <c r="K275" i="1"/>
  <c r="I275" i="1"/>
  <c r="F757" i="5"/>
  <c r="M273" i="2"/>
  <c r="N313" i="2"/>
  <c r="M313" i="2"/>
  <c r="L313" i="2"/>
  <c r="K313" i="2"/>
  <c r="I313" i="2"/>
  <c r="N312" i="2"/>
  <c r="M312" i="2"/>
  <c r="L312" i="2"/>
  <c r="I312" i="2"/>
  <c r="P274" i="1"/>
  <c r="O274" i="1"/>
  <c r="N274" i="1"/>
  <c r="M274" i="1"/>
  <c r="L274" i="1"/>
  <c r="K274" i="1"/>
  <c r="I274" i="1"/>
  <c r="F755" i="5"/>
  <c r="E755" i="5"/>
  <c r="I751" i="5"/>
  <c r="O273" i="1" s="1"/>
  <c r="F751" i="5"/>
  <c r="M273" i="1" s="1"/>
  <c r="P273" i="1"/>
  <c r="N273" i="1"/>
  <c r="L273" i="1"/>
  <c r="K273" i="1"/>
  <c r="I273" i="1"/>
  <c r="P272" i="1"/>
  <c r="O272" i="1"/>
  <c r="N272" i="1"/>
  <c r="M272" i="1"/>
  <c r="L272" i="1"/>
  <c r="K272" i="1"/>
  <c r="I272" i="1"/>
  <c r="N311" i="2"/>
  <c r="M311" i="2"/>
  <c r="L311" i="2"/>
  <c r="K311" i="2"/>
  <c r="I311" i="2"/>
  <c r="E1216" i="4"/>
  <c r="N310" i="2" s="1"/>
  <c r="E1215" i="4"/>
  <c r="P271" i="1" s="1"/>
  <c r="S271" i="1"/>
  <c r="R271" i="1"/>
  <c r="O271" i="1"/>
  <c r="N271" i="1"/>
  <c r="M271" i="1"/>
  <c r="L271" i="1"/>
  <c r="K271" i="1"/>
  <c r="I271" i="1"/>
  <c r="M310" i="2"/>
  <c r="L310" i="2"/>
  <c r="K310" i="2"/>
  <c r="I310" i="2"/>
  <c r="M309" i="2"/>
  <c r="L309" i="2"/>
  <c r="I309" i="2"/>
  <c r="P238" i="1"/>
  <c r="D1864" i="3"/>
  <c r="D1882" i="3"/>
  <c r="D1875" i="3"/>
  <c r="N282" i="2"/>
  <c r="O270" i="1"/>
  <c r="P270" i="1"/>
  <c r="N270" i="1"/>
  <c r="M270" i="1"/>
  <c r="L270" i="1"/>
  <c r="K270" i="1"/>
  <c r="I270" i="1"/>
  <c r="D1893" i="3"/>
  <c r="K269" i="1" s="1"/>
  <c r="D1891" i="3"/>
  <c r="P269" i="1"/>
  <c r="O269" i="1"/>
  <c r="N269" i="1"/>
  <c r="M269" i="1"/>
  <c r="L269" i="1"/>
  <c r="I269" i="1"/>
  <c r="N308" i="2"/>
  <c r="M308" i="2"/>
  <c r="L308" i="2"/>
  <c r="K308" i="2"/>
  <c r="I308" i="2"/>
  <c r="N307" i="2"/>
  <c r="M307" i="2"/>
  <c r="L307" i="2"/>
  <c r="K307" i="2"/>
  <c r="I307" i="2"/>
  <c r="N306" i="2"/>
  <c r="M306" i="2"/>
  <c r="L306" i="2"/>
  <c r="K306" i="2"/>
  <c r="I306" i="2"/>
  <c r="N305" i="2"/>
  <c r="M305" i="2"/>
  <c r="L305" i="2"/>
  <c r="K305" i="2"/>
  <c r="I305" i="2"/>
  <c r="N304" i="2"/>
  <c r="M304" i="2"/>
  <c r="L304" i="2"/>
  <c r="K304" i="2"/>
  <c r="I304" i="2"/>
  <c r="N303" i="2"/>
  <c r="M303" i="2"/>
  <c r="L303" i="2"/>
  <c r="K303" i="2"/>
  <c r="I303" i="2"/>
  <c r="N302" i="2"/>
  <c r="M302" i="2"/>
  <c r="L302" i="2"/>
  <c r="K302" i="2"/>
  <c r="I302" i="2"/>
  <c r="N301" i="2"/>
  <c r="M301" i="2"/>
  <c r="L301" i="2"/>
  <c r="K301" i="2"/>
  <c r="I301" i="2"/>
  <c r="M300" i="2"/>
  <c r="L300" i="2"/>
  <c r="K300" i="2"/>
  <c r="I300" i="2"/>
  <c r="N299" i="2"/>
  <c r="M299" i="2"/>
  <c r="L299" i="2"/>
  <c r="K299" i="2"/>
  <c r="I299" i="2"/>
  <c r="N298" i="2"/>
  <c r="M298" i="2"/>
  <c r="L298" i="2"/>
  <c r="K298" i="2"/>
  <c r="I298" i="2"/>
  <c r="N297" i="2"/>
  <c r="M297" i="2"/>
  <c r="L297" i="2"/>
  <c r="K297" i="2"/>
  <c r="I297" i="2"/>
  <c r="S268" i="1"/>
  <c r="R268" i="1"/>
  <c r="P268" i="1"/>
  <c r="O268" i="1"/>
  <c r="N268" i="1"/>
  <c r="M268" i="1"/>
  <c r="L268" i="1"/>
  <c r="K268" i="1"/>
  <c r="I268" i="1"/>
  <c r="S267" i="1"/>
  <c r="R267" i="1"/>
  <c r="P267" i="1"/>
  <c r="O267" i="1"/>
  <c r="N267" i="1"/>
  <c r="M267" i="1"/>
  <c r="L267" i="1"/>
  <c r="K267" i="1"/>
  <c r="I267" i="1"/>
  <c r="S266" i="1"/>
  <c r="R266" i="1"/>
  <c r="P266" i="1"/>
  <c r="O266" i="1"/>
  <c r="N266" i="1"/>
  <c r="M266" i="1"/>
  <c r="L266" i="1"/>
  <c r="K266" i="1"/>
  <c r="I266" i="1"/>
  <c r="S265" i="1"/>
  <c r="R265" i="1"/>
  <c r="P265" i="1"/>
  <c r="O265" i="1"/>
  <c r="N265" i="1"/>
  <c r="M265" i="1"/>
  <c r="L265" i="1"/>
  <c r="K265" i="1"/>
  <c r="I265" i="1"/>
  <c r="S264" i="1"/>
  <c r="R264" i="1"/>
  <c r="P264" i="1"/>
  <c r="O264" i="1"/>
  <c r="N264" i="1"/>
  <c r="M264" i="1"/>
  <c r="L264" i="1"/>
  <c r="K264" i="1"/>
  <c r="I264" i="1"/>
  <c r="S263" i="1"/>
  <c r="R263" i="1"/>
  <c r="P263" i="1"/>
  <c r="O263" i="1"/>
  <c r="N263" i="1"/>
  <c r="M263" i="1"/>
  <c r="L263" i="1"/>
  <c r="K263" i="1"/>
  <c r="I263" i="1"/>
  <c r="S262" i="1"/>
  <c r="R262" i="1"/>
  <c r="P262" i="1"/>
  <c r="O262" i="1"/>
  <c r="N262" i="1"/>
  <c r="M262" i="1"/>
  <c r="L262" i="1"/>
  <c r="K262" i="1"/>
  <c r="I262" i="1"/>
  <c r="S261" i="1"/>
  <c r="R261" i="1"/>
  <c r="P261" i="1"/>
  <c r="O261" i="1"/>
  <c r="N261" i="1"/>
  <c r="M261" i="1"/>
  <c r="L261" i="1"/>
  <c r="K261" i="1"/>
  <c r="I261" i="1"/>
  <c r="S260" i="1"/>
  <c r="R260" i="1"/>
  <c r="P260" i="1"/>
  <c r="O260" i="1"/>
  <c r="N260" i="1"/>
  <c r="M260" i="1"/>
  <c r="L260" i="1"/>
  <c r="K260" i="1"/>
  <c r="I260" i="1"/>
  <c r="S259" i="1"/>
  <c r="R259" i="1"/>
  <c r="P259" i="1"/>
  <c r="O259" i="1"/>
  <c r="N259" i="1"/>
  <c r="M259" i="1"/>
  <c r="L259" i="1"/>
  <c r="K259" i="1"/>
  <c r="I259" i="1"/>
  <c r="S258" i="1"/>
  <c r="R258" i="1"/>
  <c r="P258" i="1"/>
  <c r="O258" i="1"/>
  <c r="N258" i="1"/>
  <c r="M258" i="1"/>
  <c r="L258" i="1"/>
  <c r="K258" i="1"/>
  <c r="I258" i="1"/>
  <c r="S257" i="1"/>
  <c r="R257" i="1"/>
  <c r="P257" i="1"/>
  <c r="O257" i="1"/>
  <c r="N257" i="1"/>
  <c r="M257" i="1"/>
  <c r="L257" i="1"/>
  <c r="K257" i="1"/>
  <c r="I257" i="1"/>
  <c r="N296" i="2"/>
  <c r="M296" i="2"/>
  <c r="L296" i="2"/>
  <c r="K296" i="2"/>
  <c r="I296" i="2"/>
  <c r="P255" i="1"/>
  <c r="O255" i="1"/>
  <c r="N255" i="1"/>
  <c r="M255" i="1"/>
  <c r="L255" i="1"/>
  <c r="K255" i="1"/>
  <c r="I255" i="1"/>
  <c r="H295" i="2"/>
  <c r="M295" i="2"/>
  <c r="L295" i="2"/>
  <c r="I295" i="2"/>
  <c r="D1831" i="3"/>
  <c r="D1799" i="3"/>
  <c r="P254" i="1"/>
  <c r="O254" i="1"/>
  <c r="N254" i="1"/>
  <c r="M254" i="1"/>
  <c r="L254" i="1"/>
  <c r="K254" i="1"/>
  <c r="M256" i="1" s="1"/>
  <c r="I254" i="1"/>
  <c r="N294" i="2"/>
  <c r="M294" i="2"/>
  <c r="L294" i="2"/>
  <c r="K294" i="2"/>
  <c r="I294" i="2"/>
  <c r="D1839" i="3"/>
  <c r="D1826" i="3"/>
  <c r="K295" i="2" s="1"/>
  <c r="P253" i="1"/>
  <c r="O253" i="1"/>
  <c r="N253" i="1"/>
  <c r="M253" i="1"/>
  <c r="L253" i="1"/>
  <c r="K253" i="1"/>
  <c r="I253" i="1"/>
  <c r="H293" i="2"/>
  <c r="I293" i="2" s="1"/>
  <c r="N293" i="2"/>
  <c r="M293" i="2"/>
  <c r="L293" i="2"/>
  <c r="K293" i="2"/>
  <c r="N292" i="2"/>
  <c r="M292" i="2"/>
  <c r="L292" i="2"/>
  <c r="K292" i="2"/>
  <c r="H292" i="2"/>
  <c r="I292" i="2" s="1"/>
  <c r="N291" i="2"/>
  <c r="M291" i="2"/>
  <c r="L291" i="2"/>
  <c r="K291" i="2"/>
  <c r="I291" i="2"/>
  <c r="N290" i="2"/>
  <c r="M290" i="2"/>
  <c r="L290" i="2"/>
  <c r="K290" i="2"/>
  <c r="I290" i="2"/>
  <c r="S252" i="1"/>
  <c r="R252" i="1"/>
  <c r="P252" i="1"/>
  <c r="O252" i="1"/>
  <c r="N252" i="1"/>
  <c r="M252" i="1"/>
  <c r="L252" i="1"/>
  <c r="K252" i="1"/>
  <c r="I252" i="1"/>
  <c r="S251" i="1"/>
  <c r="R251" i="1"/>
  <c r="P251" i="1"/>
  <c r="O251" i="1"/>
  <c r="N251" i="1"/>
  <c r="M251" i="1"/>
  <c r="L251" i="1"/>
  <c r="K251" i="1"/>
  <c r="I251" i="1"/>
  <c r="P250" i="1"/>
  <c r="O250" i="1"/>
  <c r="N250" i="1"/>
  <c r="M250" i="1"/>
  <c r="L250" i="1"/>
  <c r="K250" i="1"/>
  <c r="I250" i="1"/>
  <c r="N289" i="2"/>
  <c r="M289" i="2"/>
  <c r="L289" i="2"/>
  <c r="K289" i="2"/>
  <c r="I289" i="2"/>
  <c r="N288" i="2"/>
  <c r="M288" i="2"/>
  <c r="L288" i="2"/>
  <c r="K288" i="2"/>
  <c r="I288" i="2"/>
  <c r="N287" i="2"/>
  <c r="M287" i="2"/>
  <c r="L287" i="2"/>
  <c r="K287" i="2"/>
  <c r="I287" i="2"/>
  <c r="N286" i="2"/>
  <c r="M286" i="2"/>
  <c r="L286" i="2"/>
  <c r="K286" i="2"/>
  <c r="I286" i="2"/>
  <c r="M285" i="2"/>
  <c r="N285" i="2"/>
  <c r="L285" i="2"/>
  <c r="K285" i="2"/>
  <c r="I285" i="2"/>
  <c r="K284" i="2"/>
  <c r="L284" i="2"/>
  <c r="M284" i="2"/>
  <c r="N284" i="2"/>
  <c r="I284" i="2"/>
  <c r="M217" i="2"/>
  <c r="N217" i="2"/>
  <c r="N283" i="2"/>
  <c r="M283" i="2"/>
  <c r="L283" i="2"/>
  <c r="K283" i="2"/>
  <c r="I283" i="2"/>
  <c r="S249" i="1"/>
  <c r="R249" i="1"/>
  <c r="P249" i="1"/>
  <c r="O249" i="1"/>
  <c r="N249" i="1"/>
  <c r="M249" i="1"/>
  <c r="L249" i="1"/>
  <c r="K249" i="1"/>
  <c r="I249" i="1"/>
  <c r="H282" i="2"/>
  <c r="M282" i="2"/>
  <c r="L282" i="2"/>
  <c r="K282" i="2"/>
  <c r="I282" i="2"/>
  <c r="P248" i="1"/>
  <c r="O248" i="1"/>
  <c r="N248" i="1"/>
  <c r="M248" i="1"/>
  <c r="L248" i="1"/>
  <c r="K248" i="1"/>
  <c r="I248" i="1"/>
  <c r="H272" i="2"/>
  <c r="I272" i="2" s="1"/>
  <c r="S227" i="1"/>
  <c r="S225" i="1"/>
  <c r="H3" i="11"/>
  <c r="H4" i="11" s="1"/>
  <c r="H5" i="11" s="1"/>
  <c r="H6" i="11" s="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I1" i="11"/>
  <c r="H3" i="10"/>
  <c r="H4" i="10" s="1"/>
  <c r="H5" i="10" s="1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I50" i="10"/>
  <c r="I52" i="10" s="1"/>
  <c r="M29" i="10"/>
  <c r="M33" i="10" s="1"/>
  <c r="I1" i="10"/>
  <c r="L3" i="8"/>
  <c r="L4" i="8" s="1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M2" i="12"/>
  <c r="M3" i="12" s="1"/>
  <c r="M4" i="12" s="1"/>
  <c r="M5" i="12" s="1"/>
  <c r="M6" i="12" s="1"/>
  <c r="M7" i="12" s="1"/>
  <c r="H8" i="9"/>
  <c r="M7" i="9"/>
  <c r="H7" i="9"/>
  <c r="M6" i="9"/>
  <c r="H6" i="9"/>
  <c r="M5" i="9"/>
  <c r="N5" i="9" s="1"/>
  <c r="H5" i="9"/>
  <c r="H4" i="9"/>
  <c r="H3" i="9"/>
  <c r="M2" i="9"/>
  <c r="H2" i="9"/>
  <c r="H2" i="7"/>
  <c r="H3" i="7" s="1"/>
  <c r="H4" i="7" s="1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G17" i="7"/>
  <c r="F40" i="7"/>
  <c r="F52" i="7"/>
  <c r="J58" i="7" s="1"/>
  <c r="F53" i="7"/>
  <c r="I98" i="7"/>
  <c r="I97" i="7"/>
  <c r="J80" i="7"/>
  <c r="J56" i="7"/>
  <c r="J69" i="7" s="1"/>
  <c r="D53" i="7"/>
  <c r="D40" i="7"/>
  <c r="H3" i="6"/>
  <c r="H4" i="6" s="1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F19" i="6"/>
  <c r="I74" i="6"/>
  <c r="I76" i="6" s="1"/>
  <c r="M53" i="6"/>
  <c r="M57" i="6" s="1"/>
  <c r="I1" i="6"/>
  <c r="I697" i="5"/>
  <c r="M246" i="2" s="1"/>
  <c r="F697" i="5"/>
  <c r="I628" i="5"/>
  <c r="F628" i="5"/>
  <c r="I627" i="5"/>
  <c r="F627" i="5"/>
  <c r="I626" i="5"/>
  <c r="F626" i="5"/>
  <c r="I625" i="5"/>
  <c r="F625" i="5"/>
  <c r="I624" i="5"/>
  <c r="F624" i="5"/>
  <c r="I623" i="5"/>
  <c r="F623" i="5"/>
  <c r="I622" i="5"/>
  <c r="F622" i="5"/>
  <c r="I621" i="5"/>
  <c r="F621" i="5"/>
  <c r="I620" i="5"/>
  <c r="F620" i="5"/>
  <c r="I619" i="5"/>
  <c r="M227" i="2" s="1"/>
  <c r="F619" i="5"/>
  <c r="I618" i="5"/>
  <c r="F618" i="5"/>
  <c r="I617" i="5"/>
  <c r="F617" i="5"/>
  <c r="I616" i="5"/>
  <c r="F616" i="5"/>
  <c r="I615" i="5"/>
  <c r="F615" i="5"/>
  <c r="I614" i="5"/>
  <c r="F614" i="5"/>
  <c r="I613" i="5"/>
  <c r="F613" i="5"/>
  <c r="I612" i="5"/>
  <c r="F612" i="5"/>
  <c r="I611" i="5"/>
  <c r="M222" i="2" s="1"/>
  <c r="F611" i="5"/>
  <c r="I571" i="5"/>
  <c r="F571" i="5"/>
  <c r="I570" i="5"/>
  <c r="F570" i="5"/>
  <c r="I569" i="5"/>
  <c r="F569" i="5"/>
  <c r="I568" i="5"/>
  <c r="F568" i="5"/>
  <c r="I567" i="5"/>
  <c r="F567" i="5"/>
  <c r="I566" i="5"/>
  <c r="F566" i="5"/>
  <c r="I565" i="5"/>
  <c r="F565" i="5"/>
  <c r="I564" i="5"/>
  <c r="F564" i="5"/>
  <c r="I563" i="5"/>
  <c r="F563" i="5"/>
  <c r="I562" i="5"/>
  <c r="F562" i="5"/>
  <c r="I561" i="5"/>
  <c r="F561" i="5"/>
  <c r="I560" i="5"/>
  <c r="F560" i="5"/>
  <c r="I559" i="5"/>
  <c r="F559" i="5"/>
  <c r="I558" i="5"/>
  <c r="F558" i="5"/>
  <c r="I557" i="5"/>
  <c r="F557" i="5"/>
  <c r="I556" i="5"/>
  <c r="F556" i="5"/>
  <c r="I530" i="5"/>
  <c r="F530" i="5"/>
  <c r="I526" i="5"/>
  <c r="F526" i="5"/>
  <c r="I504" i="5"/>
  <c r="F504" i="5"/>
  <c r="I503" i="5"/>
  <c r="F503" i="5"/>
  <c r="I502" i="5"/>
  <c r="F502" i="5"/>
  <c r="I501" i="5"/>
  <c r="F501" i="5"/>
  <c r="I500" i="5"/>
  <c r="F500" i="5"/>
  <c r="F497" i="5"/>
  <c r="F496" i="5"/>
  <c r="F495" i="5"/>
  <c r="I477" i="5"/>
  <c r="F477" i="5"/>
  <c r="I476" i="5"/>
  <c r="F476" i="5"/>
  <c r="I475" i="5"/>
  <c r="F475" i="5"/>
  <c r="I465" i="5"/>
  <c r="F465" i="5"/>
  <c r="I464" i="5"/>
  <c r="F464" i="5"/>
  <c r="I463" i="5"/>
  <c r="F463" i="5"/>
  <c r="I462" i="5"/>
  <c r="F462" i="5"/>
  <c r="I461" i="5"/>
  <c r="F461" i="5"/>
  <c r="I460" i="5"/>
  <c r="F460" i="5"/>
  <c r="I444" i="5"/>
  <c r="F444" i="5"/>
  <c r="I442" i="5"/>
  <c r="F442" i="5"/>
  <c r="I336" i="5"/>
  <c r="F336" i="5"/>
  <c r="I291" i="5"/>
  <c r="F291" i="5"/>
  <c r="I287" i="5"/>
  <c r="F287" i="5"/>
  <c r="K285" i="5"/>
  <c r="K274" i="5"/>
  <c r="I227" i="5"/>
  <c r="F227" i="5"/>
  <c r="I226" i="5"/>
  <c r="F226" i="5"/>
  <c r="I225" i="5"/>
  <c r="F225" i="5"/>
  <c r="I222" i="5"/>
  <c r="F222" i="5"/>
  <c r="I184" i="5"/>
  <c r="F184" i="5"/>
  <c r="I183" i="5"/>
  <c r="F183" i="5"/>
  <c r="H55" i="5"/>
  <c r="E55" i="5"/>
  <c r="E1114" i="4"/>
  <c r="N231" i="2" s="1"/>
  <c r="E814" i="4"/>
  <c r="E752" i="4"/>
  <c r="E751" i="4"/>
  <c r="E750" i="4"/>
  <c r="E749" i="4"/>
  <c r="E748" i="4"/>
  <c r="E747" i="4"/>
  <c r="E678" i="4"/>
  <c r="E677" i="4"/>
  <c r="E676" i="4"/>
  <c r="E675" i="4"/>
  <c r="L763" i="3"/>
  <c r="L523" i="3"/>
  <c r="L518" i="3"/>
  <c r="L492" i="3"/>
  <c r="L474" i="3"/>
  <c r="L473" i="3"/>
  <c r="L462" i="3"/>
  <c r="L442" i="3"/>
  <c r="L418" i="3"/>
  <c r="K281" i="2"/>
  <c r="N281" i="2"/>
  <c r="M281" i="2"/>
  <c r="L281" i="2"/>
  <c r="I281" i="2"/>
  <c r="K280" i="2"/>
  <c r="N280" i="2"/>
  <c r="M280" i="2"/>
  <c r="L280" i="2"/>
  <c r="I280" i="2"/>
  <c r="K279" i="2"/>
  <c r="N279" i="2"/>
  <c r="M279" i="2"/>
  <c r="L279" i="2"/>
  <c r="I279" i="2"/>
  <c r="K278" i="2"/>
  <c r="N278" i="2"/>
  <c r="M278" i="2"/>
  <c r="L278" i="2"/>
  <c r="I278" i="2"/>
  <c r="K277" i="2"/>
  <c r="N277" i="2"/>
  <c r="M277" i="2"/>
  <c r="L277" i="2"/>
  <c r="I277" i="2"/>
  <c r="K276" i="2"/>
  <c r="N276" i="2"/>
  <c r="M276" i="2"/>
  <c r="L276" i="2"/>
  <c r="I276" i="2"/>
  <c r="N275" i="2"/>
  <c r="M275" i="2"/>
  <c r="L275" i="2"/>
  <c r="K275" i="2"/>
  <c r="I275" i="2"/>
  <c r="M274" i="2"/>
  <c r="N274" i="2"/>
  <c r="L274" i="2"/>
  <c r="K274" i="2"/>
  <c r="H274" i="2"/>
  <c r="I274" i="2" s="1"/>
  <c r="N273" i="2"/>
  <c r="L273" i="2"/>
  <c r="K273" i="2"/>
  <c r="I273" i="2"/>
  <c r="M272" i="2"/>
  <c r="L272" i="2"/>
  <c r="K272" i="2"/>
  <c r="K271" i="2"/>
  <c r="N271" i="2"/>
  <c r="M271" i="2"/>
  <c r="L271" i="2"/>
  <c r="I271" i="2"/>
  <c r="K270" i="2"/>
  <c r="N270" i="2"/>
  <c r="M270" i="2"/>
  <c r="L270" i="2"/>
  <c r="I270" i="2"/>
  <c r="K269" i="2"/>
  <c r="N269" i="2"/>
  <c r="M269" i="2"/>
  <c r="L269" i="2"/>
  <c r="I269" i="2"/>
  <c r="K268" i="2"/>
  <c r="N268" i="2"/>
  <c r="M268" i="2"/>
  <c r="L268" i="2"/>
  <c r="I268" i="2"/>
  <c r="K267" i="2"/>
  <c r="N267" i="2"/>
  <c r="M267" i="2"/>
  <c r="L267" i="2"/>
  <c r="I267" i="2"/>
  <c r="N266" i="2"/>
  <c r="M266" i="2"/>
  <c r="L266" i="2"/>
  <c r="K266" i="2"/>
  <c r="I266" i="2"/>
  <c r="M265" i="2"/>
  <c r="N265" i="2"/>
  <c r="L265" i="2"/>
  <c r="K265" i="2"/>
  <c r="H265" i="2"/>
  <c r="I265" i="2" s="1"/>
  <c r="M264" i="2"/>
  <c r="N264" i="2"/>
  <c r="L264" i="2"/>
  <c r="K264" i="2"/>
  <c r="H264" i="2"/>
  <c r="I264" i="2" s="1"/>
  <c r="M263" i="2"/>
  <c r="N263" i="2"/>
  <c r="L263" i="2"/>
  <c r="K263" i="2"/>
  <c r="H263" i="2"/>
  <c r="I263" i="2" s="1"/>
  <c r="K262" i="2"/>
  <c r="N262" i="2"/>
  <c r="M262" i="2"/>
  <c r="L262" i="2"/>
  <c r="I262" i="2"/>
  <c r="K261" i="2"/>
  <c r="N261" i="2"/>
  <c r="M261" i="2"/>
  <c r="L261" i="2"/>
  <c r="I261" i="2"/>
  <c r="K260" i="2"/>
  <c r="N260" i="2"/>
  <c r="M260" i="2"/>
  <c r="L260" i="2"/>
  <c r="I260" i="2"/>
  <c r="K259" i="2"/>
  <c r="N259" i="2"/>
  <c r="M259" i="2"/>
  <c r="L259" i="2"/>
  <c r="I259" i="2"/>
  <c r="K258" i="2"/>
  <c r="N258" i="2"/>
  <c r="M258" i="2"/>
  <c r="L258" i="2"/>
  <c r="I258" i="2"/>
  <c r="K257" i="2"/>
  <c r="N257" i="2"/>
  <c r="M257" i="2"/>
  <c r="L257" i="2"/>
  <c r="I257" i="2"/>
  <c r="K256" i="2"/>
  <c r="N256" i="2"/>
  <c r="M256" i="2"/>
  <c r="L256" i="2"/>
  <c r="I256" i="2"/>
  <c r="K255" i="2"/>
  <c r="N255" i="2"/>
  <c r="M255" i="2"/>
  <c r="L255" i="2"/>
  <c r="I255" i="2"/>
  <c r="K254" i="2"/>
  <c r="N254" i="2"/>
  <c r="M254" i="2"/>
  <c r="L254" i="2"/>
  <c r="I254" i="2"/>
  <c r="K253" i="2"/>
  <c r="N253" i="2"/>
  <c r="M253" i="2"/>
  <c r="L253" i="2"/>
  <c r="I253" i="2"/>
  <c r="K252" i="2"/>
  <c r="N252" i="2"/>
  <c r="M252" i="2"/>
  <c r="L252" i="2"/>
  <c r="I252" i="2"/>
  <c r="K251" i="2"/>
  <c r="N251" i="2"/>
  <c r="M251" i="2"/>
  <c r="L251" i="2"/>
  <c r="I251" i="2"/>
  <c r="M250" i="2"/>
  <c r="N250" i="2"/>
  <c r="L250" i="2"/>
  <c r="K250" i="2"/>
  <c r="H250" i="2"/>
  <c r="I250" i="2" s="1"/>
  <c r="N249" i="2"/>
  <c r="M249" i="2"/>
  <c r="L249" i="2"/>
  <c r="K249" i="2"/>
  <c r="I249" i="2"/>
  <c r="K248" i="2"/>
  <c r="N248" i="2"/>
  <c r="M248" i="2"/>
  <c r="L248" i="2"/>
  <c r="I248" i="2"/>
  <c r="K247" i="2"/>
  <c r="N247" i="2"/>
  <c r="M247" i="2"/>
  <c r="L247" i="2"/>
  <c r="I247" i="2"/>
  <c r="N246" i="2"/>
  <c r="L246" i="2"/>
  <c r="K246" i="2"/>
  <c r="I246" i="2"/>
  <c r="M245" i="2"/>
  <c r="N245" i="2"/>
  <c r="L245" i="2"/>
  <c r="K245" i="2"/>
  <c r="I245" i="2"/>
  <c r="K244" i="2"/>
  <c r="N244" i="2"/>
  <c r="M244" i="2"/>
  <c r="L244" i="2"/>
  <c r="I244" i="2"/>
  <c r="M243" i="2"/>
  <c r="N243" i="2"/>
  <c r="L243" i="2"/>
  <c r="K243" i="2"/>
  <c r="I243" i="2"/>
  <c r="K242" i="2"/>
  <c r="N242" i="2"/>
  <c r="M242" i="2"/>
  <c r="L242" i="2"/>
  <c r="I242" i="2"/>
  <c r="K241" i="2"/>
  <c r="N241" i="2"/>
  <c r="M241" i="2"/>
  <c r="L241" i="2"/>
  <c r="I241" i="2"/>
  <c r="K240" i="2"/>
  <c r="N240" i="2"/>
  <c r="M240" i="2"/>
  <c r="L240" i="2"/>
  <c r="I240" i="2"/>
  <c r="K239" i="2"/>
  <c r="N239" i="2"/>
  <c r="M239" i="2"/>
  <c r="L239" i="2"/>
  <c r="I239" i="2"/>
  <c r="K238" i="2"/>
  <c r="N238" i="2"/>
  <c r="M238" i="2"/>
  <c r="L238" i="2"/>
  <c r="I238" i="2"/>
  <c r="K237" i="2"/>
  <c r="N237" i="2"/>
  <c r="M237" i="2"/>
  <c r="L237" i="2"/>
  <c r="I237" i="2"/>
  <c r="K236" i="2"/>
  <c r="N236" i="2"/>
  <c r="M236" i="2"/>
  <c r="L236" i="2"/>
  <c r="I236" i="2"/>
  <c r="K235" i="2"/>
  <c r="N235" i="2"/>
  <c r="M235" i="2"/>
  <c r="L235" i="2"/>
  <c r="I235" i="2"/>
  <c r="M234" i="2"/>
  <c r="N234" i="2"/>
  <c r="L234" i="2"/>
  <c r="K234" i="2"/>
  <c r="I234" i="2"/>
  <c r="K233" i="2"/>
  <c r="N233" i="2"/>
  <c r="M233" i="2"/>
  <c r="L233" i="2"/>
  <c r="I233" i="2"/>
  <c r="N232" i="2"/>
  <c r="M232" i="2"/>
  <c r="L232" i="2"/>
  <c r="I232" i="2"/>
  <c r="K231" i="2"/>
  <c r="M231" i="2"/>
  <c r="L231" i="2"/>
  <c r="I231" i="2"/>
  <c r="K230" i="2"/>
  <c r="N230" i="2"/>
  <c r="M230" i="2"/>
  <c r="L230" i="2"/>
  <c r="I230" i="2"/>
  <c r="K229" i="2"/>
  <c r="N229" i="2"/>
  <c r="M229" i="2"/>
  <c r="L229" i="2"/>
  <c r="I229" i="2"/>
  <c r="K228" i="2"/>
  <c r="N228" i="2"/>
  <c r="M228" i="2"/>
  <c r="L228" i="2"/>
  <c r="I228" i="2"/>
  <c r="K227" i="2"/>
  <c r="N227" i="2"/>
  <c r="L227" i="2"/>
  <c r="I227" i="2"/>
  <c r="K226" i="2"/>
  <c r="N226" i="2"/>
  <c r="M226" i="2"/>
  <c r="L226" i="2"/>
  <c r="I226" i="2"/>
  <c r="N225" i="2"/>
  <c r="M225" i="2"/>
  <c r="L225" i="2"/>
  <c r="K225" i="2"/>
  <c r="I225" i="2"/>
  <c r="N224" i="2"/>
  <c r="M224" i="2"/>
  <c r="L224" i="2"/>
  <c r="K224" i="2"/>
  <c r="I224" i="2"/>
  <c r="N223" i="2"/>
  <c r="M223" i="2"/>
  <c r="L223" i="2"/>
  <c r="K223" i="2"/>
  <c r="I223" i="2"/>
  <c r="K222" i="2"/>
  <c r="N222" i="2"/>
  <c r="L222" i="2"/>
  <c r="I222" i="2"/>
  <c r="K221" i="2"/>
  <c r="N221" i="2"/>
  <c r="M221" i="2"/>
  <c r="L221" i="2"/>
  <c r="I221" i="2"/>
  <c r="K220" i="2"/>
  <c r="N220" i="2"/>
  <c r="M220" i="2"/>
  <c r="L220" i="2"/>
  <c r="I220" i="2"/>
  <c r="N219" i="2"/>
  <c r="M219" i="2"/>
  <c r="L219" i="2"/>
  <c r="K219" i="2"/>
  <c r="I219" i="2"/>
  <c r="M218" i="2"/>
  <c r="N218" i="2"/>
  <c r="L218" i="2"/>
  <c r="K218" i="2"/>
  <c r="I218" i="2"/>
  <c r="L217" i="2"/>
  <c r="K217" i="2"/>
  <c r="I217" i="2"/>
  <c r="N216" i="2"/>
  <c r="M216" i="2"/>
  <c r="L216" i="2"/>
  <c r="K216" i="2"/>
  <c r="I216" i="2"/>
  <c r="N215" i="2"/>
  <c r="M215" i="2"/>
  <c r="L215" i="2"/>
  <c r="K215" i="2"/>
  <c r="I215" i="2"/>
  <c r="N214" i="2"/>
  <c r="M214" i="2"/>
  <c r="L214" i="2"/>
  <c r="K214" i="2"/>
  <c r="I214" i="2"/>
  <c r="N213" i="2"/>
  <c r="M213" i="2"/>
  <c r="L213" i="2"/>
  <c r="K213" i="2"/>
  <c r="I213" i="2"/>
  <c r="M212" i="2"/>
  <c r="N212" i="2"/>
  <c r="L212" i="2"/>
  <c r="K212" i="2"/>
  <c r="I212" i="2"/>
  <c r="K211" i="2"/>
  <c r="N211" i="2"/>
  <c r="M211" i="2"/>
  <c r="L211" i="2"/>
  <c r="I211" i="2"/>
  <c r="K210" i="2"/>
  <c r="N210" i="2"/>
  <c r="M210" i="2"/>
  <c r="L210" i="2"/>
  <c r="I210" i="2"/>
  <c r="N209" i="2"/>
  <c r="M209" i="2"/>
  <c r="L209" i="2"/>
  <c r="K209" i="2"/>
  <c r="I209" i="2"/>
  <c r="N208" i="2"/>
  <c r="M208" i="2"/>
  <c r="L208" i="2"/>
  <c r="K208" i="2"/>
  <c r="I208" i="2"/>
  <c r="K207" i="2"/>
  <c r="N207" i="2"/>
  <c r="M207" i="2"/>
  <c r="L207" i="2"/>
  <c r="I207" i="2"/>
  <c r="N206" i="2"/>
  <c r="M206" i="2"/>
  <c r="L206" i="2"/>
  <c r="K206" i="2"/>
  <c r="I206" i="2"/>
  <c r="N205" i="2"/>
  <c r="M205" i="2"/>
  <c r="L205" i="2"/>
  <c r="K205" i="2"/>
  <c r="I205" i="2"/>
  <c r="N204" i="2"/>
  <c r="M204" i="2"/>
  <c r="L204" i="2"/>
  <c r="K204" i="2"/>
  <c r="I204" i="2"/>
  <c r="K203" i="2"/>
  <c r="N203" i="2"/>
  <c r="M203" i="2"/>
  <c r="L203" i="2"/>
  <c r="I203" i="2"/>
  <c r="M202" i="2"/>
  <c r="N202" i="2"/>
  <c r="L202" i="2"/>
  <c r="K202" i="2"/>
  <c r="I202" i="2"/>
  <c r="N201" i="2"/>
  <c r="M201" i="2"/>
  <c r="L201" i="2"/>
  <c r="K201" i="2"/>
  <c r="I201" i="2"/>
  <c r="N200" i="2"/>
  <c r="M200" i="2"/>
  <c r="L200" i="2"/>
  <c r="K200" i="2"/>
  <c r="I200" i="2"/>
  <c r="K199" i="2"/>
  <c r="N199" i="2"/>
  <c r="M199" i="2"/>
  <c r="L199" i="2"/>
  <c r="I199" i="2"/>
  <c r="K198" i="2"/>
  <c r="N198" i="2"/>
  <c r="M198" i="2"/>
  <c r="L198" i="2"/>
  <c r="I198" i="2"/>
  <c r="K197" i="2"/>
  <c r="N197" i="2"/>
  <c r="M197" i="2"/>
  <c r="L197" i="2"/>
  <c r="I197" i="2"/>
  <c r="K196" i="2"/>
  <c r="N196" i="2"/>
  <c r="M196" i="2"/>
  <c r="L196" i="2"/>
  <c r="I196" i="2"/>
  <c r="K195" i="2"/>
  <c r="N195" i="2"/>
  <c r="M195" i="2"/>
  <c r="L195" i="2"/>
  <c r="I195" i="2"/>
  <c r="K194" i="2"/>
  <c r="N194" i="2"/>
  <c r="M194" i="2"/>
  <c r="L194" i="2"/>
  <c r="I194" i="2"/>
  <c r="K193" i="2"/>
  <c r="N193" i="2"/>
  <c r="M193" i="2"/>
  <c r="L193" i="2"/>
  <c r="I193" i="2"/>
  <c r="K192" i="2"/>
  <c r="N192" i="2"/>
  <c r="M192" i="2"/>
  <c r="L192" i="2"/>
  <c r="I192" i="2"/>
  <c r="K191" i="2"/>
  <c r="N191" i="2"/>
  <c r="M191" i="2"/>
  <c r="L191" i="2"/>
  <c r="I191" i="2"/>
  <c r="N190" i="2"/>
  <c r="M190" i="2"/>
  <c r="L190" i="2"/>
  <c r="K190" i="2"/>
  <c r="I190" i="2"/>
  <c r="N189" i="2"/>
  <c r="M189" i="2"/>
  <c r="L189" i="2"/>
  <c r="K189" i="2"/>
  <c r="I189" i="2"/>
  <c r="K188" i="2"/>
  <c r="N188" i="2"/>
  <c r="M188" i="2"/>
  <c r="L188" i="2"/>
  <c r="I188" i="2"/>
  <c r="K187" i="2"/>
  <c r="N187" i="2"/>
  <c r="M187" i="2"/>
  <c r="L187" i="2"/>
  <c r="I187" i="2"/>
  <c r="N186" i="2"/>
  <c r="M186" i="2"/>
  <c r="L186" i="2"/>
  <c r="K186" i="2"/>
  <c r="I186" i="2"/>
  <c r="K185" i="2"/>
  <c r="N185" i="2"/>
  <c r="M185" i="2"/>
  <c r="L185" i="2"/>
  <c r="I185" i="2"/>
  <c r="K184" i="2"/>
  <c r="N184" i="2"/>
  <c r="M184" i="2"/>
  <c r="L184" i="2"/>
  <c r="I184" i="2"/>
  <c r="N183" i="2"/>
  <c r="M183" i="2"/>
  <c r="L183" i="2"/>
  <c r="K183" i="2"/>
  <c r="I183" i="2"/>
  <c r="N182" i="2"/>
  <c r="M182" i="2"/>
  <c r="L182" i="2"/>
  <c r="K182" i="2"/>
  <c r="I182" i="2"/>
  <c r="K181" i="2"/>
  <c r="N181" i="2"/>
  <c r="M181" i="2"/>
  <c r="L181" i="2"/>
  <c r="I181" i="2"/>
  <c r="K180" i="2"/>
  <c r="N180" i="2"/>
  <c r="M180" i="2"/>
  <c r="L180" i="2"/>
  <c r="I180" i="2"/>
  <c r="N179" i="2"/>
  <c r="M179" i="2"/>
  <c r="L179" i="2"/>
  <c r="K179" i="2"/>
  <c r="I179" i="2"/>
  <c r="N178" i="2"/>
  <c r="M178" i="2"/>
  <c r="L178" i="2"/>
  <c r="K178" i="2"/>
  <c r="I178" i="2"/>
  <c r="N177" i="2"/>
  <c r="M177" i="2"/>
  <c r="L177" i="2"/>
  <c r="K177" i="2"/>
  <c r="I177" i="2"/>
  <c r="N176" i="2"/>
  <c r="M176" i="2"/>
  <c r="L176" i="2"/>
  <c r="K176" i="2"/>
  <c r="I176" i="2"/>
  <c r="K175" i="2"/>
  <c r="N175" i="2"/>
  <c r="M175" i="2"/>
  <c r="L175" i="2"/>
  <c r="I175" i="2"/>
  <c r="K174" i="2"/>
  <c r="N174" i="2"/>
  <c r="M174" i="2"/>
  <c r="L174" i="2"/>
  <c r="I174" i="2"/>
  <c r="N173" i="2"/>
  <c r="M173" i="2"/>
  <c r="L173" i="2"/>
  <c r="K173" i="2"/>
  <c r="I173" i="2"/>
  <c r="N172" i="2"/>
  <c r="M172" i="2"/>
  <c r="L172" i="2"/>
  <c r="K172" i="2"/>
  <c r="I172" i="2"/>
  <c r="K171" i="2"/>
  <c r="N171" i="2"/>
  <c r="M171" i="2"/>
  <c r="L171" i="2"/>
  <c r="I171" i="2"/>
  <c r="K170" i="2"/>
  <c r="N170" i="2"/>
  <c r="M170" i="2"/>
  <c r="L170" i="2"/>
  <c r="I170" i="2"/>
  <c r="K169" i="2"/>
  <c r="N169" i="2"/>
  <c r="M169" i="2"/>
  <c r="L169" i="2"/>
  <c r="I169" i="2"/>
  <c r="N168" i="2"/>
  <c r="M168" i="2"/>
  <c r="L168" i="2"/>
  <c r="K168" i="2"/>
  <c r="I168" i="2"/>
  <c r="N167" i="2"/>
  <c r="M167" i="2"/>
  <c r="L167" i="2"/>
  <c r="K167" i="2"/>
  <c r="I167" i="2"/>
  <c r="N166" i="2"/>
  <c r="M166" i="2"/>
  <c r="L166" i="2"/>
  <c r="K166" i="2"/>
  <c r="I166" i="2"/>
  <c r="I165" i="2"/>
  <c r="N165" i="2"/>
  <c r="M165" i="2"/>
  <c r="L165" i="2"/>
  <c r="K165" i="2"/>
  <c r="K164" i="2"/>
  <c r="N164" i="2"/>
  <c r="M164" i="2"/>
  <c r="L164" i="2"/>
  <c r="I164" i="2"/>
  <c r="N163" i="2"/>
  <c r="M163" i="2"/>
  <c r="L163" i="2"/>
  <c r="K163" i="2"/>
  <c r="I163" i="2"/>
  <c r="N162" i="2"/>
  <c r="M162" i="2"/>
  <c r="L162" i="2"/>
  <c r="K162" i="2"/>
  <c r="I162" i="2"/>
  <c r="K161" i="2"/>
  <c r="N161" i="2"/>
  <c r="M161" i="2"/>
  <c r="L161" i="2"/>
  <c r="I161" i="2"/>
  <c r="K160" i="2"/>
  <c r="N160" i="2"/>
  <c r="M160" i="2"/>
  <c r="L160" i="2"/>
  <c r="I160" i="2"/>
  <c r="N159" i="2"/>
  <c r="M159" i="2"/>
  <c r="L159" i="2"/>
  <c r="K159" i="2"/>
  <c r="I159" i="2"/>
  <c r="N158" i="2"/>
  <c r="M158" i="2"/>
  <c r="L158" i="2"/>
  <c r="K158" i="2"/>
  <c r="I158" i="2"/>
  <c r="K157" i="2"/>
  <c r="N157" i="2"/>
  <c r="M157" i="2"/>
  <c r="L157" i="2"/>
  <c r="I157" i="2"/>
  <c r="K156" i="2"/>
  <c r="N156" i="2"/>
  <c r="M156" i="2"/>
  <c r="L156" i="2"/>
  <c r="I156" i="2"/>
  <c r="K155" i="2"/>
  <c r="N155" i="2"/>
  <c r="M155" i="2"/>
  <c r="L155" i="2"/>
  <c r="I155" i="2"/>
  <c r="K154" i="2"/>
  <c r="N154" i="2"/>
  <c r="M154" i="2"/>
  <c r="L154" i="2"/>
  <c r="I154" i="2"/>
  <c r="K153" i="2"/>
  <c r="N153" i="2"/>
  <c r="M153" i="2"/>
  <c r="L153" i="2"/>
  <c r="I153" i="2"/>
  <c r="N152" i="2"/>
  <c r="M152" i="2"/>
  <c r="L152" i="2"/>
  <c r="K152" i="2"/>
  <c r="I152" i="2"/>
  <c r="M151" i="2"/>
  <c r="N151" i="2"/>
  <c r="L151" i="2"/>
  <c r="K151" i="2"/>
  <c r="I151" i="2"/>
  <c r="N150" i="2"/>
  <c r="M150" i="2"/>
  <c r="L150" i="2"/>
  <c r="K150" i="2"/>
  <c r="I150" i="2"/>
  <c r="N149" i="2"/>
  <c r="M149" i="2"/>
  <c r="L149" i="2"/>
  <c r="K149" i="2"/>
  <c r="I149" i="2"/>
  <c r="M148" i="2"/>
  <c r="N148" i="2"/>
  <c r="L148" i="2"/>
  <c r="K148" i="2"/>
  <c r="I148" i="2"/>
  <c r="N147" i="2"/>
  <c r="M147" i="2"/>
  <c r="L147" i="2"/>
  <c r="K147" i="2"/>
  <c r="I147" i="2"/>
  <c r="N146" i="2"/>
  <c r="M146" i="2"/>
  <c r="L146" i="2"/>
  <c r="K146" i="2"/>
  <c r="I146" i="2"/>
  <c r="N145" i="2"/>
  <c r="M145" i="2"/>
  <c r="L145" i="2"/>
  <c r="K145" i="2"/>
  <c r="I145" i="2"/>
  <c r="N144" i="2"/>
  <c r="M144" i="2"/>
  <c r="L144" i="2"/>
  <c r="K144" i="2"/>
  <c r="I144" i="2"/>
  <c r="K143" i="2"/>
  <c r="N143" i="2"/>
  <c r="M143" i="2"/>
  <c r="L143" i="2"/>
  <c r="I143" i="2"/>
  <c r="N142" i="2"/>
  <c r="M142" i="2"/>
  <c r="L142" i="2"/>
  <c r="K142" i="2"/>
  <c r="I142" i="2"/>
  <c r="N141" i="2"/>
  <c r="M141" i="2"/>
  <c r="L141" i="2"/>
  <c r="K141" i="2"/>
  <c r="I141" i="2"/>
  <c r="N140" i="2"/>
  <c r="M140" i="2"/>
  <c r="L140" i="2"/>
  <c r="K140" i="2"/>
  <c r="I140" i="2"/>
  <c r="N139" i="2"/>
  <c r="M139" i="2"/>
  <c r="L139" i="2"/>
  <c r="K139" i="2"/>
  <c r="I139" i="2"/>
  <c r="N138" i="2"/>
  <c r="M138" i="2"/>
  <c r="L138" i="2"/>
  <c r="K138" i="2"/>
  <c r="I138" i="2"/>
  <c r="N137" i="2"/>
  <c r="M137" i="2"/>
  <c r="L137" i="2"/>
  <c r="K137" i="2"/>
  <c r="I137" i="2"/>
  <c r="K136" i="2"/>
  <c r="N136" i="2"/>
  <c r="M136" i="2"/>
  <c r="L136" i="2"/>
  <c r="I136" i="2"/>
  <c r="K135" i="2"/>
  <c r="N135" i="2"/>
  <c r="M135" i="2"/>
  <c r="L135" i="2"/>
  <c r="I135" i="2"/>
  <c r="K134" i="2"/>
  <c r="N134" i="2"/>
  <c r="M134" i="2"/>
  <c r="L134" i="2"/>
  <c r="I134" i="2"/>
  <c r="K133" i="2"/>
  <c r="N133" i="2"/>
  <c r="M133" i="2"/>
  <c r="L133" i="2"/>
  <c r="I133" i="2"/>
  <c r="K132" i="2"/>
  <c r="N132" i="2"/>
  <c r="M132" i="2"/>
  <c r="L132" i="2"/>
  <c r="I132" i="2"/>
  <c r="N131" i="2"/>
  <c r="M131" i="2"/>
  <c r="L131" i="2"/>
  <c r="K131" i="2"/>
  <c r="I131" i="2"/>
  <c r="K130" i="2"/>
  <c r="N130" i="2"/>
  <c r="M130" i="2"/>
  <c r="L130" i="2"/>
  <c r="I130" i="2"/>
  <c r="M129" i="2"/>
  <c r="N129" i="2"/>
  <c r="L129" i="2"/>
  <c r="K129" i="2"/>
  <c r="I129" i="2"/>
  <c r="N128" i="2"/>
  <c r="M128" i="2"/>
  <c r="L128" i="2"/>
  <c r="K128" i="2"/>
  <c r="I128" i="2"/>
  <c r="K127" i="2"/>
  <c r="N127" i="2"/>
  <c r="M127" i="2"/>
  <c r="L127" i="2"/>
  <c r="I127" i="2"/>
  <c r="K126" i="2"/>
  <c r="N126" i="2"/>
  <c r="M126" i="2"/>
  <c r="L126" i="2"/>
  <c r="I126" i="2"/>
  <c r="K125" i="2"/>
  <c r="N125" i="2"/>
  <c r="M125" i="2"/>
  <c r="L125" i="2"/>
  <c r="I125" i="2"/>
  <c r="K124" i="2"/>
  <c r="N124" i="2"/>
  <c r="M124" i="2"/>
  <c r="L124" i="2"/>
  <c r="I124" i="2"/>
  <c r="K123" i="2"/>
  <c r="N123" i="2"/>
  <c r="M123" i="2"/>
  <c r="L123" i="2"/>
  <c r="I123" i="2"/>
  <c r="K122" i="2"/>
  <c r="N122" i="2"/>
  <c r="M122" i="2"/>
  <c r="L122" i="2"/>
  <c r="I122" i="2"/>
  <c r="N121" i="2"/>
  <c r="M121" i="2"/>
  <c r="L121" i="2"/>
  <c r="K121" i="2"/>
  <c r="I121" i="2"/>
  <c r="K120" i="2"/>
  <c r="N120" i="2"/>
  <c r="M120" i="2"/>
  <c r="L120" i="2"/>
  <c r="I120" i="2"/>
  <c r="M119" i="2"/>
  <c r="N119" i="2"/>
  <c r="L119" i="2"/>
  <c r="K119" i="2"/>
  <c r="I119" i="2"/>
  <c r="M118" i="2"/>
  <c r="N118" i="2"/>
  <c r="L118" i="2"/>
  <c r="K118" i="2"/>
  <c r="I118" i="2"/>
  <c r="N117" i="2"/>
  <c r="M117" i="2"/>
  <c r="L117" i="2"/>
  <c r="K117" i="2"/>
  <c r="I117" i="2"/>
  <c r="N116" i="2"/>
  <c r="M116" i="2"/>
  <c r="L116" i="2"/>
  <c r="K116" i="2"/>
  <c r="I116" i="2"/>
  <c r="N115" i="2"/>
  <c r="M115" i="2"/>
  <c r="L115" i="2"/>
  <c r="K115" i="2"/>
  <c r="I115" i="2"/>
  <c r="N114" i="2"/>
  <c r="M114" i="2"/>
  <c r="L114" i="2"/>
  <c r="K114" i="2"/>
  <c r="I114" i="2"/>
  <c r="N113" i="2"/>
  <c r="M113" i="2"/>
  <c r="L113" i="2"/>
  <c r="K113" i="2"/>
  <c r="I113" i="2"/>
  <c r="N112" i="2"/>
  <c r="M112" i="2"/>
  <c r="L112" i="2"/>
  <c r="K112" i="2"/>
  <c r="I112" i="2"/>
  <c r="M111" i="2"/>
  <c r="N111" i="2"/>
  <c r="L111" i="2"/>
  <c r="K111" i="2"/>
  <c r="I111" i="2"/>
  <c r="N110" i="2"/>
  <c r="M110" i="2"/>
  <c r="L110" i="2"/>
  <c r="K110" i="2"/>
  <c r="I110" i="2"/>
  <c r="M109" i="2"/>
  <c r="N109" i="2"/>
  <c r="L109" i="2"/>
  <c r="K109" i="2"/>
  <c r="I109" i="2"/>
  <c r="M108" i="2"/>
  <c r="N108" i="2"/>
  <c r="L108" i="2"/>
  <c r="K108" i="2"/>
  <c r="I108" i="2"/>
  <c r="M107" i="2"/>
  <c r="N107" i="2"/>
  <c r="L107" i="2"/>
  <c r="K107" i="2"/>
  <c r="I107" i="2"/>
  <c r="M106" i="2"/>
  <c r="N106" i="2"/>
  <c r="L106" i="2"/>
  <c r="K106" i="2"/>
  <c r="I106" i="2"/>
  <c r="N105" i="2"/>
  <c r="M105" i="2"/>
  <c r="L105" i="2"/>
  <c r="K105" i="2"/>
  <c r="I105" i="2"/>
  <c r="M104" i="2"/>
  <c r="N104" i="2"/>
  <c r="L104" i="2"/>
  <c r="K104" i="2"/>
  <c r="I104" i="2"/>
  <c r="M103" i="2"/>
  <c r="N103" i="2"/>
  <c r="L103" i="2"/>
  <c r="K103" i="2"/>
  <c r="I103" i="2"/>
  <c r="M102" i="2"/>
  <c r="N102" i="2"/>
  <c r="L102" i="2"/>
  <c r="K102" i="2"/>
  <c r="I102" i="2"/>
  <c r="M101" i="2"/>
  <c r="N101" i="2"/>
  <c r="L101" i="2"/>
  <c r="K101" i="2"/>
  <c r="I101" i="2"/>
  <c r="N100" i="2"/>
  <c r="M100" i="2"/>
  <c r="L100" i="2"/>
  <c r="K100" i="2"/>
  <c r="I100" i="2"/>
  <c r="N99" i="2"/>
  <c r="M99" i="2"/>
  <c r="L99" i="2"/>
  <c r="K99" i="2"/>
  <c r="I99" i="2"/>
  <c r="M98" i="2"/>
  <c r="N98" i="2"/>
  <c r="L98" i="2"/>
  <c r="K98" i="2"/>
  <c r="I98" i="2"/>
  <c r="N97" i="2"/>
  <c r="M97" i="2"/>
  <c r="L97" i="2"/>
  <c r="K97" i="2"/>
  <c r="I97" i="2"/>
  <c r="N96" i="2"/>
  <c r="M96" i="2"/>
  <c r="L96" i="2"/>
  <c r="K96" i="2"/>
  <c r="I96" i="2"/>
  <c r="N95" i="2"/>
  <c r="M95" i="2"/>
  <c r="L95" i="2"/>
  <c r="K95" i="2"/>
  <c r="I95" i="2"/>
  <c r="N94" i="2"/>
  <c r="M94" i="2"/>
  <c r="L94" i="2"/>
  <c r="K94" i="2"/>
  <c r="I94" i="2"/>
  <c r="M93" i="2"/>
  <c r="N93" i="2"/>
  <c r="L93" i="2"/>
  <c r="K93" i="2"/>
  <c r="I93" i="2"/>
  <c r="M92" i="2"/>
  <c r="N92" i="2"/>
  <c r="L92" i="2"/>
  <c r="K92" i="2"/>
  <c r="I92" i="2"/>
  <c r="M91" i="2"/>
  <c r="N91" i="2"/>
  <c r="L91" i="2"/>
  <c r="K91" i="2"/>
  <c r="I91" i="2"/>
  <c r="M90" i="2"/>
  <c r="N90" i="2"/>
  <c r="L90" i="2"/>
  <c r="K90" i="2"/>
  <c r="I90" i="2"/>
  <c r="N89" i="2"/>
  <c r="M89" i="2"/>
  <c r="L89" i="2"/>
  <c r="K89" i="2"/>
  <c r="I89" i="2"/>
  <c r="N88" i="2"/>
  <c r="M88" i="2"/>
  <c r="L88" i="2"/>
  <c r="K88" i="2"/>
  <c r="I88" i="2"/>
  <c r="N87" i="2"/>
  <c r="M87" i="2"/>
  <c r="L87" i="2"/>
  <c r="K87" i="2"/>
  <c r="I87" i="2"/>
  <c r="M86" i="2"/>
  <c r="N86" i="2"/>
  <c r="L86" i="2"/>
  <c r="K86" i="2"/>
  <c r="I86" i="2"/>
  <c r="N85" i="2"/>
  <c r="M85" i="2"/>
  <c r="L85" i="2"/>
  <c r="K85" i="2"/>
  <c r="I85" i="2"/>
  <c r="N84" i="2"/>
  <c r="M84" i="2"/>
  <c r="L84" i="2"/>
  <c r="K84" i="2"/>
  <c r="I84" i="2"/>
  <c r="M83" i="2"/>
  <c r="N83" i="2"/>
  <c r="L83" i="2"/>
  <c r="K83" i="2"/>
  <c r="I83" i="2"/>
  <c r="M82" i="2"/>
  <c r="N82" i="2"/>
  <c r="L82" i="2"/>
  <c r="K82" i="2"/>
  <c r="I82" i="2"/>
  <c r="M81" i="2"/>
  <c r="N81" i="2"/>
  <c r="L81" i="2"/>
  <c r="K81" i="2"/>
  <c r="I81" i="2"/>
  <c r="N80" i="2"/>
  <c r="M80" i="2"/>
  <c r="L80" i="2"/>
  <c r="K80" i="2"/>
  <c r="I80" i="2"/>
  <c r="N79" i="2"/>
  <c r="M79" i="2"/>
  <c r="L79" i="2"/>
  <c r="K79" i="2"/>
  <c r="I79" i="2"/>
  <c r="N78" i="2"/>
  <c r="M78" i="2"/>
  <c r="L78" i="2"/>
  <c r="K78" i="2"/>
  <c r="I78" i="2"/>
  <c r="N77" i="2"/>
  <c r="M77" i="2"/>
  <c r="L77" i="2"/>
  <c r="K77" i="2"/>
  <c r="I77" i="2"/>
  <c r="N76" i="2"/>
  <c r="M76" i="2"/>
  <c r="L76" i="2"/>
  <c r="K76" i="2"/>
  <c r="I76" i="2"/>
  <c r="N75" i="2"/>
  <c r="M75" i="2"/>
  <c r="L75" i="2"/>
  <c r="K75" i="2"/>
  <c r="I75" i="2"/>
  <c r="M74" i="2"/>
  <c r="N74" i="2"/>
  <c r="L74" i="2"/>
  <c r="K74" i="2"/>
  <c r="I74" i="2"/>
  <c r="N73" i="2"/>
  <c r="M73" i="2"/>
  <c r="L73" i="2"/>
  <c r="K73" i="2"/>
  <c r="I73" i="2"/>
  <c r="N72" i="2"/>
  <c r="M72" i="2"/>
  <c r="L72" i="2"/>
  <c r="K72" i="2"/>
  <c r="I72" i="2"/>
  <c r="M71" i="2"/>
  <c r="N71" i="2"/>
  <c r="L71" i="2"/>
  <c r="K71" i="2"/>
  <c r="I71" i="2"/>
  <c r="N70" i="2"/>
  <c r="M70" i="2"/>
  <c r="L70" i="2"/>
  <c r="K70" i="2"/>
  <c r="I70" i="2"/>
  <c r="M69" i="2"/>
  <c r="N69" i="2"/>
  <c r="L69" i="2"/>
  <c r="K69" i="2"/>
  <c r="I69" i="2"/>
  <c r="N68" i="2"/>
  <c r="M68" i="2"/>
  <c r="L68" i="2"/>
  <c r="K68" i="2"/>
  <c r="I68" i="2"/>
  <c r="M67" i="2"/>
  <c r="N67" i="2"/>
  <c r="L67" i="2"/>
  <c r="K67" i="2"/>
  <c r="I67" i="2"/>
  <c r="N66" i="2"/>
  <c r="M66" i="2"/>
  <c r="L66" i="2"/>
  <c r="K66" i="2"/>
  <c r="I66" i="2"/>
  <c r="N65" i="2"/>
  <c r="M65" i="2"/>
  <c r="L65" i="2"/>
  <c r="K65" i="2"/>
  <c r="I65" i="2"/>
  <c r="N64" i="2"/>
  <c r="M64" i="2"/>
  <c r="L64" i="2"/>
  <c r="K64" i="2"/>
  <c r="I64" i="2"/>
  <c r="N63" i="2"/>
  <c r="M63" i="2"/>
  <c r="L63" i="2"/>
  <c r="K63" i="2"/>
  <c r="I63" i="2"/>
  <c r="N62" i="2"/>
  <c r="M62" i="2"/>
  <c r="L62" i="2"/>
  <c r="K62" i="2"/>
  <c r="I62" i="2"/>
  <c r="N61" i="2"/>
  <c r="M61" i="2"/>
  <c r="L61" i="2"/>
  <c r="K61" i="2"/>
  <c r="I61" i="2"/>
  <c r="N60" i="2"/>
  <c r="M60" i="2"/>
  <c r="L60" i="2"/>
  <c r="K60" i="2"/>
  <c r="I60" i="2"/>
  <c r="N59" i="2"/>
  <c r="M59" i="2"/>
  <c r="L59" i="2"/>
  <c r="K59" i="2"/>
  <c r="I59" i="2"/>
  <c r="N58" i="2"/>
  <c r="M58" i="2"/>
  <c r="L58" i="2"/>
  <c r="K58" i="2"/>
  <c r="I58" i="2"/>
  <c r="N57" i="2"/>
  <c r="M57" i="2"/>
  <c r="L57" i="2"/>
  <c r="K57" i="2"/>
  <c r="I57" i="2"/>
  <c r="N56" i="2"/>
  <c r="M56" i="2"/>
  <c r="L56" i="2"/>
  <c r="K56" i="2"/>
  <c r="I56" i="2"/>
  <c r="N55" i="2"/>
  <c r="M55" i="2"/>
  <c r="L55" i="2"/>
  <c r="K55" i="2"/>
  <c r="I55" i="2"/>
  <c r="N54" i="2"/>
  <c r="M54" i="2"/>
  <c r="L54" i="2"/>
  <c r="K54" i="2"/>
  <c r="I54" i="2"/>
  <c r="N53" i="2"/>
  <c r="M53" i="2"/>
  <c r="L53" i="2"/>
  <c r="K53" i="2"/>
  <c r="I53" i="2"/>
  <c r="N52" i="2"/>
  <c r="M52" i="2"/>
  <c r="L52" i="2"/>
  <c r="K52" i="2"/>
  <c r="I52" i="2"/>
  <c r="N51" i="2"/>
  <c r="M51" i="2"/>
  <c r="L51" i="2"/>
  <c r="K51" i="2"/>
  <c r="I51" i="2"/>
  <c r="N50" i="2"/>
  <c r="M50" i="2"/>
  <c r="L50" i="2"/>
  <c r="K50" i="2"/>
  <c r="I50" i="2"/>
  <c r="N49" i="2"/>
  <c r="M49" i="2"/>
  <c r="L49" i="2"/>
  <c r="K49" i="2"/>
  <c r="I49" i="2"/>
  <c r="N48" i="2"/>
  <c r="M48" i="2"/>
  <c r="L48" i="2"/>
  <c r="K48" i="2"/>
  <c r="I48" i="2"/>
  <c r="N47" i="2"/>
  <c r="M47" i="2"/>
  <c r="L47" i="2"/>
  <c r="K47" i="2"/>
  <c r="I47" i="2"/>
  <c r="N46" i="2"/>
  <c r="M46" i="2"/>
  <c r="L46" i="2"/>
  <c r="K46" i="2"/>
  <c r="I46" i="2"/>
  <c r="N45" i="2"/>
  <c r="M45" i="2"/>
  <c r="L45" i="2"/>
  <c r="K45" i="2"/>
  <c r="I45" i="2"/>
  <c r="N44" i="2"/>
  <c r="M44" i="2"/>
  <c r="L44" i="2"/>
  <c r="K44" i="2"/>
  <c r="I44" i="2"/>
  <c r="N43" i="2"/>
  <c r="M43" i="2"/>
  <c r="L43" i="2"/>
  <c r="K43" i="2"/>
  <c r="I43" i="2"/>
  <c r="N42" i="2"/>
  <c r="M42" i="2"/>
  <c r="L42" i="2"/>
  <c r="K42" i="2"/>
  <c r="I42" i="2"/>
  <c r="N41" i="2"/>
  <c r="M41" i="2"/>
  <c r="L41" i="2"/>
  <c r="K41" i="2"/>
  <c r="I41" i="2"/>
  <c r="N40" i="2"/>
  <c r="M40" i="2"/>
  <c r="L40" i="2"/>
  <c r="K40" i="2"/>
  <c r="I40" i="2"/>
  <c r="N39" i="2"/>
  <c r="M39" i="2"/>
  <c r="L39" i="2"/>
  <c r="K39" i="2"/>
  <c r="I39" i="2"/>
  <c r="N38" i="2"/>
  <c r="M38" i="2"/>
  <c r="L38" i="2"/>
  <c r="K38" i="2"/>
  <c r="I38" i="2"/>
  <c r="N37" i="2"/>
  <c r="M37" i="2"/>
  <c r="L37" i="2"/>
  <c r="K37" i="2"/>
  <c r="I37" i="2"/>
  <c r="N36" i="2"/>
  <c r="M36" i="2"/>
  <c r="L36" i="2"/>
  <c r="K36" i="2"/>
  <c r="I36" i="2"/>
  <c r="N35" i="2"/>
  <c r="M35" i="2"/>
  <c r="L35" i="2"/>
  <c r="K35" i="2"/>
  <c r="I35" i="2"/>
  <c r="N34" i="2"/>
  <c r="M34" i="2"/>
  <c r="L34" i="2"/>
  <c r="K34" i="2"/>
  <c r="I34" i="2"/>
  <c r="N33" i="2"/>
  <c r="M33" i="2"/>
  <c r="L33" i="2"/>
  <c r="K33" i="2"/>
  <c r="I33" i="2"/>
  <c r="N32" i="2"/>
  <c r="M32" i="2"/>
  <c r="L32" i="2"/>
  <c r="K32" i="2"/>
  <c r="I32" i="2"/>
  <c r="N31" i="2"/>
  <c r="M31" i="2"/>
  <c r="L31" i="2"/>
  <c r="K31" i="2"/>
  <c r="I31" i="2"/>
  <c r="N30" i="2"/>
  <c r="M30" i="2"/>
  <c r="L30" i="2"/>
  <c r="K30" i="2"/>
  <c r="I30" i="2"/>
  <c r="N29" i="2"/>
  <c r="M29" i="2"/>
  <c r="L29" i="2"/>
  <c r="K29" i="2"/>
  <c r="I29" i="2"/>
  <c r="N28" i="2"/>
  <c r="M28" i="2"/>
  <c r="L28" i="2"/>
  <c r="K28" i="2"/>
  <c r="I28" i="2"/>
  <c r="N27" i="2"/>
  <c r="M27" i="2"/>
  <c r="L27" i="2"/>
  <c r="K27" i="2"/>
  <c r="I27" i="2"/>
  <c r="N26" i="2"/>
  <c r="M26" i="2"/>
  <c r="L26" i="2"/>
  <c r="K26" i="2"/>
  <c r="I26" i="2"/>
  <c r="N25" i="2"/>
  <c r="M25" i="2"/>
  <c r="L25" i="2"/>
  <c r="K25" i="2"/>
  <c r="I25" i="2"/>
  <c r="N24" i="2"/>
  <c r="M24" i="2"/>
  <c r="L24" i="2"/>
  <c r="K24" i="2"/>
  <c r="I24" i="2"/>
  <c r="N23" i="2"/>
  <c r="M23" i="2"/>
  <c r="L23" i="2"/>
  <c r="K23" i="2"/>
  <c r="I23" i="2"/>
  <c r="N22" i="2"/>
  <c r="M22" i="2"/>
  <c r="L22" i="2"/>
  <c r="K22" i="2"/>
  <c r="I22" i="2"/>
  <c r="N21" i="2"/>
  <c r="M21" i="2"/>
  <c r="L21" i="2"/>
  <c r="K21" i="2"/>
  <c r="I21" i="2"/>
  <c r="N20" i="2"/>
  <c r="M20" i="2"/>
  <c r="L20" i="2"/>
  <c r="K20" i="2"/>
  <c r="I20" i="2"/>
  <c r="N19" i="2"/>
  <c r="M19" i="2"/>
  <c r="L19" i="2"/>
  <c r="K19" i="2"/>
  <c r="I19" i="2"/>
  <c r="N18" i="2"/>
  <c r="M18" i="2"/>
  <c r="L18" i="2"/>
  <c r="K18" i="2"/>
  <c r="I18" i="2"/>
  <c r="N17" i="2"/>
  <c r="M17" i="2"/>
  <c r="L17" i="2"/>
  <c r="K17" i="2"/>
  <c r="I17" i="2"/>
  <c r="N16" i="2"/>
  <c r="M16" i="2"/>
  <c r="L16" i="2"/>
  <c r="K16" i="2"/>
  <c r="I16" i="2"/>
  <c r="N15" i="2"/>
  <c r="M15" i="2"/>
  <c r="L15" i="2"/>
  <c r="K15" i="2"/>
  <c r="I15" i="2"/>
  <c r="N14" i="2"/>
  <c r="M14" i="2"/>
  <c r="L14" i="2"/>
  <c r="K14" i="2"/>
  <c r="I14" i="2"/>
  <c r="N13" i="2"/>
  <c r="M13" i="2"/>
  <c r="L13" i="2"/>
  <c r="K13" i="2"/>
  <c r="I13" i="2"/>
  <c r="N12" i="2"/>
  <c r="M12" i="2"/>
  <c r="L12" i="2"/>
  <c r="K12" i="2"/>
  <c r="I12" i="2"/>
  <c r="N11" i="2"/>
  <c r="M11" i="2"/>
  <c r="L11" i="2"/>
  <c r="K11" i="2"/>
  <c r="I11" i="2"/>
  <c r="N10" i="2"/>
  <c r="M10" i="2"/>
  <c r="L10" i="2"/>
  <c r="K10" i="2"/>
  <c r="I10" i="2"/>
  <c r="N9" i="2"/>
  <c r="M9" i="2"/>
  <c r="L9" i="2"/>
  <c r="K9" i="2"/>
  <c r="I9" i="2"/>
  <c r="N8" i="2"/>
  <c r="M8" i="2"/>
  <c r="L8" i="2"/>
  <c r="K8" i="2"/>
  <c r="I8" i="2"/>
  <c r="N7" i="2"/>
  <c r="M7" i="2"/>
  <c r="L7" i="2"/>
  <c r="K7" i="2"/>
  <c r="I7" i="2"/>
  <c r="N6" i="2"/>
  <c r="M6" i="2"/>
  <c r="L6" i="2"/>
  <c r="K6" i="2"/>
  <c r="I6" i="2"/>
  <c r="N5" i="2"/>
  <c r="M5" i="2"/>
  <c r="L5" i="2"/>
  <c r="K5" i="2"/>
  <c r="I5" i="2"/>
  <c r="N4" i="2"/>
  <c r="M4" i="2"/>
  <c r="L4" i="2"/>
  <c r="K4" i="2"/>
  <c r="I4" i="2"/>
  <c r="N3" i="2"/>
  <c r="M3" i="2"/>
  <c r="L3" i="2"/>
  <c r="K3" i="2"/>
  <c r="I3" i="2"/>
  <c r="N2" i="2"/>
  <c r="M2" i="2"/>
  <c r="L2" i="2"/>
  <c r="K2" i="2"/>
  <c r="I2" i="2"/>
  <c r="S247" i="1"/>
  <c r="R247" i="1"/>
  <c r="O247" i="1"/>
  <c r="P247" i="1"/>
  <c r="N247" i="1"/>
  <c r="M247" i="1"/>
  <c r="L247" i="1"/>
  <c r="K247" i="1"/>
  <c r="I247" i="1"/>
  <c r="S246" i="1"/>
  <c r="R246" i="1"/>
  <c r="O246" i="1"/>
  <c r="P246" i="1"/>
  <c r="N246" i="1"/>
  <c r="M246" i="1"/>
  <c r="L246" i="1"/>
  <c r="K246" i="1"/>
  <c r="I246" i="1"/>
  <c r="S245" i="1"/>
  <c r="R245" i="1"/>
  <c r="O245" i="1"/>
  <c r="P245" i="1"/>
  <c r="N245" i="1"/>
  <c r="M245" i="1"/>
  <c r="L245" i="1"/>
  <c r="K245" i="1"/>
  <c r="I245" i="1"/>
  <c r="S244" i="1"/>
  <c r="R244" i="1"/>
  <c r="O244" i="1"/>
  <c r="P244" i="1"/>
  <c r="N244" i="1"/>
  <c r="M244" i="1"/>
  <c r="L244" i="1"/>
  <c r="K244" i="1"/>
  <c r="I244" i="1"/>
  <c r="S243" i="1"/>
  <c r="R243" i="1"/>
  <c r="O243" i="1"/>
  <c r="P243" i="1"/>
  <c r="N243" i="1"/>
  <c r="M243" i="1"/>
  <c r="L243" i="1"/>
  <c r="K243" i="1"/>
  <c r="I243" i="1"/>
  <c r="S242" i="1"/>
  <c r="R242" i="1"/>
  <c r="O242" i="1"/>
  <c r="P242" i="1"/>
  <c r="N242" i="1"/>
  <c r="M242" i="1"/>
  <c r="L242" i="1"/>
  <c r="K242" i="1"/>
  <c r="I242" i="1"/>
  <c r="O241" i="1"/>
  <c r="P241" i="1"/>
  <c r="N241" i="1"/>
  <c r="M241" i="1"/>
  <c r="L241" i="1"/>
  <c r="K241" i="1"/>
  <c r="I241" i="1"/>
  <c r="S240" i="1"/>
  <c r="O240" i="1"/>
  <c r="P240" i="1"/>
  <c r="N240" i="1"/>
  <c r="M240" i="1"/>
  <c r="L240" i="1"/>
  <c r="K240" i="1"/>
  <c r="I240" i="1"/>
  <c r="S239" i="1"/>
  <c r="O239" i="1"/>
  <c r="P239" i="1"/>
  <c r="N239" i="1"/>
  <c r="M239" i="1"/>
  <c r="L239" i="1"/>
  <c r="K239" i="1"/>
  <c r="I239" i="1"/>
  <c r="O238" i="1"/>
  <c r="N238" i="1"/>
  <c r="M238" i="1"/>
  <c r="L238" i="1"/>
  <c r="K238" i="1"/>
  <c r="I238" i="1"/>
  <c r="O237" i="1"/>
  <c r="P237" i="1"/>
  <c r="N237" i="1"/>
  <c r="M237" i="1"/>
  <c r="L237" i="1"/>
  <c r="K237" i="1"/>
  <c r="I237" i="1"/>
  <c r="S236" i="1"/>
  <c r="R236" i="1"/>
  <c r="O236" i="1"/>
  <c r="P236" i="1"/>
  <c r="N236" i="1"/>
  <c r="M236" i="1"/>
  <c r="L236" i="1"/>
  <c r="K236" i="1"/>
  <c r="I236" i="1"/>
  <c r="S235" i="1"/>
  <c r="R235" i="1"/>
  <c r="O235" i="1"/>
  <c r="P235" i="1"/>
  <c r="N235" i="1"/>
  <c r="M235" i="1"/>
  <c r="L235" i="1"/>
  <c r="K235" i="1"/>
  <c r="I235" i="1"/>
  <c r="S234" i="1"/>
  <c r="R234" i="1"/>
  <c r="O234" i="1"/>
  <c r="P234" i="1"/>
  <c r="N234" i="1"/>
  <c r="M234" i="1"/>
  <c r="L234" i="1"/>
  <c r="K234" i="1"/>
  <c r="I234" i="1"/>
  <c r="S233" i="1"/>
  <c r="R233" i="1"/>
  <c r="O233" i="1"/>
  <c r="P233" i="1"/>
  <c r="N233" i="1"/>
  <c r="M233" i="1"/>
  <c r="L233" i="1"/>
  <c r="K233" i="1"/>
  <c r="I233" i="1"/>
  <c r="S232" i="1"/>
  <c r="R232" i="1"/>
  <c r="O232" i="1"/>
  <c r="P232" i="1"/>
  <c r="N232" i="1"/>
  <c r="M232" i="1"/>
  <c r="L232" i="1"/>
  <c r="K232" i="1"/>
  <c r="I232" i="1"/>
  <c r="O231" i="1"/>
  <c r="P231" i="1"/>
  <c r="N231" i="1"/>
  <c r="M231" i="1"/>
  <c r="L231" i="1"/>
  <c r="K231" i="1"/>
  <c r="I231" i="1"/>
  <c r="O230" i="1"/>
  <c r="P230" i="1"/>
  <c r="N230" i="1"/>
  <c r="M230" i="1"/>
  <c r="L230" i="1"/>
  <c r="K230" i="1"/>
  <c r="I230" i="1"/>
  <c r="S229" i="1"/>
  <c r="O229" i="1"/>
  <c r="P229" i="1"/>
  <c r="N229" i="1"/>
  <c r="M229" i="1"/>
  <c r="L229" i="1"/>
  <c r="K229" i="1"/>
  <c r="I229" i="1"/>
  <c r="O228" i="1"/>
  <c r="P228" i="1"/>
  <c r="N228" i="1"/>
  <c r="M228" i="1"/>
  <c r="L228" i="1"/>
  <c r="K228" i="1"/>
  <c r="I228" i="1"/>
  <c r="P227" i="1"/>
  <c r="O227" i="1"/>
  <c r="N227" i="1"/>
  <c r="M227" i="1"/>
  <c r="L227" i="1"/>
  <c r="K227" i="1"/>
  <c r="G227" i="1"/>
  <c r="I227" i="1" s="1"/>
  <c r="O226" i="1"/>
  <c r="P226" i="1"/>
  <c r="N226" i="1"/>
  <c r="M226" i="1"/>
  <c r="L226" i="1"/>
  <c r="K226" i="1"/>
  <c r="G226" i="1"/>
  <c r="I226" i="1" s="1"/>
  <c r="P225" i="1"/>
  <c r="O225" i="1"/>
  <c r="N225" i="1"/>
  <c r="M225" i="1"/>
  <c r="L225" i="1"/>
  <c r="K225" i="1"/>
  <c r="G225" i="1"/>
  <c r="I225" i="1" s="1"/>
  <c r="S224" i="1"/>
  <c r="R224" i="1"/>
  <c r="O224" i="1"/>
  <c r="P224" i="1"/>
  <c r="N224" i="1"/>
  <c r="M224" i="1"/>
  <c r="L224" i="1"/>
  <c r="K224" i="1"/>
  <c r="I224" i="1"/>
  <c r="S223" i="1"/>
  <c r="R223" i="1"/>
  <c r="O223" i="1"/>
  <c r="P223" i="1"/>
  <c r="N223" i="1"/>
  <c r="M223" i="1"/>
  <c r="L223" i="1"/>
  <c r="K223" i="1"/>
  <c r="I223" i="1"/>
  <c r="S222" i="1"/>
  <c r="R222" i="1"/>
  <c r="O222" i="1"/>
  <c r="P222" i="1"/>
  <c r="N222" i="1"/>
  <c r="M222" i="1"/>
  <c r="L222" i="1"/>
  <c r="K222" i="1"/>
  <c r="I222" i="1"/>
  <c r="S221" i="1"/>
  <c r="R221" i="1"/>
  <c r="O221" i="1"/>
  <c r="P221" i="1"/>
  <c r="N221" i="1"/>
  <c r="M221" i="1"/>
  <c r="L221" i="1"/>
  <c r="K221" i="1"/>
  <c r="I221" i="1"/>
  <c r="S220" i="1"/>
  <c r="R220" i="1"/>
  <c r="P220" i="1"/>
  <c r="O220" i="1"/>
  <c r="N220" i="1"/>
  <c r="M220" i="1"/>
  <c r="L220" i="1"/>
  <c r="K220" i="1"/>
  <c r="I220" i="1"/>
  <c r="S219" i="1"/>
  <c r="R219" i="1"/>
  <c r="O219" i="1"/>
  <c r="P219" i="1"/>
  <c r="N219" i="1"/>
  <c r="M219" i="1"/>
  <c r="L219" i="1"/>
  <c r="K219" i="1"/>
  <c r="I219" i="1"/>
  <c r="S218" i="1"/>
  <c r="R218" i="1"/>
  <c r="O218" i="1"/>
  <c r="P218" i="1"/>
  <c r="N218" i="1"/>
  <c r="M218" i="1"/>
  <c r="L218" i="1"/>
  <c r="K218" i="1"/>
  <c r="I218" i="1"/>
  <c r="S217" i="1"/>
  <c r="R217" i="1"/>
  <c r="O217" i="1"/>
  <c r="P217" i="1"/>
  <c r="N217" i="1"/>
  <c r="M217" i="1"/>
  <c r="L217" i="1"/>
  <c r="K217" i="1"/>
  <c r="I217" i="1"/>
  <c r="S216" i="1"/>
  <c r="R216" i="1"/>
  <c r="O216" i="1"/>
  <c r="P216" i="1"/>
  <c r="N216" i="1"/>
  <c r="M216" i="1"/>
  <c r="L216" i="1"/>
  <c r="K216" i="1"/>
  <c r="I216" i="1"/>
  <c r="S215" i="1"/>
  <c r="R215" i="1"/>
  <c r="O215" i="1"/>
  <c r="P215" i="1"/>
  <c r="N215" i="1"/>
  <c r="M215" i="1"/>
  <c r="L215" i="1"/>
  <c r="K215" i="1"/>
  <c r="I215" i="1"/>
  <c r="S214" i="1"/>
  <c r="R214" i="1"/>
  <c r="O214" i="1"/>
  <c r="P214" i="1"/>
  <c r="N214" i="1"/>
  <c r="M214" i="1"/>
  <c r="L214" i="1"/>
  <c r="K214" i="1"/>
  <c r="I214" i="1"/>
  <c r="S213" i="1"/>
  <c r="R213" i="1"/>
  <c r="O213" i="1"/>
  <c r="P213" i="1"/>
  <c r="N213" i="1"/>
  <c r="M213" i="1"/>
  <c r="L213" i="1"/>
  <c r="K213" i="1"/>
  <c r="I213" i="1"/>
  <c r="S212" i="1"/>
  <c r="R212" i="1"/>
  <c r="O212" i="1"/>
  <c r="P212" i="1"/>
  <c r="N212" i="1"/>
  <c r="M212" i="1"/>
  <c r="L212" i="1"/>
  <c r="K212" i="1"/>
  <c r="I212" i="1"/>
  <c r="O211" i="1"/>
  <c r="P211" i="1"/>
  <c r="N211" i="1"/>
  <c r="M211" i="1"/>
  <c r="L211" i="1"/>
  <c r="K211" i="1"/>
  <c r="I211" i="1"/>
  <c r="O210" i="1"/>
  <c r="P210" i="1"/>
  <c r="N210" i="1"/>
  <c r="M210" i="1"/>
  <c r="L210" i="1"/>
  <c r="K210" i="1"/>
  <c r="I210" i="1"/>
  <c r="S209" i="1"/>
  <c r="R209" i="1"/>
  <c r="O209" i="1"/>
  <c r="P209" i="1"/>
  <c r="N209" i="1"/>
  <c r="M209" i="1"/>
  <c r="L209" i="1"/>
  <c r="K209" i="1"/>
  <c r="I209" i="1"/>
  <c r="S208" i="1"/>
  <c r="R208" i="1"/>
  <c r="O208" i="1"/>
  <c r="P208" i="1"/>
  <c r="N208" i="1"/>
  <c r="M208" i="1"/>
  <c r="L208" i="1"/>
  <c r="K208" i="1"/>
  <c r="I208" i="1"/>
  <c r="S207" i="1"/>
  <c r="R207" i="1"/>
  <c r="O207" i="1"/>
  <c r="P207" i="1"/>
  <c r="N207" i="1"/>
  <c r="M207" i="1"/>
  <c r="L207" i="1"/>
  <c r="K207" i="1"/>
  <c r="I207" i="1"/>
  <c r="S206" i="1"/>
  <c r="R206" i="1"/>
  <c r="O206" i="1"/>
  <c r="P206" i="1"/>
  <c r="N206" i="1"/>
  <c r="M206" i="1"/>
  <c r="L206" i="1"/>
  <c r="K206" i="1"/>
  <c r="I206" i="1"/>
  <c r="S205" i="1"/>
  <c r="R205" i="1"/>
  <c r="O205" i="1"/>
  <c r="P205" i="1"/>
  <c r="N205" i="1"/>
  <c r="M205" i="1"/>
  <c r="L205" i="1"/>
  <c r="K205" i="1"/>
  <c r="I205" i="1"/>
  <c r="S204" i="1"/>
  <c r="R204" i="1"/>
  <c r="O204" i="1"/>
  <c r="P204" i="1"/>
  <c r="N204" i="1"/>
  <c r="M204" i="1"/>
  <c r="L204" i="1"/>
  <c r="K204" i="1"/>
  <c r="I204" i="1"/>
  <c r="S203" i="1"/>
  <c r="R203" i="1"/>
  <c r="O203" i="1"/>
  <c r="P203" i="1"/>
  <c r="N203" i="1"/>
  <c r="M203" i="1"/>
  <c r="L203" i="1"/>
  <c r="K203" i="1"/>
  <c r="I203" i="1"/>
  <c r="S202" i="1"/>
  <c r="R202" i="1"/>
  <c r="O202" i="1"/>
  <c r="P202" i="1"/>
  <c r="N202" i="1"/>
  <c r="M202" i="1"/>
  <c r="L202" i="1"/>
  <c r="K202" i="1"/>
  <c r="I202" i="1"/>
  <c r="O201" i="1"/>
  <c r="P201" i="1"/>
  <c r="N201" i="1"/>
  <c r="M201" i="1"/>
  <c r="L201" i="1"/>
  <c r="K201" i="1"/>
  <c r="I201" i="1"/>
  <c r="O200" i="1"/>
  <c r="P200" i="1"/>
  <c r="N200" i="1"/>
  <c r="M200" i="1"/>
  <c r="L200" i="1"/>
  <c r="K200" i="1"/>
  <c r="I200" i="1"/>
  <c r="O199" i="1"/>
  <c r="P199" i="1"/>
  <c r="N199" i="1"/>
  <c r="M199" i="1"/>
  <c r="L199" i="1"/>
  <c r="K199" i="1"/>
  <c r="I199" i="1"/>
  <c r="S198" i="1"/>
  <c r="R198" i="1"/>
  <c r="P198" i="1"/>
  <c r="O198" i="1"/>
  <c r="N198" i="1"/>
  <c r="M198" i="1"/>
  <c r="L198" i="1"/>
  <c r="K198" i="1"/>
  <c r="I198" i="1"/>
  <c r="S197" i="1"/>
  <c r="R197" i="1"/>
  <c r="O197" i="1"/>
  <c r="P197" i="1"/>
  <c r="N197" i="1"/>
  <c r="M197" i="1"/>
  <c r="L197" i="1"/>
  <c r="K197" i="1"/>
  <c r="I197" i="1"/>
  <c r="S196" i="1"/>
  <c r="R196" i="1"/>
  <c r="O196" i="1"/>
  <c r="P196" i="1"/>
  <c r="N196" i="1"/>
  <c r="M196" i="1"/>
  <c r="L196" i="1"/>
  <c r="K196" i="1"/>
  <c r="I196" i="1"/>
  <c r="S195" i="1"/>
  <c r="R195" i="1"/>
  <c r="O195" i="1"/>
  <c r="P195" i="1"/>
  <c r="N195" i="1"/>
  <c r="M195" i="1"/>
  <c r="L195" i="1"/>
  <c r="K195" i="1"/>
  <c r="I195" i="1"/>
  <c r="S194" i="1"/>
  <c r="R194" i="1"/>
  <c r="O194" i="1"/>
  <c r="P194" i="1"/>
  <c r="N194" i="1"/>
  <c r="M194" i="1"/>
  <c r="L194" i="1"/>
  <c r="K194" i="1"/>
  <c r="I194" i="1"/>
  <c r="S193" i="1"/>
  <c r="R193" i="1"/>
  <c r="O193" i="1"/>
  <c r="P193" i="1"/>
  <c r="N193" i="1"/>
  <c r="M193" i="1"/>
  <c r="L193" i="1"/>
  <c r="K193" i="1"/>
  <c r="I193" i="1"/>
  <c r="S192" i="1"/>
  <c r="R192" i="1"/>
  <c r="O192" i="1"/>
  <c r="P192" i="1"/>
  <c r="N192" i="1"/>
  <c r="M192" i="1"/>
  <c r="L192" i="1"/>
  <c r="K192" i="1"/>
  <c r="I192" i="1"/>
  <c r="O191" i="1"/>
  <c r="P191" i="1"/>
  <c r="N191" i="1"/>
  <c r="M191" i="1"/>
  <c r="L191" i="1"/>
  <c r="K191" i="1"/>
  <c r="I191" i="1"/>
  <c r="S190" i="1"/>
  <c r="R190" i="1"/>
  <c r="P190" i="1"/>
  <c r="O190" i="1"/>
  <c r="N190" i="1"/>
  <c r="M190" i="1"/>
  <c r="L190" i="1"/>
  <c r="K190" i="1"/>
  <c r="I190" i="1"/>
  <c r="S189" i="1"/>
  <c r="R189" i="1"/>
  <c r="P189" i="1"/>
  <c r="O189" i="1"/>
  <c r="N189" i="1"/>
  <c r="M189" i="1"/>
  <c r="L189" i="1"/>
  <c r="K189" i="1"/>
  <c r="I189" i="1"/>
  <c r="O188" i="1"/>
  <c r="P188" i="1"/>
  <c r="N188" i="1"/>
  <c r="M188" i="1"/>
  <c r="L188" i="1"/>
  <c r="K188" i="1"/>
  <c r="I188" i="1"/>
  <c r="S187" i="1"/>
  <c r="R187" i="1"/>
  <c r="O187" i="1"/>
  <c r="P187" i="1"/>
  <c r="N187" i="1"/>
  <c r="M187" i="1"/>
  <c r="L187" i="1"/>
  <c r="K187" i="1"/>
  <c r="I187" i="1"/>
  <c r="S186" i="1"/>
  <c r="R186" i="1"/>
  <c r="O186" i="1"/>
  <c r="P186" i="1"/>
  <c r="N186" i="1"/>
  <c r="M186" i="1"/>
  <c r="L186" i="1"/>
  <c r="K186" i="1"/>
  <c r="I186" i="1"/>
  <c r="S185" i="1"/>
  <c r="R185" i="1"/>
  <c r="O185" i="1"/>
  <c r="P185" i="1"/>
  <c r="N185" i="1"/>
  <c r="M185" i="1"/>
  <c r="L185" i="1"/>
  <c r="K185" i="1"/>
  <c r="I185" i="1"/>
  <c r="S184" i="1"/>
  <c r="O184" i="1"/>
  <c r="P184" i="1"/>
  <c r="N184" i="1"/>
  <c r="M184" i="1"/>
  <c r="L184" i="1"/>
  <c r="K184" i="1"/>
  <c r="I184" i="1"/>
  <c r="O183" i="1"/>
  <c r="P183" i="1"/>
  <c r="N183" i="1"/>
  <c r="M183" i="1"/>
  <c r="L183" i="1"/>
  <c r="K183" i="1"/>
  <c r="I183" i="1"/>
  <c r="S182" i="1"/>
  <c r="R182" i="1"/>
  <c r="P182" i="1"/>
  <c r="O182" i="1"/>
  <c r="N182" i="1"/>
  <c r="M182" i="1"/>
  <c r="L182" i="1"/>
  <c r="K182" i="1"/>
  <c r="I182" i="1"/>
  <c r="O181" i="1"/>
  <c r="P181" i="1"/>
  <c r="N181" i="1"/>
  <c r="M181" i="1"/>
  <c r="L181" i="1"/>
  <c r="K181" i="1"/>
  <c r="I181" i="1"/>
  <c r="O180" i="1"/>
  <c r="P180" i="1"/>
  <c r="N180" i="1"/>
  <c r="M180" i="1"/>
  <c r="L180" i="1"/>
  <c r="K180" i="1"/>
  <c r="I180" i="1"/>
  <c r="S179" i="1"/>
  <c r="R179" i="1"/>
  <c r="O179" i="1"/>
  <c r="P179" i="1"/>
  <c r="N179" i="1"/>
  <c r="M179" i="1"/>
  <c r="L179" i="1"/>
  <c r="K179" i="1"/>
  <c r="I179" i="1"/>
  <c r="S178" i="1"/>
  <c r="R178" i="1"/>
  <c r="O178" i="1"/>
  <c r="P178" i="1"/>
  <c r="N178" i="1"/>
  <c r="M178" i="1"/>
  <c r="L178" i="1"/>
  <c r="K178" i="1"/>
  <c r="I178" i="1"/>
  <c r="O177" i="1"/>
  <c r="P177" i="1"/>
  <c r="N177" i="1"/>
  <c r="M177" i="1"/>
  <c r="L177" i="1"/>
  <c r="K177" i="1"/>
  <c r="I177" i="1"/>
  <c r="P176" i="1"/>
  <c r="O176" i="1"/>
  <c r="N176" i="1"/>
  <c r="M176" i="1"/>
  <c r="L176" i="1"/>
  <c r="K176" i="1"/>
  <c r="I176" i="1"/>
  <c r="O175" i="1"/>
  <c r="P175" i="1"/>
  <c r="N175" i="1"/>
  <c r="M175" i="1"/>
  <c r="L175" i="1"/>
  <c r="K175" i="1"/>
  <c r="I175" i="1"/>
  <c r="O174" i="1"/>
  <c r="P174" i="1"/>
  <c r="N174" i="1"/>
  <c r="M174" i="1"/>
  <c r="L174" i="1"/>
  <c r="K174" i="1"/>
  <c r="I174" i="1"/>
  <c r="S173" i="1"/>
  <c r="R173" i="1"/>
  <c r="O173" i="1"/>
  <c r="P173" i="1"/>
  <c r="N173" i="1"/>
  <c r="M173" i="1"/>
  <c r="L173" i="1"/>
  <c r="K173" i="1"/>
  <c r="I173" i="1"/>
  <c r="S172" i="1"/>
  <c r="R172" i="1"/>
  <c r="O172" i="1"/>
  <c r="P172" i="1"/>
  <c r="N172" i="1"/>
  <c r="M172" i="1"/>
  <c r="L172" i="1"/>
  <c r="K172" i="1"/>
  <c r="I172" i="1"/>
  <c r="S171" i="1"/>
  <c r="R171" i="1"/>
  <c r="O171" i="1"/>
  <c r="P171" i="1"/>
  <c r="N171" i="1"/>
  <c r="M171" i="1"/>
  <c r="L171" i="1"/>
  <c r="K171" i="1"/>
  <c r="I171" i="1"/>
  <c r="S170" i="1"/>
  <c r="R170" i="1"/>
  <c r="O170" i="1"/>
  <c r="P170" i="1"/>
  <c r="N170" i="1"/>
  <c r="M170" i="1"/>
  <c r="L170" i="1"/>
  <c r="K170" i="1"/>
  <c r="I170" i="1"/>
  <c r="S169" i="1"/>
  <c r="R169" i="1"/>
  <c r="O169" i="1"/>
  <c r="P169" i="1"/>
  <c r="N169" i="1"/>
  <c r="M169" i="1"/>
  <c r="L169" i="1"/>
  <c r="K169" i="1"/>
  <c r="I169" i="1"/>
  <c r="S168" i="1"/>
  <c r="R168" i="1"/>
  <c r="O168" i="1"/>
  <c r="P168" i="1"/>
  <c r="N168" i="1"/>
  <c r="M168" i="1"/>
  <c r="L168" i="1"/>
  <c r="K168" i="1"/>
  <c r="I168" i="1"/>
  <c r="S167" i="1"/>
  <c r="R167" i="1"/>
  <c r="O167" i="1"/>
  <c r="P167" i="1"/>
  <c r="N167" i="1"/>
  <c r="M167" i="1"/>
  <c r="L167" i="1"/>
  <c r="K167" i="1"/>
  <c r="I167" i="1"/>
  <c r="S166" i="1"/>
  <c r="R166" i="1"/>
  <c r="O166" i="1"/>
  <c r="P166" i="1"/>
  <c r="N166" i="1"/>
  <c r="M166" i="1"/>
  <c r="L166" i="1"/>
  <c r="K166" i="1"/>
  <c r="I166" i="1"/>
  <c r="O165" i="1"/>
  <c r="P165" i="1"/>
  <c r="N165" i="1"/>
  <c r="M165" i="1"/>
  <c r="L165" i="1"/>
  <c r="K165" i="1"/>
  <c r="I165" i="1"/>
  <c r="O164" i="1"/>
  <c r="P164" i="1"/>
  <c r="N164" i="1"/>
  <c r="M164" i="1"/>
  <c r="L164" i="1"/>
  <c r="K164" i="1"/>
  <c r="I164" i="1"/>
  <c r="O163" i="1"/>
  <c r="P163" i="1"/>
  <c r="N163" i="1"/>
  <c r="M163" i="1"/>
  <c r="L163" i="1"/>
  <c r="K163" i="1"/>
  <c r="I163" i="1"/>
  <c r="O162" i="1"/>
  <c r="P162" i="1"/>
  <c r="N162" i="1"/>
  <c r="M162" i="1"/>
  <c r="L162" i="1"/>
  <c r="K162" i="1"/>
  <c r="G162" i="1"/>
  <c r="I162" i="1" s="1"/>
  <c r="S161" i="1"/>
  <c r="R161" i="1"/>
  <c r="O161" i="1"/>
  <c r="P161" i="1"/>
  <c r="N161" i="1"/>
  <c r="M161" i="1"/>
  <c r="L161" i="1"/>
  <c r="K161" i="1"/>
  <c r="I161" i="1"/>
  <c r="S160" i="1"/>
  <c r="R160" i="1"/>
  <c r="O160" i="1"/>
  <c r="P160" i="1"/>
  <c r="N160" i="1"/>
  <c r="M160" i="1"/>
  <c r="L160" i="1"/>
  <c r="K160" i="1"/>
  <c r="I160" i="1"/>
  <c r="S159" i="1"/>
  <c r="R159" i="1"/>
  <c r="P159" i="1"/>
  <c r="O159" i="1"/>
  <c r="N159" i="1"/>
  <c r="M159" i="1"/>
  <c r="L159" i="1"/>
  <c r="K159" i="1"/>
  <c r="I159" i="1"/>
  <c r="O158" i="1"/>
  <c r="P158" i="1"/>
  <c r="N158" i="1"/>
  <c r="M158" i="1"/>
  <c r="L158" i="1"/>
  <c r="K158" i="1"/>
  <c r="G158" i="1"/>
  <c r="I158" i="1" s="1"/>
  <c r="O157" i="1"/>
  <c r="P157" i="1"/>
  <c r="N157" i="1"/>
  <c r="M157" i="1"/>
  <c r="L157" i="1"/>
  <c r="K157" i="1"/>
  <c r="G157" i="1"/>
  <c r="I157" i="1" s="1"/>
  <c r="O156" i="1"/>
  <c r="P156" i="1"/>
  <c r="N156" i="1"/>
  <c r="M156" i="1"/>
  <c r="L156" i="1"/>
  <c r="K156" i="1"/>
  <c r="G156" i="1"/>
  <c r="I156" i="1" s="1"/>
  <c r="S155" i="1"/>
  <c r="R155" i="1"/>
  <c r="O155" i="1"/>
  <c r="P155" i="1"/>
  <c r="N155" i="1"/>
  <c r="M155" i="1"/>
  <c r="L155" i="1"/>
  <c r="K155" i="1"/>
  <c r="I155" i="1"/>
  <c r="S154" i="1"/>
  <c r="R154" i="1"/>
  <c r="O154" i="1"/>
  <c r="P154" i="1"/>
  <c r="N154" i="1"/>
  <c r="M154" i="1"/>
  <c r="L154" i="1"/>
  <c r="K154" i="1"/>
  <c r="I154" i="1"/>
  <c r="O153" i="1"/>
  <c r="P153" i="1"/>
  <c r="N153" i="1"/>
  <c r="M153" i="1"/>
  <c r="L153" i="1"/>
  <c r="K153" i="1"/>
  <c r="G153" i="1"/>
  <c r="I153" i="1" s="1"/>
  <c r="O152" i="1"/>
  <c r="P152" i="1"/>
  <c r="N152" i="1"/>
  <c r="M152" i="1"/>
  <c r="L152" i="1"/>
  <c r="K152" i="1"/>
  <c r="G152" i="1"/>
  <c r="I152" i="1" s="1"/>
  <c r="S151" i="1"/>
  <c r="O151" i="1"/>
  <c r="P151" i="1"/>
  <c r="N151" i="1"/>
  <c r="M151" i="1"/>
  <c r="L151" i="1"/>
  <c r="K151" i="1"/>
  <c r="I151" i="1"/>
  <c r="S150" i="1"/>
  <c r="P150" i="1"/>
  <c r="O150" i="1"/>
  <c r="N150" i="1"/>
  <c r="M150" i="1"/>
  <c r="L150" i="1"/>
  <c r="K150" i="1"/>
  <c r="I150" i="1"/>
  <c r="S149" i="1"/>
  <c r="R149" i="1"/>
  <c r="O149" i="1"/>
  <c r="P149" i="1"/>
  <c r="N149" i="1"/>
  <c r="M149" i="1"/>
  <c r="L149" i="1"/>
  <c r="K149" i="1"/>
  <c r="S148" i="1"/>
  <c r="R148" i="1"/>
  <c r="O148" i="1"/>
  <c r="P148" i="1"/>
  <c r="N148" i="1"/>
  <c r="M148" i="1"/>
  <c r="L148" i="1"/>
  <c r="K148" i="1"/>
  <c r="S147" i="1"/>
  <c r="R147" i="1"/>
  <c r="O147" i="1"/>
  <c r="P147" i="1"/>
  <c r="N147" i="1"/>
  <c r="M147" i="1"/>
  <c r="L147" i="1"/>
  <c r="K147" i="1"/>
  <c r="S146" i="1"/>
  <c r="R146" i="1"/>
  <c r="P146" i="1"/>
  <c r="O146" i="1"/>
  <c r="N146" i="1"/>
  <c r="M146" i="1"/>
  <c r="L146" i="1"/>
  <c r="K146" i="1"/>
  <c r="I146" i="1"/>
  <c r="S145" i="1"/>
  <c r="R145" i="1"/>
  <c r="P145" i="1"/>
  <c r="O145" i="1"/>
  <c r="N145" i="1"/>
  <c r="M145" i="1"/>
  <c r="L145" i="1"/>
  <c r="K145" i="1"/>
  <c r="I145" i="1"/>
  <c r="S144" i="1"/>
  <c r="R144" i="1"/>
  <c r="P144" i="1"/>
  <c r="O144" i="1"/>
  <c r="N144" i="1"/>
  <c r="M144" i="1"/>
  <c r="L144" i="1"/>
  <c r="K144" i="1"/>
  <c r="I144" i="1"/>
  <c r="O143" i="1"/>
  <c r="P143" i="1"/>
  <c r="N143" i="1"/>
  <c r="M143" i="1"/>
  <c r="L143" i="1"/>
  <c r="K143" i="1"/>
  <c r="G143" i="1"/>
  <c r="I143" i="1" s="1"/>
  <c r="S142" i="1"/>
  <c r="R142" i="1"/>
  <c r="O142" i="1"/>
  <c r="P142" i="1"/>
  <c r="N142" i="1"/>
  <c r="M142" i="1"/>
  <c r="L142" i="1"/>
  <c r="K142" i="1"/>
  <c r="I142" i="1"/>
  <c r="S141" i="1"/>
  <c r="R141" i="1"/>
  <c r="O141" i="1"/>
  <c r="P141" i="1"/>
  <c r="N141" i="1"/>
  <c r="M141" i="1"/>
  <c r="L141" i="1"/>
  <c r="K141" i="1"/>
  <c r="I141" i="1"/>
  <c r="S140" i="1"/>
  <c r="R140" i="1"/>
  <c r="O140" i="1"/>
  <c r="P140" i="1"/>
  <c r="N140" i="1"/>
  <c r="M140" i="1"/>
  <c r="L140" i="1"/>
  <c r="K140" i="1"/>
  <c r="I140" i="1"/>
  <c r="S139" i="1"/>
  <c r="O139" i="1"/>
  <c r="P139" i="1"/>
  <c r="N139" i="1"/>
  <c r="M139" i="1"/>
  <c r="L139" i="1"/>
  <c r="K139" i="1"/>
  <c r="I139" i="1"/>
  <c r="S138" i="1"/>
  <c r="P138" i="1"/>
  <c r="O138" i="1"/>
  <c r="N138" i="1"/>
  <c r="M138" i="1"/>
  <c r="L138" i="1"/>
  <c r="K138" i="1"/>
  <c r="I138" i="1"/>
  <c r="O137" i="1"/>
  <c r="P137" i="1"/>
  <c r="N137" i="1"/>
  <c r="M137" i="1"/>
  <c r="L137" i="1"/>
  <c r="K137" i="1"/>
  <c r="G137" i="1"/>
  <c r="I137" i="1" s="1"/>
  <c r="O136" i="1"/>
  <c r="P136" i="1"/>
  <c r="N136" i="1"/>
  <c r="M136" i="1"/>
  <c r="L136" i="1"/>
  <c r="K136" i="1"/>
  <c r="G136" i="1"/>
  <c r="I136" i="1" s="1"/>
  <c r="O135" i="1"/>
  <c r="P135" i="1"/>
  <c r="N135" i="1"/>
  <c r="M135" i="1"/>
  <c r="L135" i="1"/>
  <c r="K135" i="1"/>
  <c r="I135" i="1"/>
  <c r="S134" i="1"/>
  <c r="R134" i="1"/>
  <c r="O134" i="1"/>
  <c r="P134" i="1"/>
  <c r="N134" i="1"/>
  <c r="M134" i="1"/>
  <c r="L134" i="1"/>
  <c r="K134" i="1"/>
  <c r="I134" i="1"/>
  <c r="S133" i="1"/>
  <c r="R133" i="1"/>
  <c r="O133" i="1"/>
  <c r="P133" i="1"/>
  <c r="N133" i="1"/>
  <c r="M133" i="1"/>
  <c r="L133" i="1"/>
  <c r="K133" i="1"/>
  <c r="I133" i="1"/>
  <c r="S132" i="1"/>
  <c r="R132" i="1"/>
  <c r="O132" i="1"/>
  <c r="P132" i="1"/>
  <c r="N132" i="1"/>
  <c r="M132" i="1"/>
  <c r="L132" i="1"/>
  <c r="K132" i="1"/>
  <c r="I132" i="1"/>
  <c r="S131" i="1"/>
  <c r="R131" i="1"/>
  <c r="O131" i="1"/>
  <c r="P131" i="1"/>
  <c r="N131" i="1"/>
  <c r="M131" i="1"/>
  <c r="L131" i="1"/>
  <c r="K131" i="1"/>
  <c r="I131" i="1"/>
  <c r="S130" i="1"/>
  <c r="R130" i="1"/>
  <c r="O130" i="1"/>
  <c r="P130" i="1"/>
  <c r="N130" i="1"/>
  <c r="M130" i="1"/>
  <c r="L130" i="1"/>
  <c r="K130" i="1"/>
  <c r="I130" i="1"/>
  <c r="O129" i="1"/>
  <c r="P129" i="1"/>
  <c r="N129" i="1"/>
  <c r="M129" i="1"/>
  <c r="L129" i="1"/>
  <c r="K129" i="1"/>
  <c r="I129" i="1"/>
  <c r="O128" i="1"/>
  <c r="P128" i="1"/>
  <c r="N128" i="1"/>
  <c r="M128" i="1"/>
  <c r="L128" i="1"/>
  <c r="K128" i="1"/>
  <c r="G128" i="1"/>
  <c r="I128" i="1" s="1"/>
  <c r="O127" i="1"/>
  <c r="P127" i="1"/>
  <c r="N127" i="1"/>
  <c r="M127" i="1"/>
  <c r="L127" i="1"/>
  <c r="K127" i="1"/>
  <c r="I127" i="1"/>
  <c r="O126" i="1"/>
  <c r="P126" i="1"/>
  <c r="N126" i="1"/>
  <c r="M126" i="1"/>
  <c r="L126" i="1"/>
  <c r="K126" i="1"/>
  <c r="G126" i="1"/>
  <c r="I126" i="1" s="1"/>
  <c r="S125" i="1"/>
  <c r="O125" i="1"/>
  <c r="P125" i="1"/>
  <c r="N125" i="1"/>
  <c r="M125" i="1"/>
  <c r="L125" i="1"/>
  <c r="K125" i="1"/>
  <c r="I125" i="1"/>
  <c r="S124" i="1"/>
  <c r="O124" i="1"/>
  <c r="P124" i="1"/>
  <c r="N124" i="1"/>
  <c r="M124" i="1"/>
  <c r="L124" i="1"/>
  <c r="K124" i="1"/>
  <c r="I124" i="1"/>
  <c r="O123" i="1"/>
  <c r="P123" i="1"/>
  <c r="N123" i="1"/>
  <c r="M123" i="1"/>
  <c r="L123" i="1"/>
  <c r="K123" i="1"/>
  <c r="G123" i="1"/>
  <c r="I123" i="1" s="1"/>
  <c r="O122" i="1"/>
  <c r="P122" i="1"/>
  <c r="N122" i="1"/>
  <c r="M122" i="1"/>
  <c r="L122" i="1"/>
  <c r="K122" i="1"/>
  <c r="I122" i="1"/>
  <c r="P121" i="1"/>
  <c r="O121" i="1"/>
  <c r="N121" i="1"/>
  <c r="M121" i="1"/>
  <c r="L121" i="1"/>
  <c r="K121" i="1"/>
  <c r="I121" i="1"/>
  <c r="O120" i="1"/>
  <c r="P120" i="1"/>
  <c r="N120" i="1"/>
  <c r="M120" i="1"/>
  <c r="L120" i="1"/>
  <c r="K120" i="1"/>
  <c r="G120" i="1"/>
  <c r="I120" i="1" s="1"/>
  <c r="S119" i="1"/>
  <c r="R119" i="1"/>
  <c r="P119" i="1"/>
  <c r="O119" i="1"/>
  <c r="N119" i="1"/>
  <c r="M119" i="1"/>
  <c r="L119" i="1"/>
  <c r="K119" i="1"/>
  <c r="I119" i="1"/>
  <c r="O118" i="1"/>
  <c r="P118" i="1"/>
  <c r="N118" i="1"/>
  <c r="M118" i="1"/>
  <c r="L118" i="1"/>
  <c r="K118" i="1"/>
  <c r="G118" i="1"/>
  <c r="I118" i="1" s="1"/>
  <c r="S117" i="1"/>
  <c r="O117" i="1"/>
  <c r="P117" i="1"/>
  <c r="N117" i="1"/>
  <c r="M117" i="1"/>
  <c r="L117" i="1"/>
  <c r="K117" i="1"/>
  <c r="I117" i="1"/>
  <c r="S116" i="1"/>
  <c r="O116" i="1"/>
  <c r="P116" i="1"/>
  <c r="N116" i="1"/>
  <c r="M116" i="1"/>
  <c r="L116" i="1"/>
  <c r="K116" i="1"/>
  <c r="I116" i="1"/>
  <c r="S115" i="1"/>
  <c r="O115" i="1"/>
  <c r="P115" i="1"/>
  <c r="N115" i="1"/>
  <c r="M115" i="1"/>
  <c r="L115" i="1"/>
  <c r="K115" i="1"/>
  <c r="I115" i="1"/>
  <c r="O114" i="1"/>
  <c r="P114" i="1"/>
  <c r="N114" i="1"/>
  <c r="M114" i="1"/>
  <c r="L114" i="1"/>
  <c r="K114" i="1"/>
  <c r="G114" i="1"/>
  <c r="I114" i="1" s="1"/>
  <c r="S113" i="1"/>
  <c r="R113" i="1"/>
  <c r="O113" i="1"/>
  <c r="P113" i="1"/>
  <c r="N113" i="1"/>
  <c r="M113" i="1"/>
  <c r="L113" i="1"/>
  <c r="K113" i="1"/>
  <c r="I113" i="1"/>
  <c r="S112" i="1"/>
  <c r="R112" i="1"/>
  <c r="O112" i="1"/>
  <c r="P112" i="1"/>
  <c r="N112" i="1"/>
  <c r="M112" i="1"/>
  <c r="L112" i="1"/>
  <c r="K112" i="1"/>
  <c r="I112" i="1"/>
  <c r="S111" i="1"/>
  <c r="R111" i="1"/>
  <c r="O111" i="1"/>
  <c r="P111" i="1"/>
  <c r="N111" i="1"/>
  <c r="M111" i="1"/>
  <c r="L111" i="1"/>
  <c r="K111" i="1"/>
  <c r="I111" i="1"/>
  <c r="S110" i="1"/>
  <c r="R110" i="1"/>
  <c r="O110" i="1"/>
  <c r="P110" i="1"/>
  <c r="N110" i="1"/>
  <c r="M110" i="1"/>
  <c r="L110" i="1"/>
  <c r="K110" i="1"/>
  <c r="I110" i="1"/>
  <c r="O109" i="1"/>
  <c r="P109" i="1"/>
  <c r="N109" i="1"/>
  <c r="M109" i="1"/>
  <c r="L109" i="1"/>
  <c r="K109" i="1"/>
  <c r="G109" i="1"/>
  <c r="I109" i="1" s="1"/>
  <c r="O108" i="1"/>
  <c r="P108" i="1"/>
  <c r="N108" i="1"/>
  <c r="M108" i="1"/>
  <c r="L108" i="1"/>
  <c r="K108" i="1"/>
  <c r="I108" i="1"/>
  <c r="O107" i="1"/>
  <c r="P107" i="1"/>
  <c r="N107" i="1"/>
  <c r="M107" i="1"/>
  <c r="L107" i="1"/>
  <c r="K107" i="1"/>
  <c r="G107" i="1"/>
  <c r="I107" i="1" s="1"/>
  <c r="O106" i="1"/>
  <c r="P106" i="1"/>
  <c r="N106" i="1"/>
  <c r="M106" i="1"/>
  <c r="L106" i="1"/>
  <c r="K106" i="1"/>
  <c r="I106" i="1"/>
  <c r="O105" i="1"/>
  <c r="P105" i="1"/>
  <c r="N105" i="1"/>
  <c r="M105" i="1"/>
  <c r="L105" i="1"/>
  <c r="K105" i="1"/>
  <c r="G105" i="1"/>
  <c r="I105" i="1" s="1"/>
  <c r="O104" i="1"/>
  <c r="P104" i="1"/>
  <c r="N104" i="1"/>
  <c r="M104" i="1"/>
  <c r="L104" i="1"/>
  <c r="K104" i="1"/>
  <c r="G104" i="1"/>
  <c r="I104" i="1" s="1"/>
  <c r="S103" i="1"/>
  <c r="R103" i="1"/>
  <c r="P103" i="1"/>
  <c r="O103" i="1"/>
  <c r="N103" i="1"/>
  <c r="M103" i="1"/>
  <c r="L103" i="1"/>
  <c r="K103" i="1"/>
  <c r="I103" i="1"/>
  <c r="S102" i="1"/>
  <c r="R102" i="1"/>
  <c r="P102" i="1"/>
  <c r="O102" i="1"/>
  <c r="N102" i="1"/>
  <c r="M102" i="1"/>
  <c r="L102" i="1"/>
  <c r="K102" i="1"/>
  <c r="I102" i="1"/>
  <c r="O101" i="1"/>
  <c r="P101" i="1"/>
  <c r="N101" i="1"/>
  <c r="M101" i="1"/>
  <c r="L101" i="1"/>
  <c r="K101" i="1"/>
  <c r="I101" i="1"/>
  <c r="O100" i="1"/>
  <c r="P100" i="1"/>
  <c r="N100" i="1"/>
  <c r="M100" i="1"/>
  <c r="L100" i="1"/>
  <c r="K100" i="1"/>
  <c r="G100" i="1"/>
  <c r="I100" i="1" s="1"/>
  <c r="O99" i="1"/>
  <c r="P99" i="1"/>
  <c r="N99" i="1"/>
  <c r="M99" i="1"/>
  <c r="L99" i="1"/>
  <c r="K99" i="1"/>
  <c r="G99" i="1"/>
  <c r="I99" i="1" s="1"/>
  <c r="O98" i="1"/>
  <c r="P98" i="1"/>
  <c r="N98" i="1"/>
  <c r="M98" i="1"/>
  <c r="L98" i="1"/>
  <c r="K98" i="1"/>
  <c r="I98" i="1"/>
  <c r="S97" i="1"/>
  <c r="R97" i="1"/>
  <c r="P97" i="1"/>
  <c r="O97" i="1"/>
  <c r="N97" i="1"/>
  <c r="M97" i="1"/>
  <c r="L97" i="1"/>
  <c r="K97" i="1"/>
  <c r="I97" i="1"/>
  <c r="P96" i="1"/>
  <c r="O96" i="1"/>
  <c r="N96" i="1"/>
  <c r="M96" i="1"/>
  <c r="L96" i="1"/>
  <c r="K96" i="1"/>
  <c r="I96" i="1"/>
  <c r="O95" i="1"/>
  <c r="P95" i="1"/>
  <c r="N95" i="1"/>
  <c r="M95" i="1"/>
  <c r="L95" i="1"/>
  <c r="K95" i="1"/>
  <c r="I95" i="1"/>
  <c r="S94" i="1"/>
  <c r="R94" i="1"/>
  <c r="O94" i="1"/>
  <c r="P94" i="1"/>
  <c r="N94" i="1"/>
  <c r="M94" i="1"/>
  <c r="L94" i="1"/>
  <c r="K94" i="1"/>
  <c r="I94" i="1"/>
  <c r="S93" i="1"/>
  <c r="R93" i="1"/>
  <c r="O93" i="1"/>
  <c r="P93" i="1"/>
  <c r="N93" i="1"/>
  <c r="M93" i="1"/>
  <c r="L93" i="1"/>
  <c r="K93" i="1"/>
  <c r="I93" i="1"/>
  <c r="S92" i="1"/>
  <c r="R92" i="1"/>
  <c r="O92" i="1"/>
  <c r="P92" i="1"/>
  <c r="N92" i="1"/>
  <c r="M92" i="1"/>
  <c r="L92" i="1"/>
  <c r="K92" i="1"/>
  <c r="I92" i="1"/>
  <c r="O91" i="1"/>
  <c r="P91" i="1"/>
  <c r="N91" i="1"/>
  <c r="M91" i="1"/>
  <c r="L91" i="1"/>
  <c r="K91" i="1"/>
  <c r="I91" i="1"/>
  <c r="O90" i="1"/>
  <c r="P90" i="1"/>
  <c r="N90" i="1"/>
  <c r="M90" i="1"/>
  <c r="L90" i="1"/>
  <c r="K90" i="1"/>
  <c r="G90" i="1"/>
  <c r="I90" i="1" s="1"/>
  <c r="O89" i="1"/>
  <c r="P89" i="1"/>
  <c r="N89" i="1"/>
  <c r="M89" i="1"/>
  <c r="L89" i="1"/>
  <c r="K89" i="1"/>
  <c r="G89" i="1"/>
  <c r="I89" i="1" s="1"/>
  <c r="O88" i="1"/>
  <c r="P88" i="1"/>
  <c r="N88" i="1"/>
  <c r="M88" i="1"/>
  <c r="L88" i="1"/>
  <c r="K88" i="1"/>
  <c r="G88" i="1"/>
  <c r="I88" i="1" s="1"/>
  <c r="S87" i="1"/>
  <c r="R87" i="1"/>
  <c r="P87" i="1"/>
  <c r="O87" i="1"/>
  <c r="N87" i="1"/>
  <c r="M87" i="1"/>
  <c r="L87" i="1"/>
  <c r="K87" i="1"/>
  <c r="I87" i="1"/>
  <c r="S86" i="1"/>
  <c r="R86" i="1"/>
  <c r="P86" i="1"/>
  <c r="O86" i="1"/>
  <c r="N86" i="1"/>
  <c r="M86" i="1"/>
  <c r="L86" i="1"/>
  <c r="K86" i="1"/>
  <c r="I86" i="1"/>
  <c r="O85" i="1"/>
  <c r="P85" i="1"/>
  <c r="N85" i="1"/>
  <c r="M85" i="1"/>
  <c r="L85" i="1"/>
  <c r="K85" i="1"/>
  <c r="I85" i="1"/>
  <c r="O84" i="1"/>
  <c r="P84" i="1"/>
  <c r="N84" i="1"/>
  <c r="M84" i="1"/>
  <c r="L84" i="1"/>
  <c r="K84" i="1"/>
  <c r="G84" i="1"/>
  <c r="I84" i="1" s="1"/>
  <c r="O83" i="1"/>
  <c r="P83" i="1"/>
  <c r="N83" i="1"/>
  <c r="M83" i="1"/>
  <c r="L83" i="1"/>
  <c r="K83" i="1"/>
  <c r="I83" i="1"/>
  <c r="O82" i="1"/>
  <c r="P82" i="1"/>
  <c r="N82" i="1"/>
  <c r="M82" i="1"/>
  <c r="L82" i="1"/>
  <c r="K82" i="1"/>
  <c r="G82" i="1"/>
  <c r="I82" i="1" s="1"/>
  <c r="S81" i="1"/>
  <c r="R81" i="1"/>
  <c r="O81" i="1"/>
  <c r="P81" i="1"/>
  <c r="N81" i="1"/>
  <c r="M81" i="1"/>
  <c r="L81" i="1"/>
  <c r="K81" i="1"/>
  <c r="I81" i="1"/>
  <c r="S80" i="1"/>
  <c r="R80" i="1"/>
  <c r="O80" i="1"/>
  <c r="P80" i="1"/>
  <c r="N80" i="1"/>
  <c r="M80" i="1"/>
  <c r="L80" i="1"/>
  <c r="K80" i="1"/>
  <c r="I80" i="1"/>
  <c r="S79" i="1"/>
  <c r="R79" i="1"/>
  <c r="O79" i="1"/>
  <c r="P79" i="1"/>
  <c r="N79" i="1"/>
  <c r="M79" i="1"/>
  <c r="L79" i="1"/>
  <c r="K79" i="1"/>
  <c r="I79" i="1"/>
  <c r="S78" i="1"/>
  <c r="R78" i="1"/>
  <c r="O78" i="1"/>
  <c r="P78" i="1"/>
  <c r="N78" i="1"/>
  <c r="M78" i="1"/>
  <c r="L78" i="1"/>
  <c r="K78" i="1"/>
  <c r="I78" i="1"/>
  <c r="O77" i="1"/>
  <c r="P77" i="1"/>
  <c r="N77" i="1"/>
  <c r="M77" i="1"/>
  <c r="L77" i="1"/>
  <c r="K77" i="1"/>
  <c r="I77" i="1"/>
  <c r="O76" i="1"/>
  <c r="P76" i="1"/>
  <c r="N76" i="1"/>
  <c r="M76" i="1"/>
  <c r="L76" i="1"/>
  <c r="K76" i="1"/>
  <c r="I76" i="1"/>
  <c r="O75" i="1"/>
  <c r="P75" i="1"/>
  <c r="N75" i="1"/>
  <c r="M75" i="1"/>
  <c r="L75" i="1"/>
  <c r="K75" i="1"/>
  <c r="G75" i="1"/>
  <c r="I75" i="1" s="1"/>
  <c r="O74" i="1"/>
  <c r="P74" i="1"/>
  <c r="N74" i="1"/>
  <c r="M74" i="1"/>
  <c r="L74" i="1"/>
  <c r="K74" i="1"/>
  <c r="I74" i="1"/>
  <c r="O73" i="1"/>
  <c r="P73" i="1"/>
  <c r="N73" i="1"/>
  <c r="M73" i="1"/>
  <c r="L73" i="1"/>
  <c r="K73" i="1"/>
  <c r="G73" i="1"/>
  <c r="I73" i="1" s="1"/>
  <c r="S72" i="1"/>
  <c r="R72" i="1"/>
  <c r="O72" i="1"/>
  <c r="P72" i="1"/>
  <c r="N72" i="1"/>
  <c r="M72" i="1"/>
  <c r="L72" i="1"/>
  <c r="K72" i="1"/>
  <c r="I72" i="1"/>
  <c r="S71" i="1"/>
  <c r="R71" i="1"/>
  <c r="O71" i="1"/>
  <c r="P71" i="1"/>
  <c r="N71" i="1"/>
  <c r="M71" i="1"/>
  <c r="L71" i="1"/>
  <c r="K71" i="1"/>
  <c r="I71" i="1"/>
  <c r="O70" i="1"/>
  <c r="P70" i="1"/>
  <c r="N70" i="1"/>
  <c r="M70" i="1"/>
  <c r="L70" i="1"/>
  <c r="K70" i="1"/>
  <c r="G70" i="1"/>
  <c r="I70" i="1" s="1"/>
  <c r="O69" i="1"/>
  <c r="P69" i="1"/>
  <c r="N69" i="1"/>
  <c r="M69" i="1"/>
  <c r="L69" i="1"/>
  <c r="K69" i="1"/>
  <c r="I69" i="1"/>
  <c r="O68" i="1"/>
  <c r="P68" i="1"/>
  <c r="N68" i="1"/>
  <c r="M68" i="1"/>
  <c r="L68" i="1"/>
  <c r="K68" i="1"/>
  <c r="G68" i="1"/>
  <c r="I68" i="1" s="1"/>
  <c r="S10" i="1"/>
  <c r="R10" i="1"/>
  <c r="O10" i="1"/>
  <c r="P10" i="1"/>
  <c r="N10" i="1"/>
  <c r="M10" i="1"/>
  <c r="L10" i="1"/>
  <c r="K10" i="1"/>
  <c r="I10" i="1"/>
  <c r="S9" i="1"/>
  <c r="R9" i="1"/>
  <c r="O9" i="1"/>
  <c r="P9" i="1"/>
  <c r="N9" i="1"/>
  <c r="M9" i="1"/>
  <c r="L9" i="1"/>
  <c r="K9" i="1"/>
  <c r="I9" i="1"/>
  <c r="O8" i="1"/>
  <c r="P8" i="1"/>
  <c r="N8" i="1"/>
  <c r="M8" i="1"/>
  <c r="L8" i="1"/>
  <c r="K8" i="1"/>
  <c r="G8" i="1"/>
  <c r="I8" i="1" s="1"/>
  <c r="O7" i="1"/>
  <c r="P7" i="1"/>
  <c r="N7" i="1"/>
  <c r="M7" i="1"/>
  <c r="L7" i="1"/>
  <c r="K7" i="1"/>
  <c r="I7" i="1"/>
  <c r="O6" i="1"/>
  <c r="P6" i="1"/>
  <c r="N6" i="1"/>
  <c r="M6" i="1"/>
  <c r="L6" i="1"/>
  <c r="K6" i="1"/>
  <c r="G6" i="1"/>
  <c r="I6" i="1" s="1"/>
  <c r="S5" i="1"/>
  <c r="R5" i="1"/>
  <c r="O5" i="1"/>
  <c r="P5" i="1"/>
  <c r="N5" i="1"/>
  <c r="M5" i="1"/>
  <c r="L5" i="1"/>
  <c r="K5" i="1"/>
  <c r="I5" i="1"/>
  <c r="R4" i="1"/>
  <c r="P4" i="1"/>
  <c r="O4" i="1"/>
  <c r="N4" i="1"/>
  <c r="M4" i="1"/>
  <c r="L4" i="1"/>
  <c r="K4" i="1"/>
  <c r="I4" i="1"/>
  <c r="O67" i="1"/>
  <c r="P67" i="1"/>
  <c r="N67" i="1"/>
  <c r="M67" i="1"/>
  <c r="L67" i="1"/>
  <c r="K67" i="1"/>
  <c r="I67" i="1"/>
  <c r="O66" i="1"/>
  <c r="P66" i="1"/>
  <c r="N66" i="1"/>
  <c r="M66" i="1"/>
  <c r="L66" i="1"/>
  <c r="K66" i="1"/>
  <c r="G66" i="1"/>
  <c r="I66" i="1" s="1"/>
  <c r="O3" i="1"/>
  <c r="P3" i="1"/>
  <c r="N3" i="1"/>
  <c r="M3" i="1"/>
  <c r="L3" i="1"/>
  <c r="K3" i="1"/>
  <c r="I3" i="1"/>
  <c r="O2" i="1"/>
  <c r="P2" i="1"/>
  <c r="N2" i="1"/>
  <c r="M2" i="1"/>
  <c r="L2" i="1"/>
  <c r="K2" i="1"/>
  <c r="G2" i="1"/>
  <c r="I2" i="1" s="1"/>
  <c r="O65" i="1"/>
  <c r="P65" i="1"/>
  <c r="N65" i="1"/>
  <c r="M65" i="1"/>
  <c r="L65" i="1"/>
  <c r="K65" i="1"/>
  <c r="G65" i="1"/>
  <c r="H65" i="1" s="1"/>
  <c r="O64" i="1"/>
  <c r="P64" i="1"/>
  <c r="N64" i="1"/>
  <c r="M64" i="1"/>
  <c r="L64" i="1"/>
  <c r="K64" i="1"/>
  <c r="G64" i="1"/>
  <c r="I64" i="1" s="1"/>
  <c r="O63" i="1"/>
  <c r="P63" i="1"/>
  <c r="N63" i="1"/>
  <c r="M63" i="1"/>
  <c r="L63" i="1"/>
  <c r="K63" i="1"/>
  <c r="G63" i="1"/>
  <c r="H63" i="1" s="1"/>
  <c r="O62" i="1"/>
  <c r="P62" i="1"/>
  <c r="N62" i="1"/>
  <c r="M62" i="1"/>
  <c r="L62" i="1"/>
  <c r="K62" i="1"/>
  <c r="G62" i="1"/>
  <c r="H62" i="1" s="1"/>
  <c r="P61" i="1"/>
  <c r="O61" i="1"/>
  <c r="N61" i="1"/>
  <c r="M61" i="1"/>
  <c r="L61" i="1"/>
  <c r="K61" i="1"/>
  <c r="I61" i="1"/>
  <c r="O60" i="1"/>
  <c r="P60" i="1"/>
  <c r="N60" i="1"/>
  <c r="M60" i="1"/>
  <c r="L60" i="1"/>
  <c r="K60" i="1"/>
  <c r="I60" i="1"/>
  <c r="O59" i="1"/>
  <c r="P59" i="1"/>
  <c r="N59" i="1"/>
  <c r="M59" i="1"/>
  <c r="L59" i="1"/>
  <c r="K59" i="1"/>
  <c r="G59" i="1"/>
  <c r="I59" i="1" s="1"/>
  <c r="O58" i="1"/>
  <c r="P58" i="1"/>
  <c r="N58" i="1"/>
  <c r="M58" i="1"/>
  <c r="L58" i="1"/>
  <c r="K58" i="1"/>
  <c r="G58" i="1"/>
  <c r="I58" i="1" s="1"/>
  <c r="O57" i="1"/>
  <c r="P57" i="1"/>
  <c r="N57" i="1"/>
  <c r="M57" i="1"/>
  <c r="L57" i="1"/>
  <c r="K57" i="1"/>
  <c r="G57" i="1"/>
  <c r="I57" i="1" s="1"/>
  <c r="S56" i="1"/>
  <c r="R56" i="1"/>
  <c r="O56" i="1"/>
  <c r="P56" i="1"/>
  <c r="N56" i="1"/>
  <c r="M56" i="1"/>
  <c r="L56" i="1"/>
  <c r="K56" i="1"/>
  <c r="I56" i="1"/>
  <c r="S55" i="1"/>
  <c r="R55" i="1"/>
  <c r="O55" i="1"/>
  <c r="P55" i="1"/>
  <c r="N55" i="1"/>
  <c r="M55" i="1"/>
  <c r="L55" i="1"/>
  <c r="K55" i="1"/>
  <c r="I55" i="1"/>
  <c r="S54" i="1"/>
  <c r="R54" i="1"/>
  <c r="O54" i="1"/>
  <c r="P54" i="1"/>
  <c r="N54" i="1"/>
  <c r="M54" i="1"/>
  <c r="L54" i="1"/>
  <c r="K54" i="1"/>
  <c r="I54" i="1"/>
  <c r="S53" i="1"/>
  <c r="R53" i="1"/>
  <c r="O53" i="1"/>
  <c r="P53" i="1"/>
  <c r="N53" i="1"/>
  <c r="M53" i="1"/>
  <c r="L53" i="1"/>
  <c r="K53" i="1"/>
  <c r="I53" i="1"/>
  <c r="S52" i="1"/>
  <c r="R52" i="1"/>
  <c r="O52" i="1"/>
  <c r="P52" i="1"/>
  <c r="N52" i="1"/>
  <c r="M52" i="1"/>
  <c r="L52" i="1"/>
  <c r="K52" i="1"/>
  <c r="I52" i="1"/>
  <c r="S51" i="1"/>
  <c r="R51" i="1"/>
  <c r="O51" i="1"/>
  <c r="P51" i="1"/>
  <c r="N51" i="1"/>
  <c r="M51" i="1"/>
  <c r="L51" i="1"/>
  <c r="K51" i="1"/>
  <c r="I51" i="1"/>
  <c r="S50" i="1"/>
  <c r="R50" i="1"/>
  <c r="P50" i="1"/>
  <c r="O50" i="1"/>
  <c r="N50" i="1"/>
  <c r="M50" i="1"/>
  <c r="L50" i="1"/>
  <c r="K50" i="1"/>
  <c r="I50" i="1"/>
  <c r="O49" i="1"/>
  <c r="P49" i="1"/>
  <c r="N49" i="1"/>
  <c r="M49" i="1"/>
  <c r="L49" i="1"/>
  <c r="K49" i="1"/>
  <c r="I49" i="1"/>
  <c r="H49" i="1"/>
  <c r="O48" i="1"/>
  <c r="P48" i="1"/>
  <c r="N48" i="1"/>
  <c r="M48" i="1"/>
  <c r="L48" i="1"/>
  <c r="K48" i="1"/>
  <c r="I48" i="1"/>
  <c r="H48" i="1"/>
  <c r="O47" i="1"/>
  <c r="P47" i="1"/>
  <c r="N47" i="1"/>
  <c r="M47" i="1"/>
  <c r="L47" i="1"/>
  <c r="K47" i="1"/>
  <c r="G47" i="1"/>
  <c r="I47" i="1" s="1"/>
  <c r="O46" i="1"/>
  <c r="P46" i="1"/>
  <c r="N46" i="1"/>
  <c r="M46" i="1"/>
  <c r="L46" i="1"/>
  <c r="K46" i="1"/>
  <c r="I46" i="1"/>
  <c r="S45" i="1"/>
  <c r="R45" i="1"/>
  <c r="O45" i="1"/>
  <c r="P45" i="1"/>
  <c r="N45" i="1"/>
  <c r="M45" i="1"/>
  <c r="L45" i="1"/>
  <c r="K45" i="1"/>
  <c r="I45" i="1"/>
  <c r="O44" i="1"/>
  <c r="P44" i="1"/>
  <c r="N44" i="1"/>
  <c r="M44" i="1"/>
  <c r="L44" i="1"/>
  <c r="K44" i="1"/>
  <c r="I44" i="1"/>
  <c r="H44" i="1"/>
  <c r="O43" i="1"/>
  <c r="P43" i="1"/>
  <c r="N43" i="1"/>
  <c r="M43" i="1"/>
  <c r="L43" i="1"/>
  <c r="K43" i="1"/>
  <c r="G43" i="1"/>
  <c r="I43" i="1" s="1"/>
  <c r="O42" i="1"/>
  <c r="P42" i="1"/>
  <c r="N42" i="1"/>
  <c r="M42" i="1"/>
  <c r="L42" i="1"/>
  <c r="K42" i="1"/>
  <c r="I42" i="1"/>
  <c r="O41" i="1"/>
  <c r="P41" i="1"/>
  <c r="N41" i="1"/>
  <c r="M41" i="1"/>
  <c r="L41" i="1"/>
  <c r="K41" i="1"/>
  <c r="I41" i="1"/>
  <c r="O40" i="1"/>
  <c r="P40" i="1"/>
  <c r="N40" i="1"/>
  <c r="M40" i="1"/>
  <c r="L40" i="1"/>
  <c r="K40" i="1"/>
  <c r="I40" i="1"/>
  <c r="O39" i="1"/>
  <c r="P39" i="1"/>
  <c r="N39" i="1"/>
  <c r="M39" i="1"/>
  <c r="L39" i="1"/>
  <c r="K39" i="1"/>
  <c r="I39" i="1"/>
  <c r="O38" i="1"/>
  <c r="P38" i="1"/>
  <c r="N38" i="1"/>
  <c r="M38" i="1"/>
  <c r="L38" i="1"/>
  <c r="K38" i="1"/>
  <c r="I38" i="1"/>
  <c r="O37" i="1"/>
  <c r="P37" i="1"/>
  <c r="N37" i="1"/>
  <c r="M37" i="1"/>
  <c r="L37" i="1"/>
  <c r="K37" i="1"/>
  <c r="I37" i="1"/>
  <c r="S36" i="1"/>
  <c r="R36" i="1"/>
  <c r="O36" i="1"/>
  <c r="P36" i="1"/>
  <c r="N36" i="1"/>
  <c r="M36" i="1"/>
  <c r="L36" i="1"/>
  <c r="K36" i="1"/>
  <c r="I36" i="1"/>
  <c r="S35" i="1"/>
  <c r="R35" i="1"/>
  <c r="O35" i="1"/>
  <c r="P35" i="1"/>
  <c r="N35" i="1"/>
  <c r="M35" i="1"/>
  <c r="L35" i="1"/>
  <c r="K35" i="1"/>
  <c r="I35" i="1"/>
  <c r="O34" i="1"/>
  <c r="P34" i="1"/>
  <c r="N34" i="1"/>
  <c r="M34" i="1"/>
  <c r="L34" i="1"/>
  <c r="K34" i="1"/>
  <c r="I34" i="1"/>
  <c r="O33" i="1"/>
  <c r="P33" i="1"/>
  <c r="N33" i="1"/>
  <c r="M33" i="1"/>
  <c r="L33" i="1"/>
  <c r="K33" i="1"/>
  <c r="I33" i="1"/>
  <c r="O32" i="1"/>
  <c r="P32" i="1"/>
  <c r="N32" i="1"/>
  <c r="M32" i="1"/>
  <c r="L32" i="1"/>
  <c r="K32" i="1"/>
  <c r="I32" i="1"/>
  <c r="O31" i="1"/>
  <c r="P31" i="1"/>
  <c r="N31" i="1"/>
  <c r="M31" i="1"/>
  <c r="L31" i="1"/>
  <c r="K31" i="1"/>
  <c r="I31" i="1"/>
  <c r="O30" i="1"/>
  <c r="P30" i="1"/>
  <c r="N30" i="1"/>
  <c r="M30" i="1"/>
  <c r="L30" i="1"/>
  <c r="K30" i="1"/>
  <c r="I30" i="1"/>
  <c r="O29" i="1"/>
  <c r="P29" i="1"/>
  <c r="N29" i="1"/>
  <c r="M29" i="1"/>
  <c r="L29" i="1"/>
  <c r="K29" i="1"/>
  <c r="I29" i="1"/>
  <c r="O28" i="1"/>
  <c r="P28" i="1"/>
  <c r="N28" i="1"/>
  <c r="M28" i="1"/>
  <c r="L28" i="1"/>
  <c r="K28" i="1"/>
  <c r="I28" i="1"/>
  <c r="O27" i="1"/>
  <c r="P27" i="1"/>
  <c r="N27" i="1"/>
  <c r="M27" i="1"/>
  <c r="L27" i="1"/>
  <c r="K27" i="1"/>
  <c r="I27" i="1"/>
  <c r="O26" i="1"/>
  <c r="P26" i="1"/>
  <c r="N26" i="1"/>
  <c r="M26" i="1"/>
  <c r="L26" i="1"/>
  <c r="K26" i="1"/>
  <c r="I26" i="1"/>
  <c r="O25" i="1"/>
  <c r="P25" i="1"/>
  <c r="N25" i="1"/>
  <c r="M25" i="1"/>
  <c r="L25" i="1"/>
  <c r="K25" i="1"/>
  <c r="I25" i="1"/>
  <c r="S24" i="1"/>
  <c r="R24" i="1"/>
  <c r="P24" i="1"/>
  <c r="O24" i="1"/>
  <c r="N24" i="1"/>
  <c r="M24" i="1"/>
  <c r="L24" i="1"/>
  <c r="K24" i="1"/>
  <c r="I24" i="1"/>
  <c r="P23" i="1"/>
  <c r="O23" i="1"/>
  <c r="N23" i="1"/>
  <c r="M23" i="1"/>
  <c r="L23" i="1"/>
  <c r="K23" i="1"/>
  <c r="I23" i="1"/>
  <c r="O22" i="1"/>
  <c r="P22" i="1"/>
  <c r="N22" i="1"/>
  <c r="M22" i="1"/>
  <c r="L22" i="1"/>
  <c r="K22" i="1"/>
  <c r="I22" i="1"/>
  <c r="O21" i="1"/>
  <c r="P21" i="1"/>
  <c r="N21" i="1"/>
  <c r="M21" i="1"/>
  <c r="L21" i="1"/>
  <c r="K21" i="1"/>
  <c r="I21" i="1"/>
  <c r="O20" i="1"/>
  <c r="P20" i="1"/>
  <c r="N20" i="1"/>
  <c r="M20" i="1"/>
  <c r="L20" i="1"/>
  <c r="K20" i="1"/>
  <c r="I20" i="1"/>
  <c r="O19" i="1"/>
  <c r="P19" i="1"/>
  <c r="N19" i="1"/>
  <c r="M19" i="1"/>
  <c r="L19" i="1"/>
  <c r="K19" i="1"/>
  <c r="I19" i="1"/>
  <c r="O18" i="1"/>
  <c r="P18" i="1"/>
  <c r="N18" i="1"/>
  <c r="M18" i="1"/>
  <c r="L18" i="1"/>
  <c r="K18" i="1"/>
  <c r="I18" i="1"/>
  <c r="O17" i="1"/>
  <c r="P17" i="1"/>
  <c r="N17" i="1"/>
  <c r="M17" i="1"/>
  <c r="L17" i="1"/>
  <c r="K17" i="1"/>
  <c r="I17" i="1"/>
  <c r="P16" i="1"/>
  <c r="O16" i="1"/>
  <c r="N16" i="1"/>
  <c r="M16" i="1"/>
  <c r="L16" i="1"/>
  <c r="K16" i="1"/>
  <c r="I16" i="1"/>
  <c r="P15" i="1"/>
  <c r="O15" i="1"/>
  <c r="N15" i="1"/>
  <c r="M15" i="1"/>
  <c r="L15" i="1"/>
  <c r="K15" i="1"/>
  <c r="I15" i="1"/>
  <c r="O14" i="1"/>
  <c r="P14" i="1"/>
  <c r="N14" i="1"/>
  <c r="M14" i="1"/>
  <c r="L14" i="1"/>
  <c r="K14" i="1"/>
  <c r="I14" i="1"/>
  <c r="O13" i="1"/>
  <c r="P13" i="1"/>
  <c r="N13" i="1"/>
  <c r="M13" i="1"/>
  <c r="L13" i="1"/>
  <c r="K13" i="1"/>
  <c r="I13" i="1"/>
  <c r="O12" i="1"/>
  <c r="P12" i="1"/>
  <c r="N12" i="1"/>
  <c r="M12" i="1"/>
  <c r="L12" i="1"/>
  <c r="K12" i="1"/>
  <c r="I12" i="1"/>
  <c r="O11" i="1"/>
  <c r="P11" i="1"/>
  <c r="N11" i="1"/>
  <c r="M11" i="1"/>
  <c r="L11" i="1"/>
  <c r="K11" i="1"/>
  <c r="I11" i="1"/>
  <c r="O249" i="2"/>
  <c r="O250" i="2"/>
  <c r="O258" i="2"/>
  <c r="O294" i="2"/>
  <c r="Q264" i="1"/>
  <c r="Q260" i="1"/>
  <c r="Q265" i="1"/>
  <c r="I65" i="1" l="1"/>
  <c r="O244" i="2"/>
  <c r="O216" i="2"/>
  <c r="O264" i="2"/>
  <c r="Q261" i="1"/>
  <c r="Q253" i="1"/>
  <c r="O272" i="2"/>
  <c r="O274" i="2"/>
  <c r="Q262" i="1"/>
  <c r="O292" i="2"/>
  <c r="O293" i="2"/>
  <c r="O234" i="2"/>
  <c r="O285" i="2"/>
  <c r="Q250" i="1"/>
  <c r="Q252" i="1"/>
  <c r="O282" i="2"/>
  <c r="O248" i="2"/>
  <c r="O283" i="2"/>
  <c r="O284" i="2"/>
  <c r="O289" i="2"/>
  <c r="O317" i="2"/>
  <c r="O185" i="2"/>
  <c r="O193" i="2"/>
  <c r="O189" i="2"/>
  <c r="O161" i="2"/>
  <c r="O165" i="2"/>
  <c r="O202" i="2"/>
  <c r="Q186" i="1"/>
  <c r="Q208" i="1"/>
  <c r="Q242" i="1"/>
  <c r="Q246" i="1"/>
  <c r="O246" i="2"/>
  <c r="O195" i="2"/>
  <c r="O203" i="2"/>
  <c r="O222" i="2"/>
  <c r="O133" i="2"/>
  <c r="O157" i="2"/>
  <c r="O169" i="2"/>
  <c r="O181" i="2"/>
  <c r="O197" i="2"/>
  <c r="O204" i="2"/>
  <c r="O132" i="2"/>
  <c r="O160" i="2"/>
  <c r="O164" i="2"/>
  <c r="O134" i="2"/>
  <c r="O154" i="2"/>
  <c r="O194" i="2"/>
  <c r="O126" i="2"/>
  <c r="O130" i="2"/>
  <c r="O170" i="2"/>
  <c r="O174" i="2"/>
  <c r="O187" i="2"/>
  <c r="O191" i="2"/>
  <c r="Q207" i="1"/>
  <c r="O93" i="2"/>
  <c r="O129" i="2"/>
  <c r="O212" i="2"/>
  <c r="O217" i="2"/>
  <c r="Q259" i="1"/>
  <c r="Q270" i="1"/>
  <c r="Q215" i="1"/>
  <c r="Q223" i="1"/>
  <c r="O125" i="2"/>
  <c r="O153" i="2"/>
  <c r="O83" i="2"/>
  <c r="O91" i="2"/>
  <c r="O103" i="2"/>
  <c r="O107" i="2"/>
  <c r="O111" i="2"/>
  <c r="O119" i="2"/>
  <c r="O123" i="2"/>
  <c r="O127" i="2"/>
  <c r="O135" i="2"/>
  <c r="O143" i="2"/>
  <c r="O151" i="2"/>
  <c r="O155" i="2"/>
  <c r="O171" i="2"/>
  <c r="O175" i="2"/>
  <c r="O199" i="2"/>
  <c r="O207" i="2"/>
  <c r="O233" i="2"/>
  <c r="O245" i="2"/>
  <c r="O265" i="2"/>
  <c r="Q248" i="1"/>
  <c r="Q249" i="1"/>
  <c r="Q229" i="1"/>
  <c r="Q244" i="1"/>
  <c r="Q239" i="1"/>
  <c r="Q175" i="1"/>
  <c r="I62" i="1"/>
  <c r="O67" i="2"/>
  <c r="O71" i="2"/>
  <c r="Q231" i="1"/>
  <c r="Q166" i="1"/>
  <c r="Q185" i="1"/>
  <c r="Q191" i="1"/>
  <c r="Q197" i="1"/>
  <c r="Q203" i="1"/>
  <c r="Q219" i="1"/>
  <c r="Q233" i="1"/>
  <c r="Q279" i="1"/>
  <c r="O295" i="2"/>
  <c r="Q108" i="1"/>
  <c r="Q162" i="1"/>
  <c r="Q184" i="1"/>
  <c r="Q193" i="1"/>
  <c r="Q201" i="1"/>
  <c r="H17" i="7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Q269" i="1"/>
  <c r="Q187" i="1"/>
  <c r="Q211" i="1"/>
  <c r="Q228" i="1"/>
  <c r="O120" i="2"/>
  <c r="O124" i="2"/>
  <c r="O136" i="2"/>
  <c r="O148" i="2"/>
  <c r="O156" i="2"/>
  <c r="O180" i="2"/>
  <c r="O184" i="2"/>
  <c r="O188" i="2"/>
  <c r="O192" i="2"/>
  <c r="O196" i="2"/>
  <c r="Q158" i="1"/>
  <c r="Q168" i="1"/>
  <c r="Q180" i="1"/>
  <c r="O218" i="2"/>
  <c r="O230" i="2"/>
  <c r="O243" i="2"/>
  <c r="O247" i="2"/>
  <c r="O263" i="2"/>
  <c r="O266" i="2"/>
  <c r="O275" i="2"/>
  <c r="O287" i="2"/>
  <c r="Q199" i="1"/>
  <c r="Q205" i="1"/>
  <c r="Q209" i="1"/>
  <c r="Q213" i="1"/>
  <c r="Q217" i="1"/>
  <c r="Q221" i="1"/>
  <c r="Q235" i="1"/>
  <c r="Q251" i="1"/>
  <c r="Q258" i="1"/>
  <c r="Q266" i="1"/>
  <c r="O92" i="2"/>
  <c r="O108" i="2"/>
  <c r="Q154" i="1"/>
  <c r="Q179" i="1"/>
  <c r="Q137" i="1"/>
  <c r="Q141" i="1"/>
  <c r="Q147" i="1"/>
  <c r="Q153" i="1"/>
  <c r="Q157" i="1"/>
  <c r="Q202" i="1"/>
  <c r="Q104" i="1"/>
  <c r="Q172" i="1"/>
  <c r="Q167" i="1"/>
  <c r="Q181" i="1"/>
  <c r="Q183" i="1"/>
  <c r="Q194" i="1"/>
  <c r="Q200" i="1"/>
  <c r="Q204" i="1"/>
  <c r="Q212" i="1"/>
  <c r="Q216" i="1"/>
  <c r="Q224" i="1"/>
  <c r="Q230" i="1"/>
  <c r="Q234" i="1"/>
  <c r="Q240" i="1"/>
  <c r="Q243" i="1"/>
  <c r="Q247" i="1"/>
  <c r="Q128" i="1"/>
  <c r="O72" i="2"/>
  <c r="O104" i="2"/>
  <c r="O276" i="2"/>
  <c r="O280" i="2"/>
  <c r="O290" i="2"/>
  <c r="O242" i="2"/>
  <c r="O211" i="2"/>
  <c r="O221" i="2"/>
  <c r="O229" i="2"/>
  <c r="O238" i="2"/>
  <c r="O254" i="2"/>
  <c r="O262" i="2"/>
  <c r="O270" i="2"/>
  <c r="O300" i="2"/>
  <c r="O304" i="2"/>
  <c r="O308" i="2"/>
  <c r="O220" i="2"/>
  <c r="O279" i="2"/>
  <c r="O299" i="2"/>
  <c r="O303" i="2"/>
  <c r="O307" i="2"/>
  <c r="O323" i="2"/>
  <c r="O210" i="2"/>
  <c r="O228" i="2"/>
  <c r="O237" i="2"/>
  <c r="O241" i="2"/>
  <c r="O253" i="2"/>
  <c r="O257" i="2"/>
  <c r="O261" i="2"/>
  <c r="O269" i="2"/>
  <c r="O227" i="2"/>
  <c r="O231" i="2"/>
  <c r="O236" i="2"/>
  <c r="O240" i="2"/>
  <c r="O252" i="2"/>
  <c r="O256" i="2"/>
  <c r="O260" i="2"/>
  <c r="O268" i="2"/>
  <c r="O277" i="2"/>
  <c r="O281" i="2"/>
  <c r="O291" i="2"/>
  <c r="O297" i="2"/>
  <c r="O301" i="2"/>
  <c r="O305" i="2"/>
  <c r="O321" i="2"/>
  <c r="O226" i="2"/>
  <c r="O235" i="2"/>
  <c r="O239" i="2"/>
  <c r="O251" i="2"/>
  <c r="O255" i="2"/>
  <c r="O259" i="2"/>
  <c r="O267" i="2"/>
  <c r="O271" i="2"/>
  <c r="O198" i="2"/>
  <c r="O278" i="2"/>
  <c r="O298" i="2"/>
  <c r="O302" i="2"/>
  <c r="O306" i="2"/>
  <c r="O322" i="2"/>
  <c r="Q94" i="1"/>
  <c r="Q105" i="1"/>
  <c r="Q122" i="1"/>
  <c r="Q139" i="1"/>
  <c r="Q196" i="1"/>
  <c r="Q206" i="1"/>
  <c r="Q210" i="1"/>
  <c r="O68" i="2"/>
  <c r="Q148" i="1"/>
  <c r="Q149" i="1"/>
  <c r="Q163" i="1"/>
  <c r="Q173" i="1"/>
  <c r="Q214" i="1"/>
  <c r="Q218" i="1"/>
  <c r="Q222" i="1"/>
  <c r="Q226" i="1"/>
  <c r="Q232" i="1"/>
  <c r="Q236" i="1"/>
  <c r="Q245" i="1"/>
  <c r="O69" i="2"/>
  <c r="O81" i="2"/>
  <c r="O101" i="2"/>
  <c r="O109" i="2"/>
  <c r="O66" i="2"/>
  <c r="O74" i="2"/>
  <c r="O78" i="2"/>
  <c r="O82" i="2"/>
  <c r="O86" i="2"/>
  <c r="O90" i="2"/>
  <c r="O98" i="2"/>
  <c r="O102" i="2"/>
  <c r="O106" i="2"/>
  <c r="O118" i="2"/>
  <c r="O122" i="2"/>
  <c r="Q112" i="1"/>
  <c r="Q127" i="1"/>
  <c r="Q133" i="1"/>
  <c r="Q151" i="1"/>
  <c r="Q152" i="1"/>
  <c r="Q156" i="1"/>
  <c r="Q170" i="1"/>
  <c r="Q174" i="1"/>
  <c r="Q178" i="1"/>
  <c r="Q192" i="1"/>
  <c r="Q9" i="1"/>
  <c r="Q90" i="1"/>
  <c r="Q111" i="1"/>
  <c r="Q132" i="1"/>
  <c r="Q140" i="1"/>
  <c r="Q155" i="1"/>
  <c r="Q161" i="1"/>
  <c r="Q169" i="1"/>
  <c r="Q131" i="1"/>
  <c r="Q135" i="1"/>
  <c r="Q106" i="1"/>
  <c r="Q110" i="1"/>
  <c r="Q114" i="1"/>
  <c r="Q123" i="1"/>
  <c r="Q129" i="1"/>
  <c r="Q143" i="1"/>
  <c r="Q160" i="1"/>
  <c r="Q164" i="1"/>
  <c r="Q195" i="1"/>
  <c r="Q63" i="1"/>
  <c r="Q120" i="1"/>
  <c r="Q124" i="1"/>
  <c r="Q125" i="1"/>
  <c r="Q165" i="1"/>
  <c r="Q171" i="1"/>
  <c r="Q177" i="1"/>
  <c r="O320" i="2"/>
  <c r="O311" i="2"/>
  <c r="Q238" i="1"/>
  <c r="Q274" i="1"/>
  <c r="Q272" i="1"/>
  <c r="Q241" i="1"/>
  <c r="Q84" i="1"/>
  <c r="Q118" i="1"/>
  <c r="Q76" i="1"/>
  <c r="Q80" i="1"/>
  <c r="O319" i="2"/>
  <c r="Q91" i="1"/>
  <c r="Q113" i="1"/>
  <c r="Q115" i="1"/>
  <c r="Q116" i="1"/>
  <c r="Q117" i="1"/>
  <c r="Q126" i="1"/>
  <c r="Q130" i="1"/>
  <c r="Q134" i="1"/>
  <c r="Q136" i="1"/>
  <c r="Q85" i="1"/>
  <c r="Q89" i="1"/>
  <c r="Q95" i="1"/>
  <c r="Q101" i="1"/>
  <c r="Q109" i="1"/>
  <c r="Q188" i="1"/>
  <c r="Q142" i="1"/>
  <c r="I68" i="6"/>
  <c r="H68" i="6"/>
  <c r="H69" i="6" s="1"/>
  <c r="H70" i="6" s="1"/>
  <c r="L89" i="8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L120" i="8" s="1"/>
  <c r="L121" i="8" s="1"/>
  <c r="L122" i="8" s="1"/>
  <c r="L123" i="8" s="1"/>
  <c r="L124" i="8" s="1"/>
  <c r="L125" i="8" s="1"/>
  <c r="L126" i="8" s="1"/>
  <c r="L127" i="8" s="1"/>
  <c r="L128" i="8" s="1"/>
  <c r="N88" i="8"/>
  <c r="H16" i="10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I16" i="10"/>
  <c r="I63" i="1"/>
  <c r="Q276" i="1"/>
  <c r="Q282" i="1"/>
  <c r="Q237" i="1"/>
  <c r="Q254" i="1"/>
  <c r="Q255" i="1"/>
  <c r="Q257" i="1"/>
  <c r="Q65" i="1"/>
  <c r="O286" i="2"/>
  <c r="Q273" i="1"/>
  <c r="Q13" i="1"/>
  <c r="Q17" i="1"/>
  <c r="Q21" i="1"/>
  <c r="Q27" i="1"/>
  <c r="Q31" i="1"/>
  <c r="Q35" i="1"/>
  <c r="Q39" i="1"/>
  <c r="Q271" i="1"/>
  <c r="O288" i="2"/>
  <c r="Q58" i="1"/>
  <c r="Q55" i="1"/>
  <c r="Q59" i="1"/>
  <c r="Q68" i="1"/>
  <c r="Q57" i="1"/>
  <c r="Q54" i="1"/>
  <c r="Q73" i="1"/>
  <c r="Q78" i="1"/>
  <c r="Q93" i="1"/>
  <c r="Q64" i="1"/>
  <c r="Q2" i="1"/>
  <c r="Q5" i="1"/>
  <c r="Q69" i="1"/>
  <c r="Q74" i="1"/>
  <c r="Q75" i="1"/>
  <c r="Q81" i="1"/>
  <c r="Q83" i="1"/>
  <c r="Q88" i="1"/>
  <c r="Q92" i="1"/>
  <c r="Q263" i="1"/>
  <c r="Q267" i="1"/>
  <c r="Q22" i="1"/>
  <c r="Q28" i="1"/>
  <c r="Q53" i="1"/>
  <c r="Q60" i="1"/>
  <c r="Q62" i="1"/>
  <c r="Q3" i="1"/>
  <c r="Q8" i="1"/>
  <c r="Q10" i="1"/>
  <c r="Q70" i="1"/>
  <c r="Q72" i="1"/>
  <c r="Q45" i="1"/>
  <c r="Q51" i="1"/>
  <c r="Q67" i="1"/>
  <c r="Q6" i="1"/>
  <c r="Q82" i="1"/>
  <c r="Q99" i="1"/>
  <c r="Q107" i="1"/>
  <c r="Q7" i="1"/>
  <c r="Q100" i="1"/>
  <c r="Q29" i="1"/>
  <c r="Q33" i="1"/>
  <c r="Q37" i="1"/>
  <c r="Q41" i="1"/>
  <c r="Q52" i="1"/>
  <c r="Q56" i="1"/>
  <c r="Q66" i="1"/>
  <c r="Q71" i="1"/>
  <c r="Q77" i="1"/>
  <c r="Q79" i="1"/>
  <c r="Q98" i="1"/>
  <c r="Q268" i="1"/>
  <c r="O315" i="2"/>
  <c r="Q20" i="1"/>
  <c r="Q26" i="1"/>
  <c r="Q30" i="1"/>
  <c r="Q34" i="1"/>
  <c r="Q36" i="1"/>
  <c r="Q38" i="1"/>
  <c r="Q42" i="1"/>
  <c r="Q43" i="1"/>
  <c r="Q44" i="1"/>
  <c r="Q46" i="1"/>
  <c r="Q47" i="1"/>
  <c r="Q48" i="1"/>
  <c r="Q49" i="1"/>
  <c r="Q12" i="1"/>
  <c r="O313" i="2"/>
  <c r="O310" i="2"/>
  <c r="O318" i="2"/>
  <c r="O312" i="2"/>
  <c r="Q11" i="1"/>
  <c r="Q19" i="1"/>
  <c r="Q25" i="1"/>
  <c r="O309" i="2"/>
  <c r="O296" i="2"/>
  <c r="Q275" i="1"/>
  <c r="O314" i="2"/>
  <c r="Q277" i="1"/>
  <c r="O316" i="2"/>
  <c r="Q281" i="1"/>
  <c r="Q14" i="1"/>
  <c r="Q18" i="1"/>
  <c r="Q32" i="1"/>
  <c r="Q40" i="1"/>
  <c r="Q278" i="1"/>
  <c r="Q280" i="1"/>
  <c r="O324" i="2"/>
  <c r="I35" i="7" l="1"/>
  <c r="I38" i="7" s="1"/>
  <c r="L129" i="8"/>
  <c r="L130" i="8" s="1"/>
  <c r="L131" i="8" s="1"/>
  <c r="L132" i="8" s="1"/>
  <c r="L133" i="8" s="1"/>
  <c r="L134" i="8" s="1"/>
  <c r="L135" i="8" s="1"/>
  <c r="L136" i="8" s="1"/>
  <c r="L137" i="8" s="1"/>
  <c r="L138" i="8" s="1"/>
  <c r="H39" i="7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I41" i="7"/>
  <c r="H49" i="10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M52" i="10"/>
  <c r="H71" i="6"/>
  <c r="H72" i="6" s="1"/>
  <c r="I81" i="6"/>
  <c r="L139" i="8" l="1"/>
  <c r="L140" i="8" s="1"/>
  <c r="L141" i="8" s="1"/>
  <c r="L142" i="8" s="1"/>
  <c r="L143" i="8" s="1"/>
  <c r="L144" i="8" s="1"/>
  <c r="L145" i="8" s="1"/>
  <c r="L146" i="8" s="1"/>
  <c r="L147" i="8" s="1"/>
  <c r="L148" i="8" s="1"/>
  <c r="I69" i="7"/>
  <c r="I74" i="7" s="1"/>
  <c r="H70" i="7"/>
  <c r="H73" i="6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I92" i="6" s="1"/>
  <c r="M76" i="6"/>
  <c r="L149" i="8" l="1"/>
  <c r="L150" i="8" s="1"/>
  <c r="L151" i="8" s="1"/>
  <c r="L152" i="8" s="1"/>
  <c r="L153" i="8" s="1"/>
  <c r="L154" i="8" s="1"/>
  <c r="L155" i="8" s="1"/>
  <c r="L156" i="8" s="1"/>
  <c r="L157" i="8" s="1"/>
  <c r="L158" i="8" s="1"/>
  <c r="L159" i="8" s="1"/>
  <c r="L160" i="8" s="1"/>
  <c r="L161" i="8" s="1"/>
  <c r="L162" i="8" s="1"/>
  <c r="L163" i="8" s="1"/>
  <c r="L164" i="8" s="1"/>
  <c r="L165" i="8" s="1"/>
  <c r="L166" i="8" s="1"/>
  <c r="L167" i="8" s="1"/>
  <c r="L168" i="8" s="1"/>
  <c r="L169" i="8" s="1"/>
  <c r="L170" i="8" s="1"/>
  <c r="L171" i="8" s="1"/>
  <c r="L172" i="8" s="1"/>
  <c r="L173" i="8" s="1"/>
  <c r="L174" i="8" s="1"/>
  <c r="L175" i="8" s="1"/>
  <c r="L176" i="8" s="1"/>
  <c r="L177" i="8" s="1"/>
  <c r="J74" i="7"/>
  <c r="H71" i="7"/>
  <c r="H72" i="7" s="1"/>
  <c r="H73" i="7" s="1"/>
  <c r="H74" i="7" s="1"/>
  <c r="H75" i="7" s="1"/>
  <c r="H76" i="7" s="1"/>
  <c r="H77" i="7" s="1"/>
  <c r="H78" i="7" s="1"/>
  <c r="H92" i="6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I94" i="6"/>
  <c r="L178" i="8" l="1"/>
  <c r="L179" i="8" s="1"/>
  <c r="L180" i="8" s="1"/>
  <c r="L181" i="8" s="1"/>
  <c r="L182" i="8" s="1"/>
  <c r="L183" i="8" s="1"/>
  <c r="L184" i="8" s="1"/>
  <c r="L185" i="8" s="1"/>
  <c r="L186" i="8" s="1"/>
  <c r="L187" i="8" s="1"/>
  <c r="L188" i="8" s="1"/>
  <c r="L189" i="8" s="1"/>
  <c r="L190" i="8" s="1"/>
  <c r="L191" i="8" s="1"/>
  <c r="L192" i="8" s="1"/>
  <c r="H151" i="6"/>
  <c r="H152" i="6" s="1"/>
  <c r="K150" i="6"/>
  <c r="H79" i="7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I80" i="7"/>
  <c r="L193" i="8" l="1"/>
  <c r="L194" i="8" s="1"/>
  <c r="H153" i="6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95" i="7"/>
  <c r="H96" i="7" s="1"/>
  <c r="J97" i="7"/>
  <c r="H187" i="6" l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97" i="7"/>
  <c r="I106" i="7"/>
  <c r="H222" i="6" l="1"/>
  <c r="H223" i="6" s="1"/>
  <c r="H98" i="7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I99" i="7"/>
  <c r="H224" i="6" l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H249" i="6" s="1"/>
  <c r="H250" i="6" s="1"/>
  <c r="I109" i="7"/>
  <c r="H109" i="7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</calcChain>
</file>

<file path=xl/sharedStrings.xml><?xml version="1.0" encoding="utf-8"?>
<sst xmlns="http://schemas.openxmlformats.org/spreadsheetml/2006/main" count="29775" uniqueCount="6094">
  <si>
    <t>陈剑钊</t>
  </si>
  <si>
    <t>硅锰</t>
  </si>
  <si>
    <t>兴义市嘉泰铁合金有限公司</t>
  </si>
  <si>
    <t>昕洪中签订合同</t>
  </si>
  <si>
    <t>承兑到钢厂价，装车付85%款.年息4.5%折价钢厂加价我司65%，嘉泰35%</t>
  </si>
  <si>
    <r>
      <rPr>
        <b/>
        <sz val="10"/>
        <rFont val="Arial Unicode MS"/>
        <family val="2"/>
        <charset val="134"/>
      </rPr>
      <t>陈剑钊</t>
    </r>
  </si>
  <si>
    <r>
      <rPr>
        <b/>
        <sz val="10"/>
        <rFont val="Arial Unicode MS"/>
        <family val="2"/>
        <charset val="134"/>
      </rPr>
      <t>硅锰</t>
    </r>
  </si>
  <si>
    <t>成都铁鼎商贸有限公司</t>
  </si>
  <si>
    <t>承兑到钢厂价.装车付85%款，现金按照4%年息折算，加价归供方</t>
  </si>
  <si>
    <t>成都枫润炉料有限公司</t>
  </si>
  <si>
    <t>承兑到钢厂价.装车付85%款.现金按照4.2%年息折算，加价归供方.</t>
  </si>
  <si>
    <t>合同编号</t>
  </si>
  <si>
    <t>业务人员</t>
  </si>
  <si>
    <t>品名</t>
  </si>
  <si>
    <t>合同签订日期</t>
  </si>
  <si>
    <t>客户名称</t>
  </si>
  <si>
    <t>备注</t>
  </si>
  <si>
    <t>吨数</t>
  </si>
  <si>
    <t>单价</t>
  </si>
  <si>
    <t>金额</t>
  </si>
  <si>
    <t>付款条件</t>
  </si>
  <si>
    <t>已到货吨数</t>
  </si>
  <si>
    <t>已到票吨数</t>
  </si>
  <si>
    <t>已到票金额</t>
  </si>
  <si>
    <t>已付款金额</t>
  </si>
  <si>
    <t>未到货吨数</t>
  </si>
  <si>
    <t>票额//付款额</t>
  </si>
  <si>
    <t>财务录入</t>
  </si>
  <si>
    <t>承兑</t>
  </si>
  <si>
    <t>报关单价</t>
  </si>
  <si>
    <t>已送货吨数</t>
  </si>
  <si>
    <t>已结算吨数</t>
  </si>
  <si>
    <t>已结算金额</t>
  </si>
  <si>
    <t>已开票吨数</t>
  </si>
  <si>
    <t>已开票金额</t>
  </si>
  <si>
    <t>已收款金额</t>
  </si>
  <si>
    <t>加工费</t>
  </si>
  <si>
    <t>海运费</t>
  </si>
  <si>
    <t>包干费</t>
  </si>
  <si>
    <t>送货/结算吨位差</t>
  </si>
  <si>
    <t>开票/收款金额差</t>
  </si>
  <si>
    <t>收发货日期</t>
  </si>
  <si>
    <t>收发货吨数</t>
  </si>
  <si>
    <t>运费单价</t>
  </si>
  <si>
    <t>不含税单价</t>
  </si>
  <si>
    <t>理论运费</t>
  </si>
  <si>
    <t>所产生运费</t>
  </si>
  <si>
    <t>运费到票日期</t>
  </si>
  <si>
    <t>运费支付日期</t>
  </si>
  <si>
    <t>车号</t>
  </si>
  <si>
    <t>SMA20151207-1</t>
    <phoneticPr fontId="14" type="noConversion"/>
  </si>
  <si>
    <r>
      <rPr>
        <sz val="10"/>
        <rFont val="Arial Unicode MS"/>
        <family val="2"/>
        <charset val="134"/>
      </rPr>
      <t>陈剑钊</t>
    </r>
    <phoneticPr fontId="14" type="noConversion"/>
  </si>
  <si>
    <r>
      <rPr>
        <sz val="10"/>
        <rFont val="Arial Unicode MS"/>
        <family val="2"/>
        <charset val="134"/>
      </rPr>
      <t>硅锰</t>
    </r>
    <phoneticPr fontId="14" type="noConversion"/>
  </si>
  <si>
    <t>成都铁鼎商贸有限公司</t>
    <phoneticPr fontId="14" type="noConversion"/>
  </si>
  <si>
    <t>昕洪中签订合同</t>
    <phoneticPr fontId="14" type="noConversion"/>
  </si>
  <si>
    <r>
      <rPr>
        <sz val="10"/>
        <rFont val="Arial Unicode MS"/>
        <family val="2"/>
        <charset val="134"/>
      </rPr>
      <t>承兑到钢厂价，装车付85%款.现金按照4%年息折算，加价归供方</t>
    </r>
    <phoneticPr fontId="14" type="noConversion"/>
  </si>
  <si>
    <t>昕洪中付款</t>
    <phoneticPr fontId="10" type="noConversion"/>
  </si>
  <si>
    <t>品名</t>
    <phoneticPr fontId="14" type="noConversion"/>
  </si>
  <si>
    <t>客户名称</t>
    <phoneticPr fontId="14" type="noConversion"/>
  </si>
  <si>
    <t>备注</t>
    <phoneticPr fontId="14" type="noConversion"/>
  </si>
  <si>
    <t>硅锰</t>
    <phoneticPr fontId="14" type="noConversion"/>
  </si>
  <si>
    <t>硅锰合金</t>
    <phoneticPr fontId="14" type="noConversion"/>
  </si>
  <si>
    <t>成都铁鼎</t>
    <phoneticPr fontId="14" type="noConversion"/>
  </si>
  <si>
    <t>湘钢</t>
    <phoneticPr fontId="14" type="noConversion"/>
  </si>
  <si>
    <t>铁路</t>
    <phoneticPr fontId="14" type="noConversion"/>
  </si>
  <si>
    <r>
      <t>SMXG151</t>
    </r>
    <r>
      <rPr>
        <sz val="10"/>
        <color indexed="8"/>
        <rFont val="Arial Unicode MS"/>
        <family val="2"/>
        <charset val="134"/>
      </rPr>
      <t>2</t>
    </r>
    <r>
      <rPr>
        <sz val="10"/>
        <color indexed="8"/>
        <rFont val="Arial Unicode MS"/>
        <family val="2"/>
        <charset val="134"/>
      </rPr>
      <t>Ms1</t>
    </r>
    <phoneticPr fontId="14" type="noConversion"/>
  </si>
  <si>
    <t>SMA20151202-1</t>
    <phoneticPr fontId="14" type="noConversion"/>
  </si>
  <si>
    <t>广西钦州恒星锰业有限责任公司</t>
    <phoneticPr fontId="14" type="noConversion"/>
  </si>
  <si>
    <t>承兑到钢厂价，装车付85%款.现金按照4.446%年息折算，加价归供方</t>
    <phoneticPr fontId="14" type="noConversion"/>
  </si>
  <si>
    <t>钦州恒星</t>
    <phoneticPr fontId="14" type="noConversion"/>
  </si>
  <si>
    <t>阳春</t>
    <phoneticPr fontId="14" type="noConversion"/>
  </si>
  <si>
    <t>汽运</t>
    <phoneticPr fontId="14" type="noConversion"/>
  </si>
  <si>
    <r>
      <t>S</t>
    </r>
    <r>
      <rPr>
        <sz val="10"/>
        <color indexed="8"/>
        <rFont val="Arial Unicode MS"/>
        <family val="2"/>
        <charset val="134"/>
      </rPr>
      <t>MYC1512Ms1</t>
    </r>
    <phoneticPr fontId="14" type="noConversion"/>
  </si>
  <si>
    <t>SMZY1511Mn1</t>
    <phoneticPr fontId="14" type="noConversion"/>
  </si>
  <si>
    <t>电解锰</t>
    <phoneticPr fontId="14" type="noConversion"/>
  </si>
  <si>
    <t>中冶京诚（湘潭）重工设备有限公司</t>
    <phoneticPr fontId="14" type="noConversion"/>
  </si>
  <si>
    <t>SMGXSC20150925</t>
    <phoneticPr fontId="14" type="noConversion"/>
  </si>
  <si>
    <t>锰矿石</t>
    <phoneticPr fontId="14" type="noConversion"/>
  </si>
  <si>
    <t>广西穗成矿业发展有限公司</t>
    <phoneticPr fontId="14" type="noConversion"/>
  </si>
  <si>
    <t>SMBGZY20150924</t>
    <phoneticPr fontId="14" type="noConversion"/>
  </si>
  <si>
    <t>宝钢资源控股（上海）有限公司</t>
    <phoneticPr fontId="14" type="noConversion"/>
  </si>
  <si>
    <t>SMXG1509Mb1</t>
    <phoneticPr fontId="14" type="noConversion"/>
  </si>
  <si>
    <t>锰球</t>
    <phoneticPr fontId="14" type="noConversion"/>
  </si>
  <si>
    <t>湖南华菱湘潭钢铁有限公司</t>
    <phoneticPr fontId="14" type="noConversion"/>
  </si>
  <si>
    <t>SMXG1509Al1</t>
    <phoneticPr fontId="14" type="noConversion"/>
  </si>
  <si>
    <t>铝铁</t>
    <phoneticPr fontId="14" type="noConversion"/>
  </si>
  <si>
    <t>SMXG1510Ms1</t>
    <phoneticPr fontId="14" type="noConversion"/>
  </si>
  <si>
    <t>SMXG1510Al1</t>
    <phoneticPr fontId="14" type="noConversion"/>
  </si>
  <si>
    <t>SMA20151106-1</t>
    <phoneticPr fontId="14" type="noConversion"/>
  </si>
  <si>
    <t>SMA20151202-2</t>
    <phoneticPr fontId="14" type="noConversion"/>
  </si>
  <si>
    <t>百色市新中锰业有限公司</t>
    <phoneticPr fontId="14" type="noConversion"/>
  </si>
  <si>
    <t>SMA20151106-2</t>
    <phoneticPr fontId="14" type="noConversion"/>
  </si>
  <si>
    <t>SMYDYH20151106</t>
    <phoneticPr fontId="14" type="noConversion"/>
  </si>
  <si>
    <t>铁矿</t>
    <phoneticPr fontId="14" type="noConversion"/>
  </si>
  <si>
    <t>宜都宜晖物资贸易有限公司</t>
    <phoneticPr fontId="14" type="noConversion"/>
  </si>
  <si>
    <t>SMMASXH20151109</t>
    <phoneticPr fontId="14" type="noConversion"/>
  </si>
  <si>
    <t>马鞍山翔华实业有限公司</t>
    <phoneticPr fontId="14" type="noConversion"/>
  </si>
  <si>
    <t>HYXHZ20151201</t>
    <phoneticPr fontId="14" type="noConversion"/>
  </si>
  <si>
    <t>焦炭</t>
    <phoneticPr fontId="14" type="noConversion"/>
  </si>
  <si>
    <t>北京旭阳宏业化工有限公司</t>
    <phoneticPr fontId="14" type="noConversion"/>
  </si>
  <si>
    <t>SMCZZY20151027</t>
    <phoneticPr fontId="14" type="noConversion"/>
  </si>
  <si>
    <t>池州实业中冶钢铁冶金炉料有限公司</t>
    <phoneticPr fontId="14" type="noConversion"/>
  </si>
  <si>
    <t>SMA20151204-1</t>
    <phoneticPr fontId="14" type="noConversion"/>
  </si>
  <si>
    <t>金属锰</t>
    <phoneticPr fontId="14" type="noConversion"/>
  </si>
  <si>
    <t>湖南泰立矿产开发有限公司</t>
    <phoneticPr fontId="14" type="noConversion"/>
  </si>
  <si>
    <t>SMGDLH20150928</t>
    <phoneticPr fontId="14" type="noConversion"/>
  </si>
  <si>
    <t>废钢</t>
    <phoneticPr fontId="14" type="noConversion"/>
  </si>
  <si>
    <t>广东菱华贸易有限公司</t>
    <phoneticPr fontId="14" type="noConversion"/>
  </si>
  <si>
    <t>SMA20151216-1</t>
    <phoneticPr fontId="14" type="noConversion"/>
  </si>
  <si>
    <t>997锰片</t>
    <phoneticPr fontId="14" type="noConversion"/>
  </si>
  <si>
    <t>西藏中渝商贸有限公司</t>
    <phoneticPr fontId="14" type="noConversion"/>
  </si>
  <si>
    <t>SMXGJT20151020</t>
    <phoneticPr fontId="14" type="noConversion"/>
  </si>
  <si>
    <t>GN510115030-10</t>
    <phoneticPr fontId="14" type="noConversion"/>
  </si>
  <si>
    <t>GN510115030-11</t>
    <phoneticPr fontId="14" type="noConversion"/>
  </si>
  <si>
    <t>GN550115209-10</t>
    <phoneticPr fontId="14" type="noConversion"/>
  </si>
  <si>
    <t>SMXG1511Ms1</t>
    <phoneticPr fontId="14" type="noConversion"/>
  </si>
  <si>
    <t>SMXG1511Al1</t>
    <phoneticPr fontId="14" type="noConversion"/>
  </si>
  <si>
    <t>SMA20151221-1</t>
    <phoneticPr fontId="14" type="noConversion"/>
  </si>
  <si>
    <t>华锟上海收款</t>
    <phoneticPr fontId="10" type="noConversion"/>
  </si>
  <si>
    <t>华锟上海付款</t>
    <phoneticPr fontId="10" type="noConversion"/>
  </si>
  <si>
    <t>结算日期</t>
    <phoneticPr fontId="14" type="noConversion"/>
  </si>
  <si>
    <r>
      <rPr>
        <sz val="11"/>
        <color indexed="8"/>
        <rFont val="宋体"/>
        <family val="3"/>
        <charset val="134"/>
      </rPr>
      <t>结算吨数</t>
    </r>
    <phoneticPr fontId="14" type="noConversion"/>
  </si>
  <si>
    <t>结算金额</t>
    <phoneticPr fontId="14" type="noConversion"/>
  </si>
  <si>
    <r>
      <rPr>
        <sz val="11"/>
        <color indexed="8"/>
        <rFont val="宋体"/>
        <family val="3"/>
        <charset val="134"/>
      </rPr>
      <t>收</t>
    </r>
    <r>
      <rPr>
        <sz val="11"/>
        <color indexed="8"/>
        <rFont val="Arial Narrow"/>
        <family val="2"/>
      </rPr>
      <t>/</t>
    </r>
    <r>
      <rPr>
        <sz val="11"/>
        <color indexed="8"/>
        <rFont val="宋体"/>
        <family val="3"/>
        <charset val="134"/>
      </rPr>
      <t>开票日期</t>
    </r>
    <phoneticPr fontId="14" type="noConversion"/>
  </si>
  <si>
    <r>
      <rPr>
        <sz val="11"/>
        <color indexed="8"/>
        <rFont val="宋体"/>
        <family val="3"/>
        <charset val="134"/>
      </rPr>
      <t>收</t>
    </r>
    <r>
      <rPr>
        <sz val="11"/>
        <color indexed="8"/>
        <rFont val="Arial Narrow"/>
        <family val="2"/>
      </rPr>
      <t>/</t>
    </r>
    <r>
      <rPr>
        <sz val="11"/>
        <color indexed="8"/>
        <rFont val="宋体"/>
        <family val="3"/>
        <charset val="134"/>
      </rPr>
      <t>开票吨数</t>
    </r>
    <phoneticPr fontId="14" type="noConversion"/>
  </si>
  <si>
    <r>
      <rPr>
        <sz val="11"/>
        <color indexed="8"/>
        <rFont val="宋体"/>
        <family val="3"/>
        <charset val="134"/>
      </rPr>
      <t>收</t>
    </r>
    <r>
      <rPr>
        <sz val="11"/>
        <color indexed="8"/>
        <rFont val="Arial Narrow"/>
        <family val="2"/>
      </rPr>
      <t>/</t>
    </r>
    <r>
      <rPr>
        <sz val="11"/>
        <color indexed="8"/>
        <rFont val="宋体"/>
        <family val="3"/>
        <charset val="134"/>
      </rPr>
      <t>开票金额</t>
    </r>
    <phoneticPr fontId="14" type="noConversion"/>
  </si>
  <si>
    <t>SMA20151204-1</t>
    <phoneticPr fontId="14" type="noConversion"/>
  </si>
  <si>
    <t>金昌一</t>
    <phoneticPr fontId="14" type="noConversion"/>
  </si>
  <si>
    <t>金属锰</t>
    <phoneticPr fontId="14" type="noConversion"/>
  </si>
  <si>
    <t>湖南泰立矿产开发有限公司</t>
    <phoneticPr fontId="14" type="noConversion"/>
  </si>
  <si>
    <t>昕洪中签订合同</t>
    <phoneticPr fontId="14" type="noConversion"/>
  </si>
  <si>
    <t>现款包到价；发货后支付80%，结算收票后20%</t>
    <phoneticPr fontId="14" type="noConversion"/>
  </si>
  <si>
    <t>SMA20151221-1</t>
    <phoneticPr fontId="14" type="noConversion"/>
  </si>
  <si>
    <t>湖南</t>
    <phoneticPr fontId="14" type="noConversion"/>
  </si>
  <si>
    <t>张家港</t>
    <phoneticPr fontId="14" type="noConversion"/>
  </si>
  <si>
    <t>到厂</t>
    <phoneticPr fontId="14" type="noConversion"/>
  </si>
  <si>
    <t>SMZP1512Mn2</t>
    <phoneticPr fontId="14" type="noConversion"/>
  </si>
  <si>
    <t>泰立</t>
    <phoneticPr fontId="14" type="noConversion"/>
  </si>
  <si>
    <r>
      <t>S</t>
    </r>
    <r>
      <rPr>
        <sz val="10"/>
        <color indexed="8"/>
        <rFont val="Arial Unicode MS"/>
        <family val="2"/>
        <charset val="134"/>
      </rPr>
      <t>MZP1512Mn1</t>
    </r>
    <phoneticPr fontId="14" type="noConversion"/>
  </si>
  <si>
    <t>张家港浦项不锈钢有限公司</t>
    <phoneticPr fontId="14" type="noConversion"/>
  </si>
  <si>
    <t>华锟开票</t>
    <phoneticPr fontId="14" type="noConversion"/>
  </si>
  <si>
    <r>
      <rPr>
        <sz val="11"/>
        <rFont val="Arial Unicode MS"/>
        <family val="2"/>
        <charset val="134"/>
      </rPr>
      <t>广西钦州恒星锰业有限责任公司</t>
    </r>
    <phoneticPr fontId="14" type="noConversion"/>
  </si>
  <si>
    <r>
      <rPr>
        <sz val="11"/>
        <color theme="1"/>
        <rFont val="宋体"/>
        <family val="2"/>
        <charset val="134"/>
      </rPr>
      <t>昕洪中收票</t>
    </r>
    <phoneticPr fontId="14" type="noConversion"/>
  </si>
  <si>
    <t>昕洪中收票</t>
    <phoneticPr fontId="14" type="noConversion"/>
  </si>
  <si>
    <t>湘潭钢铁集团有限公司</t>
    <phoneticPr fontId="14" type="noConversion"/>
  </si>
  <si>
    <r>
      <t>SMXG151</t>
    </r>
    <r>
      <rPr>
        <sz val="10"/>
        <color indexed="8"/>
        <rFont val="Arial Unicode MS"/>
        <family val="2"/>
        <charset val="134"/>
      </rPr>
      <t>0</t>
    </r>
    <r>
      <rPr>
        <sz val="10"/>
        <color indexed="8"/>
        <rFont val="Arial Unicode MS"/>
        <family val="2"/>
        <charset val="134"/>
      </rPr>
      <t>Ms1</t>
    </r>
    <phoneticPr fontId="14" type="noConversion"/>
  </si>
  <si>
    <t>SMXG1511Ms1</t>
    <phoneticPr fontId="14" type="noConversion"/>
  </si>
  <si>
    <t>陈剑钊</t>
    <phoneticPr fontId="14" type="noConversion"/>
  </si>
  <si>
    <t>铝铁</t>
    <phoneticPr fontId="14" type="noConversion"/>
  </si>
  <si>
    <t>55%承兑，转款</t>
    <phoneticPr fontId="14" type="noConversion"/>
  </si>
  <si>
    <r>
      <t>SMXG151</t>
    </r>
    <r>
      <rPr>
        <sz val="10"/>
        <color indexed="8"/>
        <rFont val="Arial Unicode MS"/>
        <family val="2"/>
        <charset val="134"/>
      </rPr>
      <t>2</t>
    </r>
    <r>
      <rPr>
        <sz val="10"/>
        <color indexed="8"/>
        <rFont val="Arial Unicode MS"/>
        <family val="2"/>
        <charset val="134"/>
      </rPr>
      <t>Al1</t>
    </r>
    <phoneticPr fontId="14" type="noConversion"/>
  </si>
  <si>
    <r>
      <t>SMXG15</t>
    </r>
    <r>
      <rPr>
        <sz val="10"/>
        <color indexed="8"/>
        <rFont val="Arial Unicode MS"/>
        <family val="2"/>
        <charset val="134"/>
      </rPr>
      <t>12</t>
    </r>
    <r>
      <rPr>
        <sz val="10"/>
        <color indexed="8"/>
        <rFont val="Arial Unicode MS"/>
        <family val="2"/>
        <charset val="134"/>
      </rPr>
      <t>Mb1</t>
    </r>
    <phoneticPr fontId="14" type="noConversion"/>
  </si>
  <si>
    <t>承兑</t>
    <phoneticPr fontId="14" type="noConversion"/>
  </si>
  <si>
    <t>50%承兑，50%现金，收货开票结算后支付；12-5前</t>
    <phoneticPr fontId="14" type="noConversion"/>
  </si>
  <si>
    <t>50%承兑，50%现金，收货开票后支付80%，结算后支付全款.1-7日到货</t>
    <phoneticPr fontId="14" type="noConversion"/>
  </si>
  <si>
    <t>收/付款日期</t>
    <phoneticPr fontId="14" type="noConversion"/>
  </si>
  <si>
    <t>收/付款金额</t>
    <phoneticPr fontId="14" type="noConversion"/>
  </si>
  <si>
    <t>其中承兑</t>
    <phoneticPr fontId="14" type="noConversion"/>
  </si>
  <si>
    <t>承兑到期日</t>
    <phoneticPr fontId="14" type="noConversion"/>
  </si>
  <si>
    <t>海运费</t>
    <phoneticPr fontId="14" type="noConversion"/>
  </si>
  <si>
    <t>包干费</t>
    <phoneticPr fontId="14" type="noConversion"/>
  </si>
  <si>
    <t>加工费</t>
    <phoneticPr fontId="14" type="noConversion"/>
  </si>
  <si>
    <t>保险费</t>
    <phoneticPr fontId="14" type="noConversion"/>
  </si>
  <si>
    <t>SMXG1601Al1</t>
    <phoneticPr fontId="14" type="noConversion"/>
  </si>
  <si>
    <t>铝铁</t>
    <phoneticPr fontId="14" type="noConversion"/>
  </si>
  <si>
    <t>惠冶</t>
    <phoneticPr fontId="14" type="noConversion"/>
  </si>
  <si>
    <t>湘钢</t>
    <phoneticPr fontId="14" type="noConversion"/>
  </si>
  <si>
    <t>SMXG1601Al1</t>
    <phoneticPr fontId="14" type="noConversion"/>
  </si>
  <si>
    <t>中船工业成套物流(广州)有限公司</t>
    <phoneticPr fontId="10" type="noConversion"/>
  </si>
  <si>
    <t>SMXG1601Mb1</t>
    <phoneticPr fontId="14" type="noConversion"/>
  </si>
  <si>
    <t>SMZP1512Mn2</t>
    <phoneticPr fontId="14" type="noConversion"/>
  </si>
  <si>
    <t>张家港浦项不锈钢有限公司</t>
    <phoneticPr fontId="14" type="noConversion"/>
  </si>
  <si>
    <r>
      <t>SMXG151</t>
    </r>
    <r>
      <rPr>
        <sz val="10"/>
        <color indexed="8"/>
        <rFont val="Arial Unicode MS"/>
        <family val="2"/>
        <charset val="134"/>
      </rPr>
      <t>2</t>
    </r>
    <r>
      <rPr>
        <sz val="10"/>
        <color indexed="8"/>
        <rFont val="Arial Unicode MS"/>
        <family val="2"/>
        <charset val="134"/>
      </rPr>
      <t>Al1</t>
    </r>
    <phoneticPr fontId="14" type="noConversion"/>
  </si>
  <si>
    <t>铝铁</t>
    <phoneticPr fontId="14" type="noConversion"/>
  </si>
  <si>
    <r>
      <t>SMXG15</t>
    </r>
    <r>
      <rPr>
        <sz val="10"/>
        <color indexed="8"/>
        <rFont val="Arial Unicode MS"/>
        <family val="2"/>
        <charset val="134"/>
      </rPr>
      <t>12</t>
    </r>
    <r>
      <rPr>
        <sz val="10"/>
        <color indexed="8"/>
        <rFont val="Arial Unicode MS"/>
        <family val="2"/>
        <charset val="134"/>
      </rPr>
      <t>Mb1</t>
    </r>
    <phoneticPr fontId="14" type="noConversion"/>
  </si>
  <si>
    <t>锰球</t>
    <phoneticPr fontId="14" type="noConversion"/>
  </si>
  <si>
    <t>SMA20151010-1</t>
    <phoneticPr fontId="14" type="noConversion"/>
  </si>
  <si>
    <t>昕洪中收票</t>
    <phoneticPr fontId="14" type="noConversion"/>
  </si>
  <si>
    <t>昕洪中付款</t>
    <phoneticPr fontId="10" type="noConversion"/>
  </si>
  <si>
    <t>SMA20160107-1</t>
    <phoneticPr fontId="14" type="noConversion"/>
  </si>
  <si>
    <t>兴义市嘉泰铁合金有限公司</t>
    <phoneticPr fontId="14" type="noConversion"/>
  </si>
  <si>
    <t>兴义嘉泰</t>
    <phoneticPr fontId="14" type="noConversion"/>
  </si>
  <si>
    <t>SMXG1601Ms1</t>
    <phoneticPr fontId="14" type="noConversion"/>
  </si>
  <si>
    <t>SMA20160107-2</t>
    <phoneticPr fontId="14" type="noConversion"/>
  </si>
  <si>
    <t>SMXG1512Al1</t>
    <phoneticPr fontId="14" type="noConversion"/>
  </si>
  <si>
    <t>枫润</t>
    <phoneticPr fontId="14" type="noConversion"/>
  </si>
  <si>
    <t>SMA20160107-3</t>
    <phoneticPr fontId="14" type="noConversion"/>
  </si>
  <si>
    <t>枫润</t>
    <phoneticPr fontId="14" type="noConversion"/>
  </si>
  <si>
    <t>铁路</t>
    <phoneticPr fontId="14" type="noConversion"/>
  </si>
  <si>
    <t>SMA20160107-1</t>
    <phoneticPr fontId="14" type="noConversion"/>
  </si>
  <si>
    <t>兴义市嘉泰铁合金有限公司</t>
    <phoneticPr fontId="14" type="noConversion"/>
  </si>
  <si>
    <t>SMA20151010-1</t>
    <phoneticPr fontId="14" type="noConversion"/>
  </si>
  <si>
    <t>SMA20160119-1</t>
    <phoneticPr fontId="10" type="noConversion"/>
  </si>
  <si>
    <t>陈剑钊</t>
    <phoneticPr fontId="10" type="noConversion"/>
  </si>
  <si>
    <t>锰片</t>
    <phoneticPr fontId="10" type="noConversion"/>
  </si>
  <si>
    <t>广西新振锰业集团有限公司</t>
    <phoneticPr fontId="10" type="noConversion"/>
  </si>
  <si>
    <t>签订合同付定金20%，货到码头支付80%.</t>
    <phoneticPr fontId="10" type="noConversion"/>
  </si>
  <si>
    <t>SMA20160107-2</t>
    <phoneticPr fontId="14" type="noConversion"/>
  </si>
  <si>
    <t>SMA20151221-1</t>
    <phoneticPr fontId="14" type="noConversion"/>
  </si>
  <si>
    <t>金属锰</t>
    <phoneticPr fontId="14" type="noConversion"/>
  </si>
  <si>
    <t>湖南泰立矿产开发有限公司</t>
    <phoneticPr fontId="14" type="noConversion"/>
  </si>
  <si>
    <t>昕洪中收票</t>
    <phoneticPr fontId="14" type="noConversion"/>
  </si>
  <si>
    <t>SMA20151207-1</t>
    <phoneticPr fontId="14" type="noConversion"/>
  </si>
  <si>
    <r>
      <rPr>
        <sz val="10"/>
        <rFont val="Arial Unicode MS"/>
        <family val="2"/>
        <charset val="134"/>
      </rPr>
      <t>硅锰</t>
    </r>
    <phoneticPr fontId="14" type="noConversion"/>
  </si>
  <si>
    <t>成都铁鼎商贸有限公司</t>
    <phoneticPr fontId="14" type="noConversion"/>
  </si>
  <si>
    <t>SMA20151221-1</t>
    <phoneticPr fontId="14" type="noConversion"/>
  </si>
  <si>
    <t>金属锰</t>
    <phoneticPr fontId="14" type="noConversion"/>
  </si>
  <si>
    <t>湖南泰立矿产开发有限公司</t>
    <phoneticPr fontId="14" type="noConversion"/>
  </si>
  <si>
    <t>昕洪中付款</t>
    <phoneticPr fontId="10" type="noConversion"/>
  </si>
  <si>
    <t>SMA20151202-2</t>
    <phoneticPr fontId="10" type="noConversion"/>
  </si>
  <si>
    <t>广西新振锰业集团有限公司</t>
    <phoneticPr fontId="14" type="noConversion"/>
  </si>
  <si>
    <t>SMA20160107-3</t>
    <phoneticPr fontId="10" type="noConversion"/>
  </si>
  <si>
    <t>成都枫润炉料有限公司</t>
    <phoneticPr fontId="14" type="noConversion"/>
  </si>
  <si>
    <t>承兑到钢厂价.装车付85%款.现金按照4.3%年息折算，加价归供方.</t>
    <phoneticPr fontId="10" type="noConversion"/>
  </si>
  <si>
    <t>承兑到钢厂价.装车付85%款.现金按照4.5%年息折算，加价归供方.</t>
    <phoneticPr fontId="10" type="noConversion"/>
  </si>
  <si>
    <t>SMA20160107-2</t>
    <phoneticPr fontId="10" type="noConversion"/>
  </si>
  <si>
    <t>CSLCGNY-HKJS-001</t>
    <phoneticPr fontId="10" type="noConversion"/>
  </si>
  <si>
    <t>邓金权</t>
    <phoneticPr fontId="10" type="noConversion"/>
  </si>
  <si>
    <t>铁矿</t>
    <phoneticPr fontId="10" type="noConversion"/>
  </si>
  <si>
    <t>喷吹煤</t>
    <phoneticPr fontId="10" type="noConversion"/>
  </si>
  <si>
    <t>湖口永隆贸易有限公司</t>
    <phoneticPr fontId="10" type="noConversion"/>
  </si>
  <si>
    <t>现款包到价；装船后支付80%，结算收票后20%</t>
    <phoneticPr fontId="14" type="noConversion"/>
  </si>
  <si>
    <t>上海峰坤能源科技有限公司</t>
    <phoneticPr fontId="10" type="noConversion"/>
  </si>
  <si>
    <t>华锟签订合同</t>
    <phoneticPr fontId="10" type="noConversion"/>
  </si>
  <si>
    <t>XHZYL20160122</t>
    <phoneticPr fontId="10" type="noConversion"/>
  </si>
  <si>
    <t>XHZYL20160108</t>
    <phoneticPr fontId="14" type="noConversion"/>
  </si>
  <si>
    <t>鄂州</t>
    <phoneticPr fontId="14" type="noConversion"/>
  </si>
  <si>
    <t>水运</t>
    <phoneticPr fontId="14" type="noConversion"/>
  </si>
  <si>
    <t>CSLCGNY-HKJS-001</t>
    <phoneticPr fontId="14" type="noConversion"/>
  </si>
  <si>
    <t>SMFKNY20160111</t>
    <phoneticPr fontId="14" type="noConversion"/>
  </si>
  <si>
    <t>喷吹煤</t>
    <phoneticPr fontId="14" type="noConversion"/>
  </si>
  <si>
    <t>南京</t>
    <phoneticPr fontId="14" type="noConversion"/>
  </si>
  <si>
    <t>CSLCGNY-HKPM-001</t>
    <phoneticPr fontId="14" type="noConversion"/>
  </si>
  <si>
    <t>湖口永隆贸易有限公司</t>
    <phoneticPr fontId="14" type="noConversion"/>
  </si>
  <si>
    <t>上海峰坤能源科技有限公司</t>
    <phoneticPr fontId="14" type="noConversion"/>
  </si>
  <si>
    <t>SMA20160127-1</t>
    <phoneticPr fontId="10" type="noConversion"/>
  </si>
  <si>
    <t>陈剑钊</t>
    <phoneticPr fontId="10" type="noConversion"/>
  </si>
  <si>
    <t>锰片</t>
    <phoneticPr fontId="10" type="noConversion"/>
  </si>
  <si>
    <t>湘潭电化科技股份有限公司</t>
    <phoneticPr fontId="10" type="noConversion"/>
  </si>
  <si>
    <t>现款包到价，装车付款，1-28日前发出</t>
    <phoneticPr fontId="10" type="noConversion"/>
  </si>
  <si>
    <t>锰片</t>
    <phoneticPr fontId="14" type="noConversion"/>
  </si>
  <si>
    <t>湘潭电化</t>
    <phoneticPr fontId="14" type="noConversion"/>
  </si>
  <si>
    <t> SMXG1511Ms1 </t>
  </si>
  <si>
    <t> SMXG1512Ms1 </t>
  </si>
  <si>
    <t> SMYC1512Ms1 </t>
  </si>
  <si>
    <t>余额</t>
    <phoneticPr fontId="14" type="noConversion"/>
  </si>
  <si>
    <t>日期</t>
    <phoneticPr fontId="14" type="noConversion"/>
  </si>
  <si>
    <t>品种</t>
    <phoneticPr fontId="14" type="noConversion"/>
  </si>
  <si>
    <t>销售合同号</t>
    <phoneticPr fontId="14" type="noConversion"/>
  </si>
  <si>
    <t>吨数</t>
    <phoneticPr fontId="14" type="noConversion"/>
  </si>
  <si>
    <t>单价</t>
    <phoneticPr fontId="14" type="noConversion"/>
  </si>
  <si>
    <t>金额</t>
    <phoneticPr fontId="14" type="noConversion"/>
  </si>
  <si>
    <t>收款</t>
    <phoneticPr fontId="14" type="noConversion"/>
  </si>
  <si>
    <t>SMXGJT20151112</t>
    <phoneticPr fontId="14" type="noConversion"/>
  </si>
  <si>
    <t>SMXGJT20151207</t>
    <phoneticPr fontId="14" type="noConversion"/>
  </si>
  <si>
    <t>GN510115030-112</t>
    <phoneticPr fontId="14" type="noConversion"/>
  </si>
  <si>
    <t>SMA20160128-1</t>
    <phoneticPr fontId="10" type="noConversion"/>
  </si>
  <si>
    <t>现款包到价，装车付款，1-30/80T；1-31/80T；2-1/40T.</t>
    <phoneticPr fontId="10" type="noConversion"/>
  </si>
  <si>
    <t>SMJR1601Mb1</t>
    <phoneticPr fontId="10" type="noConversion"/>
  </si>
  <si>
    <t>金瑞新材料科技股份有限公司</t>
    <phoneticPr fontId="10" type="noConversion"/>
  </si>
  <si>
    <t>SMA20160104-1</t>
    <phoneticPr fontId="14" type="noConversion"/>
  </si>
  <si>
    <t>SMA20151207-1</t>
    <phoneticPr fontId="14" type="noConversion"/>
  </si>
  <si>
    <r>
      <rPr>
        <sz val="10"/>
        <rFont val="Arial Unicode MS"/>
        <family val="2"/>
        <charset val="134"/>
      </rPr>
      <t>硅锰</t>
    </r>
    <phoneticPr fontId="14" type="noConversion"/>
  </si>
  <si>
    <t>成都铁鼎商贸有限公司</t>
    <phoneticPr fontId="14" type="noConversion"/>
  </si>
  <si>
    <t>昕洪中收票</t>
    <phoneticPr fontId="14" type="noConversion"/>
  </si>
  <si>
    <t>SMA20160107-3</t>
    <phoneticPr fontId="14" type="noConversion"/>
  </si>
  <si>
    <t>成都枫润炉料有限公司</t>
    <phoneticPr fontId="14" type="noConversion"/>
  </si>
  <si>
    <t>SMA20160127-1</t>
    <phoneticPr fontId="14" type="noConversion"/>
  </si>
  <si>
    <t>锰片</t>
    <phoneticPr fontId="14" type="noConversion"/>
  </si>
  <si>
    <t>湘潭电化科技股份有限公司</t>
    <phoneticPr fontId="14" type="noConversion"/>
  </si>
  <si>
    <t>SMA20160128-1</t>
    <phoneticPr fontId="14" type="noConversion"/>
  </si>
  <si>
    <t>SME1601Mn1</t>
    <phoneticPr fontId="10" type="noConversion"/>
  </si>
  <si>
    <t>金昌一</t>
    <phoneticPr fontId="10" type="noConversion"/>
  </si>
  <si>
    <t>锰片</t>
    <phoneticPr fontId="10" type="noConversion"/>
  </si>
  <si>
    <t>Mitsui&amp;Co.,Ltd</t>
    <phoneticPr fontId="10" type="noConversion"/>
  </si>
  <si>
    <t>正本文件交单议付后14个工作日收95%，余款结算后支付</t>
    <phoneticPr fontId="10" type="noConversion"/>
  </si>
  <si>
    <t>SMA20160122-4</t>
    <phoneticPr fontId="14" type="noConversion"/>
  </si>
  <si>
    <t>SMJR1601Mb1</t>
    <phoneticPr fontId="14" type="noConversion"/>
  </si>
  <si>
    <t>金瑞新材料科技股份有限公司</t>
    <phoneticPr fontId="14" type="noConversion"/>
  </si>
  <si>
    <t>SMXG1602Al1</t>
    <phoneticPr fontId="14" type="noConversion"/>
  </si>
  <si>
    <t>SMXG1602Ms2</t>
    <phoneticPr fontId="10" type="noConversion"/>
  </si>
  <si>
    <t>承兑；送湘钢</t>
    <phoneticPr fontId="10" type="noConversion"/>
  </si>
  <si>
    <t>承兑；送阳春</t>
    <phoneticPr fontId="10" type="noConversion"/>
  </si>
  <si>
    <t>SMXG1602Mb1</t>
    <phoneticPr fontId="14" type="noConversion"/>
  </si>
  <si>
    <t>SMXG1602Ms2</t>
    <phoneticPr fontId="14" type="noConversion"/>
  </si>
  <si>
    <t>CSLCGNY-HKJS-002</t>
    <phoneticPr fontId="10" type="noConversion"/>
  </si>
  <si>
    <t>湖南晟世矿业有限责任公司</t>
    <phoneticPr fontId="10" type="noConversion"/>
  </si>
  <si>
    <t>现款包到价；装船后支付70%，结算收票后30%</t>
    <phoneticPr fontId="14" type="noConversion"/>
  </si>
  <si>
    <t>XHZYL20160122</t>
    <phoneticPr fontId="14" type="noConversion"/>
  </si>
  <si>
    <t>XHZFKNY20160126</t>
    <phoneticPr fontId="14" type="noConversion"/>
  </si>
  <si>
    <t>XHZYL20160108</t>
    <phoneticPr fontId="14" type="noConversion"/>
  </si>
  <si>
    <t>铁矿</t>
    <phoneticPr fontId="14" type="noConversion"/>
  </si>
  <si>
    <t>湖口永隆贸易有限公司</t>
    <phoneticPr fontId="14" type="noConversion"/>
  </si>
  <si>
    <t>XHZSSKY20160202</t>
    <phoneticPr fontId="14" type="noConversion"/>
  </si>
  <si>
    <t>湖南晟世矿业有限责任公司</t>
    <phoneticPr fontId="14" type="noConversion"/>
  </si>
  <si>
    <t>SMA20160107-1</t>
    <phoneticPr fontId="10" type="noConversion"/>
  </si>
  <si>
    <t>SMA20160122-3</t>
    <phoneticPr fontId="10" type="noConversion"/>
  </si>
  <si>
    <t>SMA20160122-4</t>
    <phoneticPr fontId="10" type="noConversion"/>
  </si>
  <si>
    <t>惠冶</t>
    <phoneticPr fontId="14" type="noConversion"/>
  </si>
  <si>
    <t>湘钢</t>
    <phoneticPr fontId="14" type="noConversion"/>
  </si>
  <si>
    <t>SMA20160127-1</t>
    <phoneticPr fontId="14" type="noConversion"/>
  </si>
  <si>
    <t>SMYC1601Ms1</t>
    <phoneticPr fontId="14" type="noConversion"/>
  </si>
  <si>
    <t>SMXG1601Mb1</t>
    <phoneticPr fontId="14" type="noConversion"/>
  </si>
  <si>
    <t>SMXG1602Ms1</t>
    <phoneticPr fontId="14" type="noConversion"/>
  </si>
  <si>
    <t>CSLCGNY-HKJS-002</t>
    <phoneticPr fontId="14" type="noConversion"/>
  </si>
  <si>
    <t>中标费</t>
    <phoneticPr fontId="14" type="noConversion"/>
  </si>
  <si>
    <t>铁路大票</t>
    <phoneticPr fontId="14" type="noConversion"/>
  </si>
  <si>
    <r>
      <t>SMXG15</t>
    </r>
    <r>
      <rPr>
        <sz val="10"/>
        <color indexed="8"/>
        <rFont val="Arial Unicode MS"/>
        <family val="2"/>
        <charset val="134"/>
      </rPr>
      <t>12</t>
    </r>
    <r>
      <rPr>
        <sz val="10"/>
        <color indexed="8"/>
        <rFont val="Arial Unicode MS"/>
        <family val="2"/>
        <charset val="134"/>
      </rPr>
      <t>Mb1</t>
    </r>
    <phoneticPr fontId="14" type="noConversion"/>
  </si>
  <si>
    <t>锰球</t>
    <phoneticPr fontId="14" type="noConversion"/>
  </si>
  <si>
    <t>惠冶</t>
    <phoneticPr fontId="14" type="noConversion"/>
  </si>
  <si>
    <t>湘钢</t>
    <phoneticPr fontId="14" type="noConversion"/>
  </si>
  <si>
    <t>汽运</t>
    <phoneticPr fontId="14" type="noConversion"/>
  </si>
  <si>
    <t>SMA20160122-1</t>
    <phoneticPr fontId="14" type="noConversion"/>
  </si>
  <si>
    <r>
      <rPr>
        <sz val="10"/>
        <rFont val="Arial Unicode MS"/>
        <family val="2"/>
        <charset val="134"/>
      </rPr>
      <t>硅锰</t>
    </r>
    <phoneticPr fontId="14" type="noConversion"/>
  </si>
  <si>
    <t>铁路</t>
    <phoneticPr fontId="14" type="noConversion"/>
  </si>
  <si>
    <t>SMXG1602Ms1</t>
    <phoneticPr fontId="14" type="noConversion"/>
  </si>
  <si>
    <t>SMA20160122-2</t>
    <phoneticPr fontId="14" type="noConversion"/>
  </si>
  <si>
    <t>枫润</t>
    <phoneticPr fontId="14" type="noConversion"/>
  </si>
  <si>
    <t>SMYC1601Ms1</t>
    <phoneticPr fontId="10" type="noConversion"/>
  </si>
  <si>
    <t>SMXG1601Ms1</t>
    <phoneticPr fontId="10" type="noConversion"/>
  </si>
  <si>
    <t>SMA20160127-1</t>
    <phoneticPr fontId="14" type="noConversion"/>
  </si>
  <si>
    <t>中船工业成套物流(广州)有限公司</t>
    <phoneticPr fontId="14" type="noConversion"/>
  </si>
  <si>
    <t>SMXG1602Mb1</t>
  </si>
  <si>
    <t>锰球</t>
    <phoneticPr fontId="14" type="noConversion"/>
  </si>
  <si>
    <t>惠冶</t>
    <phoneticPr fontId="14" type="noConversion"/>
  </si>
  <si>
    <t>湘钢</t>
    <phoneticPr fontId="14" type="noConversion"/>
  </si>
  <si>
    <t>甘B05079</t>
    <phoneticPr fontId="14" type="noConversion"/>
  </si>
  <si>
    <t>豫R46796</t>
    <phoneticPr fontId="14" type="noConversion"/>
  </si>
  <si>
    <t>销售合同</t>
    <phoneticPr fontId="14" type="noConversion"/>
  </si>
  <si>
    <t>采购合同</t>
    <phoneticPr fontId="14" type="noConversion"/>
  </si>
  <si>
    <t>湘EA8231</t>
    <phoneticPr fontId="14" type="noConversion"/>
  </si>
  <si>
    <t>湘EB2041</t>
    <phoneticPr fontId="14" type="noConversion"/>
  </si>
  <si>
    <t>锰片</t>
    <phoneticPr fontId="14" type="noConversion"/>
  </si>
  <si>
    <t>湘潭电化科技股份有限公司</t>
    <phoneticPr fontId="14" type="noConversion"/>
  </si>
  <si>
    <t>SMXG1602Ms1</t>
    <phoneticPr fontId="10" type="noConversion"/>
  </si>
  <si>
    <t>华锟开票</t>
    <phoneticPr fontId="14" type="noConversion"/>
  </si>
  <si>
    <t>晋M37164</t>
    <phoneticPr fontId="14" type="noConversion"/>
  </si>
  <si>
    <t>晋M36114</t>
    <phoneticPr fontId="14" type="noConversion"/>
  </si>
  <si>
    <t>冀BY3757</t>
    <phoneticPr fontId="14" type="noConversion"/>
  </si>
  <si>
    <t>成都铁鼎</t>
    <phoneticPr fontId="14" type="noConversion"/>
  </si>
  <si>
    <t>鄂FAL908</t>
    <phoneticPr fontId="14" type="noConversion"/>
  </si>
  <si>
    <t>采购合同</t>
    <phoneticPr fontId="14" type="noConversion"/>
  </si>
  <si>
    <t>SMXG1602Ms1</t>
    <phoneticPr fontId="14" type="noConversion"/>
  </si>
  <si>
    <t>金瑞新材料</t>
    <phoneticPr fontId="14" type="noConversion"/>
  </si>
  <si>
    <t>SMA20160104-1</t>
    <phoneticPr fontId="10" type="noConversion"/>
  </si>
  <si>
    <t>SMA20160122-2</t>
    <phoneticPr fontId="10" type="noConversion"/>
  </si>
  <si>
    <t>SMA20160122-1</t>
    <phoneticPr fontId="10" type="noConversion"/>
  </si>
  <si>
    <t>豫HG5871</t>
    <phoneticPr fontId="14" type="noConversion"/>
  </si>
  <si>
    <t>SMA20160119-1</t>
    <phoneticPr fontId="14" type="noConversion"/>
  </si>
  <si>
    <t>蒙M19541</t>
    <phoneticPr fontId="14" type="noConversion"/>
  </si>
  <si>
    <t>宁E33202</t>
    <phoneticPr fontId="14" type="noConversion"/>
  </si>
  <si>
    <t>兴义市嘉泰铁合金有限公司</t>
    <phoneticPr fontId="10" type="noConversion"/>
  </si>
  <si>
    <t>湘B07731</t>
    <phoneticPr fontId="14" type="noConversion"/>
  </si>
  <si>
    <t>湘EA8231</t>
    <phoneticPr fontId="14" type="noConversion"/>
  </si>
  <si>
    <t>铝铁</t>
    <phoneticPr fontId="14" type="noConversion"/>
  </si>
  <si>
    <t>锰球</t>
    <phoneticPr fontId="14" type="noConversion"/>
  </si>
  <si>
    <t>惠冶</t>
    <phoneticPr fontId="14" type="noConversion"/>
  </si>
  <si>
    <t>湘钢</t>
    <phoneticPr fontId="14" type="noConversion"/>
  </si>
  <si>
    <t>SMA20160122-4</t>
    <phoneticPr fontId="14" type="noConversion"/>
  </si>
  <si>
    <t>SMA20151207-1</t>
    <phoneticPr fontId="14" type="noConversion"/>
  </si>
  <si>
    <t>湘C07302</t>
    <phoneticPr fontId="14" type="noConversion"/>
  </si>
  <si>
    <t>SMA20160122-3</t>
    <phoneticPr fontId="14" type="noConversion"/>
  </si>
  <si>
    <t>百色</t>
    <phoneticPr fontId="14" type="noConversion"/>
  </si>
  <si>
    <t>赣F96911</t>
    <phoneticPr fontId="14" type="noConversion"/>
  </si>
  <si>
    <t>鲁Q5651J</t>
    <phoneticPr fontId="14" type="noConversion"/>
  </si>
  <si>
    <t>鲁Q8062A</t>
    <phoneticPr fontId="14" type="noConversion"/>
  </si>
  <si>
    <t>辽P55975</t>
    <phoneticPr fontId="14" type="noConversion"/>
  </si>
  <si>
    <t>冀CB0811</t>
    <phoneticPr fontId="14" type="noConversion"/>
  </si>
  <si>
    <t>SMA20160119-1</t>
    <phoneticPr fontId="10" type="noConversion"/>
  </si>
  <si>
    <t>鲁H9H075</t>
    <phoneticPr fontId="14" type="noConversion"/>
  </si>
  <si>
    <t>赣K57895</t>
    <phoneticPr fontId="14" type="noConversion"/>
  </si>
  <si>
    <t>SMA20160107-3</t>
    <phoneticPr fontId="14" type="noConversion"/>
  </si>
  <si>
    <r>
      <rPr>
        <sz val="10"/>
        <rFont val="Arial Unicode MS"/>
        <family val="2"/>
        <charset val="134"/>
      </rPr>
      <t>硅锰</t>
    </r>
    <phoneticPr fontId="14" type="noConversion"/>
  </si>
  <si>
    <t>成都枫润炉料有限公司</t>
    <phoneticPr fontId="10" type="noConversion"/>
  </si>
  <si>
    <t>昕洪中收票</t>
    <phoneticPr fontId="14" type="noConversion"/>
  </si>
  <si>
    <t>锰片</t>
    <phoneticPr fontId="14" type="noConversion"/>
  </si>
  <si>
    <t>广西新振锰业集团有限公司</t>
    <phoneticPr fontId="10" type="noConversion"/>
  </si>
  <si>
    <t>SMA20160122-2</t>
    <phoneticPr fontId="14" type="noConversion"/>
  </si>
  <si>
    <t>SMA20160107-2</t>
    <phoneticPr fontId="14" type="noConversion"/>
  </si>
  <si>
    <t>成都铁鼎商贸有限公司</t>
    <phoneticPr fontId="10" type="noConversion"/>
  </si>
  <si>
    <t>SMA20160122-1</t>
    <phoneticPr fontId="14" type="noConversion"/>
  </si>
  <si>
    <r>
      <rPr>
        <sz val="10"/>
        <rFont val="Arial Unicode MS"/>
        <family val="2"/>
        <charset val="134"/>
      </rPr>
      <t>硅锰</t>
    </r>
    <phoneticPr fontId="14" type="noConversion"/>
  </si>
  <si>
    <t>昕洪中收票</t>
    <phoneticPr fontId="14" type="noConversion"/>
  </si>
  <si>
    <t>CSLCGNY-HKDF-002</t>
    <phoneticPr fontId="10" type="noConversion"/>
  </si>
  <si>
    <t>SMFKNY20160111</t>
    <phoneticPr fontId="10" type="noConversion"/>
  </si>
  <si>
    <t>SMFKNY20160111</t>
    <phoneticPr fontId="14" type="noConversion"/>
  </si>
  <si>
    <t>喷吹煤</t>
    <phoneticPr fontId="14" type="noConversion"/>
  </si>
  <si>
    <t>上海峰坤能源科技有限公司</t>
    <phoneticPr fontId="14" type="noConversion"/>
  </si>
  <si>
    <t>华锟收票</t>
    <phoneticPr fontId="14" type="noConversion"/>
  </si>
  <si>
    <t>CSLCGNY-HKPM-001</t>
    <phoneticPr fontId="14" type="noConversion"/>
  </si>
  <si>
    <t>中船工业成套物流(广州)有限公司</t>
    <phoneticPr fontId="10" type="noConversion"/>
  </si>
  <si>
    <t>华锟开票</t>
    <phoneticPr fontId="14" type="noConversion"/>
  </si>
  <si>
    <t>XHZYL20160122</t>
    <phoneticPr fontId="14" type="noConversion"/>
  </si>
  <si>
    <t>铁矿</t>
    <phoneticPr fontId="14" type="noConversion"/>
  </si>
  <si>
    <t>XHZFKNY20160126</t>
    <phoneticPr fontId="14" type="noConversion"/>
  </si>
  <si>
    <t>华锟开票</t>
    <phoneticPr fontId="14" type="noConversion"/>
  </si>
  <si>
    <t>CSLCGNY-HKDF-002</t>
    <phoneticPr fontId="14" type="noConversion"/>
  </si>
  <si>
    <t>广西</t>
    <phoneticPr fontId="14" type="noConversion"/>
  </si>
  <si>
    <t>钦州</t>
    <phoneticPr fontId="14" type="noConversion"/>
  </si>
  <si>
    <t>SME1601Mn1</t>
    <phoneticPr fontId="14" type="noConversion"/>
  </si>
  <si>
    <t>鲁Q6225J</t>
    <phoneticPr fontId="14" type="noConversion"/>
  </si>
  <si>
    <t>华锟香港开票</t>
    <phoneticPr fontId="14" type="noConversion"/>
  </si>
  <si>
    <r>
      <rPr>
        <b/>
        <sz val="10"/>
        <rFont val="Arial Unicode MS"/>
        <family val="2"/>
        <charset val="134"/>
      </rPr>
      <t>硅锰</t>
    </r>
    <phoneticPr fontId="14" type="noConversion"/>
  </si>
  <si>
    <t>SMA20160301-1</t>
    <phoneticPr fontId="10" type="noConversion"/>
  </si>
  <si>
    <t>包装袋</t>
    <phoneticPr fontId="14" type="noConversion"/>
  </si>
  <si>
    <t>广西海格国际物流有限公司</t>
    <phoneticPr fontId="14" type="noConversion"/>
  </si>
  <si>
    <t>湘潭市雨湖区先锋橡塑厂</t>
    <phoneticPr fontId="14" type="noConversion"/>
  </si>
  <si>
    <t>供应商</t>
    <phoneticPr fontId="10" type="noConversion"/>
  </si>
  <si>
    <t>销售合同</t>
    <phoneticPr fontId="10" type="noConversion"/>
  </si>
  <si>
    <t>成品</t>
    <phoneticPr fontId="10" type="noConversion"/>
  </si>
  <si>
    <t>原材料</t>
    <phoneticPr fontId="10" type="noConversion"/>
  </si>
  <si>
    <t>客户</t>
    <phoneticPr fontId="10" type="noConversion"/>
  </si>
  <si>
    <t>锰球</t>
    <phoneticPr fontId="10" type="noConversion"/>
  </si>
  <si>
    <t>（湘钢）中船工业成套物流(广州)有限公司</t>
    <phoneticPr fontId="10" type="noConversion"/>
  </si>
  <si>
    <t>合同吨位</t>
    <phoneticPr fontId="10" type="noConversion"/>
  </si>
  <si>
    <t>SMXG1602Mb1</t>
    <phoneticPr fontId="14" type="noConversion"/>
  </si>
  <si>
    <r>
      <rPr>
        <i/>
        <sz val="10"/>
        <rFont val="Arial Unicode MS"/>
        <family val="2"/>
        <charset val="134"/>
      </rPr>
      <t>3-20日前发完</t>
    </r>
    <r>
      <rPr>
        <sz val="10"/>
        <rFont val="Arial Unicode MS"/>
        <family val="2"/>
        <charset val="134"/>
      </rPr>
      <t>；承兑到湘钢钢厂价.装车付85%款，现金按照4%年息折算，加价归供方</t>
    </r>
    <phoneticPr fontId="10" type="noConversion"/>
  </si>
  <si>
    <t>3月10日前到厂500吨；3月15号前到厂500吨；3月25日前到厂500；承兑到阳春钢厂价.装车付45%，货到7个工作日支付40%款.现金按照4.5%年息折算，加价归供方.</t>
    <phoneticPr fontId="10" type="noConversion"/>
  </si>
  <si>
    <t>3月内发货；承兑到惠冶工厂.装车付80%.现金按照4.2%年息折算，加价归供方.</t>
    <phoneticPr fontId="10" type="noConversion"/>
  </si>
  <si>
    <t>请供方在3月8日前到货120T，3月15日前到货120吨；承兑到湘潭钢厂价.装车付80%.现金按照4.2%年息折算，加价归供方.</t>
    <phoneticPr fontId="10" type="noConversion"/>
  </si>
  <si>
    <t>货物需在2016年3月8日前到厂400吨；3月15日前到厂400吨；承兑到湘潭钢厂价.装车付40%款.到货后七个工作日付45%现金按照4.3%年息折算，加价归供方.</t>
    <phoneticPr fontId="10" type="noConversion"/>
  </si>
  <si>
    <r>
      <rPr>
        <sz val="10"/>
        <rFont val="Arial Unicode MS"/>
        <family val="2"/>
        <charset val="134"/>
      </rPr>
      <t>硅锰</t>
    </r>
    <phoneticPr fontId="14" type="noConversion"/>
  </si>
  <si>
    <t>阳春</t>
    <phoneticPr fontId="14" type="noConversion"/>
  </si>
  <si>
    <t>铁路</t>
    <phoneticPr fontId="14" type="noConversion"/>
  </si>
  <si>
    <t>销售合同</t>
    <phoneticPr fontId="14" type="noConversion"/>
  </si>
  <si>
    <t>SMA20160301-1</t>
    <phoneticPr fontId="14" type="noConversion"/>
  </si>
  <si>
    <t>百色</t>
    <phoneticPr fontId="14" type="noConversion"/>
  </si>
  <si>
    <t>皖L64599</t>
    <phoneticPr fontId="14" type="noConversion"/>
  </si>
  <si>
    <t>皖L63128</t>
    <phoneticPr fontId="14" type="noConversion"/>
  </si>
  <si>
    <t>皖L63149</t>
    <phoneticPr fontId="14" type="noConversion"/>
  </si>
  <si>
    <t>硅锰</t>
    <phoneticPr fontId="14" type="noConversion"/>
  </si>
  <si>
    <t>中船工业成套物流(广州)有限公司</t>
    <phoneticPr fontId="10" type="noConversion"/>
  </si>
  <si>
    <t>承兑；送湘钢</t>
    <phoneticPr fontId="14" type="noConversion"/>
  </si>
  <si>
    <t>鲁Q6314N</t>
    <phoneticPr fontId="14" type="noConversion"/>
  </si>
  <si>
    <t>皖P2C527</t>
    <phoneticPr fontId="14" type="noConversion"/>
  </si>
  <si>
    <t>鲁QC3962</t>
    <phoneticPr fontId="14" type="noConversion"/>
  </si>
  <si>
    <t>鲁Q6581W</t>
    <phoneticPr fontId="14" type="noConversion"/>
  </si>
  <si>
    <t>豫EW1636</t>
    <phoneticPr fontId="14" type="noConversion"/>
  </si>
  <si>
    <t>豫EBM806</t>
    <phoneticPr fontId="14" type="noConversion"/>
  </si>
  <si>
    <t>豫ES7938</t>
    <phoneticPr fontId="14" type="noConversion"/>
  </si>
  <si>
    <t>豫E90908</t>
    <phoneticPr fontId="14" type="noConversion"/>
  </si>
  <si>
    <t>鲁Q4224J</t>
    <phoneticPr fontId="14" type="noConversion"/>
  </si>
  <si>
    <t>SMA20160301-4</t>
    <phoneticPr fontId="14" type="noConversion"/>
  </si>
  <si>
    <t>采购合同</t>
    <phoneticPr fontId="14" type="noConversion"/>
  </si>
  <si>
    <t>SMA20160301-3</t>
    <phoneticPr fontId="14" type="noConversion"/>
  </si>
  <si>
    <t>硅锰</t>
    <phoneticPr fontId="14" type="noConversion"/>
  </si>
  <si>
    <t>枫润</t>
    <phoneticPr fontId="14" type="noConversion"/>
  </si>
  <si>
    <t>惠冶</t>
    <phoneticPr fontId="14" type="noConversion"/>
  </si>
  <si>
    <t>豫R29585</t>
    <phoneticPr fontId="14" type="noConversion"/>
  </si>
  <si>
    <t>采购合同</t>
    <phoneticPr fontId="14" type="noConversion"/>
  </si>
  <si>
    <t>皖D77123</t>
    <phoneticPr fontId="14" type="noConversion"/>
  </si>
  <si>
    <t>豫RF1788</t>
    <phoneticPr fontId="14" type="noConversion"/>
  </si>
  <si>
    <t>SMXG1603Ms1</t>
    <phoneticPr fontId="14" type="noConversion"/>
  </si>
  <si>
    <t>SMYC1603Ms1</t>
    <phoneticPr fontId="14" type="noConversion"/>
  </si>
  <si>
    <t>SMXG1603Al1</t>
    <phoneticPr fontId="14" type="noConversion"/>
  </si>
  <si>
    <t>SMA20160301-5</t>
    <phoneticPr fontId="14" type="noConversion"/>
  </si>
  <si>
    <t>SMA20160301-5</t>
    <phoneticPr fontId="14" type="noConversion"/>
  </si>
  <si>
    <t>鲁Q4070J</t>
    <phoneticPr fontId="14" type="noConversion"/>
  </si>
  <si>
    <t>豫ECF066</t>
    <phoneticPr fontId="14" type="noConversion"/>
  </si>
  <si>
    <t>豫E91665</t>
    <phoneticPr fontId="14" type="noConversion"/>
  </si>
  <si>
    <t>SMXG1603Ms1</t>
    <phoneticPr fontId="14" type="noConversion"/>
  </si>
  <si>
    <t>赣K18882</t>
    <phoneticPr fontId="14" type="noConversion"/>
  </si>
  <si>
    <t>冀BR6603</t>
    <phoneticPr fontId="14" type="noConversion"/>
  </si>
  <si>
    <t>冀B07284</t>
    <phoneticPr fontId="14" type="noConversion"/>
  </si>
  <si>
    <t>冀BR1120</t>
    <phoneticPr fontId="14" type="noConversion"/>
  </si>
  <si>
    <t>SMA20160301-2</t>
    <phoneticPr fontId="14" type="noConversion"/>
  </si>
  <si>
    <t>硅锰</t>
    <phoneticPr fontId="14" type="noConversion"/>
  </si>
  <si>
    <t>枫润</t>
    <phoneticPr fontId="14" type="noConversion"/>
  </si>
  <si>
    <t>豫R46850</t>
    <phoneticPr fontId="14" type="noConversion"/>
  </si>
  <si>
    <t>采购合同</t>
    <phoneticPr fontId="14" type="noConversion"/>
  </si>
  <si>
    <t>SMXG1603Ms1</t>
    <phoneticPr fontId="14" type="noConversion"/>
  </si>
  <si>
    <t>销售合同</t>
    <phoneticPr fontId="14" type="noConversion"/>
  </si>
  <si>
    <t>辽P15118</t>
    <phoneticPr fontId="14" type="noConversion"/>
  </si>
  <si>
    <t>豫P40664</t>
    <phoneticPr fontId="14" type="noConversion"/>
  </si>
  <si>
    <t>Mitsui&amp;Co.,Ltd</t>
    <phoneticPr fontId="14" type="noConversion"/>
  </si>
  <si>
    <t>华锟香港收款</t>
    <phoneticPr fontId="10" type="noConversion"/>
  </si>
  <si>
    <t>SMA20160301-4</t>
    <phoneticPr fontId="14" type="noConversion"/>
  </si>
  <si>
    <t>SMA20160301-3</t>
    <phoneticPr fontId="14" type="noConversion"/>
  </si>
  <si>
    <t>SMA20160301-5</t>
    <phoneticPr fontId="14" type="noConversion"/>
  </si>
  <si>
    <t>百色市新中锰业有限公司</t>
    <phoneticPr fontId="10" type="noConversion"/>
  </si>
  <si>
    <t>承兑 阳春</t>
    <phoneticPr fontId="14" type="noConversion"/>
  </si>
  <si>
    <t>承兑 湘钢</t>
    <phoneticPr fontId="14" type="noConversion"/>
  </si>
  <si>
    <t>SMA20160301-5</t>
    <phoneticPr fontId="10" type="noConversion"/>
  </si>
  <si>
    <t>冀BU7056</t>
    <phoneticPr fontId="14" type="noConversion"/>
  </si>
  <si>
    <t>冀BY7382</t>
    <phoneticPr fontId="14" type="noConversion"/>
  </si>
  <si>
    <t>邓金权</t>
    <phoneticPr fontId="14" type="noConversion"/>
  </si>
  <si>
    <t>合同签订三个工作日收款，2月6日前发货</t>
    <phoneticPr fontId="14" type="noConversion"/>
  </si>
  <si>
    <t>豫D75717</t>
    <phoneticPr fontId="14" type="noConversion"/>
  </si>
  <si>
    <t>百色市新中锰业有限公司</t>
    <phoneticPr fontId="10" type="noConversion"/>
  </si>
  <si>
    <t>成都枫润炉料有限公司</t>
    <phoneticPr fontId="10" type="noConversion"/>
  </si>
  <si>
    <t>宁AB2923</t>
    <phoneticPr fontId="14" type="noConversion"/>
  </si>
  <si>
    <t>成都枫润炉料有限公司</t>
    <phoneticPr fontId="14" type="noConversion"/>
  </si>
  <si>
    <t>昕洪中付款</t>
    <phoneticPr fontId="10" type="noConversion"/>
  </si>
  <si>
    <t>宁E55813</t>
    <phoneticPr fontId="14" type="noConversion"/>
  </si>
  <si>
    <t>豫HG2156</t>
    <phoneticPr fontId="14" type="noConversion"/>
  </si>
  <si>
    <t>豫D87968</t>
    <phoneticPr fontId="14" type="noConversion"/>
  </si>
  <si>
    <t>鲁HH1651</t>
    <phoneticPr fontId="14" type="noConversion"/>
  </si>
  <si>
    <t>湘BO7713</t>
    <phoneticPr fontId="14" type="noConversion"/>
  </si>
  <si>
    <t>SMA20160301-3</t>
    <phoneticPr fontId="14" type="noConversion"/>
  </si>
  <si>
    <t>SMA20160301-2</t>
    <phoneticPr fontId="14" type="noConversion"/>
  </si>
  <si>
    <t>SMA20160301-4</t>
    <phoneticPr fontId="14" type="noConversion"/>
  </si>
  <si>
    <t>SMA20160301-1</t>
    <phoneticPr fontId="10" type="noConversion"/>
  </si>
  <si>
    <t>SMXG1604Mb1</t>
    <phoneticPr fontId="14" type="noConversion"/>
  </si>
  <si>
    <t>SMXG1602Ms2</t>
    <phoneticPr fontId="10" type="noConversion"/>
  </si>
  <si>
    <t>SMA20160122-3</t>
    <phoneticPr fontId="14" type="noConversion"/>
  </si>
  <si>
    <t>硅锰</t>
    <phoneticPr fontId="14" type="noConversion"/>
  </si>
  <si>
    <t>百色市新中锰业有限公司</t>
    <phoneticPr fontId="14" type="noConversion"/>
  </si>
  <si>
    <t>昕洪中付款</t>
    <phoneticPr fontId="10" type="noConversion"/>
  </si>
  <si>
    <t>SMA20160301-4</t>
    <phoneticPr fontId="14" type="noConversion"/>
  </si>
  <si>
    <t>硅锰</t>
    <phoneticPr fontId="14" type="noConversion"/>
  </si>
  <si>
    <t>兴义市嘉泰铁合金有限公司</t>
    <phoneticPr fontId="14" type="noConversion"/>
  </si>
  <si>
    <t>SMA20160301-5</t>
    <phoneticPr fontId="14" type="noConversion"/>
  </si>
  <si>
    <t>成都铁鼎商贸有限公司</t>
    <phoneticPr fontId="14" type="noConversion"/>
  </si>
  <si>
    <t>豫R40032</t>
    <phoneticPr fontId="14" type="noConversion"/>
  </si>
  <si>
    <t>豫AW5937</t>
    <phoneticPr fontId="14" type="noConversion"/>
  </si>
  <si>
    <t>冀BY7098</t>
    <phoneticPr fontId="14" type="noConversion"/>
  </si>
  <si>
    <t>SMA20160301-5</t>
    <phoneticPr fontId="14" type="noConversion"/>
  </si>
  <si>
    <r>
      <rPr>
        <sz val="10"/>
        <rFont val="Arial Unicode MS"/>
        <family val="2"/>
        <charset val="134"/>
      </rPr>
      <t>硅锰</t>
    </r>
    <phoneticPr fontId="14" type="noConversion"/>
  </si>
  <si>
    <t>成都铁鼎商贸有限公司</t>
    <phoneticPr fontId="10" type="noConversion"/>
  </si>
  <si>
    <t>昕洪中收票</t>
    <phoneticPr fontId="14" type="noConversion"/>
  </si>
  <si>
    <t>SMA20160122-4</t>
    <phoneticPr fontId="14" type="noConversion"/>
  </si>
  <si>
    <t>兴义市嘉泰铁合金有限公司</t>
    <phoneticPr fontId="10" type="noConversion"/>
  </si>
  <si>
    <t>SMA20160301-4</t>
    <phoneticPr fontId="10" type="noConversion"/>
  </si>
  <si>
    <t>百色市新中锰业有限公司</t>
    <phoneticPr fontId="14" type="noConversion"/>
  </si>
  <si>
    <t>Mitsui&amp;Co.,Ltd</t>
    <phoneticPr fontId="14" type="noConversion"/>
  </si>
  <si>
    <t>SMXG1601Ms1</t>
    <phoneticPr fontId="10" type="noConversion"/>
  </si>
  <si>
    <t>SMXG1601Al1</t>
    <phoneticPr fontId="14" type="noConversion"/>
  </si>
  <si>
    <t>CSLCGNY-HKJS-001</t>
    <phoneticPr fontId="10" type="noConversion"/>
  </si>
  <si>
    <r>
      <rPr>
        <sz val="11"/>
        <color indexed="8"/>
        <rFont val="Arial Unicode MS"/>
        <family val="2"/>
        <charset val="134"/>
      </rPr>
      <t>合同编号</t>
    </r>
  </si>
  <si>
    <r>
      <rPr>
        <sz val="11"/>
        <color indexed="8"/>
        <rFont val="Arial Unicode MS"/>
        <family val="2"/>
        <charset val="134"/>
      </rPr>
      <t>品名</t>
    </r>
  </si>
  <si>
    <r>
      <rPr>
        <sz val="11"/>
        <color indexed="8"/>
        <rFont val="Arial Unicode MS"/>
        <family val="2"/>
        <charset val="134"/>
      </rPr>
      <t>日期</t>
    </r>
    <phoneticPr fontId="10" type="noConversion"/>
  </si>
  <si>
    <r>
      <rPr>
        <sz val="11"/>
        <color indexed="8"/>
        <rFont val="Arial Unicode MS"/>
        <family val="2"/>
        <charset val="134"/>
      </rPr>
      <t>数量</t>
    </r>
    <phoneticPr fontId="10" type="noConversion"/>
  </si>
  <si>
    <r>
      <rPr>
        <sz val="11"/>
        <color indexed="8"/>
        <rFont val="Arial Unicode MS"/>
        <family val="2"/>
        <charset val="134"/>
      </rPr>
      <t>单价</t>
    </r>
    <phoneticPr fontId="10" type="noConversion"/>
  </si>
  <si>
    <r>
      <rPr>
        <sz val="11"/>
        <color indexed="8"/>
        <rFont val="Arial Unicode MS"/>
        <family val="2"/>
        <charset val="134"/>
      </rPr>
      <t>金额</t>
    </r>
    <phoneticPr fontId="10" type="noConversion"/>
  </si>
  <si>
    <r>
      <rPr>
        <sz val="11"/>
        <color indexed="8"/>
        <rFont val="Arial Unicode MS"/>
        <family val="2"/>
        <charset val="134"/>
      </rPr>
      <t>收款</t>
    </r>
    <phoneticPr fontId="14" type="noConversion"/>
  </si>
  <si>
    <r>
      <rPr>
        <sz val="11"/>
        <color indexed="8"/>
        <rFont val="Arial Unicode MS"/>
        <family val="2"/>
        <charset val="134"/>
      </rPr>
      <t>余额</t>
    </r>
    <phoneticPr fontId="14" type="noConversion"/>
  </si>
  <si>
    <r>
      <rPr>
        <sz val="10"/>
        <color indexed="8"/>
        <rFont val="Arial Unicode MS"/>
        <family val="2"/>
        <charset val="134"/>
      </rPr>
      <t>铝铁</t>
    </r>
    <phoneticPr fontId="14" type="noConversion"/>
  </si>
  <si>
    <r>
      <rPr>
        <sz val="10"/>
        <color indexed="8"/>
        <rFont val="Arial Unicode MS"/>
        <family val="2"/>
        <charset val="134"/>
      </rPr>
      <t>锰球</t>
    </r>
    <phoneticPr fontId="14" type="noConversion"/>
  </si>
  <si>
    <r>
      <rPr>
        <sz val="10"/>
        <color indexed="8"/>
        <rFont val="Arial Unicode MS"/>
        <family val="2"/>
        <charset val="134"/>
      </rPr>
      <t>喷吹煤</t>
    </r>
    <phoneticPr fontId="14" type="noConversion"/>
  </si>
  <si>
    <r>
      <rPr>
        <sz val="10"/>
        <color indexed="8"/>
        <rFont val="Arial Unicode MS"/>
        <family val="2"/>
        <charset val="134"/>
      </rPr>
      <t>铁矿</t>
    </r>
    <phoneticPr fontId="14" type="noConversion"/>
  </si>
  <si>
    <t>SMXGJT20151207</t>
    <phoneticPr fontId="14" type="noConversion"/>
  </si>
  <si>
    <t>焦炭</t>
    <phoneticPr fontId="14" type="noConversion"/>
  </si>
  <si>
    <t>SMA20160330-1</t>
    <phoneticPr fontId="10" type="noConversion"/>
  </si>
  <si>
    <r>
      <t>交湘钢600吨：4月10日前到250吨、4月20日前到250吨、4月25日前到100吨；阳春新钢4月25日前到100吨.</t>
    </r>
    <r>
      <rPr>
        <b/>
        <sz val="10"/>
        <rFont val="Arial Unicode MS"/>
        <family val="2"/>
        <charset val="134"/>
      </rPr>
      <t>装车付40%款.到货后七个工作日付45%；</t>
    </r>
    <r>
      <rPr>
        <sz val="10"/>
        <rFont val="Arial Unicode MS"/>
        <family val="2"/>
        <charset val="134"/>
      </rPr>
      <t>现金按照4.3%年息折算，加价归供方.</t>
    </r>
    <phoneticPr fontId="10" type="noConversion"/>
  </si>
  <si>
    <t>SMXG1604Ms1</t>
    <phoneticPr fontId="14" type="noConversion"/>
  </si>
  <si>
    <t>SMYC1604Ms1</t>
    <phoneticPr fontId="14" type="noConversion"/>
  </si>
  <si>
    <t>SMA20160330-4</t>
    <phoneticPr fontId="14" type="noConversion"/>
  </si>
  <si>
    <r>
      <rPr>
        <sz val="10"/>
        <rFont val="Arial Unicode MS"/>
        <family val="2"/>
        <charset val="134"/>
      </rPr>
      <t>硅锰</t>
    </r>
    <phoneticPr fontId="14" type="noConversion"/>
  </si>
  <si>
    <t>成都铁鼎</t>
    <phoneticPr fontId="14" type="noConversion"/>
  </si>
  <si>
    <t>湘钢</t>
    <phoneticPr fontId="14" type="noConversion"/>
  </si>
  <si>
    <t>冀BY7098</t>
    <phoneticPr fontId="14" type="noConversion"/>
  </si>
  <si>
    <t>销售合同</t>
    <phoneticPr fontId="14" type="noConversion"/>
  </si>
  <si>
    <t>SMXG1603Al1</t>
    <phoneticPr fontId="14" type="noConversion"/>
  </si>
  <si>
    <t>铝铁</t>
    <phoneticPr fontId="14" type="noConversion"/>
  </si>
  <si>
    <t>惠冶</t>
    <phoneticPr fontId="14" type="noConversion"/>
  </si>
  <si>
    <t>湘C07302</t>
    <phoneticPr fontId="14" type="noConversion"/>
  </si>
  <si>
    <t>SMA20160330-3</t>
    <phoneticPr fontId="14" type="noConversion"/>
  </si>
  <si>
    <t>成都枫润</t>
    <phoneticPr fontId="14" type="noConversion"/>
  </si>
  <si>
    <t>汽车</t>
    <phoneticPr fontId="14" type="noConversion"/>
  </si>
  <si>
    <t>采购合同</t>
    <phoneticPr fontId="14" type="noConversion"/>
  </si>
  <si>
    <r>
      <t>4月底前全部发清；承兑到阳春钢厂价.</t>
    </r>
    <r>
      <rPr>
        <b/>
        <sz val="10"/>
        <rFont val="Arial Unicode MS"/>
        <family val="2"/>
        <charset val="134"/>
      </rPr>
      <t>装车付45%，货到7个工作日支付40%款</t>
    </r>
    <r>
      <rPr>
        <sz val="10"/>
        <rFont val="Arial Unicode MS"/>
        <family val="2"/>
        <charset val="134"/>
      </rPr>
      <t>.现金按照4.5%年息折算，加价归供方.</t>
    </r>
    <phoneticPr fontId="10" type="noConversion"/>
  </si>
  <si>
    <t>到货20天后付款 在4月内发货；承兑到惠冶工厂.装车付80%.现金按照4.2%年息折算，加价归供方.</t>
    <phoneticPr fontId="10" type="noConversion"/>
  </si>
  <si>
    <r>
      <rPr>
        <i/>
        <sz val="10"/>
        <rFont val="Arial Unicode MS"/>
        <family val="2"/>
        <charset val="134"/>
      </rPr>
      <t>到货20天后付款 4月内交完</t>
    </r>
    <r>
      <rPr>
        <sz val="10"/>
        <rFont val="Arial Unicode MS"/>
        <family val="2"/>
        <charset val="134"/>
      </rPr>
      <t>；承兑到湘钢钢厂价.装车付85%款，现金按照4%年息折算，加价归供方</t>
    </r>
    <phoneticPr fontId="10" type="noConversion"/>
  </si>
  <si>
    <t>SME1511Mn1</t>
    <phoneticPr fontId="10" type="noConversion"/>
  </si>
  <si>
    <t>湘C07818</t>
    <phoneticPr fontId="14" type="noConversion"/>
  </si>
  <si>
    <t>湘C073O2</t>
    <phoneticPr fontId="14" type="noConversion"/>
  </si>
  <si>
    <t>铁矿</t>
    <phoneticPr fontId="14" type="noConversion"/>
  </si>
  <si>
    <t>XHZSSKY2016323</t>
    <phoneticPr fontId="10" type="noConversion"/>
  </si>
  <si>
    <t>铁矿</t>
    <phoneticPr fontId="10" type="noConversion"/>
  </si>
  <si>
    <t>湖南晟世矿业有限责任公司</t>
    <phoneticPr fontId="10" type="noConversion"/>
  </si>
  <si>
    <t>XHZYL20160307</t>
    <phoneticPr fontId="10" type="noConversion"/>
  </si>
  <si>
    <t>CSLCGNY-HKDF-003</t>
    <phoneticPr fontId="10" type="noConversion"/>
  </si>
  <si>
    <t>CSLCGNY-HKDF-003</t>
    <phoneticPr fontId="14" type="noConversion"/>
  </si>
  <si>
    <t>XHZYL20160307</t>
    <phoneticPr fontId="14" type="noConversion"/>
  </si>
  <si>
    <t>CSLCGNY-HKJS-003</t>
    <phoneticPr fontId="14" type="noConversion"/>
  </si>
  <si>
    <t>SMFKNY20160111</t>
    <phoneticPr fontId="10" type="noConversion"/>
  </si>
  <si>
    <t>喷吹煤</t>
    <phoneticPr fontId="10" type="noConversion"/>
  </si>
  <si>
    <t>XHZSSKY20160202</t>
    <phoneticPr fontId="14" type="noConversion"/>
  </si>
  <si>
    <t>湖南晟世矿业有限责任公司</t>
    <phoneticPr fontId="14" type="noConversion"/>
  </si>
  <si>
    <t>XHZSSKY20160202</t>
    <phoneticPr fontId="10" type="noConversion"/>
  </si>
  <si>
    <t>SMA20160330-2</t>
    <phoneticPr fontId="10" type="noConversion"/>
  </si>
  <si>
    <t>SMA20160330-4</t>
    <phoneticPr fontId="10" type="noConversion"/>
  </si>
  <si>
    <t>SMA20160122-1</t>
    <phoneticPr fontId="14" type="noConversion"/>
  </si>
  <si>
    <t>TOKYO;正本文件交单议付后14个工作日收95%，余款结算后支付</t>
    <phoneticPr fontId="10" type="noConversion"/>
  </si>
  <si>
    <t>MOJI;正本文件交单议付后14个工作日收95%，余款结算后支付</t>
    <phoneticPr fontId="10" type="noConversion"/>
  </si>
  <si>
    <t>SMXG1603Al1</t>
    <phoneticPr fontId="14" type="noConversion"/>
  </si>
  <si>
    <t>SMXG1603Ms1</t>
    <phoneticPr fontId="14" type="noConversion"/>
  </si>
  <si>
    <t>SME1604Mn1</t>
    <phoneticPr fontId="14" type="noConversion"/>
  </si>
  <si>
    <t>SME1604Mn2</t>
    <phoneticPr fontId="14" type="noConversion"/>
  </si>
  <si>
    <t>SMXG1604Mb1</t>
    <phoneticPr fontId="14" type="noConversion"/>
  </si>
  <si>
    <t>铁路</t>
    <phoneticPr fontId="14" type="noConversion"/>
  </si>
  <si>
    <t>XHZSSKY2016323</t>
    <phoneticPr fontId="14" type="noConversion"/>
  </si>
  <si>
    <t>南京</t>
    <phoneticPr fontId="14" type="noConversion"/>
  </si>
  <si>
    <t>赣K18881</t>
    <phoneticPr fontId="14" type="noConversion"/>
  </si>
  <si>
    <t>湘EB2140</t>
    <phoneticPr fontId="14" type="noConversion"/>
  </si>
  <si>
    <t>湘c07818</t>
    <phoneticPr fontId="14" type="noConversion"/>
  </si>
  <si>
    <t>湘C07731</t>
    <phoneticPr fontId="14" type="noConversion"/>
  </si>
  <si>
    <t>SMA20160330-2</t>
    <phoneticPr fontId="14" type="noConversion"/>
  </si>
  <si>
    <t>鲁P05670</t>
    <phoneticPr fontId="14" type="noConversion"/>
  </si>
  <si>
    <t>鲁DF5066</t>
    <phoneticPr fontId="14" type="noConversion"/>
  </si>
  <si>
    <t>鲁PF3377</t>
    <phoneticPr fontId="14" type="noConversion"/>
  </si>
  <si>
    <t>湘C07302</t>
    <phoneticPr fontId="14" type="noConversion"/>
  </si>
  <si>
    <t>SMXG1603Ms1</t>
    <phoneticPr fontId="10" type="noConversion"/>
  </si>
  <si>
    <t>硅锰</t>
    <phoneticPr fontId="10" type="noConversion"/>
  </si>
  <si>
    <t>湘C07818</t>
    <phoneticPr fontId="14" type="noConversion"/>
  </si>
  <si>
    <t>SMXG1604Ms1</t>
    <phoneticPr fontId="14" type="noConversion"/>
  </si>
  <si>
    <t>SMXG1601Mb1</t>
    <phoneticPr fontId="10" type="noConversion"/>
  </si>
  <si>
    <t>SMXG1602Mb1</t>
    <phoneticPr fontId="10" type="noConversion"/>
  </si>
  <si>
    <t>SMXG1604Mb1</t>
    <phoneticPr fontId="10" type="noConversion"/>
  </si>
  <si>
    <t>吨差</t>
    <phoneticPr fontId="10" type="noConversion"/>
  </si>
  <si>
    <t>SMA20160412-1</t>
    <phoneticPr fontId="10" type="noConversion"/>
  </si>
  <si>
    <t>SME1604Mn1</t>
    <phoneticPr fontId="10" type="noConversion"/>
  </si>
  <si>
    <t>桂L27207</t>
    <phoneticPr fontId="14" type="noConversion"/>
  </si>
  <si>
    <t>桂AJ0310</t>
    <phoneticPr fontId="14" type="noConversion"/>
  </si>
  <si>
    <t>豫HF5552</t>
    <phoneticPr fontId="14" type="noConversion"/>
  </si>
  <si>
    <t>冀ED5536</t>
    <phoneticPr fontId="14" type="noConversion"/>
  </si>
  <si>
    <t>豫R97117</t>
    <phoneticPr fontId="14" type="noConversion"/>
  </si>
  <si>
    <t>惠冶（2015年欠量）</t>
    <phoneticPr fontId="10" type="noConversion"/>
  </si>
  <si>
    <t>SMA20160330-3</t>
    <phoneticPr fontId="10" type="noConversion"/>
  </si>
  <si>
    <t>现款，款到放货</t>
    <phoneticPr fontId="14" type="noConversion"/>
  </si>
  <si>
    <t>SMZZ1604Ms1</t>
    <phoneticPr fontId="10" type="noConversion"/>
  </si>
  <si>
    <t>株洲天鹰冶金炉料有限公司</t>
    <phoneticPr fontId="10" type="noConversion"/>
  </si>
  <si>
    <t>SMA20160330-3</t>
    <phoneticPr fontId="10" type="noConversion"/>
  </si>
  <si>
    <t>SMA20160330-2</t>
    <phoneticPr fontId="10" type="noConversion"/>
  </si>
  <si>
    <t>株洲天鹰冶金炉料有限公司</t>
    <phoneticPr fontId="14" type="noConversion"/>
  </si>
  <si>
    <t>价格</t>
    <phoneticPr fontId="10" type="noConversion"/>
  </si>
  <si>
    <t>惠冶</t>
    <phoneticPr fontId="10" type="noConversion"/>
  </si>
  <si>
    <t>华诚当月均价</t>
    <phoneticPr fontId="10" type="noConversion"/>
  </si>
  <si>
    <t>锰球</t>
    <phoneticPr fontId="10" type="noConversion"/>
  </si>
  <si>
    <t>（湘钢）中船工业成套物流(广州)有限公司</t>
    <phoneticPr fontId="10" type="noConversion"/>
  </si>
  <si>
    <t>湘潭钢铁集团有限公司</t>
    <phoneticPr fontId="10" type="noConversion"/>
  </si>
  <si>
    <t>SMA20160301-2</t>
    <phoneticPr fontId="10" type="noConversion"/>
  </si>
  <si>
    <t>SMZZ1604Ms1</t>
    <phoneticPr fontId="14" type="noConversion"/>
  </si>
  <si>
    <t>湘B39353</t>
    <phoneticPr fontId="14" type="noConversion"/>
  </si>
  <si>
    <t>SMA20160330-1</t>
    <phoneticPr fontId="14" type="noConversion"/>
  </si>
  <si>
    <t>SMA20160301-4</t>
    <phoneticPr fontId="14" type="noConversion"/>
  </si>
  <si>
    <r>
      <rPr>
        <sz val="10"/>
        <rFont val="Arial Unicode MS"/>
        <family val="2"/>
        <charset val="134"/>
      </rPr>
      <t>硅锰</t>
    </r>
    <phoneticPr fontId="14" type="noConversion"/>
  </si>
  <si>
    <t>兴义市嘉泰铁合金有限公司</t>
    <phoneticPr fontId="10" type="noConversion"/>
  </si>
  <si>
    <t>SMXG1603Al1</t>
    <phoneticPr fontId="14" type="noConversion"/>
  </si>
  <si>
    <t>铝铁</t>
    <phoneticPr fontId="14" type="noConversion"/>
  </si>
  <si>
    <t>2个月电票</t>
    <phoneticPr fontId="10" type="noConversion"/>
  </si>
  <si>
    <t>硅锰</t>
    <phoneticPr fontId="10" type="noConversion"/>
  </si>
  <si>
    <t>SMXG1602Ms1</t>
    <phoneticPr fontId="10" type="noConversion"/>
  </si>
  <si>
    <t>SMXG1602Al1</t>
    <phoneticPr fontId="10" type="noConversion"/>
  </si>
  <si>
    <t>铝铁</t>
    <phoneticPr fontId="10" type="noConversion"/>
  </si>
  <si>
    <t>SMXG1602Mb1</t>
    <phoneticPr fontId="10" type="noConversion"/>
  </si>
  <si>
    <t>锰球</t>
    <phoneticPr fontId="10" type="noConversion"/>
  </si>
  <si>
    <t>CSLCGNY-HKDF-002</t>
  </si>
  <si>
    <t>CSLCGNY-HKPM-004</t>
    <phoneticPr fontId="14" type="noConversion"/>
  </si>
  <si>
    <t>铁矿</t>
    <phoneticPr fontId="10" type="noConversion"/>
  </si>
  <si>
    <t>CSLCGNY-HKDF-003</t>
  </si>
  <si>
    <t>XHZFKNY2016406</t>
    <phoneticPr fontId="10" type="noConversion"/>
  </si>
  <si>
    <t>CSLCGNY-HKJS-003</t>
    <phoneticPr fontId="10" type="noConversion"/>
  </si>
  <si>
    <t>现款包到价；装船后支付80%，结算收票后20%</t>
    <phoneticPr fontId="10" type="noConversion"/>
  </si>
  <si>
    <t>长阳铠榕电解锰有限公司</t>
    <phoneticPr fontId="10" type="noConversion"/>
  </si>
  <si>
    <t>SMA2016041９-２</t>
    <phoneticPr fontId="10" type="noConversion"/>
  </si>
  <si>
    <t>SME1604Mn２</t>
    <phoneticPr fontId="10" type="noConversion"/>
  </si>
  <si>
    <t>款到发货；４月２６日发货；</t>
    <phoneticPr fontId="10" type="noConversion"/>
  </si>
  <si>
    <t>XHZYL20160108</t>
    <phoneticPr fontId="10" type="noConversion"/>
  </si>
  <si>
    <t>XHZFKNY20160126</t>
    <phoneticPr fontId="10" type="noConversion"/>
  </si>
  <si>
    <t>XHZSSKY20160202</t>
    <phoneticPr fontId="10" type="noConversion"/>
  </si>
  <si>
    <t>赣J22918</t>
    <phoneticPr fontId="14" type="noConversion"/>
  </si>
  <si>
    <t>鲁QZ5597</t>
    <phoneticPr fontId="14" type="noConversion"/>
  </si>
  <si>
    <t>新振</t>
    <phoneticPr fontId="14" type="noConversion"/>
  </si>
  <si>
    <t>SMA20160412-1</t>
    <phoneticPr fontId="14" type="noConversion"/>
  </si>
  <si>
    <t>津AU6911</t>
    <phoneticPr fontId="14" type="noConversion"/>
  </si>
  <si>
    <t xml:space="preserve">豫RF7668 </t>
    <phoneticPr fontId="14" type="noConversion"/>
  </si>
  <si>
    <t>豫D72095</t>
    <phoneticPr fontId="14" type="noConversion"/>
  </si>
  <si>
    <t xml:space="preserve">豫D88821 </t>
    <phoneticPr fontId="14" type="noConversion"/>
  </si>
  <si>
    <t>陕V01600</t>
    <phoneticPr fontId="14" type="noConversion"/>
  </si>
  <si>
    <t>豫EC8666</t>
    <phoneticPr fontId="14" type="noConversion"/>
  </si>
  <si>
    <t>豫EW5656</t>
    <phoneticPr fontId="14" type="noConversion"/>
  </si>
  <si>
    <t>株洲</t>
    <phoneticPr fontId="14" type="noConversion"/>
  </si>
  <si>
    <t>销售合同</t>
    <phoneticPr fontId="14" type="noConversion"/>
  </si>
  <si>
    <t>SMA20160425-1</t>
    <phoneticPr fontId="10" type="noConversion"/>
  </si>
  <si>
    <r>
      <t>交阳春新钢4月底前到货.</t>
    </r>
    <r>
      <rPr>
        <b/>
        <sz val="10"/>
        <rFont val="Arial Unicode MS"/>
        <family val="2"/>
        <charset val="134"/>
      </rPr>
      <t>装车付40%款.到货后七个工作日付45%；</t>
    </r>
    <r>
      <rPr>
        <sz val="10"/>
        <rFont val="Arial Unicode MS"/>
        <family val="2"/>
        <charset val="134"/>
      </rPr>
      <t>现金按照4.3%年息折算，加价归供方.</t>
    </r>
    <phoneticPr fontId="10" type="noConversion"/>
  </si>
  <si>
    <t>SMA20160425-2</t>
    <phoneticPr fontId="10" type="noConversion"/>
  </si>
  <si>
    <r>
      <t>交阳春新钢4月底前到货.</t>
    </r>
    <r>
      <rPr>
        <b/>
        <sz val="10"/>
        <rFont val="Arial Unicode MS"/>
        <family val="2"/>
        <charset val="134"/>
      </rPr>
      <t>装车付40%款.到货后七个工作日付45%；</t>
    </r>
    <r>
      <rPr>
        <sz val="10"/>
        <rFont val="Arial Unicode MS"/>
        <family val="2"/>
        <charset val="134"/>
      </rPr>
      <t>现金按照4.5%年息折算，加价归供方.</t>
    </r>
    <phoneticPr fontId="10" type="noConversion"/>
  </si>
  <si>
    <t>桂KF0908</t>
    <phoneticPr fontId="14" type="noConversion"/>
  </si>
  <si>
    <t>豫R23017</t>
    <phoneticPr fontId="14" type="noConversion"/>
  </si>
  <si>
    <t>豫R46550</t>
    <phoneticPr fontId="14" type="noConversion"/>
  </si>
  <si>
    <t>豫R21892</t>
    <phoneticPr fontId="14" type="noConversion"/>
  </si>
  <si>
    <t>豫RA9956</t>
    <phoneticPr fontId="14" type="noConversion"/>
  </si>
  <si>
    <t>SMA20160301-3</t>
    <phoneticPr fontId="10" type="noConversion"/>
  </si>
  <si>
    <t>SMA20160330-3</t>
    <phoneticPr fontId="10" type="noConversion"/>
  </si>
  <si>
    <t>SMA20160425-1</t>
    <phoneticPr fontId="14" type="noConversion"/>
  </si>
  <si>
    <r>
      <rPr>
        <sz val="10"/>
        <rFont val="Arial Unicode MS"/>
        <family val="2"/>
        <charset val="134"/>
      </rPr>
      <t>硅锰</t>
    </r>
    <phoneticPr fontId="14" type="noConversion"/>
  </si>
  <si>
    <t>百色</t>
    <phoneticPr fontId="14" type="noConversion"/>
  </si>
  <si>
    <t>阳春</t>
    <phoneticPr fontId="14" type="noConversion"/>
  </si>
  <si>
    <t>桂L27207</t>
    <phoneticPr fontId="14" type="noConversion"/>
  </si>
  <si>
    <t>采购合同</t>
    <phoneticPr fontId="14" type="noConversion"/>
  </si>
  <si>
    <t>硅锰</t>
    <phoneticPr fontId="14" type="noConversion"/>
  </si>
  <si>
    <t>粤BU6838</t>
    <phoneticPr fontId="14" type="noConversion"/>
  </si>
  <si>
    <t>销售合同</t>
    <phoneticPr fontId="14" type="noConversion"/>
  </si>
  <si>
    <t>SMA2016０４１9-１</t>
    <phoneticPr fontId="10" type="noConversion"/>
  </si>
  <si>
    <t>SMA20160425-2</t>
    <phoneticPr fontId="14" type="noConversion"/>
  </si>
  <si>
    <t>桂K27062</t>
    <phoneticPr fontId="14" type="noConversion"/>
  </si>
  <si>
    <t>桂26097</t>
    <phoneticPr fontId="14" type="noConversion"/>
  </si>
  <si>
    <t>新振</t>
    <phoneticPr fontId="14" type="noConversion"/>
  </si>
  <si>
    <t>SMA2016０４１9-１</t>
    <phoneticPr fontId="14" type="noConversion"/>
  </si>
  <si>
    <t>长阳</t>
    <phoneticPr fontId="14" type="noConversion"/>
  </si>
  <si>
    <t>宜昌</t>
    <phoneticPr fontId="14" type="noConversion"/>
  </si>
  <si>
    <t>桂A88895</t>
    <phoneticPr fontId="14" type="noConversion"/>
  </si>
  <si>
    <t>桂A88633</t>
    <phoneticPr fontId="14" type="noConversion"/>
  </si>
  <si>
    <t>桂KU3099</t>
    <phoneticPr fontId="14" type="noConversion"/>
  </si>
  <si>
    <t>SMA20160330-2</t>
    <phoneticPr fontId="10" type="noConversion"/>
  </si>
  <si>
    <t>桂kb0175</t>
    <phoneticPr fontId="14" type="noConversion"/>
  </si>
  <si>
    <t>桂AD8637</t>
    <phoneticPr fontId="14" type="noConversion"/>
  </si>
  <si>
    <t>桂A6387</t>
    <phoneticPr fontId="14" type="noConversion"/>
  </si>
  <si>
    <t>SMA20160330-2</t>
    <phoneticPr fontId="10" type="noConversion"/>
  </si>
  <si>
    <t>硅锰</t>
    <phoneticPr fontId="10" type="noConversion"/>
  </si>
  <si>
    <t>百色市新中锰业有限公司</t>
    <phoneticPr fontId="14" type="noConversion"/>
  </si>
  <si>
    <t>昕洪中付款</t>
    <phoneticPr fontId="10" type="noConversion"/>
  </si>
  <si>
    <t>SMA2016０４１9-１</t>
    <phoneticPr fontId="10" type="noConversion"/>
  </si>
  <si>
    <t>锰片</t>
    <phoneticPr fontId="10" type="noConversion"/>
  </si>
  <si>
    <t>长阳铠榕电解锰有限公司</t>
    <phoneticPr fontId="14" type="noConversion"/>
  </si>
  <si>
    <t>SMXG1603Al1</t>
    <phoneticPr fontId="10" type="noConversion"/>
  </si>
  <si>
    <t>铝铁</t>
    <phoneticPr fontId="10" type="noConversion"/>
  </si>
  <si>
    <t>中船工业成套物流(广州)有限公司</t>
    <phoneticPr fontId="14" type="noConversion"/>
  </si>
  <si>
    <t>铁矿</t>
    <phoneticPr fontId="10" type="noConversion"/>
  </si>
  <si>
    <t>SMA20160330-2</t>
    <phoneticPr fontId="10" type="noConversion"/>
  </si>
  <si>
    <t>硅锰</t>
    <phoneticPr fontId="10" type="noConversion"/>
  </si>
  <si>
    <t>SMA20160425-1</t>
    <phoneticPr fontId="10" type="noConversion"/>
  </si>
  <si>
    <t>SMA20160301-3</t>
    <phoneticPr fontId="14" type="noConversion"/>
  </si>
  <si>
    <r>
      <rPr>
        <sz val="10"/>
        <rFont val="Arial Unicode MS"/>
        <family val="2"/>
        <charset val="134"/>
      </rPr>
      <t>硅锰</t>
    </r>
    <phoneticPr fontId="14" type="noConversion"/>
  </si>
  <si>
    <t>成都枫润炉料有限公司</t>
    <phoneticPr fontId="10" type="noConversion"/>
  </si>
  <si>
    <t>昕洪中收票</t>
    <phoneticPr fontId="14" type="noConversion"/>
  </si>
  <si>
    <t>SMA20160330-3</t>
    <phoneticPr fontId="14" type="noConversion"/>
  </si>
  <si>
    <t>湘C07818</t>
    <phoneticPr fontId="14" type="noConversion"/>
  </si>
  <si>
    <t>SME1605MN1</t>
    <phoneticPr fontId="14" type="noConversion"/>
  </si>
  <si>
    <t>CSLCGNY-HKJS-004</t>
    <phoneticPr fontId="14" type="noConversion"/>
  </si>
  <si>
    <t>XHZFKNY2016406</t>
    <phoneticPr fontId="14" type="noConversion"/>
  </si>
  <si>
    <t>XHZYL20160420</t>
    <phoneticPr fontId="10" type="noConversion"/>
  </si>
  <si>
    <r>
      <rPr>
        <sz val="11"/>
        <color theme="1"/>
        <rFont val="宋体"/>
        <family val="3"/>
        <charset val="134"/>
      </rPr>
      <t>中船工业成套物流</t>
    </r>
    <r>
      <rPr>
        <sz val="11"/>
        <color theme="1"/>
        <rFont val="Arial Narrow"/>
        <family val="2"/>
      </rPr>
      <t>(</t>
    </r>
    <r>
      <rPr>
        <sz val="11"/>
        <color theme="1"/>
        <rFont val="宋体"/>
        <family val="3"/>
        <charset val="134"/>
      </rPr>
      <t>广州</t>
    </r>
    <r>
      <rPr>
        <sz val="11"/>
        <color theme="1"/>
        <rFont val="Arial Narrow"/>
        <family val="2"/>
      </rPr>
      <t>)</t>
    </r>
    <r>
      <rPr>
        <sz val="11"/>
        <color theme="1"/>
        <rFont val="宋体"/>
        <family val="3"/>
        <charset val="134"/>
      </rPr>
      <t>有限公司</t>
    </r>
    <phoneticPr fontId="14" type="noConversion"/>
  </si>
  <si>
    <t>华锟签订合同</t>
    <phoneticPr fontId="10" type="noConversion"/>
  </si>
  <si>
    <t>SMYKXR20160421</t>
    <phoneticPr fontId="10" type="noConversion"/>
  </si>
  <si>
    <t>氧化镁球</t>
    <phoneticPr fontId="10" type="noConversion"/>
  </si>
  <si>
    <t>营口鑫瑞耐火材料有限公司</t>
    <phoneticPr fontId="10" type="noConversion"/>
  </si>
  <si>
    <t>付款发货</t>
    <phoneticPr fontId="10" type="noConversion"/>
  </si>
  <si>
    <t>SME1604Mp1</t>
    <phoneticPr fontId="10" type="noConversion"/>
  </si>
  <si>
    <t>PT. KRAKATAU POSCO</t>
    <phoneticPr fontId="10" type="noConversion"/>
  </si>
  <si>
    <t>正本文件交单议付后14个工作日收款</t>
    <phoneticPr fontId="10" type="noConversion"/>
  </si>
  <si>
    <t>SMYKXR20160421</t>
    <phoneticPr fontId="14" type="noConversion"/>
  </si>
  <si>
    <t>大连港</t>
    <phoneticPr fontId="14" type="noConversion"/>
  </si>
  <si>
    <t>SMYC1603Ms1 </t>
    <phoneticPr fontId="14" type="noConversion"/>
  </si>
  <si>
    <t>SMYC1604Ms1 </t>
    <phoneticPr fontId="14" type="noConversion"/>
  </si>
  <si>
    <t>SMYKXR20160421</t>
    <phoneticPr fontId="14" type="noConversion"/>
  </si>
  <si>
    <t>氧化镁球</t>
    <phoneticPr fontId="14" type="noConversion"/>
  </si>
  <si>
    <t>营口鑫瑞耐火材料有限公司</t>
    <phoneticPr fontId="14" type="noConversion"/>
  </si>
  <si>
    <t>华锟收票</t>
    <phoneticPr fontId="14" type="noConversion"/>
  </si>
  <si>
    <r>
      <rPr>
        <sz val="10"/>
        <rFont val="Arial Unicode MS"/>
        <family val="2"/>
        <charset val="134"/>
      </rPr>
      <t>硅锰</t>
    </r>
    <phoneticPr fontId="14" type="noConversion"/>
  </si>
  <si>
    <t>湘潭钢铁集团有限公司</t>
    <phoneticPr fontId="14" type="noConversion"/>
  </si>
  <si>
    <t>SMYC1604Ms1</t>
    <phoneticPr fontId="14" type="noConversion"/>
  </si>
  <si>
    <r>
      <rPr>
        <sz val="10"/>
        <rFont val="Arial Unicode MS"/>
        <family val="2"/>
        <charset val="134"/>
      </rPr>
      <t>硅锰</t>
    </r>
    <phoneticPr fontId="14" type="noConversion"/>
  </si>
  <si>
    <t>湘潭钢铁集团有限公司</t>
    <phoneticPr fontId="14" type="noConversion"/>
  </si>
  <si>
    <t>华锟开票</t>
    <phoneticPr fontId="14" type="noConversion"/>
  </si>
  <si>
    <t>SME1604Mn1</t>
    <phoneticPr fontId="14" type="noConversion"/>
  </si>
  <si>
    <t>锰片</t>
    <phoneticPr fontId="14" type="noConversion"/>
  </si>
  <si>
    <t>Mitsui&amp;Co.,Ltd</t>
    <phoneticPr fontId="14" type="noConversion"/>
  </si>
  <si>
    <t>香港华锟开票</t>
    <phoneticPr fontId="14" type="noConversion"/>
  </si>
  <si>
    <t>SME1604Mn2</t>
    <phoneticPr fontId="14" type="noConversion"/>
  </si>
  <si>
    <t>锰片</t>
    <phoneticPr fontId="14" type="noConversion"/>
  </si>
  <si>
    <t>Mitsui&amp;Co.,Ltd</t>
    <phoneticPr fontId="14" type="noConversion"/>
  </si>
  <si>
    <t>广西海格国际物流有限公司</t>
    <phoneticPr fontId="10" type="noConversion"/>
  </si>
  <si>
    <t>包干费</t>
    <phoneticPr fontId="10" type="noConversion"/>
  </si>
  <si>
    <t>三星财产保险（中国）有限公司深圳分公司</t>
    <phoneticPr fontId="10" type="noConversion"/>
  </si>
  <si>
    <t>保费</t>
    <phoneticPr fontId="10" type="noConversion"/>
  </si>
  <si>
    <t>SME1604Mn2</t>
    <phoneticPr fontId="10" type="noConversion"/>
  </si>
  <si>
    <t>海运费</t>
    <phoneticPr fontId="10" type="noConversion"/>
  </si>
  <si>
    <t>SMXG1604Mb1</t>
    <phoneticPr fontId="14" type="noConversion"/>
  </si>
  <si>
    <t>锰球</t>
    <phoneticPr fontId="14" type="noConversion"/>
  </si>
  <si>
    <t>中船工业成套物流(广州)有限公司</t>
    <phoneticPr fontId="14" type="noConversion"/>
  </si>
  <si>
    <t>SMXG1604Ms1</t>
    <phoneticPr fontId="14" type="noConversion"/>
  </si>
  <si>
    <t>硅锰</t>
    <phoneticPr fontId="14" type="noConversion"/>
  </si>
  <si>
    <t>XHZYL20160420</t>
    <phoneticPr fontId="14" type="noConversion"/>
  </si>
  <si>
    <t>营口</t>
    <phoneticPr fontId="14" type="noConversion"/>
  </si>
  <si>
    <t>铁鼎</t>
    <phoneticPr fontId="14" type="noConversion"/>
  </si>
  <si>
    <t>往来单位</t>
    <phoneticPr fontId="14" type="noConversion"/>
  </si>
  <si>
    <t>合同号</t>
    <phoneticPr fontId="14" type="noConversion"/>
  </si>
  <si>
    <t>供应商</t>
    <phoneticPr fontId="14" type="noConversion"/>
  </si>
  <si>
    <t>数量</t>
    <phoneticPr fontId="14" type="noConversion"/>
  </si>
  <si>
    <t>付款日期</t>
    <phoneticPr fontId="14" type="noConversion"/>
  </si>
  <si>
    <t>付款金额</t>
    <phoneticPr fontId="14" type="noConversion"/>
  </si>
  <si>
    <t>开增票日期</t>
    <phoneticPr fontId="14" type="noConversion"/>
  </si>
  <si>
    <t>增票金额</t>
    <phoneticPr fontId="14" type="noConversion"/>
  </si>
  <si>
    <t>同华锟购销单价</t>
    <phoneticPr fontId="14" type="noConversion"/>
  </si>
  <si>
    <t>中船开票日期</t>
    <phoneticPr fontId="14" type="noConversion"/>
  </si>
  <si>
    <t>华锟付款日期</t>
    <phoneticPr fontId="14" type="noConversion"/>
  </si>
  <si>
    <t>华锟付款金额</t>
    <phoneticPr fontId="14" type="noConversion"/>
  </si>
  <si>
    <t>财务入账日期</t>
    <phoneticPr fontId="14" type="noConversion"/>
  </si>
  <si>
    <t>-</t>
    <phoneticPr fontId="14" type="noConversion"/>
  </si>
  <si>
    <t>上海中船</t>
    <phoneticPr fontId="14" type="noConversion"/>
  </si>
  <si>
    <t>上海昕洪中</t>
    <phoneticPr fontId="14" type="noConversion"/>
  </si>
  <si>
    <t>M5GNM201600067</t>
    <phoneticPr fontId="10" type="noConversion"/>
  </si>
  <si>
    <t>产品</t>
    <phoneticPr fontId="14" type="noConversion"/>
  </si>
  <si>
    <t>SMA20160330-3</t>
    <phoneticPr fontId="10" type="noConversion"/>
  </si>
  <si>
    <t>硅锰</t>
    <phoneticPr fontId="10" type="noConversion"/>
  </si>
  <si>
    <t>成都枫润炉料有限公司</t>
    <phoneticPr fontId="10" type="noConversion"/>
  </si>
  <si>
    <t>昕洪中付款</t>
    <phoneticPr fontId="10" type="noConversion"/>
  </si>
  <si>
    <t>SMA20160425-2</t>
    <phoneticPr fontId="10" type="noConversion"/>
  </si>
  <si>
    <t>广西新振锰业集团有限公司</t>
    <phoneticPr fontId="10" type="noConversion"/>
  </si>
  <si>
    <t>SMA20160330-1</t>
    <phoneticPr fontId="10" type="noConversion"/>
  </si>
  <si>
    <t>兴义市嘉泰铁合金有限公司</t>
    <phoneticPr fontId="10" type="noConversion"/>
  </si>
  <si>
    <t>SMXG1605Ms1</t>
    <phoneticPr fontId="14" type="noConversion"/>
  </si>
  <si>
    <t>SMYC1605Ms1</t>
    <phoneticPr fontId="14" type="noConversion"/>
  </si>
  <si>
    <t>SMXG1605Mb1</t>
    <phoneticPr fontId="14" type="noConversion"/>
  </si>
  <si>
    <t>SMA20160505-1</t>
    <phoneticPr fontId="10" type="noConversion"/>
  </si>
  <si>
    <t>SMA20160505-2</t>
    <phoneticPr fontId="10" type="noConversion"/>
  </si>
  <si>
    <r>
      <t>5月底前全部发清；承兑到阳春钢厂价.</t>
    </r>
    <r>
      <rPr>
        <b/>
        <sz val="10"/>
        <rFont val="Arial Unicode MS"/>
        <family val="2"/>
        <charset val="134"/>
      </rPr>
      <t>装车付45%，货到7个工作日支付40%款</t>
    </r>
    <r>
      <rPr>
        <sz val="10"/>
        <rFont val="Arial Unicode MS"/>
        <family val="2"/>
        <charset val="134"/>
      </rPr>
      <t>.现金按照4.5%年息折算，加价归供方.</t>
    </r>
    <phoneticPr fontId="10" type="noConversion"/>
  </si>
  <si>
    <r>
      <t>5月底前到货阳春钢厂.</t>
    </r>
    <r>
      <rPr>
        <b/>
        <sz val="10"/>
        <rFont val="Arial Unicode MS"/>
        <family val="2"/>
        <charset val="134"/>
      </rPr>
      <t>装车付40%款.到货后七个工作日付45%；</t>
    </r>
    <r>
      <rPr>
        <sz val="10"/>
        <rFont val="Arial Unicode MS"/>
        <family val="2"/>
        <charset val="134"/>
      </rPr>
      <t>现金按照4.3%年息折算，加价归供方.</t>
    </r>
    <phoneticPr fontId="10" type="noConversion"/>
  </si>
  <si>
    <t>SMA20160509-2</t>
    <phoneticPr fontId="10" type="noConversion"/>
  </si>
  <si>
    <t>SMA20160509-1</t>
    <phoneticPr fontId="14" type="noConversion"/>
  </si>
  <si>
    <t>SME1604Mn2</t>
    <phoneticPr fontId="14" type="noConversion"/>
  </si>
  <si>
    <t>宜昌盛元国际货运代理有限公司</t>
    <phoneticPr fontId="10" type="noConversion"/>
  </si>
  <si>
    <t>海运费</t>
    <phoneticPr fontId="10" type="noConversion"/>
  </si>
  <si>
    <t>SME1604Mn2</t>
    <phoneticPr fontId="10" type="noConversion"/>
  </si>
  <si>
    <r>
      <rPr>
        <i/>
        <sz val="10"/>
        <rFont val="Arial Unicode MS"/>
        <family val="2"/>
        <charset val="134"/>
      </rPr>
      <t>5月底前发完</t>
    </r>
    <r>
      <rPr>
        <sz val="10"/>
        <rFont val="Arial Unicode MS"/>
        <family val="2"/>
        <charset val="134"/>
      </rPr>
      <t>；承兑到湘钢钢厂价.装车付85%款，现金按照4%年息折算，加价归供方</t>
    </r>
    <phoneticPr fontId="10" type="noConversion"/>
  </si>
  <si>
    <t>SMA20160301-4</t>
    <phoneticPr fontId="14" type="noConversion"/>
  </si>
  <si>
    <r>
      <rPr>
        <sz val="10"/>
        <rFont val="Arial Unicode MS"/>
        <family val="2"/>
        <charset val="134"/>
      </rPr>
      <t>硅锰</t>
    </r>
    <phoneticPr fontId="14" type="noConversion"/>
  </si>
  <si>
    <t>兴义市嘉泰铁合金有限公司</t>
    <phoneticPr fontId="14" type="noConversion"/>
  </si>
  <si>
    <t>昕洪中收票</t>
    <phoneticPr fontId="14" type="noConversion"/>
  </si>
  <si>
    <t>SMA20160104-1</t>
    <phoneticPr fontId="14" type="noConversion"/>
  </si>
  <si>
    <r>
      <rPr>
        <sz val="10"/>
        <rFont val="Arial Unicode MS"/>
        <family val="2"/>
        <charset val="134"/>
      </rPr>
      <t>硅锰</t>
    </r>
    <phoneticPr fontId="14" type="noConversion"/>
  </si>
  <si>
    <t>转款</t>
    <phoneticPr fontId="10" type="noConversion"/>
  </si>
  <si>
    <t>两个月电票</t>
    <phoneticPr fontId="10" type="noConversion"/>
  </si>
  <si>
    <t>SME1604Mn2</t>
    <phoneticPr fontId="10" type="noConversion"/>
  </si>
  <si>
    <t>包干费</t>
    <phoneticPr fontId="10" type="noConversion"/>
  </si>
  <si>
    <t>宜昌盛元国际货运代理有限公司</t>
    <phoneticPr fontId="10" type="noConversion"/>
  </si>
  <si>
    <t>SMYC1603Ms1</t>
    <phoneticPr fontId="10" type="noConversion"/>
  </si>
  <si>
    <t>硅锰</t>
    <phoneticPr fontId="10" type="noConversion"/>
  </si>
  <si>
    <t>湘潭钢铁集团有限公司</t>
    <phoneticPr fontId="10" type="noConversion"/>
  </si>
  <si>
    <t>SMXG1604Ms1</t>
    <phoneticPr fontId="10" type="noConversion"/>
  </si>
  <si>
    <t>中船工业成套物流(广州)有限公司</t>
    <phoneticPr fontId="10" type="noConversion"/>
  </si>
  <si>
    <t>SMXG1603Ms1</t>
    <phoneticPr fontId="10" type="noConversion"/>
  </si>
  <si>
    <t>粤G52165</t>
    <phoneticPr fontId="14" type="noConversion"/>
  </si>
  <si>
    <t>粤G38779</t>
    <phoneticPr fontId="14" type="noConversion"/>
  </si>
  <si>
    <t>SMA20160330-1</t>
    <phoneticPr fontId="10" type="noConversion"/>
  </si>
  <si>
    <t>SMA20160301-4</t>
    <phoneticPr fontId="10" type="noConversion"/>
  </si>
  <si>
    <t>SMA20160301-1</t>
    <phoneticPr fontId="10" type="noConversion"/>
  </si>
  <si>
    <t>SMA20160330-4</t>
    <phoneticPr fontId="10" type="noConversion"/>
  </si>
  <si>
    <t>SMA20160425-2</t>
    <phoneticPr fontId="10" type="noConversion"/>
  </si>
  <si>
    <t>到厂价；在5月内发货；.装车付80%.现金按照4.2%年息折算，加价归供方.</t>
    <phoneticPr fontId="10" type="noConversion"/>
  </si>
  <si>
    <t>兴义市嘉泰铁合金有限公司</t>
    <phoneticPr fontId="10" type="noConversion"/>
  </si>
  <si>
    <t>铁矿</t>
    <phoneticPr fontId="14" type="noConversion"/>
  </si>
  <si>
    <t>华锟开票</t>
    <phoneticPr fontId="14" type="noConversion"/>
  </si>
  <si>
    <t>CSLCGNY-HKJS-003</t>
    <phoneticPr fontId="10" type="noConversion"/>
  </si>
  <si>
    <t>铁矿</t>
    <phoneticPr fontId="10" type="noConversion"/>
  </si>
  <si>
    <t>XHZYL20160307</t>
    <phoneticPr fontId="10" type="noConversion"/>
  </si>
  <si>
    <t>XHZYL20160420</t>
    <phoneticPr fontId="10" type="noConversion"/>
  </si>
  <si>
    <t>XHZFKNY2016406</t>
    <phoneticPr fontId="10" type="noConversion"/>
  </si>
  <si>
    <t>喷吹煤</t>
    <phoneticPr fontId="10" type="noConversion"/>
  </si>
  <si>
    <t>贵州建强锰业有限公司</t>
    <phoneticPr fontId="10" type="noConversion"/>
  </si>
  <si>
    <t>锰片</t>
    <phoneticPr fontId="10" type="noConversion"/>
  </si>
  <si>
    <t>SMA20160511-1</t>
    <phoneticPr fontId="10" type="noConversion"/>
  </si>
  <si>
    <t>自提价，送惠冶，装车付款</t>
    <phoneticPr fontId="10" type="noConversion"/>
  </si>
  <si>
    <t>SMXG1605Mb1</t>
    <phoneticPr fontId="10" type="noConversion"/>
  </si>
  <si>
    <t>NAGOYA;正本文件交单议付后14个工作日收95%，余款结算后支付</t>
    <phoneticPr fontId="10" type="noConversion"/>
  </si>
  <si>
    <t>SMXG1604Mb1</t>
    <phoneticPr fontId="10" type="noConversion"/>
  </si>
  <si>
    <t>锰球</t>
    <phoneticPr fontId="10" type="noConversion"/>
  </si>
  <si>
    <t>中船工业成套物流(广州)有限公司</t>
    <phoneticPr fontId="14" type="noConversion"/>
  </si>
  <si>
    <t>CSLCGNY-HKPM-001</t>
    <phoneticPr fontId="10" type="noConversion"/>
  </si>
  <si>
    <t>喷吹煤</t>
    <phoneticPr fontId="10" type="noConversion"/>
  </si>
  <si>
    <t>大龙</t>
    <phoneticPr fontId="14" type="noConversion"/>
  </si>
  <si>
    <t>XHZYL20160307</t>
    <phoneticPr fontId="14" type="noConversion"/>
  </si>
  <si>
    <t>铁矿</t>
    <phoneticPr fontId="14" type="noConversion"/>
  </si>
  <si>
    <t>湖口永隆贸易有限公司</t>
    <phoneticPr fontId="14" type="noConversion"/>
  </si>
  <si>
    <t>昕洪中收票</t>
    <phoneticPr fontId="14" type="noConversion"/>
  </si>
  <si>
    <t>SMA20160511-1</t>
    <phoneticPr fontId="10" type="noConversion"/>
  </si>
  <si>
    <t>锰片</t>
    <phoneticPr fontId="10" type="noConversion"/>
  </si>
  <si>
    <t>贵州建强锰业有限公司</t>
    <phoneticPr fontId="14" type="noConversion"/>
  </si>
  <si>
    <t>昕洪中付款</t>
    <phoneticPr fontId="10" type="noConversion"/>
  </si>
  <si>
    <t>Mitsui&amp;Co.,Ltd</t>
    <phoneticPr fontId="14" type="noConversion"/>
  </si>
  <si>
    <t>华锟香港收款</t>
    <phoneticPr fontId="10" type="noConversion"/>
  </si>
  <si>
    <t>SMA20160516-1</t>
    <phoneticPr fontId="10" type="noConversion"/>
  </si>
  <si>
    <t>SMA20160517-1</t>
    <phoneticPr fontId="10" type="noConversion"/>
  </si>
  <si>
    <t>YONGHE METAL CO.,LTD</t>
    <phoneticPr fontId="10" type="noConversion"/>
  </si>
  <si>
    <t>华锟香港签订合同</t>
    <phoneticPr fontId="10" type="noConversion"/>
  </si>
  <si>
    <t>收到单据后三个工作日内付款</t>
    <phoneticPr fontId="10" type="noConversion"/>
  </si>
  <si>
    <t>CSLCGNY-HKJS-003</t>
    <phoneticPr fontId="14" type="noConversion"/>
  </si>
  <si>
    <t>铁矿</t>
    <phoneticPr fontId="14" type="noConversion"/>
  </si>
  <si>
    <r>
      <rPr>
        <b/>
        <sz val="10"/>
        <rFont val="Arial Unicode MS"/>
        <family val="2"/>
        <charset val="134"/>
      </rPr>
      <t>硅锰</t>
    </r>
    <phoneticPr fontId="14" type="noConversion"/>
  </si>
  <si>
    <t>SMXG1602Ms2</t>
    <phoneticPr fontId="14" type="noConversion"/>
  </si>
  <si>
    <t>华锟香港收款</t>
    <phoneticPr fontId="10" type="noConversion"/>
  </si>
  <si>
    <t>SMA20160505-1</t>
    <phoneticPr fontId="14" type="noConversion"/>
  </si>
  <si>
    <t>阳春</t>
    <phoneticPr fontId="14" type="noConversion"/>
  </si>
  <si>
    <t>铁路</t>
    <phoneticPr fontId="14" type="noConversion"/>
  </si>
  <si>
    <t>采购合同</t>
    <phoneticPr fontId="14" type="noConversion"/>
  </si>
  <si>
    <t>硅锰</t>
    <phoneticPr fontId="14" type="noConversion"/>
  </si>
  <si>
    <t>销售合同</t>
    <phoneticPr fontId="14" type="noConversion"/>
  </si>
  <si>
    <t>SMA20160509-2</t>
    <phoneticPr fontId="14" type="noConversion"/>
  </si>
  <si>
    <t>枫润</t>
    <phoneticPr fontId="14" type="noConversion"/>
  </si>
  <si>
    <t>湘钢</t>
    <phoneticPr fontId="14" type="noConversion"/>
  </si>
  <si>
    <t>SMXG1605Ms1</t>
    <phoneticPr fontId="14" type="noConversion"/>
  </si>
  <si>
    <t>SMXG1605Mb1</t>
    <phoneticPr fontId="14" type="noConversion"/>
  </si>
  <si>
    <t>锰球</t>
    <phoneticPr fontId="14" type="noConversion"/>
  </si>
  <si>
    <t>惠冶</t>
    <phoneticPr fontId="14" type="noConversion"/>
  </si>
  <si>
    <t>湘EB2140</t>
    <phoneticPr fontId="14" type="noConversion"/>
  </si>
  <si>
    <t>湘C07818</t>
    <phoneticPr fontId="14" type="noConversion"/>
  </si>
  <si>
    <t>湘C07302</t>
    <phoneticPr fontId="14" type="noConversion"/>
  </si>
  <si>
    <t>豫P8A845</t>
    <phoneticPr fontId="14" type="noConversion"/>
  </si>
  <si>
    <t>豫RF1557</t>
    <phoneticPr fontId="14" type="noConversion"/>
  </si>
  <si>
    <t>XHZYL20160504</t>
    <phoneticPr fontId="10" type="noConversion"/>
  </si>
  <si>
    <t>池州实业中冶钢铁冶金炉料有限公司</t>
    <phoneticPr fontId="10" type="noConversion"/>
  </si>
  <si>
    <t>CSLCGNY-HKJS-0051</t>
    <phoneticPr fontId="14" type="noConversion"/>
  </si>
  <si>
    <t>CSLCGNY-HKJS-0052</t>
    <phoneticPr fontId="14" type="noConversion"/>
  </si>
  <si>
    <t>铁矿</t>
    <phoneticPr fontId="10" type="noConversion"/>
  </si>
  <si>
    <t>CSLCGNY-HKJS-004</t>
    <phoneticPr fontId="10" type="noConversion"/>
  </si>
  <si>
    <t>CSLCGNY-HKPM-004</t>
    <phoneticPr fontId="10" type="noConversion"/>
  </si>
  <si>
    <t>喷吹煤</t>
    <phoneticPr fontId="10" type="noConversion"/>
  </si>
  <si>
    <t>SME1604Mp1</t>
    <phoneticPr fontId="14" type="noConversion"/>
  </si>
  <si>
    <t>氧化镁球</t>
    <phoneticPr fontId="14" type="noConversion"/>
  </si>
  <si>
    <t>大连</t>
    <phoneticPr fontId="14" type="noConversion"/>
  </si>
  <si>
    <t>印尼</t>
    <phoneticPr fontId="14" type="noConversion"/>
  </si>
  <si>
    <t>销售合同</t>
    <phoneticPr fontId="14" type="noConversion"/>
  </si>
  <si>
    <t>大连联航</t>
    <phoneticPr fontId="14" type="noConversion"/>
  </si>
  <si>
    <t>CSLCGNY-HKPM-001</t>
    <phoneticPr fontId="10" type="noConversion"/>
  </si>
  <si>
    <t>喷吹煤</t>
    <phoneticPr fontId="10" type="noConversion"/>
  </si>
  <si>
    <t>豫RK2369</t>
    <phoneticPr fontId="14" type="noConversion"/>
  </si>
  <si>
    <t>豫RF1378</t>
    <phoneticPr fontId="14" type="noConversion"/>
  </si>
  <si>
    <t>百色新中</t>
    <phoneticPr fontId="14" type="noConversion"/>
  </si>
  <si>
    <t>桂KV7011</t>
    <phoneticPr fontId="14" type="noConversion"/>
  </si>
  <si>
    <t>豫K66677</t>
    <phoneticPr fontId="14" type="noConversion"/>
  </si>
  <si>
    <t>SMA20160505-2</t>
    <phoneticPr fontId="14" type="noConversion"/>
  </si>
  <si>
    <t>SMA20160523-1</t>
    <phoneticPr fontId="10" type="noConversion"/>
  </si>
  <si>
    <t>SMXG1605Ms1</t>
    <phoneticPr fontId="14" type="noConversion"/>
  </si>
  <si>
    <t>硅锰</t>
    <phoneticPr fontId="14" type="noConversion"/>
  </si>
  <si>
    <t>枫润</t>
    <phoneticPr fontId="14" type="noConversion"/>
  </si>
  <si>
    <t>湘钢</t>
    <phoneticPr fontId="14" type="noConversion"/>
  </si>
  <si>
    <t>豫K66677</t>
    <phoneticPr fontId="14" type="noConversion"/>
  </si>
  <si>
    <t>销售合同</t>
    <phoneticPr fontId="14" type="noConversion"/>
  </si>
  <si>
    <t>SMA20160509-2</t>
    <phoneticPr fontId="14" type="noConversion"/>
  </si>
  <si>
    <t>豫AV7553</t>
    <phoneticPr fontId="14" type="noConversion"/>
  </si>
  <si>
    <t>采购合同</t>
    <phoneticPr fontId="14" type="noConversion"/>
  </si>
  <si>
    <t>SMA20160523-1</t>
    <phoneticPr fontId="14" type="noConversion"/>
  </si>
  <si>
    <t>锰片</t>
    <phoneticPr fontId="14" type="noConversion"/>
  </si>
  <si>
    <t>建强</t>
    <phoneticPr fontId="14" type="noConversion"/>
  </si>
  <si>
    <t>惠冶</t>
    <phoneticPr fontId="14" type="noConversion"/>
  </si>
  <si>
    <t>SMXG1605Mb1</t>
    <phoneticPr fontId="14" type="noConversion"/>
  </si>
  <si>
    <t>锰球</t>
    <phoneticPr fontId="14" type="noConversion"/>
  </si>
  <si>
    <t>湘C07302</t>
    <phoneticPr fontId="14" type="noConversion"/>
  </si>
  <si>
    <t>湘EB2140</t>
    <phoneticPr fontId="14" type="noConversion"/>
  </si>
  <si>
    <t>湘C07731</t>
    <phoneticPr fontId="14" type="noConversion"/>
  </si>
  <si>
    <t>CSLCGNY-HKPM-004</t>
    <phoneticPr fontId="10" type="noConversion"/>
  </si>
  <si>
    <t>喷吹煤</t>
    <phoneticPr fontId="10" type="noConversion"/>
  </si>
  <si>
    <t>中船工业成套物流(广州)有限公司</t>
    <phoneticPr fontId="14" type="noConversion"/>
  </si>
  <si>
    <t>两个月电票</t>
    <phoneticPr fontId="10" type="noConversion"/>
  </si>
  <si>
    <t>SMA20160509-1</t>
    <phoneticPr fontId="10" type="noConversion"/>
  </si>
  <si>
    <t>硅锰</t>
    <phoneticPr fontId="10" type="noConversion"/>
  </si>
  <si>
    <t>成都铁鼎商贸有限公司</t>
    <phoneticPr fontId="14" type="noConversion"/>
  </si>
  <si>
    <t>昕洪中付款</t>
    <phoneticPr fontId="10" type="noConversion"/>
  </si>
  <si>
    <t>SMA20160330-4</t>
    <phoneticPr fontId="10" type="noConversion"/>
  </si>
  <si>
    <t>SMA20160509-2</t>
    <phoneticPr fontId="10" type="noConversion"/>
  </si>
  <si>
    <t>成都枫润炉料有限公司</t>
    <phoneticPr fontId="14" type="noConversion"/>
  </si>
  <si>
    <t>SMA20160505-1</t>
    <phoneticPr fontId="10" type="noConversion"/>
  </si>
  <si>
    <t>兴义市嘉泰铁合金有限公司</t>
    <phoneticPr fontId="14" type="noConversion"/>
  </si>
  <si>
    <t>SMA20160505-2</t>
    <phoneticPr fontId="10" type="noConversion"/>
  </si>
  <si>
    <t>百色市新中锰业有限公司</t>
    <phoneticPr fontId="14" type="noConversion"/>
  </si>
  <si>
    <t>豫D75096</t>
    <phoneticPr fontId="14" type="noConversion"/>
  </si>
  <si>
    <t>SMA20160511-1</t>
    <phoneticPr fontId="14" type="noConversion"/>
  </si>
  <si>
    <t>SMXG1605Ms1</t>
    <phoneticPr fontId="14" type="noConversion"/>
  </si>
  <si>
    <t>硅锰</t>
    <phoneticPr fontId="14" type="noConversion"/>
  </si>
  <si>
    <t>枫润</t>
    <phoneticPr fontId="14" type="noConversion"/>
  </si>
  <si>
    <t>湘钢</t>
    <phoneticPr fontId="14" type="noConversion"/>
  </si>
  <si>
    <t>豫D75096</t>
    <phoneticPr fontId="14" type="noConversion"/>
  </si>
  <si>
    <t>销售合同</t>
    <phoneticPr fontId="14" type="noConversion"/>
  </si>
  <si>
    <t>SMA20160517-1</t>
    <phoneticPr fontId="14" type="noConversion"/>
  </si>
  <si>
    <t>锰片</t>
    <phoneticPr fontId="14" type="noConversion"/>
  </si>
  <si>
    <t>永合</t>
    <phoneticPr fontId="14" type="noConversion"/>
  </si>
  <si>
    <t>黄埔</t>
    <phoneticPr fontId="14" type="noConversion"/>
  </si>
  <si>
    <t>采购合同</t>
    <phoneticPr fontId="14" type="noConversion"/>
  </si>
  <si>
    <t>SME1605MN2</t>
    <phoneticPr fontId="14" type="noConversion"/>
  </si>
  <si>
    <t>钦州</t>
    <phoneticPr fontId="14" type="noConversion"/>
  </si>
  <si>
    <t>SMA20160523-1</t>
    <phoneticPr fontId="10" type="noConversion"/>
  </si>
  <si>
    <t>锰片</t>
    <phoneticPr fontId="10" type="noConversion"/>
  </si>
  <si>
    <t>贵州建强锰业有限公司</t>
    <phoneticPr fontId="14" type="noConversion"/>
  </si>
  <si>
    <t>昕洪中付款</t>
    <phoneticPr fontId="10" type="noConversion"/>
  </si>
  <si>
    <t>SMA20160516-1</t>
    <phoneticPr fontId="10" type="noConversion"/>
  </si>
  <si>
    <t>锰片</t>
    <phoneticPr fontId="10" type="noConversion"/>
  </si>
  <si>
    <t>广西新振锰业集团有限公司</t>
    <phoneticPr fontId="14" type="noConversion"/>
  </si>
  <si>
    <t>SMA20160505-2</t>
    <phoneticPr fontId="10" type="noConversion"/>
  </si>
  <si>
    <t>硅锰</t>
    <phoneticPr fontId="10" type="noConversion"/>
  </si>
  <si>
    <t>百色市新中锰业有限公司</t>
    <phoneticPr fontId="14" type="noConversion"/>
  </si>
  <si>
    <t>SMA20160516-1</t>
    <phoneticPr fontId="14" type="noConversion"/>
  </si>
  <si>
    <t>SME1606MN1</t>
    <phoneticPr fontId="14" type="noConversion"/>
  </si>
  <si>
    <t>KOBE;正本文件交单议付后14个工作日收95%，余款结算后支付</t>
    <phoneticPr fontId="14" type="noConversion"/>
  </si>
  <si>
    <t>SME1606MN2</t>
    <phoneticPr fontId="14" type="noConversion"/>
  </si>
  <si>
    <t>MOJI;正本文件交单议付后14个工作日收95%，余款结算后支付</t>
    <phoneticPr fontId="14" type="noConversion"/>
  </si>
  <si>
    <t>SME1606MN3</t>
    <phoneticPr fontId="14" type="noConversion"/>
  </si>
  <si>
    <t>NAGOYA;正本文件交单议付后14个工作日收95%，余款结算后支付</t>
    <phoneticPr fontId="14" type="noConversion"/>
  </si>
  <si>
    <t>SME1606MN4</t>
    <phoneticPr fontId="14" type="noConversion"/>
  </si>
  <si>
    <t>YOKOHAMA;正本文件交单议付后14个工作日收95%，余款结算后支付</t>
    <phoneticPr fontId="14" type="noConversion"/>
  </si>
  <si>
    <t>SME1606MN5</t>
    <phoneticPr fontId="14" type="noConversion"/>
  </si>
  <si>
    <t>YONGHE METAL CO.,LTD</t>
    <phoneticPr fontId="14" type="noConversion"/>
  </si>
  <si>
    <t>香港华锟收票</t>
    <phoneticPr fontId="14" type="noConversion"/>
  </si>
  <si>
    <t>豫D69076</t>
    <phoneticPr fontId="14" type="noConversion"/>
  </si>
  <si>
    <t>豫D69963</t>
    <phoneticPr fontId="14" type="noConversion"/>
  </si>
  <si>
    <t>CSLCGNY-HKJS-0051</t>
    <phoneticPr fontId="14" type="noConversion"/>
  </si>
  <si>
    <t>CSLCGNY-HKJS-0052</t>
    <phoneticPr fontId="14" type="noConversion"/>
  </si>
  <si>
    <t>XHZYL20160504</t>
    <phoneticPr fontId="14" type="noConversion"/>
  </si>
  <si>
    <t>铁矿</t>
    <phoneticPr fontId="14" type="noConversion"/>
  </si>
  <si>
    <t>池州</t>
    <phoneticPr fontId="14" type="noConversion"/>
  </si>
  <si>
    <t>湘钢</t>
    <phoneticPr fontId="14" type="noConversion"/>
  </si>
  <si>
    <t>鄂州</t>
    <phoneticPr fontId="14" type="noConversion"/>
  </si>
  <si>
    <t>XHZFKNY2016406</t>
    <phoneticPr fontId="14" type="noConversion"/>
  </si>
  <si>
    <t>喷吹煤</t>
    <phoneticPr fontId="14" type="noConversion"/>
  </si>
  <si>
    <t>华锟收票</t>
    <phoneticPr fontId="14" type="noConversion"/>
  </si>
  <si>
    <t>大连联航集运船务代理有限公司</t>
    <phoneticPr fontId="14" type="noConversion"/>
  </si>
  <si>
    <t>XHZCZZY20160513</t>
    <phoneticPr fontId="10" type="noConversion"/>
  </si>
  <si>
    <t>XHZCZZY20160513</t>
    <phoneticPr fontId="14" type="noConversion"/>
  </si>
  <si>
    <t>SMYC1604Ms1</t>
    <phoneticPr fontId="14" type="noConversion"/>
  </si>
  <si>
    <t>硅锰</t>
    <phoneticPr fontId="14" type="noConversion"/>
  </si>
  <si>
    <t>湘潭钢铁集团有限公司</t>
    <phoneticPr fontId="14" type="noConversion"/>
  </si>
  <si>
    <t>硅锰</t>
    <phoneticPr fontId="14" type="noConversion"/>
  </si>
  <si>
    <t>SMYC1604Ms1 </t>
    <phoneticPr fontId="14" type="noConversion"/>
  </si>
  <si>
    <t>SMYC1604Ms1</t>
    <phoneticPr fontId="14" type="noConversion"/>
  </si>
  <si>
    <t>SMYC1605Ms1</t>
    <phoneticPr fontId="14" type="noConversion"/>
  </si>
  <si>
    <t>SMA20160602-1</t>
    <phoneticPr fontId="10" type="noConversion"/>
  </si>
  <si>
    <t>SMA20160602-1</t>
    <phoneticPr fontId="10" type="noConversion"/>
  </si>
  <si>
    <t>锰片</t>
    <phoneticPr fontId="10" type="noConversion"/>
  </si>
  <si>
    <t>贵州建强锰业有限公司</t>
    <phoneticPr fontId="14" type="noConversion"/>
  </si>
  <si>
    <t>SMXG1606Mb1</t>
    <phoneticPr fontId="14" type="noConversion"/>
  </si>
  <si>
    <t>SMXG1606Al1</t>
    <phoneticPr fontId="14" type="noConversion"/>
  </si>
  <si>
    <t>SME1604Mn2</t>
    <phoneticPr fontId="10" type="noConversion"/>
  </si>
  <si>
    <t>SMA20160602-1</t>
    <phoneticPr fontId="14" type="noConversion"/>
  </si>
  <si>
    <t>SME1605MN1</t>
    <phoneticPr fontId="10" type="noConversion"/>
  </si>
  <si>
    <t>SMYC1605Ms1</t>
    <phoneticPr fontId="14" type="noConversion"/>
  </si>
  <si>
    <t>硅锰</t>
    <phoneticPr fontId="14" type="noConversion"/>
  </si>
  <si>
    <t>湘潭钢铁集团有限公司</t>
    <phoneticPr fontId="14" type="noConversion"/>
  </si>
  <si>
    <t>华锟开票</t>
    <phoneticPr fontId="14" type="noConversion"/>
  </si>
  <si>
    <t>SMXG1605Ms1</t>
    <phoneticPr fontId="14" type="noConversion"/>
  </si>
  <si>
    <t>中船工业成套物流(广州)有限公司</t>
    <phoneticPr fontId="14" type="noConversion"/>
  </si>
  <si>
    <t>SMXG1605Mb1</t>
    <phoneticPr fontId="14" type="noConversion"/>
  </si>
  <si>
    <t>锰球</t>
    <phoneticPr fontId="14" type="noConversion"/>
  </si>
  <si>
    <t>SMA20160330-1</t>
    <phoneticPr fontId="14" type="noConversion"/>
  </si>
  <si>
    <t>兴义市嘉泰铁合金有限公司</t>
    <phoneticPr fontId="14" type="noConversion"/>
  </si>
  <si>
    <t>昕洪中收票</t>
    <phoneticPr fontId="14" type="noConversion"/>
  </si>
  <si>
    <t>SMA20160425-2</t>
    <phoneticPr fontId="10" type="noConversion"/>
  </si>
  <si>
    <t>硅锰</t>
    <phoneticPr fontId="10" type="noConversion"/>
  </si>
  <si>
    <t>广西新振锰业集团有限公司</t>
    <phoneticPr fontId="14" type="noConversion"/>
  </si>
  <si>
    <t>昕洪中付款</t>
    <phoneticPr fontId="10" type="noConversion"/>
  </si>
  <si>
    <t>湘EB2140</t>
    <phoneticPr fontId="14" type="noConversion"/>
  </si>
  <si>
    <t>SMA20160425-2</t>
    <phoneticPr fontId="14" type="noConversion"/>
  </si>
  <si>
    <t>硅锰</t>
    <phoneticPr fontId="14" type="noConversion"/>
  </si>
  <si>
    <t>广西新振锰业集团有限公司</t>
    <phoneticPr fontId="14" type="noConversion"/>
  </si>
  <si>
    <t>昕洪中收票</t>
    <phoneticPr fontId="14" type="noConversion"/>
  </si>
  <si>
    <t>SMA20160509-2</t>
    <phoneticPr fontId="14" type="noConversion"/>
  </si>
  <si>
    <t>成都枫润炉料有限公司</t>
    <phoneticPr fontId="14" type="noConversion"/>
  </si>
  <si>
    <r>
      <rPr>
        <i/>
        <sz val="10"/>
        <rFont val="Arial Unicode MS"/>
        <family val="2"/>
        <charset val="134"/>
      </rPr>
      <t>到货后支付80%货款</t>
    </r>
    <r>
      <rPr>
        <sz val="10"/>
        <rFont val="Arial Unicode MS"/>
        <family val="2"/>
        <charset val="134"/>
      </rPr>
      <t>；承兑到湘钢钢厂价，现金按照4%年息折算，加价归供方</t>
    </r>
    <phoneticPr fontId="10" type="noConversion"/>
  </si>
  <si>
    <t>到货后支付80%货款；承兑到湘钢钢厂价，.现金按照4.2%年息折算，加价归供方.</t>
    <phoneticPr fontId="10" type="noConversion"/>
  </si>
  <si>
    <t>到货后支付80%货款；承兑到阳春钢厂价.现金按照4.5%年息折算，加价归供方.</t>
    <phoneticPr fontId="10" type="noConversion"/>
  </si>
  <si>
    <r>
      <t>到货后支付80%货款；承兑到阳春钢厂价.</t>
    </r>
    <r>
      <rPr>
        <b/>
        <sz val="10"/>
        <rFont val="Arial Unicode MS"/>
        <family val="2"/>
        <charset val="134"/>
      </rPr>
      <t>；</t>
    </r>
    <r>
      <rPr>
        <sz val="10"/>
        <rFont val="Arial Unicode MS"/>
        <family val="2"/>
        <charset val="134"/>
      </rPr>
      <t>现金按照4.5%年息折算，加价归供方.</t>
    </r>
    <phoneticPr fontId="10" type="noConversion"/>
  </si>
  <si>
    <t>湘C07302</t>
    <phoneticPr fontId="14" type="noConversion"/>
  </si>
  <si>
    <t>湘EB2140</t>
    <phoneticPr fontId="14" type="noConversion"/>
  </si>
  <si>
    <t>湘C07731</t>
    <phoneticPr fontId="14" type="noConversion"/>
  </si>
  <si>
    <t>SMXG1606Ms1</t>
    <phoneticPr fontId="14" type="noConversion"/>
  </si>
  <si>
    <t>SMYC1606Ms1</t>
    <phoneticPr fontId="14" type="noConversion"/>
  </si>
  <si>
    <t>华锟签订合同</t>
    <phoneticPr fontId="10" type="noConversion"/>
  </si>
  <si>
    <t>SMA20160607-1</t>
    <phoneticPr fontId="14" type="noConversion"/>
  </si>
  <si>
    <t>SMA20160607-2</t>
    <phoneticPr fontId="14" type="noConversion"/>
  </si>
  <si>
    <t>SME1605Mn1</t>
    <phoneticPr fontId="10" type="noConversion"/>
  </si>
  <si>
    <t>SME1605Mn２</t>
    <phoneticPr fontId="10" type="noConversion"/>
  </si>
  <si>
    <t>SMA20160612-1</t>
    <phoneticPr fontId="10" type="noConversion"/>
  </si>
  <si>
    <t>SMA20160612-2</t>
    <phoneticPr fontId="10" type="noConversion"/>
  </si>
  <si>
    <t>SMZH1606Mb1</t>
    <phoneticPr fontId="14" type="noConversion"/>
  </si>
  <si>
    <t>珠海弘达贸易有限公司</t>
    <phoneticPr fontId="14" type="noConversion"/>
  </si>
  <si>
    <t>现款，当天付款，6月20日前到黄埔港</t>
    <phoneticPr fontId="10" type="noConversion"/>
  </si>
  <si>
    <t>硅锰</t>
    <phoneticPr fontId="10" type="noConversion"/>
  </si>
  <si>
    <t>锰球</t>
    <phoneticPr fontId="10" type="noConversion"/>
  </si>
  <si>
    <t>SMA20160612-1</t>
    <phoneticPr fontId="14" type="noConversion"/>
  </si>
  <si>
    <t>锰片</t>
    <phoneticPr fontId="14" type="noConversion"/>
  </si>
  <si>
    <t>SMA20160612-2</t>
    <phoneticPr fontId="14" type="noConversion"/>
  </si>
  <si>
    <t>金瑞</t>
    <phoneticPr fontId="14" type="noConversion"/>
  </si>
  <si>
    <t>SMZH1606Mb1</t>
    <phoneticPr fontId="10" type="noConversion"/>
  </si>
  <si>
    <t>CSLCGNY-HKZQ-006</t>
    <phoneticPr fontId="14" type="noConversion"/>
  </si>
  <si>
    <t>SME1604Mp1</t>
    <phoneticPr fontId="14" type="noConversion"/>
  </si>
  <si>
    <t>氧化镁球</t>
    <phoneticPr fontId="14" type="noConversion"/>
  </si>
  <si>
    <t>PT. KRAKATAU POSCO</t>
    <phoneticPr fontId="14" type="noConversion"/>
  </si>
  <si>
    <t>PT. KRAKATAU POSCO</t>
    <phoneticPr fontId="14" type="noConversion"/>
  </si>
  <si>
    <t>华锟香港付款</t>
    <phoneticPr fontId="10" type="noConversion"/>
  </si>
  <si>
    <t>XHZYL20160504</t>
    <phoneticPr fontId="14" type="noConversion"/>
  </si>
  <si>
    <t>铁矿</t>
    <phoneticPr fontId="14" type="noConversion"/>
  </si>
  <si>
    <t>CSLCGNY-HKJS-0051</t>
    <phoneticPr fontId="14" type="noConversion"/>
  </si>
  <si>
    <t>XHZCZZY20160606</t>
    <phoneticPr fontId="10" type="noConversion"/>
  </si>
  <si>
    <t>XHZYL20160606</t>
    <phoneticPr fontId="10" type="noConversion"/>
  </si>
  <si>
    <t>XHZCZZY20160606</t>
    <phoneticPr fontId="14" type="noConversion"/>
  </si>
  <si>
    <t>CSLCGNY-HKZQ-006</t>
    <phoneticPr fontId="14" type="noConversion"/>
  </si>
  <si>
    <t>CSLCGNY-HKJS-0051</t>
    <phoneticPr fontId="14" type="noConversion"/>
  </si>
  <si>
    <t>SMA20160615-1</t>
    <phoneticPr fontId="10" type="noConversion"/>
  </si>
  <si>
    <t>签订合同付定金50%，货到码头支付50%.</t>
    <phoneticPr fontId="10" type="noConversion"/>
  </si>
  <si>
    <t>YONGHE METAL CO.,LTD</t>
    <phoneticPr fontId="10" type="noConversion"/>
  </si>
  <si>
    <t>SMA20160615-2</t>
    <phoneticPr fontId="10" type="noConversion"/>
  </si>
  <si>
    <t>SMA20160615-3</t>
    <phoneticPr fontId="10" type="noConversion"/>
  </si>
  <si>
    <t>SMA20160612-1</t>
    <phoneticPr fontId="10" type="noConversion"/>
  </si>
  <si>
    <t>锰片</t>
    <phoneticPr fontId="10" type="noConversion"/>
  </si>
  <si>
    <t>贵州建强锰业有限公司</t>
    <phoneticPr fontId="10" type="noConversion"/>
  </si>
  <si>
    <t>SMZH1606Mb1</t>
    <phoneticPr fontId="14" type="noConversion"/>
  </si>
  <si>
    <t>珠海弘达贸易有限公司</t>
    <phoneticPr fontId="10" type="noConversion"/>
  </si>
  <si>
    <t>SMA20160607-1</t>
    <phoneticPr fontId="10" type="noConversion"/>
  </si>
  <si>
    <t>SMA20160607-2</t>
    <phoneticPr fontId="10" type="noConversion"/>
  </si>
  <si>
    <t>SMXG1605Ms1</t>
    <phoneticPr fontId="10" type="noConversion"/>
  </si>
  <si>
    <t>硅锰</t>
    <phoneticPr fontId="10" type="noConversion"/>
  </si>
  <si>
    <t>中船工业成套物流(广州)有限公司</t>
    <phoneticPr fontId="14" type="noConversion"/>
  </si>
  <si>
    <t>锰球</t>
    <phoneticPr fontId="10" type="noConversion"/>
  </si>
  <si>
    <t>锰片</t>
    <phoneticPr fontId="10" type="noConversion"/>
  </si>
  <si>
    <t>广西新振锰业集团有限公司</t>
    <phoneticPr fontId="14" type="noConversion"/>
  </si>
  <si>
    <t>昕洪中付款</t>
    <phoneticPr fontId="10" type="noConversion"/>
  </si>
  <si>
    <r>
      <rPr>
        <b/>
        <sz val="10"/>
        <rFont val="Arial Unicode MS"/>
        <family val="2"/>
        <charset val="134"/>
      </rPr>
      <t>硅锰</t>
    </r>
    <phoneticPr fontId="10" type="noConversion"/>
  </si>
  <si>
    <t>成都铁鼎商贸有限公司</t>
    <phoneticPr fontId="14" type="noConversion"/>
  </si>
  <si>
    <t>成都枫润炉料有限公司</t>
    <phoneticPr fontId="14" type="noConversion"/>
  </si>
  <si>
    <t>SMXG1606Mb2</t>
    <phoneticPr fontId="14" type="noConversion"/>
  </si>
  <si>
    <t>新振</t>
    <phoneticPr fontId="14" type="noConversion"/>
  </si>
  <si>
    <t>阳春</t>
    <phoneticPr fontId="14" type="noConversion"/>
  </si>
  <si>
    <t>桂N85936</t>
    <phoneticPr fontId="14" type="noConversion"/>
  </si>
  <si>
    <t>粤BU0981</t>
    <phoneticPr fontId="14" type="noConversion"/>
  </si>
  <si>
    <t>赣CB5489</t>
    <phoneticPr fontId="14" type="noConversion"/>
  </si>
  <si>
    <t>粤BP6147</t>
    <phoneticPr fontId="14" type="noConversion"/>
  </si>
  <si>
    <t>桂N68699</t>
    <phoneticPr fontId="14" type="noConversion"/>
  </si>
  <si>
    <t>桂N82529</t>
    <phoneticPr fontId="14" type="noConversion"/>
  </si>
  <si>
    <t>桂A88895</t>
    <phoneticPr fontId="14" type="noConversion"/>
  </si>
  <si>
    <t>SMA20160607-4</t>
    <phoneticPr fontId="14" type="noConversion"/>
  </si>
  <si>
    <t>SMA20160607-4</t>
    <phoneticPr fontId="10" type="noConversion"/>
  </si>
  <si>
    <t>SMA20160620-1</t>
    <phoneticPr fontId="10" type="noConversion"/>
  </si>
  <si>
    <t>豫RA4333</t>
    <phoneticPr fontId="14" type="noConversion"/>
  </si>
  <si>
    <t>豫R49523</t>
    <phoneticPr fontId="14" type="noConversion"/>
  </si>
  <si>
    <t>SMA20160622-1</t>
    <phoneticPr fontId="10" type="noConversion"/>
  </si>
  <si>
    <t>6-24日自提价，送惠冶，装车付款</t>
    <phoneticPr fontId="10" type="noConversion"/>
  </si>
  <si>
    <t>SMA20160509-1</t>
    <phoneticPr fontId="10" type="noConversion"/>
  </si>
  <si>
    <t>SMA20160607-3</t>
    <phoneticPr fontId="10" type="noConversion"/>
  </si>
  <si>
    <t>SMA20160607-2</t>
    <phoneticPr fontId="14" type="noConversion"/>
  </si>
  <si>
    <t>硅锰</t>
    <phoneticPr fontId="10" type="noConversion"/>
  </si>
  <si>
    <t>成都铁鼎商贸有限公司</t>
    <phoneticPr fontId="14" type="noConversion"/>
  </si>
  <si>
    <t>昕洪中付款</t>
    <phoneticPr fontId="10" type="noConversion"/>
  </si>
  <si>
    <t>锰片</t>
    <phoneticPr fontId="10" type="noConversion"/>
  </si>
  <si>
    <t>金瑞新材料科技股份有限公司</t>
    <phoneticPr fontId="14" type="noConversion"/>
  </si>
  <si>
    <r>
      <rPr>
        <b/>
        <sz val="10"/>
        <rFont val="Arial Unicode MS"/>
        <family val="2"/>
        <charset val="134"/>
      </rPr>
      <t>硅锰</t>
    </r>
    <phoneticPr fontId="10" type="noConversion"/>
  </si>
  <si>
    <t>兴义市嘉泰铁合金有限公司</t>
    <phoneticPr fontId="14" type="noConversion"/>
  </si>
  <si>
    <t>XHZCZZY20160624</t>
    <phoneticPr fontId="10" type="noConversion"/>
  </si>
  <si>
    <t>XHZCZZY20160606</t>
    <phoneticPr fontId="14" type="noConversion"/>
  </si>
  <si>
    <t>铁矿</t>
    <phoneticPr fontId="14" type="noConversion"/>
  </si>
  <si>
    <t>铁矿</t>
    <phoneticPr fontId="10" type="noConversion"/>
  </si>
  <si>
    <t>XHZYL20160606</t>
    <phoneticPr fontId="14" type="noConversion"/>
  </si>
  <si>
    <t>CSLCGNY-HKJS-006</t>
    <phoneticPr fontId="14" type="noConversion"/>
  </si>
  <si>
    <t>CSLCGNY-HKJS-0051</t>
    <phoneticPr fontId="10" type="noConversion"/>
  </si>
  <si>
    <t>SMA20160620-1</t>
    <phoneticPr fontId="14" type="noConversion"/>
  </si>
  <si>
    <t>锰片</t>
    <phoneticPr fontId="14" type="noConversion"/>
  </si>
  <si>
    <t>金瑞</t>
    <phoneticPr fontId="14" type="noConversion"/>
  </si>
  <si>
    <t>惠冶</t>
    <phoneticPr fontId="14" type="noConversion"/>
  </si>
  <si>
    <t>铁矿</t>
    <phoneticPr fontId="10" type="noConversion"/>
  </si>
  <si>
    <t>湖口永隆贸易有限公司</t>
    <phoneticPr fontId="14" type="noConversion"/>
  </si>
  <si>
    <t>昕洪中付款</t>
    <phoneticPr fontId="10" type="noConversion"/>
  </si>
  <si>
    <t>锰片</t>
    <phoneticPr fontId="10" type="noConversion"/>
  </si>
  <si>
    <t>贵州建强锰业有限公司</t>
    <phoneticPr fontId="14" type="noConversion"/>
  </si>
  <si>
    <t>冀EK8252</t>
    <phoneticPr fontId="14" type="noConversion"/>
  </si>
  <si>
    <t>SMA20160622-1</t>
    <phoneticPr fontId="14" type="noConversion"/>
  </si>
  <si>
    <t>SMA20160615-2</t>
    <phoneticPr fontId="14" type="noConversion"/>
  </si>
  <si>
    <t>三井</t>
    <phoneticPr fontId="14" type="noConversion"/>
  </si>
  <si>
    <t>SMA20160615-3</t>
    <phoneticPr fontId="14" type="noConversion"/>
  </si>
  <si>
    <t>SMA20160602-1</t>
  </si>
  <si>
    <t>锰片</t>
  </si>
  <si>
    <t>贵州建强锰业有限公司</t>
  </si>
  <si>
    <t>SMA20160612-1</t>
  </si>
  <si>
    <t>SME1605MN2</t>
    <phoneticPr fontId="10" type="noConversion"/>
  </si>
  <si>
    <t>CSLCGNY-HKJS-0052</t>
    <phoneticPr fontId="10" type="noConversion"/>
  </si>
  <si>
    <t>香港华锟开票</t>
    <phoneticPr fontId="14" type="noConversion"/>
  </si>
  <si>
    <t>SME1605MN2</t>
    <phoneticPr fontId="14" type="noConversion"/>
  </si>
  <si>
    <t>Mitsui&amp;Co.,Ltd</t>
    <phoneticPr fontId="10" type="noConversion"/>
  </si>
  <si>
    <t>香港华锟开票</t>
    <phoneticPr fontId="14" type="noConversion"/>
  </si>
  <si>
    <t>SME1606MN2</t>
    <phoneticPr fontId="14" type="noConversion"/>
  </si>
  <si>
    <t>SME1606MN3</t>
    <phoneticPr fontId="14" type="noConversion"/>
  </si>
  <si>
    <t>SME1606MN4</t>
    <phoneticPr fontId="14" type="noConversion"/>
  </si>
  <si>
    <t>SME1606MN5</t>
    <phoneticPr fontId="14" type="noConversion"/>
  </si>
  <si>
    <t>SMA20160615-2</t>
    <phoneticPr fontId="14" type="noConversion"/>
  </si>
  <si>
    <t>YONGHE METAL CO.,LTD</t>
    <phoneticPr fontId="10" type="noConversion"/>
  </si>
  <si>
    <t>香港华锟收票</t>
    <phoneticPr fontId="14" type="noConversion"/>
  </si>
  <si>
    <t>SMA20160615-3</t>
    <phoneticPr fontId="14" type="noConversion"/>
  </si>
  <si>
    <t>SME1605MN2</t>
    <phoneticPr fontId="10" type="noConversion"/>
  </si>
  <si>
    <t>锰片</t>
    <phoneticPr fontId="10" type="noConversion"/>
  </si>
  <si>
    <t>Mitsui&amp;Co.,Ltd</t>
    <phoneticPr fontId="14" type="noConversion"/>
  </si>
  <si>
    <t>华锟香港收款</t>
    <phoneticPr fontId="10" type="noConversion"/>
  </si>
  <si>
    <t>SMA20160615-2</t>
    <phoneticPr fontId="10" type="noConversion"/>
  </si>
  <si>
    <t>YONGHE METAL CO.,LTD</t>
    <phoneticPr fontId="14" type="noConversion"/>
  </si>
  <si>
    <t>华锟香港付款</t>
    <phoneticPr fontId="10" type="noConversion"/>
  </si>
  <si>
    <t>SMA20160615-3</t>
    <phoneticPr fontId="10" type="noConversion"/>
  </si>
  <si>
    <t>湘C11396</t>
    <phoneticPr fontId="14" type="noConversion"/>
  </si>
  <si>
    <t>湘B07731</t>
    <phoneticPr fontId="14" type="noConversion"/>
  </si>
  <si>
    <t>锰球</t>
    <phoneticPr fontId="14" type="noConversion"/>
  </si>
  <si>
    <t>惠冶</t>
    <phoneticPr fontId="14" type="noConversion"/>
  </si>
  <si>
    <t>广州</t>
    <phoneticPr fontId="14" type="noConversion"/>
  </si>
  <si>
    <t>销售合同</t>
    <phoneticPr fontId="14" type="noConversion"/>
  </si>
  <si>
    <t>湘EA6250</t>
    <phoneticPr fontId="14" type="noConversion"/>
  </si>
  <si>
    <t>SMZH1606Mb1</t>
    <phoneticPr fontId="14" type="noConversion"/>
  </si>
  <si>
    <t>XHZCZZY20160624</t>
    <phoneticPr fontId="14" type="noConversion"/>
  </si>
  <si>
    <t>CSLCGNY-HKZQ-0062</t>
    <phoneticPr fontId="14" type="noConversion"/>
  </si>
  <si>
    <t>铁矿</t>
    <phoneticPr fontId="14" type="noConversion"/>
  </si>
  <si>
    <t>XHZYL20160606</t>
    <phoneticPr fontId="14" type="noConversion"/>
  </si>
  <si>
    <t>CSLCGNY-HKJS-006</t>
    <phoneticPr fontId="14" type="noConversion"/>
  </si>
  <si>
    <r>
      <rPr>
        <sz val="11"/>
        <color theme="1"/>
        <rFont val="宋体"/>
        <family val="3"/>
        <charset val="134"/>
      </rPr>
      <t>中船工业成套物流</t>
    </r>
    <r>
      <rPr>
        <sz val="11"/>
        <color theme="1"/>
        <rFont val="Arial Narrow"/>
        <family val="2"/>
      </rPr>
      <t>(</t>
    </r>
    <r>
      <rPr>
        <sz val="11"/>
        <color theme="1"/>
        <rFont val="宋体"/>
        <family val="3"/>
        <charset val="134"/>
      </rPr>
      <t>广州</t>
    </r>
    <r>
      <rPr>
        <sz val="11"/>
        <color theme="1"/>
        <rFont val="Arial Narrow"/>
        <family val="2"/>
      </rPr>
      <t>)</t>
    </r>
    <r>
      <rPr>
        <sz val="11"/>
        <color theme="1"/>
        <rFont val="宋体"/>
        <family val="3"/>
        <charset val="134"/>
      </rPr>
      <t>有限公司</t>
    </r>
    <phoneticPr fontId="10" type="noConversion"/>
  </si>
  <si>
    <t>湖口永隆贸易有限公司</t>
    <phoneticPr fontId="10" type="noConversion"/>
  </si>
  <si>
    <t>XHZYL20160504</t>
    <phoneticPr fontId="14" type="noConversion"/>
  </si>
  <si>
    <t>铁矿</t>
    <phoneticPr fontId="10" type="noConversion"/>
  </si>
  <si>
    <t>XHZCZZY20160513</t>
    <phoneticPr fontId="14" type="noConversion"/>
  </si>
  <si>
    <t>池州实业中冶钢铁冶金炉料有限公司</t>
    <phoneticPr fontId="10" type="noConversion"/>
  </si>
  <si>
    <t>XHZCZZY20160606</t>
    <phoneticPr fontId="14" type="noConversion"/>
  </si>
  <si>
    <t>华锟收票</t>
    <phoneticPr fontId="14" type="noConversion"/>
  </si>
  <si>
    <t>XHZCZZY20160606</t>
  </si>
  <si>
    <t>XHZCZZY20160624</t>
    <phoneticPr fontId="10" type="noConversion"/>
  </si>
  <si>
    <t>CSLCGNY-HKJS-0052</t>
    <phoneticPr fontId="14" type="noConversion"/>
  </si>
  <si>
    <t>豫HC9260</t>
    <phoneticPr fontId="14" type="noConversion"/>
  </si>
  <si>
    <t>陕EB3558</t>
    <phoneticPr fontId="14" type="noConversion"/>
  </si>
  <si>
    <t>鄂F2A528</t>
    <phoneticPr fontId="14" type="noConversion"/>
  </si>
  <si>
    <t>豫RB6158</t>
    <phoneticPr fontId="14" type="noConversion"/>
  </si>
  <si>
    <t>豫RB0768</t>
    <phoneticPr fontId="14" type="noConversion"/>
  </si>
  <si>
    <t>豫RK2369</t>
    <phoneticPr fontId="14" type="noConversion"/>
  </si>
  <si>
    <t>豫D88821</t>
    <phoneticPr fontId="14" type="noConversion"/>
  </si>
  <si>
    <r>
      <rPr>
        <i/>
        <sz val="10"/>
        <rFont val="Arial Unicode MS"/>
        <family val="2"/>
        <charset val="134"/>
      </rPr>
      <t>（-150）到货后支付80%货款</t>
    </r>
    <r>
      <rPr>
        <sz val="10"/>
        <rFont val="Arial Unicode MS"/>
        <family val="2"/>
        <charset val="134"/>
      </rPr>
      <t>；承兑到湘钢钢厂价，现金按照4.5%年息折算，加价归供方</t>
    </r>
    <phoneticPr fontId="10" type="noConversion"/>
  </si>
  <si>
    <t>SMA20160704-3</t>
    <phoneticPr fontId="10" type="noConversion"/>
  </si>
  <si>
    <t>（-155）到货后支付85%货款；承兑到阳春钢厂价，.现金按照4.5%年息折算，加价归供方.</t>
    <phoneticPr fontId="10" type="noConversion"/>
  </si>
  <si>
    <t>SMXG1607Mb1</t>
    <phoneticPr fontId="14" type="noConversion"/>
  </si>
  <si>
    <t>SMXG1607Al1</t>
    <phoneticPr fontId="14" type="noConversion"/>
  </si>
  <si>
    <t>SMXG1607Ms1</t>
    <phoneticPr fontId="14" type="noConversion"/>
  </si>
  <si>
    <t>SMYC1607Ms1</t>
    <phoneticPr fontId="14" type="noConversion"/>
  </si>
  <si>
    <t>SMZY1607Mn1</t>
    <phoneticPr fontId="14" type="noConversion"/>
  </si>
  <si>
    <t>现款，两天内发货</t>
    <phoneticPr fontId="10" type="noConversion"/>
  </si>
  <si>
    <t>SMA20160704-6</t>
  </si>
  <si>
    <t>7-5日自提价，送中冶京诚，装车付款</t>
    <phoneticPr fontId="10" type="noConversion"/>
  </si>
  <si>
    <t>SMA20160704-6</t>
    <phoneticPr fontId="10" type="noConversion"/>
  </si>
  <si>
    <t>SMA20160706-1</t>
    <phoneticPr fontId="10" type="noConversion"/>
  </si>
  <si>
    <t>（-155）到货后支付85%货款；承兑到湘钢，.现金按照4.5%年息折算，加价归供方.</t>
    <phoneticPr fontId="10" type="noConversion"/>
  </si>
  <si>
    <r>
      <t>（-155）到货后支付80%货款；承兑到湘钢价.</t>
    </r>
    <r>
      <rPr>
        <b/>
        <sz val="10"/>
        <rFont val="Arial Unicode MS"/>
        <family val="2"/>
        <charset val="134"/>
      </rPr>
      <t>；</t>
    </r>
    <r>
      <rPr>
        <sz val="10"/>
        <rFont val="Arial Unicode MS"/>
        <family val="2"/>
        <charset val="134"/>
      </rPr>
      <t>现金按照4.5%年息折算，加价归供方.</t>
    </r>
    <phoneticPr fontId="10" type="noConversion"/>
  </si>
  <si>
    <t>SMZY1607Mn1</t>
    <phoneticPr fontId="10" type="noConversion"/>
  </si>
  <si>
    <t>锰片</t>
    <phoneticPr fontId="10" type="noConversion"/>
  </si>
  <si>
    <t>中冶京诚（湘潭）重工设备有限公司</t>
    <phoneticPr fontId="14" type="noConversion"/>
  </si>
  <si>
    <t>昕洪中付款</t>
    <phoneticPr fontId="10" type="noConversion"/>
  </si>
  <si>
    <t>SMXG1606Ms1</t>
    <phoneticPr fontId="14" type="noConversion"/>
  </si>
  <si>
    <t>硅锰</t>
    <phoneticPr fontId="14" type="noConversion"/>
  </si>
  <si>
    <t>枫润</t>
    <phoneticPr fontId="14" type="noConversion"/>
  </si>
  <si>
    <t>湘钢</t>
    <phoneticPr fontId="14" type="noConversion"/>
  </si>
  <si>
    <t>豫D88821</t>
    <phoneticPr fontId="14" type="noConversion"/>
  </si>
  <si>
    <t>销售合同</t>
    <phoneticPr fontId="14" type="noConversion"/>
  </si>
  <si>
    <t>SMA20160704-6</t>
    <phoneticPr fontId="14" type="noConversion"/>
  </si>
  <si>
    <t>锰片</t>
    <phoneticPr fontId="14" type="noConversion"/>
  </si>
  <si>
    <t>贵州</t>
    <phoneticPr fontId="14" type="noConversion"/>
  </si>
  <si>
    <t>湘潭</t>
    <phoneticPr fontId="14" type="noConversion"/>
  </si>
  <si>
    <t>采购合同</t>
    <phoneticPr fontId="14" type="noConversion"/>
  </si>
  <si>
    <t>锰球</t>
    <phoneticPr fontId="14" type="noConversion"/>
  </si>
  <si>
    <t>惠冶</t>
    <phoneticPr fontId="14" type="noConversion"/>
  </si>
  <si>
    <t>湘C07302</t>
    <phoneticPr fontId="14" type="noConversion"/>
  </si>
  <si>
    <t>桂KF1726</t>
    <phoneticPr fontId="14" type="noConversion"/>
  </si>
  <si>
    <t>百色</t>
    <phoneticPr fontId="14" type="noConversion"/>
  </si>
  <si>
    <t>桂k27010</t>
    <phoneticPr fontId="14" type="noConversion"/>
  </si>
  <si>
    <t>桂K29917</t>
    <phoneticPr fontId="14" type="noConversion"/>
  </si>
  <si>
    <t>SMA20160704-3</t>
    <phoneticPr fontId="14" type="noConversion"/>
  </si>
  <si>
    <t>6-31</t>
    <phoneticPr fontId="10" type="noConversion"/>
  </si>
  <si>
    <t>SMYC1605Ms1</t>
    <phoneticPr fontId="14" type="noConversion"/>
  </si>
  <si>
    <t>硅锰</t>
    <phoneticPr fontId="10" type="noConversion"/>
  </si>
  <si>
    <t>湘潭钢铁集团有限公司</t>
    <phoneticPr fontId="10" type="noConversion"/>
  </si>
  <si>
    <t>华锟开票</t>
    <phoneticPr fontId="14" type="noConversion"/>
  </si>
  <si>
    <t>SMXG1605Ms1</t>
    <phoneticPr fontId="14" type="noConversion"/>
  </si>
  <si>
    <t>中船工业成套物流(广州)有限公司</t>
    <phoneticPr fontId="10" type="noConversion"/>
  </si>
  <si>
    <t>SMXG1606Mb1</t>
    <phoneticPr fontId="14" type="noConversion"/>
  </si>
  <si>
    <t>锰球</t>
    <phoneticPr fontId="10" type="noConversion"/>
  </si>
  <si>
    <t>SMXG1606Ms1</t>
    <phoneticPr fontId="14" type="noConversion"/>
  </si>
  <si>
    <t>SMXG1606Mb2</t>
    <phoneticPr fontId="14" type="noConversion"/>
  </si>
  <si>
    <t>SMXG1606Al1</t>
    <phoneticPr fontId="14" type="noConversion"/>
  </si>
  <si>
    <t>铝铁</t>
    <phoneticPr fontId="10" type="noConversion"/>
  </si>
  <si>
    <t>M5GNM201600133</t>
    <phoneticPr fontId="10" type="noConversion"/>
  </si>
  <si>
    <t>M5GNM201600134</t>
    <phoneticPr fontId="10" type="noConversion"/>
  </si>
  <si>
    <t>SME1606MN2</t>
    <phoneticPr fontId="10" type="noConversion"/>
  </si>
  <si>
    <t>SME1606MN3</t>
    <phoneticPr fontId="10" type="noConversion"/>
  </si>
  <si>
    <t>SME1606MN4</t>
    <phoneticPr fontId="10" type="noConversion"/>
  </si>
  <si>
    <t>SME1606MN5</t>
    <phoneticPr fontId="10" type="noConversion"/>
  </si>
  <si>
    <t>邓金权</t>
    <phoneticPr fontId="10" type="noConversion"/>
  </si>
  <si>
    <t>安徽一类造球精矿</t>
    <phoneticPr fontId="10" type="noConversion"/>
  </si>
  <si>
    <t>XHZCZZY201600704</t>
    <phoneticPr fontId="10" type="noConversion"/>
  </si>
  <si>
    <t>装船后即安排付款，甲方根据装运数量及出厂检验付款80%</t>
    <phoneticPr fontId="10" type="noConversion"/>
  </si>
  <si>
    <t>XHZYL20160704</t>
    <phoneticPr fontId="10" type="noConversion"/>
  </si>
  <si>
    <t>硅锰</t>
    <phoneticPr fontId="14" type="noConversion"/>
  </si>
  <si>
    <t>桂K28198</t>
    <phoneticPr fontId="14" type="noConversion"/>
  </si>
  <si>
    <t>SMA20160704-6</t>
    <phoneticPr fontId="10" type="noConversion"/>
  </si>
  <si>
    <t>锰片</t>
    <phoneticPr fontId="10" type="noConversion"/>
  </si>
  <si>
    <t>贵州建强锰业有限公司</t>
    <phoneticPr fontId="14" type="noConversion"/>
  </si>
  <si>
    <t>昕洪中付款</t>
    <phoneticPr fontId="10" type="noConversion"/>
  </si>
  <si>
    <t>SMA20160704-3</t>
    <phoneticPr fontId="10" type="noConversion"/>
  </si>
  <si>
    <t>硅锰</t>
    <phoneticPr fontId="10" type="noConversion"/>
  </si>
  <si>
    <t>百色市新中锰业有限公司</t>
    <phoneticPr fontId="14" type="noConversion"/>
  </si>
  <si>
    <t>SMA20160615-1</t>
    <phoneticPr fontId="14" type="noConversion"/>
  </si>
  <si>
    <t>锰片</t>
    <phoneticPr fontId="10" type="noConversion"/>
  </si>
  <si>
    <t>广西新振锰业集团有限公司</t>
    <phoneticPr fontId="10" type="noConversion"/>
  </si>
  <si>
    <t>昕洪中收票</t>
    <phoneticPr fontId="14" type="noConversion"/>
  </si>
  <si>
    <t>SMA20160509-2</t>
    <phoneticPr fontId="14" type="noConversion"/>
  </si>
  <si>
    <t>硅锰</t>
    <phoneticPr fontId="10" type="noConversion"/>
  </si>
  <si>
    <t>成都枫润炉料有限公司</t>
    <phoneticPr fontId="10" type="noConversion"/>
  </si>
  <si>
    <t>SMA20160607-2</t>
    <phoneticPr fontId="14" type="noConversion"/>
  </si>
  <si>
    <t>SMA20160704-4</t>
    <phoneticPr fontId="14" type="noConversion"/>
  </si>
  <si>
    <t>硅锰</t>
    <phoneticPr fontId="14" type="noConversion"/>
  </si>
  <si>
    <t>阳春</t>
    <phoneticPr fontId="14" type="noConversion"/>
  </si>
  <si>
    <t>桂KF0383</t>
    <phoneticPr fontId="14" type="noConversion"/>
  </si>
  <si>
    <t>采购合同</t>
    <phoneticPr fontId="14" type="noConversion"/>
  </si>
  <si>
    <t>桂KF0708</t>
    <phoneticPr fontId="14" type="noConversion"/>
  </si>
  <si>
    <t>桂K28571</t>
    <phoneticPr fontId="14" type="noConversion"/>
  </si>
  <si>
    <t>桂K27566</t>
    <phoneticPr fontId="14" type="noConversion"/>
  </si>
  <si>
    <t>桂k28300</t>
    <phoneticPr fontId="14" type="noConversion"/>
  </si>
  <si>
    <t>广西新锰国际贸易有限公司</t>
    <phoneticPr fontId="10" type="noConversion"/>
  </si>
  <si>
    <t>SMA20160607-4</t>
    <phoneticPr fontId="10" type="noConversion"/>
  </si>
  <si>
    <t>广西新锰国际贸易有限公司</t>
    <phoneticPr fontId="14" type="noConversion"/>
  </si>
  <si>
    <t>SMA20160509-2</t>
    <phoneticPr fontId="10" type="noConversion"/>
  </si>
  <si>
    <t>成都枫润炉料有限公司</t>
    <phoneticPr fontId="14" type="noConversion"/>
  </si>
  <si>
    <t>SMA20160607-2</t>
    <phoneticPr fontId="10" type="noConversion"/>
  </si>
  <si>
    <t>SME1607MN1</t>
    <phoneticPr fontId="14" type="noConversion"/>
  </si>
  <si>
    <t>分批预付20%订金，付款70%发货，10%质保金</t>
    <phoneticPr fontId="14" type="noConversion"/>
  </si>
  <si>
    <t>硅锰</t>
    <phoneticPr fontId="14" type="noConversion"/>
  </si>
  <si>
    <t>新振</t>
    <phoneticPr fontId="14" type="noConversion"/>
  </si>
  <si>
    <t>阳春</t>
    <phoneticPr fontId="14" type="noConversion"/>
  </si>
  <si>
    <t>桂k28300</t>
    <phoneticPr fontId="14" type="noConversion"/>
  </si>
  <si>
    <t>销售合同</t>
    <phoneticPr fontId="14" type="noConversion"/>
  </si>
  <si>
    <t>硅锰</t>
    <phoneticPr fontId="14" type="noConversion"/>
  </si>
  <si>
    <t>百色</t>
    <phoneticPr fontId="14" type="noConversion"/>
  </si>
  <si>
    <t>湘钢</t>
    <phoneticPr fontId="14" type="noConversion"/>
  </si>
  <si>
    <t>鲁Q3309H</t>
    <phoneticPr fontId="14" type="noConversion"/>
  </si>
  <si>
    <t>采购合同</t>
    <phoneticPr fontId="14" type="noConversion"/>
  </si>
  <si>
    <t>豫M67555</t>
    <phoneticPr fontId="14" type="noConversion"/>
  </si>
  <si>
    <t>桂k29327</t>
    <phoneticPr fontId="14" type="noConversion"/>
  </si>
  <si>
    <t>桂kb7558</t>
    <phoneticPr fontId="14" type="noConversion"/>
  </si>
  <si>
    <t>桂k28320</t>
    <phoneticPr fontId="14" type="noConversion"/>
  </si>
  <si>
    <t>SMA20160706-1</t>
    <phoneticPr fontId="14" type="noConversion"/>
  </si>
  <si>
    <t>SMA20160607-1</t>
    <phoneticPr fontId="14" type="noConversion"/>
  </si>
  <si>
    <t>硅锰</t>
    <phoneticPr fontId="10" type="noConversion"/>
  </si>
  <si>
    <t>成都铁鼎商贸有限公司</t>
    <phoneticPr fontId="10" type="noConversion"/>
  </si>
  <si>
    <t>昕洪中收票</t>
    <phoneticPr fontId="14" type="noConversion"/>
  </si>
  <si>
    <t>SMA20160505-1</t>
    <phoneticPr fontId="14" type="noConversion"/>
  </si>
  <si>
    <t>兴义市嘉泰铁合金有限公司</t>
    <phoneticPr fontId="10" type="noConversion"/>
  </si>
  <si>
    <t>SMA20160607-3</t>
    <phoneticPr fontId="14" type="noConversion"/>
  </si>
  <si>
    <t>SMZH1606Mb1</t>
    <phoneticPr fontId="14" type="noConversion"/>
  </si>
  <si>
    <t>锰球</t>
    <phoneticPr fontId="10" type="noConversion"/>
  </si>
  <si>
    <t>珠海弘达贸易有限公司</t>
    <phoneticPr fontId="10" type="noConversion"/>
  </si>
  <si>
    <t>华锟开票</t>
    <phoneticPr fontId="14" type="noConversion"/>
  </si>
  <si>
    <t>SMA20160330-1</t>
    <phoneticPr fontId="10" type="noConversion"/>
  </si>
  <si>
    <t>豫D85960</t>
    <phoneticPr fontId="14" type="noConversion"/>
  </si>
  <si>
    <t>豫D72331</t>
    <phoneticPr fontId="14" type="noConversion"/>
  </si>
  <si>
    <t>SMA20160704-4</t>
    <phoneticPr fontId="10" type="noConversion"/>
  </si>
  <si>
    <t>硅锰</t>
    <phoneticPr fontId="10" type="noConversion"/>
  </si>
  <si>
    <t>广西新振锰业集团有限公司</t>
    <phoneticPr fontId="14" type="noConversion"/>
  </si>
  <si>
    <t>昕洪中付款</t>
    <phoneticPr fontId="10" type="noConversion"/>
  </si>
  <si>
    <t>XHZCZZY201600704</t>
    <phoneticPr fontId="10" type="noConversion"/>
  </si>
  <si>
    <t>安徽一类造球精矿</t>
    <phoneticPr fontId="10" type="noConversion"/>
  </si>
  <si>
    <t>池州实业中冶钢铁冶金炉料有限公司</t>
    <phoneticPr fontId="14" type="noConversion"/>
  </si>
  <si>
    <t>SMA20160706-1</t>
    <phoneticPr fontId="14" type="noConversion"/>
  </si>
  <si>
    <t>硅锰</t>
    <phoneticPr fontId="14" type="noConversion"/>
  </si>
  <si>
    <t>百色</t>
    <phoneticPr fontId="14" type="noConversion"/>
  </si>
  <si>
    <t>湘钢</t>
    <phoneticPr fontId="14" type="noConversion"/>
  </si>
  <si>
    <t>豫D75826</t>
    <phoneticPr fontId="14" type="noConversion"/>
  </si>
  <si>
    <t>采购合同</t>
    <phoneticPr fontId="14" type="noConversion"/>
  </si>
  <si>
    <t>硅锰</t>
    <phoneticPr fontId="14" type="noConversion"/>
  </si>
  <si>
    <t>新振</t>
    <phoneticPr fontId="14" type="noConversion"/>
  </si>
  <si>
    <t>豫N89210</t>
    <phoneticPr fontId="14" type="noConversion"/>
  </si>
  <si>
    <t>豫D77335</t>
    <phoneticPr fontId="14" type="noConversion"/>
  </si>
  <si>
    <t>SMA20160706-2</t>
    <phoneticPr fontId="14" type="noConversion"/>
  </si>
  <si>
    <t>XHZYL20160307</t>
    <phoneticPr fontId="10" type="noConversion"/>
  </si>
  <si>
    <t>CSLCGNY-HKJS-0051</t>
    <phoneticPr fontId="14" type="noConversion"/>
  </si>
  <si>
    <t>铁矿</t>
    <phoneticPr fontId="10" type="noConversion"/>
  </si>
  <si>
    <t>铁矿</t>
    <phoneticPr fontId="10" type="noConversion"/>
  </si>
  <si>
    <t>XHZYL20160504</t>
  </si>
  <si>
    <t>铁矿</t>
    <phoneticPr fontId="14" type="noConversion"/>
  </si>
  <si>
    <t>湖口永隆贸易有限公司</t>
    <phoneticPr fontId="10" type="noConversion"/>
  </si>
  <si>
    <t>中船工业成套物流(广州)有限公司</t>
    <phoneticPr fontId="14" type="noConversion"/>
  </si>
  <si>
    <t>湖口永隆贸易有限公司</t>
    <phoneticPr fontId="14" type="noConversion"/>
  </si>
  <si>
    <t>昕洪中付款</t>
    <phoneticPr fontId="10" type="noConversion"/>
  </si>
  <si>
    <t>CSLCGNY-HKJS-0051</t>
    <phoneticPr fontId="10" type="noConversion"/>
  </si>
  <si>
    <t>CSLCGNY-HKJS-0052</t>
    <phoneticPr fontId="10" type="noConversion"/>
  </si>
  <si>
    <t>XHZYL20160504</t>
    <phoneticPr fontId="10" type="noConversion"/>
  </si>
  <si>
    <t>XHZYL20160606</t>
    <phoneticPr fontId="10" type="noConversion"/>
  </si>
  <si>
    <t>铁矿</t>
    <phoneticPr fontId="10" type="noConversion"/>
  </si>
  <si>
    <t>XHZCZZY20160606</t>
    <phoneticPr fontId="14" type="noConversion"/>
  </si>
  <si>
    <t>铁矿</t>
    <phoneticPr fontId="14" type="noConversion"/>
  </si>
  <si>
    <t>XHZCZZY20160606</t>
    <phoneticPr fontId="10" type="noConversion"/>
  </si>
  <si>
    <t>XHZCZZY20160624</t>
    <phoneticPr fontId="14" type="noConversion"/>
  </si>
  <si>
    <t>CSLCGNY-HKZQ-0062</t>
    <phoneticPr fontId="14" type="noConversion"/>
  </si>
  <si>
    <t>XHZCZZY20160624</t>
    <phoneticPr fontId="10" type="noConversion"/>
  </si>
  <si>
    <t>XHZYL20160504</t>
    <phoneticPr fontId="10" type="noConversion"/>
  </si>
  <si>
    <t>XHZCZZY201600704</t>
    <phoneticPr fontId="14" type="noConversion"/>
  </si>
  <si>
    <t>安徽一类造球精矿</t>
    <phoneticPr fontId="14" type="noConversion"/>
  </si>
  <si>
    <t>（-150）到货后支付80%货款；承兑到湘钢120T；阳春880T钢厂价.现金按照4.5%年息折算，加价归供方.</t>
    <phoneticPr fontId="10" type="noConversion"/>
  </si>
  <si>
    <t>XHZCZZY201600704</t>
    <phoneticPr fontId="14" type="noConversion"/>
  </si>
  <si>
    <t>安徽一类造球精矿</t>
    <phoneticPr fontId="14" type="noConversion"/>
  </si>
  <si>
    <t>中物</t>
    <phoneticPr fontId="14" type="noConversion"/>
  </si>
  <si>
    <t>豫RF1695</t>
    <phoneticPr fontId="14" type="noConversion"/>
  </si>
  <si>
    <t>豫RM1188</t>
    <phoneticPr fontId="14" type="noConversion"/>
  </si>
  <si>
    <t>蒙J61893</t>
    <phoneticPr fontId="14" type="noConversion"/>
  </si>
  <si>
    <t>鲁QS6542</t>
    <phoneticPr fontId="14" type="noConversion"/>
  </si>
  <si>
    <t>SMA20160704-5</t>
    <phoneticPr fontId="14" type="noConversion"/>
  </si>
  <si>
    <t>SMA20160704-2</t>
    <phoneticPr fontId="14" type="noConversion"/>
  </si>
  <si>
    <t>豫EN5369</t>
    <phoneticPr fontId="14" type="noConversion"/>
  </si>
  <si>
    <t>广西中物矿业有限公司</t>
    <phoneticPr fontId="10" type="noConversion"/>
  </si>
  <si>
    <t>P64AK  3420859</t>
    <phoneticPr fontId="14" type="noConversion"/>
  </si>
  <si>
    <t>P62K  3130284</t>
    <phoneticPr fontId="14" type="noConversion"/>
  </si>
  <si>
    <t xml:space="preserve">P70   3835094  </t>
    <phoneticPr fontId="14" type="noConversion"/>
  </si>
  <si>
    <t xml:space="preserve">P64GK  3465657 </t>
    <phoneticPr fontId="14" type="noConversion"/>
  </si>
  <si>
    <t xml:space="preserve">P64K  3414234 </t>
    <phoneticPr fontId="14" type="noConversion"/>
  </si>
  <si>
    <t xml:space="preserve">豫RA4565 </t>
    <phoneticPr fontId="14" type="noConversion"/>
  </si>
  <si>
    <t>GN510116001-071</t>
    <phoneticPr fontId="14" type="noConversion"/>
  </si>
  <si>
    <t>SMA20160704-5</t>
    <phoneticPr fontId="10" type="noConversion"/>
  </si>
  <si>
    <t>SMA20160704-2</t>
    <phoneticPr fontId="10" type="noConversion"/>
  </si>
  <si>
    <t>湘EB2140</t>
    <phoneticPr fontId="14" type="noConversion"/>
  </si>
  <si>
    <t>SMXG1607Al1</t>
    <phoneticPr fontId="14" type="noConversion"/>
  </si>
  <si>
    <t>SMXG1607Ms1</t>
    <phoneticPr fontId="14" type="noConversion"/>
  </si>
  <si>
    <t>SMXG1606Al1</t>
    <phoneticPr fontId="14" type="noConversion"/>
  </si>
  <si>
    <t>安徽一类造球精矿</t>
    <phoneticPr fontId="10" type="noConversion"/>
  </si>
  <si>
    <t>GN110216209-071</t>
    <phoneticPr fontId="14" type="noConversion"/>
  </si>
  <si>
    <t>池州</t>
    <phoneticPr fontId="14" type="noConversion"/>
  </si>
  <si>
    <t>豫EF9613</t>
    <phoneticPr fontId="14" type="noConversion"/>
  </si>
  <si>
    <t>赣C78593</t>
    <phoneticPr fontId="14" type="noConversion"/>
  </si>
  <si>
    <t>SMA20160719-1</t>
    <phoneticPr fontId="10" type="noConversion"/>
  </si>
  <si>
    <t xml:space="preserve">P64GK 3466279 </t>
    <phoneticPr fontId="14" type="noConversion"/>
  </si>
  <si>
    <t>SMA20160704-6</t>
    <phoneticPr fontId="14" type="noConversion"/>
  </si>
  <si>
    <t>锰片</t>
    <phoneticPr fontId="14" type="noConversion"/>
  </si>
  <si>
    <t>贵州建强锰业有限公司</t>
    <phoneticPr fontId="14" type="noConversion"/>
  </si>
  <si>
    <t>昕洪中收票</t>
    <phoneticPr fontId="14" type="noConversion"/>
  </si>
  <si>
    <t>SMZY1607Mn1</t>
    <phoneticPr fontId="14" type="noConversion"/>
  </si>
  <si>
    <t>中冶京诚（湘潭）重工设备有限公司</t>
    <phoneticPr fontId="14" type="noConversion"/>
  </si>
  <si>
    <t>华锟开票</t>
    <phoneticPr fontId="14" type="noConversion"/>
  </si>
  <si>
    <t>SMA20160706-2</t>
    <phoneticPr fontId="14" type="noConversion"/>
  </si>
  <si>
    <t>硅锰</t>
    <phoneticPr fontId="10" type="noConversion"/>
  </si>
  <si>
    <t>广西新振锰业集团有限公司</t>
    <phoneticPr fontId="10" type="noConversion"/>
  </si>
  <si>
    <t>昕洪中付款</t>
    <phoneticPr fontId="10" type="noConversion"/>
  </si>
  <si>
    <t>SMA20160704-2</t>
    <phoneticPr fontId="14" type="noConversion"/>
  </si>
  <si>
    <t>广西中物矿业有限公司</t>
    <phoneticPr fontId="10" type="noConversion"/>
  </si>
  <si>
    <t>SMA20160607-1</t>
    <phoneticPr fontId="14" type="noConversion"/>
  </si>
  <si>
    <t>成都铁鼎商贸有限公司</t>
    <phoneticPr fontId="10" type="noConversion"/>
  </si>
  <si>
    <t>SMA20160704-5</t>
    <phoneticPr fontId="14" type="noConversion"/>
  </si>
  <si>
    <t>兴义市嘉泰铁合金有限公司</t>
    <phoneticPr fontId="10" type="noConversion"/>
  </si>
  <si>
    <t>XHZCZZY201600720</t>
    <phoneticPr fontId="10" type="noConversion"/>
  </si>
  <si>
    <t>桂K27010</t>
    <phoneticPr fontId="14" type="noConversion"/>
  </si>
  <si>
    <t>阳春</t>
    <phoneticPr fontId="14" type="noConversion"/>
  </si>
  <si>
    <t xml:space="preserve">蒙L31850 </t>
    <phoneticPr fontId="14" type="noConversion"/>
  </si>
  <si>
    <t>蒙L23717</t>
    <phoneticPr fontId="14" type="noConversion"/>
  </si>
  <si>
    <t>SMXG1607Ms2</t>
    <phoneticPr fontId="14" type="noConversion"/>
  </si>
  <si>
    <t>新振</t>
    <phoneticPr fontId="14" type="noConversion"/>
  </si>
  <si>
    <t>湘钢</t>
    <phoneticPr fontId="14" type="noConversion"/>
  </si>
  <si>
    <t>锰球</t>
    <phoneticPr fontId="14" type="noConversion"/>
  </si>
  <si>
    <t>惠冶</t>
    <phoneticPr fontId="14" type="noConversion"/>
  </si>
  <si>
    <t>湘EB2140</t>
    <phoneticPr fontId="14" type="noConversion"/>
  </si>
  <si>
    <t>湘C07818</t>
    <phoneticPr fontId="14" type="noConversion"/>
  </si>
  <si>
    <t>SMA20160719-1</t>
    <phoneticPr fontId="14" type="noConversion"/>
  </si>
  <si>
    <t>皖S60118</t>
    <phoneticPr fontId="14" type="noConversion"/>
  </si>
  <si>
    <t>皖S60919</t>
    <phoneticPr fontId="14" type="noConversion"/>
  </si>
  <si>
    <t>采购合同</t>
    <phoneticPr fontId="14" type="noConversion"/>
  </si>
  <si>
    <t>广西中物矿业有限公司</t>
    <phoneticPr fontId="14" type="noConversion"/>
  </si>
  <si>
    <t>冀EF9237</t>
    <phoneticPr fontId="14" type="noConversion"/>
  </si>
  <si>
    <t>豫CC7779</t>
    <phoneticPr fontId="14" type="noConversion"/>
  </si>
  <si>
    <t>CSLCGNY-HKJS-006</t>
    <phoneticPr fontId="14" type="noConversion"/>
  </si>
  <si>
    <t>铁矿</t>
    <phoneticPr fontId="14" type="noConversion"/>
  </si>
  <si>
    <t>华锟开票</t>
    <phoneticPr fontId="14" type="noConversion"/>
  </si>
  <si>
    <t>CSLCGNY-HKZQ-006</t>
    <phoneticPr fontId="14" type="noConversion"/>
  </si>
  <si>
    <t>CSLCGNY-HKZQ-0062</t>
    <phoneticPr fontId="14" type="noConversion"/>
  </si>
  <si>
    <t>CSLCGNY-HKJS-006</t>
    <phoneticPr fontId="10" type="noConversion"/>
  </si>
  <si>
    <t>铁矿</t>
    <phoneticPr fontId="10" type="noConversion"/>
  </si>
  <si>
    <t>SME1604Mp1</t>
    <phoneticPr fontId="10" type="noConversion"/>
  </si>
  <si>
    <t>SME1607Mp2</t>
    <phoneticPr fontId="10" type="noConversion"/>
  </si>
  <si>
    <t>SME1607Mp1</t>
    <phoneticPr fontId="10" type="noConversion"/>
  </si>
  <si>
    <t>XHZYL20160606</t>
    <phoneticPr fontId="14" type="noConversion"/>
  </si>
  <si>
    <t>昕洪中收票</t>
    <phoneticPr fontId="14" type="noConversion"/>
  </si>
  <si>
    <t>XHZYL20160606</t>
    <phoneticPr fontId="10" type="noConversion"/>
  </si>
  <si>
    <t>XHZCZZY20160624</t>
    <phoneticPr fontId="14" type="noConversion"/>
  </si>
  <si>
    <t>XHZCZZY20160624</t>
    <phoneticPr fontId="10" type="noConversion"/>
  </si>
  <si>
    <t>SMYKXR20160701</t>
    <phoneticPr fontId="14" type="noConversion"/>
  </si>
  <si>
    <t>氧化镁球</t>
    <phoneticPr fontId="14" type="noConversion"/>
  </si>
  <si>
    <t>营口</t>
    <phoneticPr fontId="14" type="noConversion"/>
  </si>
  <si>
    <t>大连港</t>
    <phoneticPr fontId="14" type="noConversion"/>
  </si>
  <si>
    <t>营口鑫瑞耐火材料有限公司</t>
    <phoneticPr fontId="14" type="noConversion"/>
  </si>
  <si>
    <t>华锟收票</t>
    <phoneticPr fontId="14" type="noConversion"/>
  </si>
  <si>
    <t>氧化镁球</t>
    <phoneticPr fontId="10" type="noConversion"/>
  </si>
  <si>
    <t>豫R87895</t>
    <phoneticPr fontId="14" type="noConversion"/>
  </si>
  <si>
    <t>华锟香港收票</t>
    <phoneticPr fontId="14" type="noConversion"/>
  </si>
  <si>
    <t>SMA20160711-1</t>
    <phoneticPr fontId="14" type="noConversion"/>
  </si>
  <si>
    <t>锰片</t>
    <phoneticPr fontId="14" type="noConversion"/>
  </si>
  <si>
    <t>黄埔</t>
    <phoneticPr fontId="14" type="noConversion"/>
  </si>
  <si>
    <t>三井</t>
    <phoneticPr fontId="14" type="noConversion"/>
  </si>
  <si>
    <t>SMA20160711-1</t>
    <phoneticPr fontId="10" type="noConversion"/>
  </si>
  <si>
    <t>XHZCZZY201600718</t>
    <phoneticPr fontId="10" type="noConversion"/>
  </si>
  <si>
    <t>湖口</t>
    <phoneticPr fontId="14" type="noConversion"/>
  </si>
  <si>
    <t>安徽一类造球精矿</t>
    <phoneticPr fontId="14" type="noConversion"/>
  </si>
  <si>
    <t>池州</t>
    <phoneticPr fontId="14" type="noConversion"/>
  </si>
  <si>
    <t>湘钢</t>
    <phoneticPr fontId="14" type="noConversion"/>
  </si>
  <si>
    <t>采购合同</t>
    <phoneticPr fontId="14" type="noConversion"/>
  </si>
  <si>
    <t>销售合同</t>
    <phoneticPr fontId="14" type="noConversion"/>
  </si>
  <si>
    <t>SME1607Mp2</t>
    <phoneticPr fontId="10" type="noConversion"/>
  </si>
  <si>
    <t>大连联航集运船务代理有限公司</t>
    <phoneticPr fontId="14" type="noConversion"/>
  </si>
  <si>
    <t>SME1604Mp1</t>
    <phoneticPr fontId="10" type="noConversion"/>
  </si>
  <si>
    <t>出口关税</t>
    <phoneticPr fontId="10" type="noConversion"/>
  </si>
  <si>
    <t>XHZCZZY201600720</t>
    <phoneticPr fontId="10" type="noConversion"/>
  </si>
  <si>
    <t>SMA20160727-1</t>
    <phoneticPr fontId="10" type="noConversion"/>
  </si>
  <si>
    <t>（-220）到湘钢后支付80%货款；承兑价.现金按照4.5%年息折算，加价归供方.</t>
    <phoneticPr fontId="10" type="noConversion"/>
  </si>
  <si>
    <t>（-220）到阳春后支付80%货款；承兑价.现金按照4.5%年息折算，加价归供方.</t>
    <phoneticPr fontId="10" type="noConversion"/>
  </si>
  <si>
    <r>
      <t>（-220）到货后支付80%货款；承兑到阳春价.</t>
    </r>
    <r>
      <rPr>
        <b/>
        <sz val="10"/>
        <rFont val="Arial Unicode MS"/>
        <family val="2"/>
        <charset val="134"/>
      </rPr>
      <t>；</t>
    </r>
    <r>
      <rPr>
        <sz val="10"/>
        <rFont val="Arial Unicode MS"/>
        <family val="2"/>
        <charset val="134"/>
      </rPr>
      <t>现金按照4.5%年息折算，加价归供方.</t>
    </r>
    <phoneticPr fontId="10" type="noConversion"/>
  </si>
  <si>
    <t>（-200）到货后支付80%货款；承兑到湘钢钢厂价，.现金按照4.5%年息折算，加价归供方.</t>
    <phoneticPr fontId="10" type="noConversion"/>
  </si>
  <si>
    <t>华锟签订合同</t>
    <phoneticPr fontId="10" type="noConversion"/>
  </si>
  <si>
    <t>SMXG1608Ms1</t>
    <phoneticPr fontId="14" type="noConversion"/>
  </si>
  <si>
    <t>SMYC1608Ms1</t>
    <phoneticPr fontId="14" type="noConversion"/>
  </si>
  <si>
    <t>SMXG1608Mb1</t>
    <phoneticPr fontId="14" type="noConversion"/>
  </si>
  <si>
    <t>SMA20160615-1</t>
    <phoneticPr fontId="10" type="noConversion"/>
  </si>
  <si>
    <t>SME1606MN1</t>
    <phoneticPr fontId="10" type="noConversion"/>
  </si>
  <si>
    <t>SMXG1607Al1</t>
    <phoneticPr fontId="14" type="noConversion"/>
  </si>
  <si>
    <t>铝铁</t>
    <phoneticPr fontId="14" type="noConversion"/>
  </si>
  <si>
    <t>中船工业成套物流(广州)有限公司</t>
    <phoneticPr fontId="14" type="noConversion"/>
  </si>
  <si>
    <t>华锟开票</t>
    <phoneticPr fontId="14" type="noConversion"/>
  </si>
  <si>
    <t>SMXG1607Ms1</t>
    <phoneticPr fontId="14" type="noConversion"/>
  </si>
  <si>
    <t>硅锰</t>
    <phoneticPr fontId="14" type="noConversion"/>
  </si>
  <si>
    <t>SMA20160704-5</t>
    <phoneticPr fontId="14" type="noConversion"/>
  </si>
  <si>
    <t>硅锰</t>
    <phoneticPr fontId="14" type="noConversion"/>
  </si>
  <si>
    <t>兴义市嘉泰铁合金有限公司</t>
    <phoneticPr fontId="14" type="noConversion"/>
  </si>
  <si>
    <t>昕洪中收票</t>
    <phoneticPr fontId="14" type="noConversion"/>
  </si>
  <si>
    <t>SMXG1607Mb1</t>
    <phoneticPr fontId="10" type="noConversion"/>
  </si>
  <si>
    <t>SMXG1607Al1</t>
    <phoneticPr fontId="10" type="noConversion"/>
  </si>
  <si>
    <t>SMXG1607Ms1</t>
    <phoneticPr fontId="10" type="noConversion"/>
  </si>
  <si>
    <t>CSLCGNY-HKZQ-0062</t>
    <phoneticPr fontId="14" type="noConversion"/>
  </si>
  <si>
    <t>CSLCGNY-HKZQ-0062</t>
    <phoneticPr fontId="14" type="noConversion"/>
  </si>
  <si>
    <t>铁矿</t>
    <phoneticPr fontId="14" type="noConversion"/>
  </si>
  <si>
    <t>华锟开票</t>
    <phoneticPr fontId="14" type="noConversion"/>
  </si>
  <si>
    <t>XHZCZZY20160624</t>
    <phoneticPr fontId="14" type="noConversion"/>
  </si>
  <si>
    <t>昕洪中收票</t>
    <phoneticPr fontId="14" type="noConversion"/>
  </si>
  <si>
    <t>SME1608Mp1</t>
    <phoneticPr fontId="10" type="noConversion"/>
  </si>
  <si>
    <t>SME1608Mp2</t>
    <phoneticPr fontId="10" type="noConversion"/>
  </si>
  <si>
    <t>3413038</t>
    <phoneticPr fontId="14" type="noConversion"/>
  </si>
  <si>
    <t>XHZCZZY201600704</t>
    <phoneticPr fontId="14" type="noConversion"/>
  </si>
  <si>
    <t>GN110216209-071</t>
    <phoneticPr fontId="14" type="noConversion"/>
  </si>
  <si>
    <t>SMXG1607Al1</t>
    <phoneticPr fontId="14" type="noConversion"/>
  </si>
  <si>
    <t>SMA20160704-3</t>
    <phoneticPr fontId="14" type="noConversion"/>
  </si>
  <si>
    <t>SMXG1607Ms1</t>
    <phoneticPr fontId="14" type="noConversion"/>
  </si>
  <si>
    <t>SMXG1607Mb1</t>
    <phoneticPr fontId="14" type="noConversion"/>
  </si>
  <si>
    <t>SMXG1607Ms2</t>
    <phoneticPr fontId="14" type="noConversion"/>
  </si>
  <si>
    <t>SMA20160719-1</t>
    <phoneticPr fontId="14" type="noConversion"/>
  </si>
  <si>
    <t>XHZCZZY201600720</t>
    <phoneticPr fontId="14" type="noConversion"/>
  </si>
  <si>
    <t>SMYKXR20160701</t>
    <phoneticPr fontId="14" type="noConversion"/>
  </si>
  <si>
    <t>SMYC1607Ms1</t>
    <phoneticPr fontId="14" type="noConversion"/>
  </si>
  <si>
    <t>XHZCZZY201600718</t>
    <phoneticPr fontId="14" type="noConversion"/>
  </si>
  <si>
    <t>SMA20160704-2</t>
    <phoneticPr fontId="14" type="noConversion"/>
  </si>
  <si>
    <t>湘潭钢铁集团余额</t>
    <phoneticPr fontId="10" type="noConversion"/>
  </si>
  <si>
    <t>湘潭钢铁集团</t>
    <phoneticPr fontId="10" type="noConversion"/>
  </si>
  <si>
    <t>XHZCZZY201600804</t>
    <phoneticPr fontId="10" type="noConversion"/>
  </si>
  <si>
    <t>SMA20160704-6</t>
    <phoneticPr fontId="10" type="noConversion"/>
  </si>
  <si>
    <t>SMA20160727-3</t>
    <phoneticPr fontId="14" type="noConversion"/>
  </si>
  <si>
    <t>桂K23255</t>
    <phoneticPr fontId="14" type="noConversion"/>
  </si>
  <si>
    <t>桂KF0957</t>
    <phoneticPr fontId="14" type="noConversion"/>
  </si>
  <si>
    <t>SMXG1608Al1</t>
    <phoneticPr fontId="14" type="noConversion"/>
  </si>
  <si>
    <t>SME1606MN5</t>
    <phoneticPr fontId="10" type="noConversion"/>
  </si>
  <si>
    <t>锰片</t>
    <phoneticPr fontId="10" type="noConversion"/>
  </si>
  <si>
    <t>Mitsui&amp;Co.,Ltd</t>
    <phoneticPr fontId="14" type="noConversion"/>
  </si>
  <si>
    <t>华锟香港收款</t>
    <phoneticPr fontId="10" type="noConversion"/>
  </si>
  <si>
    <t>YONGHE METAL CO.,LTD</t>
    <phoneticPr fontId="14" type="noConversion"/>
  </si>
  <si>
    <t>华锟香港付款</t>
    <phoneticPr fontId="10" type="noConversion"/>
  </si>
  <si>
    <t>GN110216209-071</t>
    <phoneticPr fontId="10" type="noConversion"/>
  </si>
  <si>
    <t>SME1607Mp1</t>
    <phoneticPr fontId="14" type="noConversion"/>
  </si>
  <si>
    <t>赣CU5078</t>
    <phoneticPr fontId="14" type="noConversion"/>
  </si>
  <si>
    <t>中物</t>
    <phoneticPr fontId="14" type="noConversion"/>
  </si>
  <si>
    <t>湘钢</t>
    <phoneticPr fontId="14" type="noConversion"/>
  </si>
  <si>
    <t>赣CT1687</t>
    <phoneticPr fontId="14" type="noConversion"/>
  </si>
  <si>
    <t>赣CU8331</t>
    <phoneticPr fontId="14" type="noConversion"/>
  </si>
  <si>
    <t>桂K27371</t>
    <phoneticPr fontId="14" type="noConversion"/>
  </si>
  <si>
    <t>桂K28300</t>
    <phoneticPr fontId="14" type="noConversion"/>
  </si>
  <si>
    <t>桂K27250</t>
    <phoneticPr fontId="14" type="noConversion"/>
  </si>
  <si>
    <t>桂KF0090</t>
    <phoneticPr fontId="14" type="noConversion"/>
  </si>
  <si>
    <t>SMYC1607Ms1</t>
    <phoneticPr fontId="14" type="noConversion"/>
  </si>
  <si>
    <t>硅锰</t>
    <phoneticPr fontId="14" type="noConversion"/>
  </si>
  <si>
    <t>湘潭钢铁集团有限公司</t>
    <phoneticPr fontId="14" type="noConversion"/>
  </si>
  <si>
    <t>华锟开票</t>
    <phoneticPr fontId="14" type="noConversion"/>
  </si>
  <si>
    <t>SMXG1607Mb1</t>
    <phoneticPr fontId="14" type="noConversion"/>
  </si>
  <si>
    <t>锰球</t>
    <phoneticPr fontId="14" type="noConversion"/>
  </si>
  <si>
    <t>中船工业成套物流(广州)有限公司</t>
    <phoneticPr fontId="14" type="noConversion"/>
  </si>
  <si>
    <t>SMXG1607Ms1</t>
    <phoneticPr fontId="14" type="noConversion"/>
  </si>
  <si>
    <t>GN110216209-071</t>
    <phoneticPr fontId="10" type="noConversion"/>
  </si>
  <si>
    <t>SMA20160727-4</t>
    <phoneticPr fontId="14" type="noConversion"/>
  </si>
  <si>
    <t>SMXG1608Ms1</t>
    <phoneticPr fontId="14" type="noConversion"/>
  </si>
  <si>
    <t>XHZCZZY201600804</t>
    <phoneticPr fontId="14" type="noConversion"/>
  </si>
  <si>
    <t>赣CK3925</t>
    <phoneticPr fontId="14" type="noConversion"/>
  </si>
  <si>
    <t>赣CG8268</t>
    <phoneticPr fontId="14" type="noConversion"/>
  </si>
  <si>
    <t>赣CG6866</t>
    <phoneticPr fontId="14" type="noConversion"/>
  </si>
  <si>
    <t>赣CK3229</t>
    <phoneticPr fontId="14" type="noConversion"/>
  </si>
  <si>
    <t>赣CX0121</t>
    <phoneticPr fontId="14" type="noConversion"/>
  </si>
  <si>
    <t>赣J65613</t>
    <phoneticPr fontId="14" type="noConversion"/>
  </si>
  <si>
    <t>赣CU6910</t>
    <phoneticPr fontId="14" type="noConversion"/>
  </si>
  <si>
    <t>赣CR3953</t>
    <phoneticPr fontId="14" type="noConversion"/>
  </si>
  <si>
    <t>3810276</t>
    <phoneticPr fontId="14" type="noConversion"/>
  </si>
  <si>
    <t>P70 3832248</t>
    <phoneticPr fontId="14" type="noConversion"/>
  </si>
  <si>
    <t>3325872</t>
    <phoneticPr fontId="14" type="noConversion"/>
  </si>
  <si>
    <t>赣CX0036</t>
    <phoneticPr fontId="14" type="noConversion"/>
  </si>
  <si>
    <t>SMYC1608Ms1</t>
    <phoneticPr fontId="14" type="noConversion"/>
  </si>
  <si>
    <t>桂K27371</t>
    <phoneticPr fontId="14" type="noConversion"/>
  </si>
  <si>
    <t>桂K28300</t>
    <phoneticPr fontId="14" type="noConversion"/>
  </si>
  <si>
    <t>桂K27250</t>
    <phoneticPr fontId="14" type="noConversion"/>
  </si>
  <si>
    <t>桂KF0090</t>
    <phoneticPr fontId="14" type="noConversion"/>
  </si>
  <si>
    <t>SME1607Mp2</t>
    <phoneticPr fontId="14" type="noConversion"/>
  </si>
  <si>
    <t xml:space="preserve">赣CX0206
</t>
    <phoneticPr fontId="14" type="noConversion"/>
  </si>
  <si>
    <t>SMA20160704-1</t>
    <phoneticPr fontId="14" type="noConversion"/>
  </si>
  <si>
    <t>华锟收款</t>
    <phoneticPr fontId="10" type="noConversion"/>
  </si>
  <si>
    <t>GN510116001-081</t>
    <phoneticPr fontId="10" type="noConversion"/>
  </si>
  <si>
    <t>GN110216209-081</t>
    <phoneticPr fontId="10" type="noConversion"/>
  </si>
  <si>
    <t>GN110216209-081</t>
    <phoneticPr fontId="14" type="noConversion"/>
  </si>
  <si>
    <t>XHZYL20160704</t>
    <phoneticPr fontId="14" type="noConversion"/>
  </si>
  <si>
    <t>SMA20160810-1（ERP7月）</t>
    <phoneticPr fontId="14" type="noConversion"/>
  </si>
  <si>
    <t>SMA20160810-1（ERP7月）</t>
    <phoneticPr fontId="10" type="noConversion"/>
  </si>
  <si>
    <t xml:space="preserve">承兑 </t>
    <phoneticPr fontId="14" type="noConversion"/>
  </si>
  <si>
    <t>到期日</t>
    <phoneticPr fontId="14" type="noConversion"/>
  </si>
  <si>
    <t>GN110216209-071</t>
    <phoneticPr fontId="14" type="noConversion"/>
  </si>
  <si>
    <t>安徽一类造球精矿</t>
    <phoneticPr fontId="14" type="noConversion"/>
  </si>
  <si>
    <t>湘潭钢铁集团有限公司</t>
    <phoneticPr fontId="10" type="noConversion"/>
  </si>
  <si>
    <t>华锟开票</t>
    <phoneticPr fontId="14" type="noConversion"/>
  </si>
  <si>
    <t>池州实业中冶钢铁冶金炉料有限公司</t>
    <phoneticPr fontId="10" type="noConversion"/>
  </si>
  <si>
    <t>昕洪中收票</t>
    <phoneticPr fontId="14" type="noConversion"/>
  </si>
  <si>
    <t>XHZCZZY201600704</t>
    <phoneticPr fontId="14" type="noConversion"/>
  </si>
  <si>
    <t>SMA20160817-1</t>
    <phoneticPr fontId="10" type="noConversion"/>
  </si>
  <si>
    <t>重庆锰都工贸有限公司</t>
    <phoneticPr fontId="10" type="noConversion"/>
  </si>
  <si>
    <t>SMA20160817-1</t>
    <phoneticPr fontId="14" type="noConversion"/>
  </si>
  <si>
    <t>锰都</t>
    <phoneticPr fontId="14" type="noConversion"/>
  </si>
  <si>
    <t>XHZCZZY201600720</t>
    <phoneticPr fontId="14" type="noConversion"/>
  </si>
  <si>
    <t>安徽一类造球精矿</t>
    <phoneticPr fontId="14" type="noConversion"/>
  </si>
  <si>
    <t>池州实业中冶钢铁冶金炉料有限公司</t>
    <phoneticPr fontId="14" type="noConversion"/>
  </si>
  <si>
    <t>昕洪中付款</t>
    <phoneticPr fontId="10" type="noConversion"/>
  </si>
  <si>
    <t>XHZCZZY201600804</t>
    <phoneticPr fontId="14" type="noConversion"/>
  </si>
  <si>
    <t>SMA20160817-1</t>
    <phoneticPr fontId="14" type="noConversion"/>
  </si>
  <si>
    <t>锰片</t>
    <phoneticPr fontId="14" type="noConversion"/>
  </si>
  <si>
    <t>重庆锰都工贸有限公司</t>
    <phoneticPr fontId="14" type="noConversion"/>
  </si>
  <si>
    <t>喷吹煤</t>
    <phoneticPr fontId="14" type="noConversion"/>
  </si>
  <si>
    <t>华锟收票</t>
    <phoneticPr fontId="14" type="noConversion"/>
  </si>
  <si>
    <t>氧化镁球</t>
    <phoneticPr fontId="14" type="noConversion"/>
  </si>
  <si>
    <t>华锟付款</t>
    <phoneticPr fontId="10" type="noConversion"/>
  </si>
  <si>
    <t>CSLCGNY-HKPM-004</t>
    <phoneticPr fontId="14" type="noConversion"/>
  </si>
  <si>
    <t>华锟开票</t>
    <phoneticPr fontId="14" type="noConversion"/>
  </si>
  <si>
    <t>SME1607Mp2</t>
    <phoneticPr fontId="10" type="noConversion"/>
  </si>
  <si>
    <t>SME1608Mp1</t>
    <phoneticPr fontId="14" type="noConversion"/>
  </si>
  <si>
    <t>承兑</t>
    <phoneticPr fontId="10" type="noConversion"/>
  </si>
  <si>
    <t>湘B07731</t>
    <phoneticPr fontId="14" type="noConversion"/>
  </si>
  <si>
    <t>出口关税</t>
    <phoneticPr fontId="14" type="noConversion"/>
  </si>
  <si>
    <t>SMA20160727-1</t>
    <phoneticPr fontId="14" type="noConversion"/>
  </si>
  <si>
    <t>豫HE6333</t>
    <phoneticPr fontId="14" type="noConversion"/>
  </si>
  <si>
    <t>桂KG0865</t>
    <phoneticPr fontId="14" type="noConversion"/>
  </si>
  <si>
    <t>桂KB8281</t>
    <phoneticPr fontId="14" type="noConversion"/>
  </si>
  <si>
    <t>SMA20160822-1</t>
    <phoneticPr fontId="10" type="noConversion"/>
  </si>
  <si>
    <t>到厂价，装车付款</t>
    <phoneticPr fontId="10" type="noConversion"/>
  </si>
  <si>
    <t>益阳金能新材料有限责任公司</t>
    <phoneticPr fontId="10" type="noConversion"/>
  </si>
  <si>
    <t>贵E81783</t>
    <phoneticPr fontId="14" type="noConversion"/>
  </si>
  <si>
    <t>桂KG5587</t>
    <phoneticPr fontId="14" type="noConversion"/>
  </si>
  <si>
    <t>SMA20160704-5</t>
    <phoneticPr fontId="14" type="noConversion"/>
  </si>
  <si>
    <t>硅锰</t>
    <phoneticPr fontId="14" type="noConversion"/>
  </si>
  <si>
    <t>兴义嘉泰</t>
    <phoneticPr fontId="14" type="noConversion"/>
  </si>
  <si>
    <t>阳春</t>
    <phoneticPr fontId="14" type="noConversion"/>
  </si>
  <si>
    <t>桂KG5587</t>
    <phoneticPr fontId="14" type="noConversion"/>
  </si>
  <si>
    <t>采购合同</t>
    <phoneticPr fontId="14" type="noConversion"/>
  </si>
  <si>
    <t>合同编号</t>
    <phoneticPr fontId="14" type="noConversion"/>
  </si>
  <si>
    <t>品名</t>
    <phoneticPr fontId="14" type="noConversion"/>
  </si>
  <si>
    <t xml:space="preserve">起运点(全称) </t>
    <phoneticPr fontId="14" type="noConversion"/>
  </si>
  <si>
    <t>到货点(全称)</t>
    <phoneticPr fontId="14" type="noConversion"/>
  </si>
  <si>
    <t>承运方</t>
    <phoneticPr fontId="14" type="noConversion"/>
  </si>
  <si>
    <t>合同类别</t>
    <phoneticPr fontId="14" type="noConversion"/>
  </si>
  <si>
    <t>SMA20160107-1</t>
    <phoneticPr fontId="14" type="noConversion"/>
  </si>
  <si>
    <t>湘钢</t>
    <phoneticPr fontId="14" type="noConversion"/>
  </si>
  <si>
    <t>铁路</t>
    <phoneticPr fontId="14" type="noConversion"/>
  </si>
  <si>
    <t>SMXG1601Ms1</t>
    <phoneticPr fontId="14" type="noConversion"/>
  </si>
  <si>
    <t>汽运</t>
    <phoneticPr fontId="14" type="noConversion"/>
  </si>
  <si>
    <t>SMA20160104-1</t>
    <phoneticPr fontId="14" type="noConversion"/>
  </si>
  <si>
    <t>SMYC1601Ms1</t>
    <phoneticPr fontId="14" type="noConversion"/>
  </si>
  <si>
    <t>SMA20160122-4</t>
    <phoneticPr fontId="14" type="noConversion"/>
  </si>
  <si>
    <t>湘潭</t>
    <phoneticPr fontId="14" type="noConversion"/>
  </si>
  <si>
    <t>SMXG1602Ms1</t>
    <phoneticPr fontId="14" type="noConversion"/>
  </si>
  <si>
    <t>销售合同</t>
    <phoneticPr fontId="14" type="noConversion"/>
  </si>
  <si>
    <t>SMXG1602Ms2</t>
    <phoneticPr fontId="14" type="noConversion"/>
  </si>
  <si>
    <t>SMXG1602Ms2</t>
    <phoneticPr fontId="10" type="noConversion"/>
  </si>
  <si>
    <t>渝BV7327</t>
    <phoneticPr fontId="14" type="noConversion"/>
  </si>
  <si>
    <t>桂L71398</t>
    <phoneticPr fontId="14" type="noConversion"/>
  </si>
  <si>
    <t>桂L71030</t>
    <phoneticPr fontId="14" type="noConversion"/>
  </si>
  <si>
    <t>SMA20160301-4</t>
    <phoneticPr fontId="14" type="noConversion"/>
  </si>
  <si>
    <t>SMYC1603Ms1</t>
    <phoneticPr fontId="14" type="noConversion"/>
  </si>
  <si>
    <t>SMXG1603Ms1</t>
    <phoneticPr fontId="14" type="noConversion"/>
  </si>
  <si>
    <t>SMA20160330-1</t>
    <phoneticPr fontId="14" type="noConversion"/>
  </si>
  <si>
    <t>SMYC1604Ms1</t>
    <phoneticPr fontId="14" type="noConversion"/>
  </si>
  <si>
    <t>桂K29271</t>
    <phoneticPr fontId="14" type="noConversion"/>
  </si>
  <si>
    <t>川K60162</t>
    <phoneticPr fontId="14" type="noConversion"/>
  </si>
  <si>
    <t>桂KG3902</t>
    <phoneticPr fontId="14" type="noConversion"/>
  </si>
  <si>
    <t>桂K39873</t>
    <phoneticPr fontId="14" type="noConversion"/>
  </si>
  <si>
    <t>SMA20160505-1</t>
    <phoneticPr fontId="14" type="noConversion"/>
  </si>
  <si>
    <t>SMYC1605Ms1</t>
    <phoneticPr fontId="14" type="noConversion"/>
  </si>
  <si>
    <t>SMA20160607-3</t>
    <phoneticPr fontId="14" type="noConversion"/>
  </si>
  <si>
    <t>嘉泰</t>
    <phoneticPr fontId="14" type="noConversion"/>
  </si>
  <si>
    <t>SMYC1606Ms1</t>
    <phoneticPr fontId="14" type="noConversion"/>
  </si>
  <si>
    <t>鲁V78033</t>
    <phoneticPr fontId="14" type="noConversion"/>
  </si>
  <si>
    <t>豫P38368</t>
    <phoneticPr fontId="14" type="noConversion"/>
  </si>
  <si>
    <t>豫AU6381</t>
    <phoneticPr fontId="14" type="noConversion"/>
  </si>
  <si>
    <t>P62K  3125363</t>
    <phoneticPr fontId="14" type="noConversion"/>
  </si>
  <si>
    <t>SMXG1607Ms1</t>
    <phoneticPr fontId="14" type="noConversion"/>
  </si>
  <si>
    <t>P64K  3464729</t>
    <phoneticPr fontId="14" type="noConversion"/>
  </si>
  <si>
    <t>P64GK 3461868</t>
    <phoneticPr fontId="14" type="noConversion"/>
  </si>
  <si>
    <t>P70 3818812</t>
    <phoneticPr fontId="14" type="noConversion"/>
  </si>
  <si>
    <t>P70 3813358</t>
    <phoneticPr fontId="14" type="noConversion"/>
  </si>
  <si>
    <t>P70 3833042</t>
    <phoneticPr fontId="14" type="noConversion"/>
  </si>
  <si>
    <t>P64AK 3503132</t>
    <phoneticPr fontId="14" type="noConversion"/>
  </si>
  <si>
    <t>P70 3829920</t>
    <phoneticPr fontId="14" type="noConversion"/>
  </si>
  <si>
    <t>SMYC1607Ms1</t>
    <phoneticPr fontId="14" type="noConversion"/>
  </si>
  <si>
    <t>SMA20160727-2</t>
    <phoneticPr fontId="14" type="noConversion"/>
  </si>
  <si>
    <t>川S67558</t>
    <phoneticPr fontId="14" type="noConversion"/>
  </si>
  <si>
    <t>渝BS3967</t>
    <phoneticPr fontId="14" type="noConversion"/>
  </si>
  <si>
    <t>SMYC1608Ms1</t>
    <phoneticPr fontId="14" type="noConversion"/>
  </si>
  <si>
    <t>桂KG5575</t>
    <phoneticPr fontId="14" type="noConversion"/>
  </si>
  <si>
    <t>川S69610</t>
    <phoneticPr fontId="14" type="noConversion"/>
  </si>
  <si>
    <t>桂kB5208</t>
    <phoneticPr fontId="14" type="noConversion"/>
  </si>
  <si>
    <t>桂kG3190</t>
    <phoneticPr fontId="14" type="noConversion"/>
  </si>
  <si>
    <t>SMA20160704-5</t>
    <phoneticPr fontId="10" type="noConversion"/>
  </si>
  <si>
    <t>桂KG3079</t>
    <phoneticPr fontId="14" type="noConversion"/>
  </si>
  <si>
    <t>桂KG1595</t>
    <phoneticPr fontId="14" type="noConversion"/>
  </si>
  <si>
    <t>豫EA3950</t>
    <phoneticPr fontId="14" type="noConversion"/>
  </si>
  <si>
    <t>SMA20160727-1</t>
    <phoneticPr fontId="14" type="noConversion"/>
  </si>
  <si>
    <t>渝B2379</t>
    <phoneticPr fontId="14" type="noConversion"/>
  </si>
  <si>
    <t>辽K35607</t>
    <phoneticPr fontId="14" type="noConversion"/>
  </si>
  <si>
    <t>冀DN2246</t>
    <phoneticPr fontId="14" type="noConversion"/>
  </si>
  <si>
    <t>渝Bu9570</t>
    <phoneticPr fontId="14" type="noConversion"/>
  </si>
  <si>
    <t>SMXG1607Ms1</t>
    <phoneticPr fontId="14" type="noConversion"/>
  </si>
  <si>
    <t>硅锰</t>
    <phoneticPr fontId="14" type="noConversion"/>
  </si>
  <si>
    <t>中船工业成套物流(广州)有限公司</t>
    <phoneticPr fontId="10" type="noConversion"/>
  </si>
  <si>
    <t>SMXG1607Ms2</t>
    <phoneticPr fontId="14" type="noConversion"/>
  </si>
  <si>
    <t>华锟开票</t>
    <phoneticPr fontId="14" type="noConversion"/>
  </si>
  <si>
    <t>SMXG1608Ms1</t>
    <phoneticPr fontId="14" type="noConversion"/>
  </si>
  <si>
    <t>华锟上海收款</t>
    <phoneticPr fontId="10" type="noConversion"/>
  </si>
  <si>
    <t>安徽一类造球精矿</t>
    <phoneticPr fontId="14" type="noConversion"/>
  </si>
  <si>
    <t>湖口永隆贸易有限公司</t>
    <phoneticPr fontId="14" type="noConversion"/>
  </si>
  <si>
    <t>华锟上海付款</t>
    <phoneticPr fontId="10" type="noConversion"/>
  </si>
  <si>
    <t>XHZYL20160704</t>
    <phoneticPr fontId="14" type="noConversion"/>
  </si>
  <si>
    <t>铁矿</t>
    <phoneticPr fontId="14" type="noConversion"/>
  </si>
  <si>
    <t>昕洪中付款</t>
    <phoneticPr fontId="10" type="noConversion"/>
  </si>
  <si>
    <t>XHZCZZY201600718</t>
    <phoneticPr fontId="14" type="noConversion"/>
  </si>
  <si>
    <t>XHZCZZY201600804</t>
    <phoneticPr fontId="14" type="noConversion"/>
  </si>
  <si>
    <t>池州实业中冶钢铁冶金炉料有限公司</t>
    <phoneticPr fontId="14" type="noConversion"/>
  </si>
  <si>
    <t>SMA20160727-1</t>
    <phoneticPr fontId="14" type="noConversion"/>
  </si>
  <si>
    <t>硅锰</t>
    <phoneticPr fontId="14" type="noConversion"/>
  </si>
  <si>
    <t>兴义市嘉泰铁合金有限公司</t>
    <phoneticPr fontId="14" type="noConversion"/>
  </si>
  <si>
    <t>SMA20160727-2</t>
    <phoneticPr fontId="14" type="noConversion"/>
  </si>
  <si>
    <t>豫HF7798</t>
    <phoneticPr fontId="14" type="noConversion"/>
  </si>
  <si>
    <t>豫QC8083</t>
    <phoneticPr fontId="14" type="noConversion"/>
  </si>
  <si>
    <t>豫Q82879</t>
    <phoneticPr fontId="14" type="noConversion"/>
  </si>
  <si>
    <t>湘L7E213</t>
    <phoneticPr fontId="14" type="noConversion"/>
  </si>
  <si>
    <t>SMA20160727-1</t>
    <phoneticPr fontId="14" type="noConversion"/>
  </si>
  <si>
    <t>SMA20160823-1</t>
    <phoneticPr fontId="10" type="noConversion"/>
  </si>
  <si>
    <t>3315935</t>
    <phoneticPr fontId="14" type="noConversion"/>
  </si>
  <si>
    <t>SMXG1608Ms2</t>
    <phoneticPr fontId="14" type="noConversion"/>
  </si>
  <si>
    <t>50%承兑，50%现款；送湘钢</t>
    <phoneticPr fontId="10" type="noConversion"/>
  </si>
  <si>
    <t>50%承兑，50%现款；送阳春</t>
    <phoneticPr fontId="10" type="noConversion"/>
  </si>
  <si>
    <t>SMA20160822-1</t>
    <phoneticPr fontId="14" type="noConversion"/>
  </si>
  <si>
    <t>益阳金能</t>
    <phoneticPr fontId="14" type="noConversion"/>
  </si>
  <si>
    <r>
      <t>（-280）到货后支付80%货款；</t>
    </r>
    <r>
      <rPr>
        <sz val="10"/>
        <color rgb="FFFF0000"/>
        <rFont val="Arial Unicode MS"/>
        <family val="2"/>
        <charset val="134"/>
      </rPr>
      <t>现款</t>
    </r>
    <r>
      <rPr>
        <sz val="10"/>
        <rFont val="Arial Unicode MS"/>
        <family val="2"/>
        <charset val="134"/>
      </rPr>
      <t>到湘钢钢厂价，加价归供方.</t>
    </r>
    <phoneticPr fontId="10" type="noConversion"/>
  </si>
  <si>
    <t>益阳金能新材料有限责任公司</t>
    <phoneticPr fontId="14" type="noConversion"/>
  </si>
  <si>
    <t>SMA20160804-1</t>
    <phoneticPr fontId="10" type="noConversion"/>
  </si>
  <si>
    <t>SMA20160804-2</t>
    <phoneticPr fontId="10" type="noConversion"/>
  </si>
  <si>
    <t>SME1608MN1</t>
    <phoneticPr fontId="14" type="noConversion"/>
  </si>
  <si>
    <t>SME1608MN2</t>
    <phoneticPr fontId="14" type="noConversion"/>
  </si>
  <si>
    <t>SMA20160823-4</t>
    <phoneticPr fontId="14" type="noConversion"/>
  </si>
  <si>
    <t>中物</t>
    <phoneticPr fontId="14" type="noConversion"/>
  </si>
  <si>
    <t>赣CU6672</t>
    <phoneticPr fontId="14" type="noConversion"/>
  </si>
  <si>
    <t>SMA20160823-5</t>
    <phoneticPr fontId="14" type="noConversion"/>
  </si>
  <si>
    <r>
      <rPr>
        <b/>
        <sz val="10"/>
        <rFont val="Arial Unicode MS"/>
        <family val="2"/>
        <charset val="134"/>
      </rPr>
      <t>硅锰</t>
    </r>
    <phoneticPr fontId="14" type="noConversion"/>
  </si>
  <si>
    <t>豫EF3857</t>
    <phoneticPr fontId="14" type="noConversion"/>
  </si>
  <si>
    <t xml:space="preserve"> 鲁PE2216</t>
    <phoneticPr fontId="14" type="noConversion"/>
  </si>
  <si>
    <t>鲁PE2891</t>
    <phoneticPr fontId="14" type="noConversion"/>
  </si>
  <si>
    <t>电承</t>
    <phoneticPr fontId="14" type="noConversion"/>
  </si>
  <si>
    <t>到期日</t>
    <phoneticPr fontId="14" type="noConversion"/>
  </si>
  <si>
    <t>P62NK3339661</t>
    <phoneticPr fontId="14" type="noConversion"/>
  </si>
  <si>
    <t>P62K311542</t>
    <phoneticPr fontId="14" type="noConversion"/>
  </si>
  <si>
    <t>赣CK8999</t>
    <phoneticPr fontId="14" type="noConversion"/>
  </si>
  <si>
    <t>赣CK0965</t>
    <phoneticPr fontId="14" type="noConversion"/>
  </si>
  <si>
    <t>冀B8993B</t>
    <phoneticPr fontId="14" type="noConversion"/>
  </si>
  <si>
    <t>冀BZ4287</t>
    <phoneticPr fontId="14" type="noConversion"/>
  </si>
  <si>
    <t>鲁Q2157A</t>
    <phoneticPr fontId="14" type="noConversion"/>
  </si>
  <si>
    <t>XHZYL20160804</t>
    <phoneticPr fontId="14" type="noConversion"/>
  </si>
  <si>
    <t>GN510116001-081</t>
    <phoneticPr fontId="14" type="noConversion"/>
  </si>
  <si>
    <t>桂K27371</t>
    <phoneticPr fontId="14" type="noConversion"/>
  </si>
  <si>
    <t>桂KB0368</t>
    <phoneticPr fontId="14" type="noConversion"/>
  </si>
  <si>
    <t>贵E83786</t>
    <phoneticPr fontId="14" type="noConversion"/>
  </si>
  <si>
    <t>SMA20160826-1</t>
    <phoneticPr fontId="10" type="noConversion"/>
  </si>
  <si>
    <t>SMA20160826-1</t>
    <phoneticPr fontId="14" type="noConversion"/>
  </si>
  <si>
    <t>川S72927</t>
    <phoneticPr fontId="14" type="noConversion"/>
  </si>
  <si>
    <t>川S68190</t>
    <phoneticPr fontId="14" type="noConversion"/>
  </si>
  <si>
    <t>川S69125</t>
    <phoneticPr fontId="14" type="noConversion"/>
  </si>
  <si>
    <t>SMXG1607Ms1</t>
    <phoneticPr fontId="14" type="noConversion"/>
  </si>
  <si>
    <t>硅锰</t>
    <phoneticPr fontId="14" type="noConversion"/>
  </si>
  <si>
    <t>SMXG1608Ms2</t>
    <phoneticPr fontId="14" type="noConversion"/>
  </si>
  <si>
    <r>
      <rPr>
        <b/>
        <sz val="10"/>
        <rFont val="Arial Unicode MS"/>
        <family val="2"/>
        <charset val="134"/>
      </rPr>
      <t>硅锰</t>
    </r>
    <phoneticPr fontId="14" type="noConversion"/>
  </si>
  <si>
    <t>桂KF0805</t>
    <phoneticPr fontId="14" type="noConversion"/>
  </si>
  <si>
    <t>SMA20160706-2</t>
    <phoneticPr fontId="10" type="noConversion"/>
  </si>
  <si>
    <t>广西新振锰业集团有限公司</t>
    <phoneticPr fontId="10" type="noConversion"/>
  </si>
  <si>
    <r>
      <t>（-155）到货后支付80%货款；7-26日到厂；承兑到湘钢价.</t>
    </r>
    <r>
      <rPr>
        <b/>
        <sz val="10"/>
        <rFont val="Arial Unicode MS"/>
        <family val="2"/>
        <charset val="134"/>
      </rPr>
      <t>；</t>
    </r>
    <r>
      <rPr>
        <sz val="10"/>
        <rFont val="Arial Unicode MS"/>
        <family val="2"/>
        <charset val="134"/>
      </rPr>
      <t>现金按照4.5%年息折算，加价归供方.</t>
    </r>
    <phoneticPr fontId="10" type="noConversion"/>
  </si>
  <si>
    <t>硅锰</t>
    <phoneticPr fontId="14" type="noConversion"/>
  </si>
  <si>
    <t>华锟收票</t>
    <phoneticPr fontId="14" type="noConversion"/>
  </si>
  <si>
    <t>锰片</t>
    <phoneticPr fontId="14" type="noConversion"/>
  </si>
  <si>
    <t>重庆锰都工贸有限公司</t>
    <phoneticPr fontId="10" type="noConversion"/>
  </si>
  <si>
    <t>昕洪中收票</t>
    <phoneticPr fontId="14" type="noConversion"/>
  </si>
  <si>
    <t>广西中物矿业有限公司</t>
    <phoneticPr fontId="10" type="noConversion"/>
  </si>
  <si>
    <t>（-150）到货后支付80%货款；承兑到湘钢钢厂价，.现金按照4.5%年息折算，加价归供方.</t>
    <phoneticPr fontId="10" type="noConversion"/>
  </si>
  <si>
    <t>3813183</t>
    <phoneticPr fontId="14" type="noConversion"/>
  </si>
  <si>
    <t>SMXG1608Ms2</t>
    <phoneticPr fontId="14" type="noConversion"/>
  </si>
  <si>
    <r>
      <rPr>
        <b/>
        <sz val="10"/>
        <rFont val="Arial Unicode MS"/>
        <family val="2"/>
        <charset val="134"/>
      </rPr>
      <t>硅锰</t>
    </r>
    <phoneticPr fontId="14" type="noConversion"/>
  </si>
  <si>
    <t>湘钢</t>
    <phoneticPr fontId="14" type="noConversion"/>
  </si>
  <si>
    <t>豫EF3857</t>
    <phoneticPr fontId="14" type="noConversion"/>
  </si>
  <si>
    <t>销售合同</t>
    <phoneticPr fontId="14" type="noConversion"/>
  </si>
  <si>
    <t>SMA20160823-1</t>
    <phoneticPr fontId="14" type="noConversion"/>
  </si>
  <si>
    <t>桂N35115</t>
    <phoneticPr fontId="14" type="noConversion"/>
  </si>
  <si>
    <t>桂N65368</t>
    <phoneticPr fontId="14" type="noConversion"/>
  </si>
  <si>
    <t>桂N65858</t>
    <phoneticPr fontId="14" type="noConversion"/>
  </si>
  <si>
    <t>桂N61613</t>
    <phoneticPr fontId="14" type="noConversion"/>
  </si>
  <si>
    <t>SMXG1608Ms1</t>
    <phoneticPr fontId="14" type="noConversion"/>
  </si>
  <si>
    <t>SMYC1608Ms1</t>
  </si>
  <si>
    <t>SMYC1608Ms2</t>
    <phoneticPr fontId="14" type="noConversion"/>
  </si>
  <si>
    <t>SMYC1608Ms2</t>
    <phoneticPr fontId="14" type="noConversion"/>
  </si>
  <si>
    <t>SMA20160823-5</t>
    <phoneticPr fontId="10" type="noConversion"/>
  </si>
  <si>
    <t>SME1609Mp1</t>
    <phoneticPr fontId="10" type="noConversion"/>
  </si>
  <si>
    <t>SME1609Mp2</t>
    <phoneticPr fontId="10" type="noConversion"/>
  </si>
  <si>
    <t>SME1608Mp2</t>
    <phoneticPr fontId="14" type="noConversion"/>
  </si>
  <si>
    <t>SMA20160804-1</t>
    <phoneticPr fontId="14" type="noConversion"/>
  </si>
  <si>
    <t>SMA20160804-2</t>
    <phoneticPr fontId="14" type="noConversion"/>
  </si>
  <si>
    <t>SMA20160804-1</t>
    <phoneticPr fontId="14" type="noConversion"/>
  </si>
  <si>
    <t>锰片</t>
    <phoneticPr fontId="14" type="noConversion"/>
  </si>
  <si>
    <t>YONGHE METAL CO.,LTD</t>
    <phoneticPr fontId="14" type="noConversion"/>
  </si>
  <si>
    <t>华锟香港收票</t>
    <phoneticPr fontId="14" type="noConversion"/>
  </si>
  <si>
    <t>CSLCGNY-HKPM-004</t>
    <phoneticPr fontId="14" type="noConversion"/>
  </si>
  <si>
    <t>SMXG1607Ms1</t>
    <phoneticPr fontId="10" type="noConversion"/>
  </si>
  <si>
    <t>硅锰</t>
    <phoneticPr fontId="10" type="noConversion"/>
  </si>
  <si>
    <t>SMXG1607Ms2</t>
    <phoneticPr fontId="10" type="noConversion"/>
  </si>
  <si>
    <t>SMXG1608Ms1</t>
    <phoneticPr fontId="10" type="noConversion"/>
  </si>
  <si>
    <t>SMA20160810-1</t>
    <phoneticPr fontId="10" type="noConversion"/>
  </si>
  <si>
    <t>SMA20160823-3</t>
    <phoneticPr fontId="14" type="noConversion"/>
  </si>
  <si>
    <t>桂KB5371</t>
    <phoneticPr fontId="14" type="noConversion"/>
  </si>
  <si>
    <t>桂KG3589</t>
    <phoneticPr fontId="14" type="noConversion"/>
  </si>
  <si>
    <t>桂E83785</t>
    <phoneticPr fontId="14" type="noConversion"/>
  </si>
  <si>
    <t>川S67319</t>
    <phoneticPr fontId="14" type="noConversion"/>
  </si>
  <si>
    <t>桂KG3629</t>
    <phoneticPr fontId="14" type="noConversion"/>
  </si>
  <si>
    <t>SMA20160823-2</t>
    <phoneticPr fontId="14" type="noConversion"/>
  </si>
  <si>
    <t>湘N0H415</t>
    <phoneticPr fontId="14" type="noConversion"/>
  </si>
  <si>
    <t>鲁G9913</t>
    <phoneticPr fontId="14" type="noConversion"/>
  </si>
  <si>
    <t>鲁Q1105A</t>
    <phoneticPr fontId="14" type="noConversion"/>
  </si>
  <si>
    <t>SMXG1608Mb1</t>
    <phoneticPr fontId="14" type="noConversion"/>
  </si>
  <si>
    <t>XHZYL20160704</t>
    <phoneticPr fontId="14" type="noConversion"/>
  </si>
  <si>
    <t>安徽一类造球精矿</t>
    <phoneticPr fontId="14" type="noConversion"/>
  </si>
  <si>
    <t>湖口永隆贸易有限公司</t>
    <phoneticPr fontId="14" type="noConversion"/>
  </si>
  <si>
    <t>华锟收票</t>
    <phoneticPr fontId="14" type="noConversion"/>
  </si>
  <si>
    <t>XHZYL20160804</t>
    <phoneticPr fontId="14" type="noConversion"/>
  </si>
  <si>
    <t>铁矿</t>
    <phoneticPr fontId="14" type="noConversion"/>
  </si>
  <si>
    <t>蒙J66237</t>
    <phoneticPr fontId="14" type="noConversion"/>
  </si>
  <si>
    <t>SMA20160727-3</t>
    <phoneticPr fontId="14" type="noConversion"/>
  </si>
  <si>
    <t>华锟上海付款</t>
    <phoneticPr fontId="10" type="noConversion"/>
  </si>
  <si>
    <t>广西中物矿业有限公司</t>
    <phoneticPr fontId="14" type="noConversion"/>
  </si>
  <si>
    <t>XHZYL20160804</t>
    <phoneticPr fontId="14" type="noConversion"/>
  </si>
  <si>
    <t>益阳金能新材料有限责任公司</t>
    <phoneticPr fontId="14" type="noConversion"/>
  </si>
  <si>
    <t>华锟上海收款</t>
    <phoneticPr fontId="10" type="noConversion"/>
  </si>
  <si>
    <t>池州实业中冶钢铁冶金炉料有限公司</t>
    <phoneticPr fontId="14" type="noConversion"/>
  </si>
  <si>
    <t>SMA20160823-4</t>
    <phoneticPr fontId="14" type="noConversion"/>
  </si>
  <si>
    <t>SMA20160823-5</t>
    <phoneticPr fontId="14" type="noConversion"/>
  </si>
  <si>
    <t>SMA20160704-3</t>
    <phoneticPr fontId="14" type="noConversion"/>
  </si>
  <si>
    <t>SME1607Mp1</t>
    <phoneticPr fontId="14" type="noConversion"/>
  </si>
  <si>
    <t>氧化镁球</t>
    <phoneticPr fontId="14" type="noConversion"/>
  </si>
  <si>
    <t>SME1607Mp2</t>
    <phoneticPr fontId="14" type="noConversion"/>
  </si>
  <si>
    <t>大连联航集运船务代理有限公司</t>
    <phoneticPr fontId="14" type="noConversion"/>
  </si>
  <si>
    <t>SME1609Mp1</t>
    <phoneticPr fontId="14" type="noConversion"/>
  </si>
  <si>
    <t>XHZFKNY2016406</t>
    <phoneticPr fontId="14" type="noConversion"/>
  </si>
  <si>
    <t>营口鑫瑞耐火材料有限公司</t>
    <phoneticPr fontId="14" type="noConversion"/>
  </si>
  <si>
    <t>SMA20160804-1</t>
    <phoneticPr fontId="14" type="noConversion"/>
  </si>
  <si>
    <t>SMA20160804-2</t>
    <phoneticPr fontId="14" type="noConversion"/>
  </si>
  <si>
    <t>YONGHE METAL CO.,LTD</t>
    <phoneticPr fontId="14" type="noConversion"/>
  </si>
  <si>
    <t>华锟香港付款</t>
    <phoneticPr fontId="10" type="noConversion"/>
  </si>
  <si>
    <t>XHZYL20160804</t>
    <phoneticPr fontId="14" type="noConversion"/>
  </si>
  <si>
    <t>铁矿</t>
    <phoneticPr fontId="14" type="noConversion"/>
  </si>
  <si>
    <t>XHZCZZY201600902</t>
    <phoneticPr fontId="10" type="noConversion"/>
  </si>
  <si>
    <t>XHZYL20160902</t>
    <phoneticPr fontId="10" type="noConversion"/>
  </si>
  <si>
    <t>昕洪中签订合同</t>
    <phoneticPr fontId="10" type="noConversion"/>
  </si>
  <si>
    <t>XHZCZZY201600804</t>
    <phoneticPr fontId="14" type="noConversion"/>
  </si>
  <si>
    <t>安徽一类造球精矿</t>
    <phoneticPr fontId="14" type="noConversion"/>
  </si>
  <si>
    <t>池州实业中冶钢铁冶金炉料有限公司</t>
    <phoneticPr fontId="14" type="noConversion"/>
  </si>
  <si>
    <t>昕洪中收票</t>
    <phoneticPr fontId="14" type="noConversion"/>
  </si>
  <si>
    <t>硅锰</t>
    <phoneticPr fontId="14" type="noConversion"/>
  </si>
  <si>
    <t>百色市新中锰业有限公司</t>
    <phoneticPr fontId="14" type="noConversion"/>
  </si>
  <si>
    <t>硅锰</t>
    <phoneticPr fontId="14" type="noConversion"/>
  </si>
  <si>
    <t>SMYC1608Ms2</t>
    <phoneticPr fontId="14" type="noConversion"/>
  </si>
  <si>
    <t>SMA20160905-1</t>
    <phoneticPr fontId="10" type="noConversion"/>
  </si>
  <si>
    <t>（-170）到货后支付80%货款；承兑到湘钢，.现金按照4.5%年息折算，加价归供方.</t>
    <phoneticPr fontId="10" type="noConversion"/>
  </si>
  <si>
    <r>
      <rPr>
        <b/>
        <sz val="10"/>
        <rFont val="Arial Unicode MS"/>
        <family val="2"/>
        <charset val="134"/>
      </rPr>
      <t>陈剑钊</t>
    </r>
    <phoneticPr fontId="10" type="noConversion"/>
  </si>
  <si>
    <t>SMXG1609Ms1</t>
    <phoneticPr fontId="14" type="noConversion"/>
  </si>
  <si>
    <t>SMA20160905-3</t>
    <phoneticPr fontId="14" type="noConversion"/>
  </si>
  <si>
    <t xml:space="preserve"> P70 3816768</t>
    <phoneticPr fontId="14" type="noConversion"/>
  </si>
  <si>
    <t>陈剑钊</t>
    <phoneticPr fontId="14" type="noConversion"/>
  </si>
  <si>
    <t>硅锰</t>
    <phoneticPr fontId="14" type="noConversion"/>
  </si>
  <si>
    <t>中船工业成套物流(广州)有限公司</t>
    <phoneticPr fontId="14" type="noConversion"/>
  </si>
  <si>
    <t>承兑；送湘钢</t>
    <phoneticPr fontId="14" type="noConversion"/>
  </si>
  <si>
    <t>SMYC1607Ms1</t>
    <phoneticPr fontId="10" type="noConversion"/>
  </si>
  <si>
    <t>SMYC1608Ms1</t>
    <phoneticPr fontId="10" type="noConversion"/>
  </si>
  <si>
    <t>XHZYL20160803</t>
    <phoneticPr fontId="10" type="noConversion"/>
  </si>
  <si>
    <t>XHZYL20160803</t>
    <phoneticPr fontId="14" type="noConversion"/>
  </si>
  <si>
    <t>SMYC1604Ms1</t>
    <phoneticPr fontId="10" type="noConversion"/>
  </si>
  <si>
    <t>SMA20160906-1</t>
    <phoneticPr fontId="10" type="noConversion"/>
  </si>
  <si>
    <t>SMYC1609Ms1</t>
    <phoneticPr fontId="14" type="noConversion"/>
  </si>
  <si>
    <t>承兑；送阳春</t>
    <phoneticPr fontId="14" type="noConversion"/>
  </si>
  <si>
    <t>华锟上海收款</t>
    <phoneticPr fontId="10" type="noConversion"/>
  </si>
  <si>
    <t>一类精矿</t>
    <phoneticPr fontId="14" type="noConversion"/>
  </si>
  <si>
    <t>GN510116001-071</t>
    <phoneticPr fontId="10" type="noConversion"/>
  </si>
  <si>
    <t>SMXG1608Mb1</t>
    <phoneticPr fontId="10" type="noConversion"/>
  </si>
  <si>
    <t>SMXG1608Al1</t>
    <phoneticPr fontId="10" type="noConversion"/>
  </si>
  <si>
    <t>M5GNM201600145</t>
    <phoneticPr fontId="10" type="noConversion"/>
  </si>
  <si>
    <t>M5GNM201600146</t>
    <phoneticPr fontId="10" type="noConversion"/>
  </si>
  <si>
    <t>SMA20160823-2</t>
    <phoneticPr fontId="10" type="noConversion"/>
  </si>
  <si>
    <t>SMA20160823-3</t>
    <phoneticPr fontId="10" type="noConversion"/>
  </si>
  <si>
    <t>3312978</t>
    <phoneticPr fontId="14" type="noConversion"/>
  </si>
  <si>
    <t>3122257</t>
    <phoneticPr fontId="14" type="noConversion"/>
  </si>
  <si>
    <t>3423976</t>
    <phoneticPr fontId="14" type="noConversion"/>
  </si>
  <si>
    <t>XHZCZZY201600804</t>
    <phoneticPr fontId="14" type="noConversion"/>
  </si>
  <si>
    <t>广西中物矿业有限公司</t>
    <phoneticPr fontId="14" type="noConversion"/>
  </si>
  <si>
    <t>SMA20160706-2</t>
    <phoneticPr fontId="14" type="noConversion"/>
  </si>
  <si>
    <t>硅锰</t>
    <phoneticPr fontId="14" type="noConversion"/>
  </si>
  <si>
    <t>广西新振锰业集团有限公司</t>
    <phoneticPr fontId="14" type="noConversion"/>
  </si>
  <si>
    <t>昕洪中付款</t>
    <phoneticPr fontId="10" type="noConversion"/>
  </si>
  <si>
    <t>SMA20160719-1</t>
    <phoneticPr fontId="14" type="noConversion"/>
  </si>
  <si>
    <t>兴义市嘉泰铁合金有限公司</t>
    <phoneticPr fontId="14" type="noConversion"/>
  </si>
  <si>
    <t>华锟上海付款</t>
    <phoneticPr fontId="10" type="noConversion"/>
  </si>
  <si>
    <t>陈剑钊</t>
    <phoneticPr fontId="14" type="noConversion"/>
  </si>
  <si>
    <t>现款，两天内发货</t>
    <phoneticPr fontId="14" type="noConversion"/>
  </si>
  <si>
    <t>SMZY1609Mn1</t>
    <phoneticPr fontId="14" type="noConversion"/>
  </si>
  <si>
    <t>中冶京诚</t>
    <phoneticPr fontId="14" type="noConversion"/>
  </si>
  <si>
    <t>SMXG1607Ms1</t>
    <phoneticPr fontId="10" type="noConversion"/>
  </si>
  <si>
    <t>SMXG1608Ms1</t>
    <phoneticPr fontId="10" type="noConversion"/>
  </si>
  <si>
    <t>锰球</t>
    <phoneticPr fontId="14" type="noConversion"/>
  </si>
  <si>
    <t>SMXG1608Ms2</t>
    <phoneticPr fontId="10" type="noConversion"/>
  </si>
  <si>
    <t>SMA20160906-2</t>
    <phoneticPr fontId="14" type="noConversion"/>
  </si>
  <si>
    <t>豫Q25757</t>
    <phoneticPr fontId="14" type="noConversion"/>
  </si>
  <si>
    <t>渝BS0781</t>
    <phoneticPr fontId="14" type="noConversion"/>
  </si>
  <si>
    <t>渝BV9121</t>
    <phoneticPr fontId="14" type="noConversion"/>
  </si>
  <si>
    <t>冀BU0793</t>
    <phoneticPr fontId="14" type="noConversion"/>
  </si>
  <si>
    <t>SMA20160704-1</t>
    <phoneticPr fontId="14" type="noConversion"/>
  </si>
  <si>
    <r>
      <rPr>
        <b/>
        <sz val="10"/>
        <rFont val="Arial Unicode MS"/>
        <family val="2"/>
        <charset val="134"/>
      </rPr>
      <t>硅锰</t>
    </r>
    <phoneticPr fontId="14" type="noConversion"/>
  </si>
  <si>
    <t>成都铁鼎商贸有限公司</t>
    <phoneticPr fontId="10" type="noConversion"/>
  </si>
  <si>
    <t>炉料</t>
    <phoneticPr fontId="10" type="noConversion"/>
  </si>
  <si>
    <t>造球</t>
    <phoneticPr fontId="10" type="noConversion"/>
  </si>
  <si>
    <t>炉料</t>
    <phoneticPr fontId="10" type="noConversion"/>
  </si>
  <si>
    <t>造球</t>
    <phoneticPr fontId="14" type="noConversion"/>
  </si>
  <si>
    <t>CSLCGNY-HKZQ-006</t>
    <phoneticPr fontId="10" type="noConversion"/>
  </si>
  <si>
    <t>铁矿</t>
    <phoneticPr fontId="10" type="noConversion"/>
  </si>
  <si>
    <t>CSLCGNY-HKZQ-0062</t>
    <phoneticPr fontId="10" type="noConversion"/>
  </si>
  <si>
    <t>SMXG1607Mb1</t>
    <phoneticPr fontId="10" type="noConversion"/>
  </si>
  <si>
    <t>锰球</t>
    <phoneticPr fontId="10" type="noConversion"/>
  </si>
  <si>
    <t>SMA20160905-2</t>
    <phoneticPr fontId="14" type="noConversion"/>
  </si>
  <si>
    <t>SMA20160905-2</t>
    <phoneticPr fontId="10" type="noConversion"/>
  </si>
  <si>
    <t>SMYC1608Ms2</t>
    <phoneticPr fontId="10" type="noConversion"/>
  </si>
  <si>
    <t>冀DN9916</t>
    <phoneticPr fontId="14" type="noConversion"/>
  </si>
  <si>
    <t>冀DZ4139</t>
    <phoneticPr fontId="14" type="noConversion"/>
  </si>
  <si>
    <t>川C21723</t>
    <phoneticPr fontId="14" type="noConversion"/>
  </si>
  <si>
    <t>SMA20160727-3</t>
    <phoneticPr fontId="14" type="noConversion"/>
  </si>
  <si>
    <t>SMA20160823-4</t>
    <phoneticPr fontId="14" type="noConversion"/>
  </si>
  <si>
    <t>SMA20160823-4</t>
    <phoneticPr fontId="10" type="noConversion"/>
  </si>
  <si>
    <t>XHZFKNY2016406</t>
    <phoneticPr fontId="14" type="noConversion"/>
  </si>
  <si>
    <t>益阳金能新材料有限责任公司</t>
    <phoneticPr fontId="10" type="noConversion"/>
  </si>
  <si>
    <t>SMA20160822-1</t>
    <phoneticPr fontId="14" type="noConversion"/>
  </si>
  <si>
    <t>SMA20160822-1</t>
    <phoneticPr fontId="10" type="noConversion"/>
  </si>
  <si>
    <t>鲁Q6676A</t>
    <phoneticPr fontId="14" type="noConversion"/>
  </si>
  <si>
    <t>鲁PG1778</t>
    <phoneticPr fontId="14" type="noConversion"/>
  </si>
  <si>
    <t>鲁PD2175</t>
    <phoneticPr fontId="14" type="noConversion"/>
  </si>
  <si>
    <t>SMA20160905-2</t>
    <phoneticPr fontId="14" type="noConversion"/>
  </si>
  <si>
    <t>SMA20160823-3</t>
    <phoneticPr fontId="14" type="noConversion"/>
  </si>
  <si>
    <t>华锟上海付款</t>
    <phoneticPr fontId="10" type="noConversion"/>
  </si>
  <si>
    <t>SMA20160823-1</t>
    <phoneticPr fontId="14" type="noConversion"/>
  </si>
  <si>
    <t>广西新锰国际贸易有限公司</t>
    <phoneticPr fontId="14" type="noConversion"/>
  </si>
  <si>
    <t>SMA20160704-4</t>
    <phoneticPr fontId="14" type="noConversion"/>
  </si>
  <si>
    <t>硅锰</t>
    <phoneticPr fontId="14" type="noConversion"/>
  </si>
  <si>
    <t>豫D88707</t>
    <phoneticPr fontId="14" type="noConversion"/>
  </si>
  <si>
    <t>鲁PG3609</t>
    <phoneticPr fontId="14" type="noConversion"/>
  </si>
  <si>
    <t>SMA20160727-4</t>
    <phoneticPr fontId="10" type="noConversion"/>
  </si>
  <si>
    <t>硅锰</t>
    <phoneticPr fontId="14" type="noConversion"/>
  </si>
  <si>
    <t>广西中物矿业有限公司</t>
    <phoneticPr fontId="14" type="noConversion"/>
  </si>
  <si>
    <t>SMA20160823-4</t>
    <phoneticPr fontId="10" type="noConversion"/>
  </si>
  <si>
    <t>XHZCZZY201600902</t>
    <phoneticPr fontId="14" type="noConversion"/>
  </si>
  <si>
    <t>GN510116001-091</t>
    <phoneticPr fontId="10" type="noConversion"/>
  </si>
  <si>
    <t>GN110216209-091</t>
    <phoneticPr fontId="10" type="noConversion"/>
  </si>
  <si>
    <t>GN110216209-091</t>
    <phoneticPr fontId="14" type="noConversion"/>
  </si>
  <si>
    <t>SMA20160906-2</t>
    <phoneticPr fontId="10" type="noConversion"/>
  </si>
  <si>
    <t>SMA20160906-1</t>
    <phoneticPr fontId="14" type="noConversion"/>
  </si>
  <si>
    <t>SMA20160906-2</t>
    <phoneticPr fontId="10" type="noConversion"/>
  </si>
  <si>
    <t>一类精矿</t>
    <phoneticPr fontId="10" type="noConversion"/>
  </si>
  <si>
    <t>锰片</t>
    <phoneticPr fontId="14" type="noConversion"/>
  </si>
  <si>
    <t>Mitsui&amp;Co.,Ltd</t>
    <phoneticPr fontId="14" type="noConversion"/>
  </si>
  <si>
    <t>华锟香港收款</t>
    <phoneticPr fontId="10" type="noConversion"/>
  </si>
  <si>
    <t>炉料</t>
    <phoneticPr fontId="14" type="noConversion"/>
  </si>
  <si>
    <t>炉料</t>
    <phoneticPr fontId="14" type="noConversion"/>
  </si>
  <si>
    <t>炉料</t>
    <phoneticPr fontId="14" type="noConversion"/>
  </si>
  <si>
    <t>SMA20160727-3</t>
    <phoneticPr fontId="10" type="noConversion"/>
  </si>
  <si>
    <t>豫EZD980</t>
    <phoneticPr fontId="14" type="noConversion"/>
  </si>
  <si>
    <t>冀BX7006</t>
    <phoneticPr fontId="14" type="noConversion"/>
  </si>
  <si>
    <t>3410755</t>
    <phoneticPr fontId="14" type="noConversion"/>
  </si>
  <si>
    <t>3408222</t>
    <phoneticPr fontId="14" type="noConversion"/>
  </si>
  <si>
    <t>广西新振锰业集团有限公司</t>
    <phoneticPr fontId="10" type="noConversion"/>
  </si>
  <si>
    <r>
      <t>（-155）到货后支付80%货款；承兑到阳春钢厂价.</t>
    </r>
    <r>
      <rPr>
        <b/>
        <sz val="10"/>
        <rFont val="Arial Unicode MS"/>
        <family val="2"/>
        <charset val="134"/>
      </rPr>
      <t>；</t>
    </r>
    <r>
      <rPr>
        <sz val="10"/>
        <rFont val="Arial Unicode MS"/>
        <family val="2"/>
        <charset val="134"/>
      </rPr>
      <t>现金按照4.5%年息折算，加价归供方.</t>
    </r>
    <phoneticPr fontId="10" type="noConversion"/>
  </si>
  <si>
    <t>昕洪中付款</t>
    <phoneticPr fontId="10" type="noConversion"/>
  </si>
  <si>
    <t>SMA20160905-2</t>
    <phoneticPr fontId="10" type="noConversion"/>
  </si>
  <si>
    <t>硅锰</t>
    <phoneticPr fontId="14" type="noConversion"/>
  </si>
  <si>
    <t>百色市新中锰业有限公司</t>
    <phoneticPr fontId="14" type="noConversion"/>
  </si>
  <si>
    <t>SMA20160704-4</t>
    <phoneticPr fontId="10" type="noConversion"/>
  </si>
  <si>
    <t>广西新振锰业集团有限公司</t>
    <phoneticPr fontId="14" type="noConversion"/>
  </si>
  <si>
    <t>华锟签订合同</t>
    <phoneticPr fontId="10" type="noConversion"/>
  </si>
  <si>
    <t>（-220）到阳春后支付80%货款；承兑价.现金按照4.5%年息折算，加价归供方.</t>
    <phoneticPr fontId="10" type="noConversion"/>
  </si>
  <si>
    <t>SMXG1608Ms2</t>
    <phoneticPr fontId="10" type="noConversion"/>
  </si>
  <si>
    <t>硅锰</t>
    <phoneticPr fontId="14" type="noConversion"/>
  </si>
  <si>
    <t>湖南华菱湘潭钢铁有限公司</t>
    <phoneticPr fontId="14" type="noConversion"/>
  </si>
  <si>
    <t>华锟上海收款</t>
    <phoneticPr fontId="10" type="noConversion"/>
  </si>
  <si>
    <t>GN110216209-071</t>
    <phoneticPr fontId="10" type="noConversion"/>
  </si>
  <si>
    <t>安徽一类造球精矿</t>
    <phoneticPr fontId="14" type="noConversion"/>
  </si>
  <si>
    <t>湘潭钢铁集团有限公司</t>
    <phoneticPr fontId="14" type="noConversion"/>
  </si>
  <si>
    <t>GN110216209-081</t>
    <phoneticPr fontId="10" type="noConversion"/>
  </si>
  <si>
    <t>SMYC1608Ms1</t>
    <phoneticPr fontId="10" type="noConversion"/>
  </si>
  <si>
    <t>SMYC1608Ms2</t>
    <phoneticPr fontId="10" type="noConversion"/>
  </si>
  <si>
    <t>SMA20160905-3</t>
    <phoneticPr fontId="10" type="noConversion"/>
  </si>
  <si>
    <t>益阳金能新材料有限责任公司</t>
    <phoneticPr fontId="10" type="noConversion"/>
  </si>
  <si>
    <t>广西新锰国际贸易有限公司</t>
    <phoneticPr fontId="10" type="noConversion"/>
  </si>
  <si>
    <t xml:space="preserve">松桃三和锰业集团有限责任公司 </t>
    <phoneticPr fontId="10" type="noConversion"/>
  </si>
  <si>
    <t>SMA20160921-1</t>
    <phoneticPr fontId="10" type="noConversion"/>
  </si>
  <si>
    <t>自提价，9-29日华诚均价；装车付款</t>
    <phoneticPr fontId="10" type="noConversion"/>
  </si>
  <si>
    <t>SMYY1609Mn1</t>
    <phoneticPr fontId="14" type="noConversion"/>
  </si>
  <si>
    <t>9-29日华诚均价+100；自提价；款到发货</t>
    <phoneticPr fontId="14" type="noConversion"/>
  </si>
  <si>
    <t>P64AK3425870</t>
    <phoneticPr fontId="14" type="noConversion"/>
  </si>
  <si>
    <t>豫QC1501</t>
    <phoneticPr fontId="14" type="noConversion"/>
  </si>
  <si>
    <t>SMXG1609Ms1</t>
    <phoneticPr fontId="10" type="noConversion"/>
  </si>
  <si>
    <t>一类矿</t>
    <phoneticPr fontId="14" type="noConversion"/>
  </si>
  <si>
    <t>SMZY1609Mn1</t>
    <phoneticPr fontId="10" type="noConversion"/>
  </si>
  <si>
    <t>鲁HF6626</t>
    <phoneticPr fontId="14" type="noConversion"/>
  </si>
  <si>
    <t>3325986</t>
    <phoneticPr fontId="14" type="noConversion"/>
  </si>
  <si>
    <t>3410967</t>
    <phoneticPr fontId="14" type="noConversion"/>
  </si>
  <si>
    <t>SMA20160727-3</t>
    <phoneticPr fontId="10" type="noConversion"/>
  </si>
  <si>
    <t>GN110216209-081</t>
    <phoneticPr fontId="10" type="noConversion"/>
  </si>
  <si>
    <t>湘潭钢铁集团有限公司</t>
    <phoneticPr fontId="14" type="noConversion"/>
  </si>
  <si>
    <t>XHZYL20160804</t>
    <phoneticPr fontId="10" type="noConversion"/>
  </si>
  <si>
    <t>鲁Q0881N</t>
    <phoneticPr fontId="14" type="noConversion"/>
  </si>
  <si>
    <t>湘LB8558</t>
    <phoneticPr fontId="14" type="noConversion"/>
  </si>
  <si>
    <t>鲁Q0580B</t>
    <phoneticPr fontId="14" type="noConversion"/>
  </si>
  <si>
    <t>3112053</t>
    <phoneticPr fontId="14" type="noConversion"/>
  </si>
  <si>
    <t>造球精矿</t>
    <phoneticPr fontId="14" type="noConversion"/>
  </si>
  <si>
    <t>XHZCZZY201600804</t>
    <phoneticPr fontId="10" type="noConversion"/>
  </si>
  <si>
    <t>安徽一类造球精矿</t>
    <phoneticPr fontId="14" type="noConversion"/>
  </si>
  <si>
    <t>池州实业中冶钢铁冶金炉料有限公司</t>
    <phoneticPr fontId="14" type="noConversion"/>
  </si>
  <si>
    <t>昕洪中收票</t>
    <phoneticPr fontId="14" type="noConversion"/>
  </si>
  <si>
    <t>硅锰</t>
    <phoneticPr fontId="14" type="noConversion"/>
  </si>
  <si>
    <t>兴义市嘉泰铁合金有限公司</t>
    <phoneticPr fontId="14" type="noConversion"/>
  </si>
  <si>
    <t>华锟开票</t>
    <phoneticPr fontId="14" type="noConversion"/>
  </si>
  <si>
    <t>GN510116001-081</t>
    <phoneticPr fontId="10" type="noConversion"/>
  </si>
  <si>
    <t>SMA20160905-3</t>
    <phoneticPr fontId="14" type="noConversion"/>
  </si>
  <si>
    <r>
      <rPr>
        <b/>
        <sz val="10"/>
        <rFont val="Arial Unicode MS"/>
        <family val="2"/>
        <charset val="134"/>
      </rPr>
      <t>硅锰</t>
    </r>
    <phoneticPr fontId="14" type="noConversion"/>
  </si>
  <si>
    <t>成都铁鼎商贸有限公司</t>
    <phoneticPr fontId="14" type="noConversion"/>
  </si>
  <si>
    <t>昕洪中付款</t>
    <phoneticPr fontId="10" type="noConversion"/>
  </si>
  <si>
    <t>SMA20160704-5</t>
    <phoneticPr fontId="14" type="noConversion"/>
  </si>
  <si>
    <t>硅锰</t>
    <phoneticPr fontId="14" type="noConversion"/>
  </si>
  <si>
    <t>兴义市嘉泰铁合金有限公司</t>
    <phoneticPr fontId="14" type="noConversion"/>
  </si>
  <si>
    <t>SMA20160905-2</t>
    <phoneticPr fontId="14" type="noConversion"/>
  </si>
  <si>
    <t>百色市新中锰业有限公司</t>
    <phoneticPr fontId="14" type="noConversion"/>
  </si>
  <si>
    <t>SMXG1610Al1</t>
    <phoneticPr fontId="14" type="noConversion"/>
  </si>
  <si>
    <t>XHZYL20160902</t>
    <phoneticPr fontId="14" type="noConversion"/>
  </si>
  <si>
    <t>GN510116001-091</t>
    <phoneticPr fontId="14" type="noConversion"/>
  </si>
  <si>
    <t>SMA20160704-1</t>
    <phoneticPr fontId="10" type="noConversion"/>
  </si>
  <si>
    <t>SMA20160823-5</t>
    <phoneticPr fontId="10" type="noConversion"/>
  </si>
  <si>
    <t>SMA20160823-1</t>
    <phoneticPr fontId="10" type="noConversion"/>
  </si>
  <si>
    <t>SMA20160906-1</t>
    <phoneticPr fontId="10" type="noConversion"/>
  </si>
  <si>
    <t>SMA20160727-4</t>
  </si>
  <si>
    <t>广西中物矿业有限公司</t>
  </si>
  <si>
    <t>SMA20160823-4</t>
  </si>
  <si>
    <t>SMA20160727-1</t>
  </si>
  <si>
    <t>SMA20160826-1</t>
    <phoneticPr fontId="10" type="noConversion"/>
  </si>
  <si>
    <t>益阳金能新材料有限责任公司</t>
    <phoneticPr fontId="14" type="noConversion"/>
  </si>
  <si>
    <t>SMXG1610Mb1</t>
    <phoneticPr fontId="14" type="noConversion"/>
  </si>
  <si>
    <t>SMYY1609Mn1</t>
    <phoneticPr fontId="10" type="noConversion"/>
  </si>
  <si>
    <t xml:space="preserve">松桃三和锰业集团有限责任公司 </t>
    <phoneticPr fontId="14" type="noConversion"/>
  </si>
  <si>
    <t>3461790</t>
    <phoneticPr fontId="14" type="noConversion"/>
  </si>
  <si>
    <t>3329206</t>
    <phoneticPr fontId="14" type="noConversion"/>
  </si>
  <si>
    <t>SMA20160921-1</t>
    <phoneticPr fontId="14" type="noConversion"/>
  </si>
  <si>
    <t>湘H11128</t>
    <phoneticPr fontId="14" type="noConversion"/>
  </si>
  <si>
    <t>冀EE9261</t>
    <phoneticPr fontId="14" type="noConversion"/>
  </si>
  <si>
    <t>赣CL8190</t>
    <phoneticPr fontId="14" type="noConversion"/>
  </si>
  <si>
    <t>三和</t>
    <phoneticPr fontId="14" type="noConversion"/>
  </si>
  <si>
    <t>XHZYL20160804</t>
    <phoneticPr fontId="10" type="noConversion"/>
  </si>
  <si>
    <t>铁矿</t>
    <phoneticPr fontId="14" type="noConversion"/>
  </si>
  <si>
    <t>湖口永隆贸易有限公司</t>
    <phoneticPr fontId="14" type="noConversion"/>
  </si>
  <si>
    <t>贵DC5638</t>
    <phoneticPr fontId="14" type="noConversion"/>
  </si>
  <si>
    <t>P64 3405686</t>
    <phoneticPr fontId="14" type="noConversion"/>
  </si>
  <si>
    <t>P63 3302005</t>
    <phoneticPr fontId="14" type="noConversion"/>
  </si>
  <si>
    <t>P62 3124534</t>
    <phoneticPr fontId="14" type="noConversion"/>
  </si>
  <si>
    <t>P63 3302728</t>
    <phoneticPr fontId="14" type="noConversion"/>
  </si>
  <si>
    <t>P63 3303844</t>
    <phoneticPr fontId="14" type="noConversion"/>
  </si>
  <si>
    <t>P62 3471037</t>
    <phoneticPr fontId="14" type="noConversion"/>
  </si>
  <si>
    <t>P64GK 3464128</t>
    <phoneticPr fontId="14" type="noConversion"/>
  </si>
  <si>
    <t>P64 3411096</t>
    <phoneticPr fontId="14" type="noConversion"/>
  </si>
  <si>
    <t>P62N 3313973</t>
    <phoneticPr fontId="14" type="noConversion"/>
  </si>
  <si>
    <t>P62N 3311957</t>
    <phoneticPr fontId="14" type="noConversion"/>
  </si>
  <si>
    <t>P62 3314229</t>
    <phoneticPr fontId="14" type="noConversion"/>
  </si>
  <si>
    <t>SMA20161008-1</t>
    <phoneticPr fontId="10" type="noConversion"/>
  </si>
  <si>
    <t>（-250）到货后支付80%货款；现款到阳春价.加价归供方.</t>
    <phoneticPr fontId="10" type="noConversion"/>
  </si>
  <si>
    <t>（-190）到货后支付80%货款；承兑到湘钢，.现金按照4.5%年息折算，加价归供方.</t>
    <phoneticPr fontId="10" type="noConversion"/>
  </si>
  <si>
    <r>
      <rPr>
        <i/>
        <sz val="10"/>
        <rFont val="Arial Unicode MS"/>
        <family val="2"/>
        <charset val="134"/>
      </rPr>
      <t>（-190）到货后支付80%货款</t>
    </r>
    <r>
      <rPr>
        <sz val="10"/>
        <rFont val="Arial Unicode MS"/>
        <family val="2"/>
        <charset val="134"/>
      </rPr>
      <t>；承兑到湘钢钢厂价，现金按照4.5%年息折算，加价归供方</t>
    </r>
    <phoneticPr fontId="10" type="noConversion"/>
  </si>
  <si>
    <t>SMA20160906-1</t>
    <phoneticPr fontId="10" type="noConversion"/>
  </si>
  <si>
    <t>硅锰</t>
    <phoneticPr fontId="14" type="noConversion"/>
  </si>
  <si>
    <t>广西新振锰业集团有限公司</t>
    <phoneticPr fontId="14" type="noConversion"/>
  </si>
  <si>
    <t>SMA20160905-2</t>
    <phoneticPr fontId="10" type="noConversion"/>
  </si>
  <si>
    <t>百色市新中锰业有限公司</t>
    <phoneticPr fontId="14" type="noConversion"/>
  </si>
  <si>
    <t>SMXG1610Ms1</t>
    <phoneticPr fontId="14" type="noConversion"/>
  </si>
  <si>
    <t>SMA20161008-3</t>
    <phoneticPr fontId="14" type="noConversion"/>
  </si>
  <si>
    <t>SMYC1609Ms1</t>
    <phoneticPr fontId="10" type="noConversion"/>
  </si>
  <si>
    <t>昕洪中付款</t>
    <phoneticPr fontId="10" type="noConversion"/>
  </si>
  <si>
    <t>SMA20160706-1</t>
    <phoneticPr fontId="10" type="noConversion"/>
  </si>
  <si>
    <t>SMA20161008-3</t>
    <phoneticPr fontId="10" type="noConversion"/>
  </si>
  <si>
    <t>XHZYL20160902</t>
    <phoneticPr fontId="10" type="noConversion"/>
  </si>
  <si>
    <t>铁矿</t>
    <phoneticPr fontId="14" type="noConversion"/>
  </si>
  <si>
    <t>湖口永隆贸易有限公司</t>
    <phoneticPr fontId="14" type="noConversion"/>
  </si>
  <si>
    <t>SMA20160905-1</t>
    <phoneticPr fontId="10" type="noConversion"/>
  </si>
  <si>
    <t>兴义市嘉泰铁合金有限公司</t>
    <phoneticPr fontId="14" type="noConversion"/>
  </si>
  <si>
    <t>3429635</t>
    <phoneticPr fontId="14" type="noConversion"/>
  </si>
  <si>
    <t>3409946</t>
    <phoneticPr fontId="14" type="noConversion"/>
  </si>
  <si>
    <t>SME1609Mp1</t>
    <phoneticPr fontId="14" type="noConversion"/>
  </si>
  <si>
    <t>SME1609Mp2</t>
    <phoneticPr fontId="14" type="noConversion"/>
  </si>
  <si>
    <t>出口关税</t>
    <phoneticPr fontId="14" type="noConversion"/>
  </si>
  <si>
    <t>SME1608MN1</t>
    <phoneticPr fontId="14" type="noConversion"/>
  </si>
  <si>
    <t>SME1610MN1</t>
    <phoneticPr fontId="14" type="noConversion"/>
  </si>
  <si>
    <t>SME1608MN2</t>
    <phoneticPr fontId="14" type="noConversion"/>
  </si>
  <si>
    <t>SME1610MN2</t>
    <phoneticPr fontId="14" type="noConversion"/>
  </si>
  <si>
    <t>SME1610MN3</t>
    <phoneticPr fontId="14" type="noConversion"/>
  </si>
  <si>
    <t>泰立</t>
    <phoneticPr fontId="10" type="noConversion"/>
  </si>
  <si>
    <t>永合</t>
    <phoneticPr fontId="10" type="noConversion"/>
  </si>
  <si>
    <t>SME1608MN1</t>
    <phoneticPr fontId="10" type="noConversion"/>
  </si>
  <si>
    <t>SMA20161001-1</t>
    <phoneticPr fontId="14" type="noConversion"/>
  </si>
  <si>
    <t>SMA20161001-2</t>
    <phoneticPr fontId="14" type="noConversion"/>
  </si>
  <si>
    <t>SMA20161001-3</t>
    <phoneticPr fontId="14" type="noConversion"/>
  </si>
  <si>
    <t>SME1607MN1</t>
    <phoneticPr fontId="14" type="noConversion"/>
  </si>
  <si>
    <t>3464960</t>
    <phoneticPr fontId="14" type="noConversion"/>
  </si>
  <si>
    <t>3303022</t>
    <phoneticPr fontId="14" type="noConversion"/>
  </si>
  <si>
    <t>华锟上海收款</t>
    <phoneticPr fontId="10" type="noConversion"/>
  </si>
  <si>
    <t>P70 3828536</t>
    <phoneticPr fontId="14" type="noConversion"/>
  </si>
  <si>
    <t>P70 3825076</t>
    <phoneticPr fontId="14" type="noConversion"/>
  </si>
  <si>
    <t>炉料</t>
    <phoneticPr fontId="10" type="noConversion"/>
  </si>
  <si>
    <t>炉料</t>
    <phoneticPr fontId="10" type="noConversion"/>
  </si>
  <si>
    <t>SMXG1610Ms1</t>
    <phoneticPr fontId="10" type="noConversion"/>
  </si>
  <si>
    <t>SMA20161008-3</t>
    <phoneticPr fontId="10" type="noConversion"/>
  </si>
  <si>
    <t>硅锰</t>
    <phoneticPr fontId="14" type="noConversion"/>
  </si>
  <si>
    <t>百色市新中锰业有限公司</t>
    <phoneticPr fontId="14" type="noConversion"/>
  </si>
  <si>
    <t>SMXG1609Ms1</t>
    <phoneticPr fontId="10" type="noConversion"/>
  </si>
  <si>
    <t>中船工业成套物流(广州)有限公司</t>
    <phoneticPr fontId="14" type="noConversion"/>
  </si>
  <si>
    <t>华锟上海收款</t>
    <phoneticPr fontId="10" type="noConversion"/>
  </si>
  <si>
    <t>昕洪中付款</t>
    <phoneticPr fontId="10" type="noConversion"/>
  </si>
  <si>
    <t>SMA20160905-1</t>
    <phoneticPr fontId="10" type="noConversion"/>
  </si>
  <si>
    <t>兴义市嘉泰铁合金有限公司</t>
    <phoneticPr fontId="14" type="noConversion"/>
  </si>
  <si>
    <t>SMA20160906-1</t>
    <phoneticPr fontId="10" type="noConversion"/>
  </si>
  <si>
    <t>广西新振锰业集团有限公司</t>
    <phoneticPr fontId="14" type="noConversion"/>
  </si>
  <si>
    <t>3832100</t>
    <phoneticPr fontId="14" type="noConversion"/>
  </si>
  <si>
    <t>3820803</t>
    <phoneticPr fontId="14" type="noConversion"/>
  </si>
  <si>
    <t>3828928</t>
    <phoneticPr fontId="14" type="noConversion"/>
  </si>
  <si>
    <t>3835012</t>
    <phoneticPr fontId="14" type="noConversion"/>
  </si>
  <si>
    <t>SMA20161008-1</t>
    <phoneticPr fontId="14" type="noConversion"/>
  </si>
  <si>
    <t>XHZYL20160902</t>
    <phoneticPr fontId="10" type="noConversion"/>
  </si>
  <si>
    <t>GN110216209-101</t>
    <phoneticPr fontId="10" type="noConversion"/>
  </si>
  <si>
    <t>XHZCZZY201600930</t>
    <phoneticPr fontId="14" type="noConversion"/>
  </si>
  <si>
    <t>GN110216209-101</t>
    <phoneticPr fontId="14" type="noConversion"/>
  </si>
  <si>
    <t>SMXG1610Mb1</t>
    <phoneticPr fontId="14" type="noConversion"/>
  </si>
  <si>
    <t>湘B07731</t>
    <phoneticPr fontId="14" type="noConversion"/>
  </si>
  <si>
    <t>XHZCZZY201600930</t>
    <phoneticPr fontId="10" type="noConversion"/>
  </si>
  <si>
    <t>池州实业中冶钢铁冶金炉料有限公司</t>
    <phoneticPr fontId="14" type="noConversion"/>
  </si>
  <si>
    <t>3809426</t>
    <phoneticPr fontId="14" type="noConversion"/>
  </si>
  <si>
    <t>SMA20161008-4</t>
    <phoneticPr fontId="14" type="noConversion"/>
  </si>
  <si>
    <t>3818715</t>
    <phoneticPr fontId="14" type="noConversion"/>
  </si>
  <si>
    <t>湘EB2140 湘B07731</t>
    <phoneticPr fontId="14" type="noConversion"/>
  </si>
  <si>
    <t>P62K 3121982</t>
    <phoneticPr fontId="14" type="noConversion"/>
  </si>
  <si>
    <t>P64A 3429272</t>
    <phoneticPr fontId="14" type="noConversion"/>
  </si>
  <si>
    <t>P62N 3313374</t>
    <phoneticPr fontId="14" type="noConversion"/>
  </si>
  <si>
    <t>P63 3302712</t>
    <phoneticPr fontId="14" type="noConversion"/>
  </si>
  <si>
    <t>SMA20161008-2</t>
    <phoneticPr fontId="14" type="noConversion"/>
  </si>
  <si>
    <t>兴义嘉泰</t>
    <phoneticPr fontId="14" type="noConversion"/>
  </si>
  <si>
    <t>SME1606MN1</t>
    <phoneticPr fontId="10" type="noConversion"/>
  </si>
  <si>
    <t>SME1606MN1</t>
    <phoneticPr fontId="14" type="noConversion"/>
  </si>
  <si>
    <t>3466880</t>
    <phoneticPr fontId="14" type="noConversion"/>
  </si>
  <si>
    <t>3116980</t>
    <phoneticPr fontId="14" type="noConversion"/>
  </si>
  <si>
    <t>SMXG1610Ms1</t>
    <phoneticPr fontId="10" type="noConversion"/>
  </si>
  <si>
    <t>SMYC1610Ms1</t>
    <phoneticPr fontId="10" type="noConversion"/>
  </si>
  <si>
    <t>3807708</t>
    <phoneticPr fontId="14" type="noConversion"/>
  </si>
  <si>
    <t>XHZYL20160902</t>
    <phoneticPr fontId="10" type="noConversion"/>
  </si>
  <si>
    <t>铁矿</t>
    <phoneticPr fontId="14" type="noConversion"/>
  </si>
  <si>
    <t>湖口永隆贸易有限公司</t>
    <phoneticPr fontId="14" type="noConversion"/>
  </si>
  <si>
    <t>SMA20161008-2</t>
    <phoneticPr fontId="10" type="noConversion"/>
  </si>
  <si>
    <t>3314193</t>
    <phoneticPr fontId="14" type="noConversion"/>
  </si>
  <si>
    <t>3427612</t>
    <phoneticPr fontId="14" type="noConversion"/>
  </si>
  <si>
    <t>3811706</t>
    <phoneticPr fontId="14" type="noConversion"/>
  </si>
  <si>
    <t>3802238</t>
    <phoneticPr fontId="14" type="noConversion"/>
  </si>
  <si>
    <t>3815691</t>
    <phoneticPr fontId="14" type="noConversion"/>
  </si>
  <si>
    <t>3815766</t>
    <phoneticPr fontId="14" type="noConversion"/>
  </si>
  <si>
    <t>SMA20161008-5</t>
    <phoneticPr fontId="14" type="noConversion"/>
  </si>
  <si>
    <t>硅锰</t>
    <phoneticPr fontId="14" type="noConversion"/>
  </si>
  <si>
    <t>3105638</t>
    <phoneticPr fontId="14" type="noConversion"/>
  </si>
  <si>
    <t>采购合同</t>
    <phoneticPr fontId="14" type="noConversion"/>
  </si>
  <si>
    <t>中物</t>
    <phoneticPr fontId="14" type="noConversion"/>
  </si>
  <si>
    <t xml:space="preserve"> 3321105</t>
    <phoneticPr fontId="14" type="noConversion"/>
  </si>
  <si>
    <t>次锰</t>
    <phoneticPr fontId="14" type="noConversion"/>
  </si>
  <si>
    <t>款到发货</t>
    <phoneticPr fontId="14" type="noConversion"/>
  </si>
  <si>
    <t>SMYY1610Mn1</t>
    <phoneticPr fontId="10" type="noConversion"/>
  </si>
  <si>
    <t>SMA20161017-1</t>
    <phoneticPr fontId="10" type="noConversion"/>
  </si>
  <si>
    <t>次锰</t>
    <phoneticPr fontId="10" type="noConversion"/>
  </si>
  <si>
    <t>自提价，送金瑞，装车付款</t>
    <phoneticPr fontId="10" type="noConversion"/>
  </si>
  <si>
    <t>SMZY1610Mn1</t>
    <phoneticPr fontId="14" type="noConversion"/>
  </si>
  <si>
    <t>SMA20161017-1</t>
    <phoneticPr fontId="10" type="noConversion"/>
  </si>
  <si>
    <t>次锰</t>
    <phoneticPr fontId="14" type="noConversion"/>
  </si>
  <si>
    <t>金瑞新材料科技股份有限公司</t>
    <phoneticPr fontId="14" type="noConversion"/>
  </si>
  <si>
    <t>3809935</t>
    <phoneticPr fontId="14" type="noConversion"/>
  </si>
  <si>
    <t>邓金权</t>
    <phoneticPr fontId="10" type="noConversion"/>
  </si>
  <si>
    <t>SMA20161019-1</t>
    <phoneticPr fontId="10" type="noConversion"/>
  </si>
  <si>
    <t>二类精矿</t>
    <phoneticPr fontId="10" type="noConversion"/>
  </si>
  <si>
    <t>娄底市旭峰贸易有限公司</t>
    <phoneticPr fontId="10" type="noConversion"/>
  </si>
  <si>
    <t>GN110216241-101</t>
    <phoneticPr fontId="10" type="noConversion"/>
  </si>
  <si>
    <t>二类精矿</t>
    <phoneticPr fontId="14" type="noConversion"/>
  </si>
  <si>
    <t>娄底</t>
    <phoneticPr fontId="14" type="noConversion"/>
  </si>
  <si>
    <t>娄底市旭峰贸易有限公司</t>
    <phoneticPr fontId="14" type="noConversion"/>
  </si>
  <si>
    <t>XHZYL20160902</t>
    <phoneticPr fontId="10" type="noConversion"/>
  </si>
  <si>
    <t>铁矿</t>
    <phoneticPr fontId="14" type="noConversion"/>
  </si>
  <si>
    <t>湖口永隆贸易有限公司</t>
    <phoneticPr fontId="14" type="noConversion"/>
  </si>
  <si>
    <t>SMA20161019-1</t>
    <phoneticPr fontId="10" type="noConversion"/>
  </si>
  <si>
    <t>娄底市旭峰贸易有限公司</t>
    <phoneticPr fontId="14" type="noConversion"/>
  </si>
  <si>
    <t>赣K18882</t>
    <phoneticPr fontId="14" type="noConversion"/>
  </si>
  <si>
    <t>SMXG1610Al1</t>
    <phoneticPr fontId="10" type="noConversion"/>
  </si>
  <si>
    <t>SMYC1610Ms1</t>
    <phoneticPr fontId="10" type="noConversion"/>
  </si>
  <si>
    <t>3314193</t>
    <phoneticPr fontId="14" type="noConversion"/>
  </si>
  <si>
    <t>3427612</t>
    <phoneticPr fontId="14" type="noConversion"/>
  </si>
  <si>
    <t>3811706</t>
    <phoneticPr fontId="14" type="noConversion"/>
  </si>
  <si>
    <t>3802238</t>
    <phoneticPr fontId="14" type="noConversion"/>
  </si>
  <si>
    <t>3815691</t>
    <phoneticPr fontId="14" type="noConversion"/>
  </si>
  <si>
    <t>3815766</t>
    <phoneticPr fontId="14" type="noConversion"/>
  </si>
  <si>
    <t xml:space="preserve"> 3827251</t>
    <phoneticPr fontId="14" type="noConversion"/>
  </si>
  <si>
    <t>XHZYL20160902</t>
    <phoneticPr fontId="10" type="noConversion"/>
  </si>
  <si>
    <t>3134929</t>
    <phoneticPr fontId="14" type="noConversion"/>
  </si>
  <si>
    <t>3320403</t>
    <phoneticPr fontId="14" type="noConversion"/>
  </si>
  <si>
    <t>次锰</t>
    <phoneticPr fontId="14" type="noConversion"/>
  </si>
  <si>
    <t>SMYY1610Mn1</t>
    <phoneticPr fontId="10" type="noConversion"/>
  </si>
  <si>
    <t>益阳</t>
    <phoneticPr fontId="14" type="noConversion"/>
  </si>
  <si>
    <t>SMA20160906-2</t>
    <phoneticPr fontId="10" type="noConversion"/>
  </si>
  <si>
    <t>硅锰</t>
    <phoneticPr fontId="14" type="noConversion"/>
  </si>
  <si>
    <t>兴义市嘉泰铁合金有限公司</t>
    <phoneticPr fontId="14" type="noConversion"/>
  </si>
  <si>
    <t>昕洪中付款</t>
    <phoneticPr fontId="10" type="noConversion"/>
  </si>
  <si>
    <t>SMA20161008-2</t>
    <phoneticPr fontId="10" type="noConversion"/>
  </si>
  <si>
    <t>华锟上海付款</t>
    <phoneticPr fontId="10" type="noConversion"/>
  </si>
  <si>
    <t>邓金权</t>
    <phoneticPr fontId="14" type="noConversion"/>
  </si>
  <si>
    <t>（-180）到湘钢后支付80%货款；承兑价.现金按照4.5%年息折算，加价归供方.</t>
    <phoneticPr fontId="10" type="noConversion"/>
  </si>
  <si>
    <r>
      <rPr>
        <b/>
        <sz val="10"/>
        <rFont val="Arial Unicode MS"/>
        <family val="2"/>
        <charset val="134"/>
      </rPr>
      <t>陈剑钊</t>
    </r>
    <phoneticPr fontId="14" type="noConversion"/>
  </si>
  <si>
    <r>
      <t>（-210）到货后支付80%货款；</t>
    </r>
    <r>
      <rPr>
        <sz val="10"/>
        <color rgb="FFFF0000"/>
        <rFont val="Arial Unicode MS"/>
        <family val="2"/>
        <charset val="134"/>
      </rPr>
      <t>承兑到湘钢钢厂价，现金按照4.5%年息折算，加价归供方</t>
    </r>
    <phoneticPr fontId="10" type="noConversion"/>
  </si>
  <si>
    <t>XHZCZZY201600804</t>
    <phoneticPr fontId="10" type="noConversion"/>
  </si>
  <si>
    <t>XHZCZZY201600902</t>
    <phoneticPr fontId="10" type="noConversion"/>
  </si>
  <si>
    <t>SMA20160906-1</t>
    <phoneticPr fontId="10" type="noConversion"/>
  </si>
  <si>
    <t>硅锰</t>
    <phoneticPr fontId="14" type="noConversion"/>
  </si>
  <si>
    <t>广西新振锰业集团有限公司</t>
    <phoneticPr fontId="14" type="noConversion"/>
  </si>
  <si>
    <t>昕洪中收票</t>
    <phoneticPr fontId="14" type="noConversion"/>
  </si>
  <si>
    <r>
      <rPr>
        <i/>
        <sz val="10"/>
        <rFont val="Arial Unicode MS"/>
        <family val="2"/>
        <charset val="134"/>
      </rPr>
      <t>（-170）到货后支付80%货款</t>
    </r>
    <r>
      <rPr>
        <sz val="10"/>
        <rFont val="Arial Unicode MS"/>
        <family val="2"/>
        <charset val="134"/>
      </rPr>
      <t>；承兑到湘钢钢厂价，现金按照4.5%年息折算，加价归供方</t>
    </r>
    <phoneticPr fontId="10" type="noConversion"/>
  </si>
  <si>
    <t>湘C07818</t>
    <phoneticPr fontId="14" type="noConversion"/>
  </si>
  <si>
    <t>昕洪中签订合同</t>
    <phoneticPr fontId="10" type="noConversion"/>
  </si>
  <si>
    <r>
      <t>（-170）到货后支付80%货款；现款到阳春价.</t>
    </r>
    <r>
      <rPr>
        <sz val="10"/>
        <rFont val="Arial Unicode MS"/>
        <family val="2"/>
        <charset val="134"/>
      </rPr>
      <t>加价归供方.</t>
    </r>
    <phoneticPr fontId="10" type="noConversion"/>
  </si>
  <si>
    <t>（-170）到湘钢后支付80%货款；承兑价.现金按照4.5%年息折算，加价归供方.</t>
    <phoneticPr fontId="10" type="noConversion"/>
  </si>
  <si>
    <t>SMA20161017-1</t>
    <phoneticPr fontId="10" type="noConversion"/>
  </si>
  <si>
    <t>次锰</t>
    <phoneticPr fontId="14" type="noConversion"/>
  </si>
  <si>
    <t>金瑞新材料科技股份有限公司</t>
    <phoneticPr fontId="14" type="noConversion"/>
  </si>
  <si>
    <t>华锟收票</t>
    <phoneticPr fontId="14" type="noConversion"/>
  </si>
  <si>
    <t>SMA20160704-5</t>
    <phoneticPr fontId="10" type="noConversion"/>
  </si>
  <si>
    <t>硅锰</t>
    <phoneticPr fontId="14" type="noConversion"/>
  </si>
  <si>
    <t>兴义市嘉泰铁合金有限公司</t>
    <phoneticPr fontId="14" type="noConversion"/>
  </si>
  <si>
    <t>SMA20160727-2</t>
    <phoneticPr fontId="10" type="noConversion"/>
  </si>
  <si>
    <t>SMA20160823-3</t>
    <phoneticPr fontId="10" type="noConversion"/>
  </si>
  <si>
    <t>SMA20160823-2</t>
    <phoneticPr fontId="10" type="noConversion"/>
  </si>
  <si>
    <t>炉料</t>
    <phoneticPr fontId="14" type="noConversion"/>
  </si>
  <si>
    <t xml:space="preserve"> 3324961</t>
    <phoneticPr fontId="14" type="noConversion"/>
  </si>
  <si>
    <t>SMA20161008-1</t>
    <phoneticPr fontId="10" type="noConversion"/>
  </si>
  <si>
    <t>硅锰</t>
    <phoneticPr fontId="14" type="noConversion"/>
  </si>
  <si>
    <t>广西新振锰业集团有限公司</t>
    <phoneticPr fontId="14" type="noConversion"/>
  </si>
  <si>
    <t>华锟上海付款</t>
    <phoneticPr fontId="10" type="noConversion"/>
  </si>
  <si>
    <t>SMA20161008-5</t>
    <phoneticPr fontId="10" type="noConversion"/>
  </si>
  <si>
    <t>广西中物矿业有限公司</t>
    <phoneticPr fontId="14" type="noConversion"/>
  </si>
  <si>
    <t>SMA20160905-3</t>
    <phoneticPr fontId="10" type="noConversion"/>
  </si>
  <si>
    <r>
      <rPr>
        <b/>
        <sz val="10"/>
        <rFont val="Arial Unicode MS"/>
        <family val="2"/>
        <charset val="134"/>
      </rPr>
      <t>硅锰</t>
    </r>
    <phoneticPr fontId="14" type="noConversion"/>
  </si>
  <si>
    <t>成都铁鼎商贸有限公司</t>
    <phoneticPr fontId="14" type="noConversion"/>
  </si>
  <si>
    <t>昕洪中付款</t>
    <phoneticPr fontId="10" type="noConversion"/>
  </si>
  <si>
    <t>SMA20160704-3</t>
    <phoneticPr fontId="10" type="noConversion"/>
  </si>
  <si>
    <t>百色市新中锰业有限公司</t>
    <phoneticPr fontId="14" type="noConversion"/>
  </si>
  <si>
    <t>SMA20160706-1</t>
    <phoneticPr fontId="10" type="noConversion"/>
  </si>
  <si>
    <t>一类精矿</t>
    <phoneticPr fontId="14" type="noConversion"/>
  </si>
  <si>
    <t>GN110216209-091</t>
    <phoneticPr fontId="10" type="noConversion"/>
  </si>
  <si>
    <t>湘潭钢铁集团有限公司</t>
    <phoneticPr fontId="14" type="noConversion"/>
  </si>
  <si>
    <t>SMA20161008-1</t>
    <phoneticPr fontId="10" type="noConversion"/>
  </si>
  <si>
    <t>硅锰</t>
    <phoneticPr fontId="10" type="noConversion"/>
  </si>
  <si>
    <t>广西新振锰业集团有限公司</t>
    <phoneticPr fontId="10" type="noConversion"/>
  </si>
  <si>
    <t>3412383</t>
    <phoneticPr fontId="14" type="noConversion"/>
  </si>
  <si>
    <t>SMXG1610Ms1</t>
    <phoneticPr fontId="14" type="noConversion"/>
  </si>
  <si>
    <t>SMXG1611Al1</t>
    <phoneticPr fontId="14" type="noConversion"/>
  </si>
  <si>
    <t>SMA20161008-4</t>
    <phoneticPr fontId="10" type="noConversion"/>
  </si>
  <si>
    <t>SMA20161101-1</t>
    <phoneticPr fontId="14" type="noConversion"/>
  </si>
  <si>
    <t>SMA20160905-1</t>
    <phoneticPr fontId="14" type="noConversion"/>
  </si>
  <si>
    <t>3467669</t>
    <phoneticPr fontId="14" type="noConversion"/>
  </si>
  <si>
    <t>3822758</t>
    <phoneticPr fontId="14" type="noConversion"/>
  </si>
  <si>
    <r>
      <t>（-220）到货后支付80%货款；</t>
    </r>
    <r>
      <rPr>
        <sz val="10"/>
        <color rgb="FFFF0000"/>
        <rFont val="Arial Unicode MS"/>
        <family val="2"/>
        <charset val="134"/>
      </rPr>
      <t>承兑到湘钢钢厂价，现金按照4.5%年息折算，加价归供方</t>
    </r>
    <phoneticPr fontId="10" type="noConversion"/>
  </si>
  <si>
    <t>（-210）到货后支付80%货款；承兑到阳春，.现金按照4.5%年息折算，加价归供方.</t>
    <phoneticPr fontId="10" type="noConversion"/>
  </si>
  <si>
    <t>（-220）到货后支付80%货款；现款到阳春价.加价归供方.</t>
    <phoneticPr fontId="10" type="noConversion"/>
  </si>
  <si>
    <t>3806751</t>
    <phoneticPr fontId="14" type="noConversion"/>
  </si>
  <si>
    <t>SMYC1607Ms1</t>
    <phoneticPr fontId="10" type="noConversion"/>
  </si>
  <si>
    <t>硅锰</t>
    <phoneticPr fontId="14" type="noConversion"/>
  </si>
  <si>
    <t>湘潭钢铁集团有限公司</t>
    <phoneticPr fontId="14" type="noConversion"/>
  </si>
  <si>
    <t>SMYC1608Ms2</t>
    <phoneticPr fontId="10" type="noConversion"/>
  </si>
  <si>
    <t>SMYC1609Ms1</t>
    <phoneticPr fontId="10" type="noConversion"/>
  </si>
  <si>
    <t>3314196</t>
    <phoneticPr fontId="14" type="noConversion"/>
  </si>
  <si>
    <t>3411561</t>
    <phoneticPr fontId="14" type="noConversion"/>
  </si>
  <si>
    <t>SMZY1610Mn1</t>
    <phoneticPr fontId="10" type="noConversion"/>
  </si>
  <si>
    <t>P70 3829151</t>
    <phoneticPr fontId="14" type="noConversion"/>
  </si>
  <si>
    <t>SMXG1610Al1</t>
    <phoneticPr fontId="10" type="noConversion"/>
  </si>
  <si>
    <t>铝铁</t>
    <phoneticPr fontId="10" type="noConversion"/>
  </si>
  <si>
    <t>中船工业成套物流(广州)有限公司</t>
    <phoneticPr fontId="10" type="noConversion"/>
  </si>
  <si>
    <t>SMXG1610Mb1</t>
    <phoneticPr fontId="10" type="noConversion"/>
  </si>
  <si>
    <t>锰球</t>
    <phoneticPr fontId="10" type="noConversion"/>
  </si>
  <si>
    <t>硅锰</t>
    <phoneticPr fontId="10" type="noConversion"/>
  </si>
  <si>
    <t>SMA20161008-2</t>
    <phoneticPr fontId="14" type="noConversion"/>
  </si>
  <si>
    <t>SMYC1610Ms1</t>
    <phoneticPr fontId="14" type="noConversion"/>
  </si>
  <si>
    <t>SMXC1610Ms1</t>
    <phoneticPr fontId="14" type="noConversion"/>
  </si>
  <si>
    <t>SMA20160906-2</t>
    <phoneticPr fontId="10" type="noConversion"/>
  </si>
  <si>
    <t>陈剑钊</t>
    <phoneticPr fontId="10" type="noConversion"/>
  </si>
  <si>
    <t>硅锰</t>
    <phoneticPr fontId="10" type="noConversion"/>
  </si>
  <si>
    <t>昕洪中签订合同</t>
    <phoneticPr fontId="10" type="noConversion"/>
  </si>
  <si>
    <t>（-170）到阳春后支付80%货款；承兑价.现金按照4.5%年息折算，加价归供方.</t>
    <phoneticPr fontId="10" type="noConversion"/>
  </si>
  <si>
    <t xml:space="preserve"> 3306759
</t>
    <phoneticPr fontId="14" type="noConversion"/>
  </si>
  <si>
    <t>3451331</t>
    <phoneticPr fontId="14" type="noConversion"/>
  </si>
  <si>
    <t>3129934</t>
    <phoneticPr fontId="14" type="noConversion"/>
  </si>
  <si>
    <t>SMA20160704-2</t>
    <phoneticPr fontId="10" type="noConversion"/>
  </si>
  <si>
    <t>SMA20160706-1</t>
    <phoneticPr fontId="10" type="noConversion"/>
  </si>
  <si>
    <t>SMA20160704-5</t>
    <phoneticPr fontId="10" type="noConversion"/>
  </si>
  <si>
    <t>SMA20160727-1</t>
    <phoneticPr fontId="10" type="noConversion"/>
  </si>
  <si>
    <t>SMA20160727-4</t>
    <phoneticPr fontId="10" type="noConversion"/>
  </si>
  <si>
    <t>SMA20160823-2</t>
    <phoneticPr fontId="10" type="noConversion"/>
  </si>
  <si>
    <t>SMA20160823-5</t>
    <phoneticPr fontId="10" type="noConversion"/>
  </si>
  <si>
    <t>SMA20160727-2</t>
    <phoneticPr fontId="10" type="noConversion"/>
  </si>
  <si>
    <t>SMA20160727-3</t>
    <phoneticPr fontId="10" type="noConversion"/>
  </si>
  <si>
    <t>SMA20160823-1</t>
    <phoneticPr fontId="10" type="noConversion"/>
  </si>
  <si>
    <t>SMA20160823-3</t>
    <phoneticPr fontId="10" type="noConversion"/>
  </si>
  <si>
    <t>SMA20160905-3</t>
    <phoneticPr fontId="10" type="noConversion"/>
  </si>
  <si>
    <r>
      <rPr>
        <b/>
        <sz val="10"/>
        <rFont val="Arial Unicode MS"/>
        <family val="2"/>
        <charset val="134"/>
      </rPr>
      <t>硅锰</t>
    </r>
    <phoneticPr fontId="10" type="noConversion"/>
  </si>
  <si>
    <t>成都铁鼎商贸有限公司</t>
    <phoneticPr fontId="10" type="noConversion"/>
  </si>
  <si>
    <t>SMA20161008-4</t>
    <phoneticPr fontId="10" type="noConversion"/>
  </si>
  <si>
    <t>XHZYL20161107</t>
    <phoneticPr fontId="10" type="noConversion"/>
  </si>
  <si>
    <t>湖南泰立矿产开发有限公司</t>
    <phoneticPr fontId="10" type="noConversion"/>
  </si>
  <si>
    <t>江西景忠贸易有限公司</t>
    <phoneticPr fontId="10" type="noConversion"/>
  </si>
  <si>
    <t>SMXG1611Ms1</t>
    <phoneticPr fontId="14" type="noConversion"/>
  </si>
  <si>
    <t>SMYC1611Ms1</t>
    <phoneticPr fontId="14" type="noConversion"/>
  </si>
  <si>
    <t>赣CN5521 </t>
    <phoneticPr fontId="14" type="noConversion"/>
  </si>
  <si>
    <t>SMDH1611Mn1</t>
    <phoneticPr fontId="14" type="noConversion"/>
  </si>
  <si>
    <t>现款，9号收款，20号发货</t>
    <phoneticPr fontId="14" type="noConversion"/>
  </si>
  <si>
    <t>XHZYL20160902</t>
    <phoneticPr fontId="10" type="noConversion"/>
  </si>
  <si>
    <t>湖口永隆贸易有限公司</t>
    <phoneticPr fontId="10" type="noConversion"/>
  </si>
  <si>
    <t>GN110216209-091</t>
    <phoneticPr fontId="10" type="noConversion"/>
  </si>
  <si>
    <t>SMYC1609Ms1</t>
    <phoneticPr fontId="10" type="noConversion"/>
  </si>
  <si>
    <t>硅锰</t>
    <phoneticPr fontId="10" type="noConversion"/>
  </si>
  <si>
    <t>湘潭钢铁集团有限公司</t>
    <phoneticPr fontId="10" type="noConversion"/>
  </si>
  <si>
    <t>华锟开票</t>
    <phoneticPr fontId="14" type="noConversion"/>
  </si>
  <si>
    <t>SMYC1610Ms1</t>
    <phoneticPr fontId="10" type="noConversion"/>
  </si>
  <si>
    <t>SMA20161108-1</t>
    <phoneticPr fontId="10" type="noConversion"/>
  </si>
  <si>
    <t>9号付款，15号前发货</t>
    <phoneticPr fontId="10" type="noConversion"/>
  </si>
  <si>
    <t>SMZY1611Mn1</t>
    <phoneticPr fontId="14" type="noConversion"/>
  </si>
  <si>
    <t>SMA20161001-1</t>
    <phoneticPr fontId="10" type="noConversion"/>
  </si>
  <si>
    <t>SMA20161001-2</t>
    <phoneticPr fontId="10" type="noConversion"/>
  </si>
  <si>
    <t>SMA20161001-3</t>
    <phoneticPr fontId="10" type="noConversion"/>
  </si>
  <si>
    <t>SME1610MN1</t>
    <phoneticPr fontId="10" type="noConversion"/>
  </si>
  <si>
    <t>SME1610MN2</t>
    <phoneticPr fontId="10" type="noConversion"/>
  </si>
  <si>
    <t>SME1610MN3</t>
    <phoneticPr fontId="10" type="noConversion"/>
  </si>
  <si>
    <t>SME1610MN1</t>
    <phoneticPr fontId="10" type="noConversion"/>
  </si>
  <si>
    <t>锰片</t>
    <phoneticPr fontId="10" type="noConversion"/>
  </si>
  <si>
    <t>SME1608Mp2</t>
    <phoneticPr fontId="10" type="noConversion"/>
  </si>
  <si>
    <t>SMYKXR20160701-1</t>
    <phoneticPr fontId="10" type="noConversion"/>
  </si>
  <si>
    <t>SMYKXR20160701-2</t>
    <phoneticPr fontId="10" type="noConversion"/>
  </si>
  <si>
    <t>SMYKXR20160701-3</t>
    <phoneticPr fontId="10" type="noConversion"/>
  </si>
  <si>
    <t>SMYKXR20160701-4</t>
    <phoneticPr fontId="10" type="noConversion"/>
  </si>
  <si>
    <t>SMYKXR20160701-5</t>
    <phoneticPr fontId="10" type="noConversion"/>
  </si>
  <si>
    <t>SMYKXR20160701-6</t>
    <phoneticPr fontId="10" type="noConversion"/>
  </si>
  <si>
    <t>SMYKXR20160701-1</t>
    <phoneticPr fontId="14" type="noConversion"/>
  </si>
  <si>
    <t>SMYKXR20160701-2</t>
    <phoneticPr fontId="14" type="noConversion"/>
  </si>
  <si>
    <t>SMYKXR20160701-3</t>
    <phoneticPr fontId="14" type="noConversion"/>
  </si>
  <si>
    <t>SMYKXR20160701-4</t>
    <phoneticPr fontId="14" type="noConversion"/>
  </si>
  <si>
    <t>SMYKXR20160701-5</t>
    <phoneticPr fontId="14" type="noConversion"/>
  </si>
  <si>
    <t>SMYKXR20160701-6</t>
    <phoneticPr fontId="14" type="noConversion"/>
  </si>
  <si>
    <t>SMZY1611Mn1</t>
    <phoneticPr fontId="10" type="noConversion"/>
  </si>
  <si>
    <t>GN110216209-091</t>
    <phoneticPr fontId="10" type="noConversion"/>
  </si>
  <si>
    <t>硅锰</t>
    <phoneticPr fontId="14" type="noConversion"/>
  </si>
  <si>
    <t>SMYC1609Ms1</t>
    <phoneticPr fontId="10" type="noConversion"/>
  </si>
  <si>
    <t>SMYC1610Ms1</t>
    <phoneticPr fontId="10" type="noConversion"/>
  </si>
  <si>
    <t>SMYKXR20160701-2</t>
    <phoneticPr fontId="14" type="noConversion"/>
  </si>
  <si>
    <t>氧化镁球</t>
    <phoneticPr fontId="14" type="noConversion"/>
  </si>
  <si>
    <t>营口鑫瑞耐火材料有限公司</t>
    <phoneticPr fontId="14" type="noConversion"/>
  </si>
  <si>
    <t>华锟上海付款</t>
    <phoneticPr fontId="10" type="noConversion"/>
  </si>
  <si>
    <t>SMDH1611Mn1</t>
    <phoneticPr fontId="14" type="noConversion"/>
  </si>
  <si>
    <t>锰片</t>
    <phoneticPr fontId="14" type="noConversion"/>
  </si>
  <si>
    <t>湘潭电化集团有限公司</t>
    <phoneticPr fontId="14" type="noConversion"/>
  </si>
  <si>
    <t>华锟上海收款</t>
    <phoneticPr fontId="10" type="noConversion"/>
  </si>
  <si>
    <t>SMA20161108-1</t>
    <phoneticPr fontId="14" type="noConversion"/>
  </si>
  <si>
    <t>广西新振锰业集团有限公司</t>
    <phoneticPr fontId="14" type="noConversion"/>
  </si>
  <si>
    <t>SMA20161101-4</t>
    <phoneticPr fontId="10" type="noConversion"/>
  </si>
  <si>
    <t>GN510116001-101</t>
    <phoneticPr fontId="10" type="noConversion"/>
  </si>
  <si>
    <t>XHZYL20161107</t>
    <phoneticPr fontId="14" type="noConversion"/>
  </si>
  <si>
    <t>江西景忠贸易有限公司</t>
    <phoneticPr fontId="14" type="noConversion"/>
  </si>
  <si>
    <t>胡湘宪</t>
    <phoneticPr fontId="14" type="noConversion"/>
  </si>
  <si>
    <t>铝铁</t>
    <phoneticPr fontId="14" type="noConversion"/>
  </si>
  <si>
    <t>湘J77969</t>
    <phoneticPr fontId="14" type="noConversion"/>
  </si>
  <si>
    <t xml:space="preserve">湘J77818 </t>
    <phoneticPr fontId="14" type="noConversion"/>
  </si>
  <si>
    <t>GN510116001-101</t>
    <phoneticPr fontId="14" type="noConversion"/>
  </si>
  <si>
    <t>3431944</t>
    <phoneticPr fontId="14" type="noConversion"/>
  </si>
  <si>
    <t>SMA20161101-3</t>
    <phoneticPr fontId="14" type="noConversion"/>
  </si>
  <si>
    <t>硅锰</t>
    <phoneticPr fontId="14" type="noConversion"/>
  </si>
  <si>
    <t>阳春</t>
    <phoneticPr fontId="14" type="noConversion"/>
  </si>
  <si>
    <t>采购合同</t>
    <phoneticPr fontId="14" type="noConversion"/>
  </si>
  <si>
    <t xml:space="preserve"> 3306759
</t>
    <phoneticPr fontId="14" type="noConversion"/>
  </si>
  <si>
    <t>3121790</t>
    <phoneticPr fontId="14" type="noConversion"/>
  </si>
  <si>
    <t>3402858</t>
    <phoneticPr fontId="14" type="noConversion"/>
  </si>
  <si>
    <t xml:space="preserve"> 新振</t>
    <phoneticPr fontId="14" type="noConversion"/>
  </si>
  <si>
    <t>电化</t>
    <phoneticPr fontId="14" type="noConversion"/>
  </si>
  <si>
    <t>中冶</t>
    <phoneticPr fontId="14" type="noConversion"/>
  </si>
  <si>
    <t>P70 3823751</t>
    <phoneticPr fontId="14" type="noConversion"/>
  </si>
  <si>
    <t>SMA20161101-2</t>
    <phoneticPr fontId="14" type="noConversion"/>
  </si>
  <si>
    <t>硅锰</t>
    <phoneticPr fontId="14" type="noConversion"/>
  </si>
  <si>
    <t>赣CX0267</t>
    <phoneticPr fontId="14" type="noConversion"/>
  </si>
  <si>
    <t>SMXG1611Ms1</t>
    <phoneticPr fontId="14" type="noConversion"/>
  </si>
  <si>
    <t>XHZYL20161108</t>
    <phoneticPr fontId="10" type="noConversion"/>
  </si>
  <si>
    <t xml:space="preserve">承兑 </t>
    <phoneticPr fontId="14" type="noConversion"/>
  </si>
  <si>
    <t>SMYC1609Ms1</t>
    <phoneticPr fontId="14" type="noConversion"/>
  </si>
  <si>
    <t>GN510116001-111</t>
    <phoneticPr fontId="14" type="noConversion"/>
  </si>
  <si>
    <t>GN510116001-111</t>
    <phoneticPr fontId="10" type="noConversion"/>
  </si>
  <si>
    <t>XHZYL20161108</t>
    <phoneticPr fontId="14" type="noConversion"/>
  </si>
  <si>
    <t>SMA20161019-1</t>
    <phoneticPr fontId="14" type="noConversion"/>
  </si>
  <si>
    <t>3114752</t>
    <phoneticPr fontId="14" type="noConversion"/>
  </si>
  <si>
    <t>SMA20161019-1</t>
    <phoneticPr fontId="10" type="noConversion"/>
  </si>
  <si>
    <t>二类精矿</t>
    <phoneticPr fontId="10" type="noConversion"/>
  </si>
  <si>
    <t>娄底市旭峰贸易有限公司</t>
    <phoneticPr fontId="10" type="noConversion"/>
  </si>
  <si>
    <t>华锟收票</t>
    <phoneticPr fontId="14" type="noConversion"/>
  </si>
  <si>
    <t>P62 3123366</t>
    <phoneticPr fontId="14" type="noConversion"/>
  </si>
  <si>
    <t>P62 3325258</t>
    <phoneticPr fontId="14" type="noConversion"/>
  </si>
  <si>
    <t>P70 3109814</t>
    <phoneticPr fontId="14" type="noConversion"/>
  </si>
  <si>
    <t>赣CK7399</t>
    <phoneticPr fontId="14" type="noConversion"/>
  </si>
  <si>
    <t xml:space="preserve">赣CG8268 </t>
    <phoneticPr fontId="14" type="noConversion"/>
  </si>
  <si>
    <t>3123920</t>
    <phoneticPr fontId="14" type="noConversion"/>
  </si>
  <si>
    <t>3100814</t>
    <phoneticPr fontId="14" type="noConversion"/>
  </si>
  <si>
    <t>赣CH2030</t>
    <phoneticPr fontId="14" type="noConversion"/>
  </si>
  <si>
    <t>P62K 3126592</t>
    <phoneticPr fontId="14" type="noConversion"/>
  </si>
  <si>
    <t>P64A 3421341</t>
    <phoneticPr fontId="14" type="noConversion"/>
  </si>
  <si>
    <t>SMA20161121-1</t>
    <phoneticPr fontId="10" type="noConversion"/>
  </si>
  <si>
    <t>GN110216241-111</t>
    <phoneticPr fontId="10" type="noConversion"/>
  </si>
  <si>
    <t>SMA20161101-4</t>
    <phoneticPr fontId="14" type="noConversion"/>
  </si>
  <si>
    <t>硅锰</t>
    <phoneticPr fontId="14" type="noConversion"/>
  </si>
  <si>
    <t>3326852</t>
    <phoneticPr fontId="14" type="noConversion"/>
  </si>
  <si>
    <t>3463096</t>
    <phoneticPr fontId="14" type="noConversion"/>
  </si>
  <si>
    <t>3405309</t>
    <phoneticPr fontId="14" type="noConversion"/>
  </si>
  <si>
    <t>3329906</t>
    <phoneticPr fontId="14" type="noConversion"/>
  </si>
  <si>
    <t>3115512</t>
    <phoneticPr fontId="14" type="noConversion"/>
  </si>
  <si>
    <t>SMA20161008-3</t>
    <phoneticPr fontId="14" type="noConversion"/>
  </si>
  <si>
    <t>SMYC1611Ms1</t>
    <phoneticPr fontId="14" type="noConversion"/>
  </si>
  <si>
    <t>SMA20161121-1</t>
    <phoneticPr fontId="14" type="noConversion"/>
  </si>
  <si>
    <t>GN110216241-111</t>
    <phoneticPr fontId="14" type="noConversion"/>
  </si>
  <si>
    <t>SMXG1611Al1</t>
    <phoneticPr fontId="14" type="noConversion"/>
  </si>
  <si>
    <t>铝铁</t>
    <phoneticPr fontId="14" type="noConversion"/>
  </si>
  <si>
    <t>湘EB2140</t>
    <phoneticPr fontId="14" type="noConversion"/>
  </si>
  <si>
    <t>SMXG1611Mb1</t>
    <phoneticPr fontId="14" type="noConversion"/>
  </si>
  <si>
    <t>湘EB9247</t>
    <phoneticPr fontId="14" type="noConversion"/>
  </si>
  <si>
    <t>江西景忠贸易有限公司</t>
    <phoneticPr fontId="10" type="noConversion"/>
  </si>
  <si>
    <t>造球精矿</t>
    <phoneticPr fontId="10" type="noConversion"/>
  </si>
  <si>
    <t>SMXG1610Ms1</t>
    <phoneticPr fontId="14" type="noConversion"/>
  </si>
  <si>
    <t>SMXG1611Ms1</t>
    <phoneticPr fontId="10" type="noConversion"/>
  </si>
  <si>
    <t>XHZYL20161108</t>
    <phoneticPr fontId="14" type="noConversion"/>
  </si>
  <si>
    <t>造球精矿</t>
    <phoneticPr fontId="14" type="noConversion"/>
  </si>
  <si>
    <t>SMA20161008-1</t>
    <phoneticPr fontId="10" type="noConversion"/>
  </si>
  <si>
    <t>硅锰</t>
    <phoneticPr fontId="10" type="noConversion"/>
  </si>
  <si>
    <t>广西新振锰业集团有限公司</t>
    <phoneticPr fontId="10" type="noConversion"/>
  </si>
  <si>
    <t>华锟收票</t>
    <phoneticPr fontId="14" type="noConversion"/>
  </si>
  <si>
    <t>XHZYL20161108</t>
    <phoneticPr fontId="10" type="noConversion"/>
  </si>
  <si>
    <t>铁矿</t>
    <phoneticPr fontId="10" type="noConversion"/>
  </si>
  <si>
    <t>江西景忠贸易有限公司</t>
    <phoneticPr fontId="10" type="noConversion"/>
  </si>
  <si>
    <t>铁矿</t>
    <phoneticPr fontId="10" type="noConversion"/>
  </si>
  <si>
    <t>江西景忠贸易有限公司</t>
    <phoneticPr fontId="10" type="noConversion"/>
  </si>
  <si>
    <t>华锟收票</t>
    <phoneticPr fontId="14" type="noConversion"/>
  </si>
  <si>
    <t>SMA20161019-1</t>
    <phoneticPr fontId="10" type="noConversion"/>
  </si>
  <si>
    <t>二类精矿</t>
    <phoneticPr fontId="10" type="noConversion"/>
  </si>
  <si>
    <t>娄底市旭峰贸易有限公司</t>
    <phoneticPr fontId="10" type="noConversion"/>
  </si>
  <si>
    <t>SMA20161101-2</t>
    <phoneticPr fontId="10" type="noConversion"/>
  </si>
  <si>
    <t>硅锰</t>
    <phoneticPr fontId="10" type="noConversion"/>
  </si>
  <si>
    <t>广西中物矿业有限公司</t>
    <phoneticPr fontId="10" type="noConversion"/>
  </si>
  <si>
    <t>3404817</t>
    <phoneticPr fontId="14" type="noConversion"/>
  </si>
  <si>
    <t>3327571</t>
    <phoneticPr fontId="14" type="noConversion"/>
  </si>
  <si>
    <t>3405552</t>
    <phoneticPr fontId="14" type="noConversion"/>
  </si>
  <si>
    <t>3420310</t>
    <phoneticPr fontId="14" type="noConversion"/>
  </si>
  <si>
    <t>3312992</t>
    <phoneticPr fontId="14" type="noConversion"/>
  </si>
  <si>
    <t>SMA20161130-1</t>
    <phoneticPr fontId="10" type="noConversion"/>
  </si>
  <si>
    <t>GN110216241-121</t>
    <phoneticPr fontId="10" type="noConversion"/>
  </si>
  <si>
    <t>SMA20161201-1</t>
    <phoneticPr fontId="10" type="noConversion"/>
  </si>
  <si>
    <t>SMA20161130-1</t>
    <phoneticPr fontId="14" type="noConversion"/>
  </si>
  <si>
    <t>锰片</t>
    <phoneticPr fontId="14" type="noConversion"/>
  </si>
  <si>
    <t>矿石</t>
    <phoneticPr fontId="10" type="noConversion"/>
  </si>
  <si>
    <t>合金</t>
    <phoneticPr fontId="10" type="noConversion"/>
  </si>
  <si>
    <t>喷吹煤</t>
    <phoneticPr fontId="14" type="noConversion"/>
  </si>
  <si>
    <t>合计</t>
    <phoneticPr fontId="10" type="noConversion"/>
  </si>
  <si>
    <t>SMA20161201-1</t>
    <phoneticPr fontId="14" type="noConversion"/>
  </si>
  <si>
    <t>GN110216241-121</t>
    <phoneticPr fontId="14" type="noConversion"/>
  </si>
  <si>
    <t>兴义嘉泰</t>
    <phoneticPr fontId="14" type="noConversion"/>
  </si>
  <si>
    <t>SMA20161205-1</t>
    <phoneticPr fontId="14" type="noConversion"/>
  </si>
  <si>
    <t>自提价，12月华诚均价；20%预付款；元旦后多退少补</t>
    <phoneticPr fontId="10" type="noConversion"/>
  </si>
  <si>
    <t>SMXG1612Mb1</t>
    <phoneticPr fontId="14" type="noConversion"/>
  </si>
  <si>
    <t>SMA20161101-3</t>
    <phoneticPr fontId="10" type="noConversion"/>
  </si>
  <si>
    <t>炉料</t>
    <phoneticPr fontId="10" type="noConversion"/>
  </si>
  <si>
    <t>矿石</t>
    <phoneticPr fontId="10" type="noConversion"/>
  </si>
  <si>
    <t>SMXG1611Al1</t>
    <phoneticPr fontId="10" type="noConversion"/>
  </si>
  <si>
    <t>SMXG1611Mb1</t>
    <phoneticPr fontId="10" type="noConversion"/>
  </si>
  <si>
    <t>造球 （承兑）</t>
    <phoneticPr fontId="10" type="noConversion"/>
  </si>
  <si>
    <t>中冶京诚（湘潭）重工设备有限公司</t>
    <phoneticPr fontId="10" type="noConversion"/>
  </si>
  <si>
    <t>SMYC1611Ms1</t>
    <phoneticPr fontId="10" type="noConversion"/>
  </si>
  <si>
    <t>XG数据12月8：</t>
    <phoneticPr fontId="10" type="noConversion"/>
  </si>
  <si>
    <t>XHZYL20161108</t>
    <phoneticPr fontId="10" type="noConversion"/>
  </si>
  <si>
    <t>SME1612MN1</t>
    <phoneticPr fontId="14" type="noConversion"/>
  </si>
  <si>
    <t>泰立</t>
    <phoneticPr fontId="10" type="noConversion"/>
  </si>
  <si>
    <t>SME1701MN1</t>
    <phoneticPr fontId="14" type="noConversion"/>
  </si>
  <si>
    <t>SME1701MN2</t>
    <phoneticPr fontId="14" type="noConversion"/>
  </si>
  <si>
    <t>SME1702MN1</t>
    <phoneticPr fontId="14" type="noConversion"/>
  </si>
  <si>
    <t>METZ CORPORATION</t>
  </si>
  <si>
    <t>SMA20170101-1</t>
    <phoneticPr fontId="14" type="noConversion"/>
  </si>
  <si>
    <t>SMA20170101-2</t>
    <phoneticPr fontId="14" type="noConversion"/>
  </si>
  <si>
    <t>SMA20170201-1</t>
    <phoneticPr fontId="14" type="noConversion"/>
  </si>
  <si>
    <t>SMA20161219-1</t>
    <phoneticPr fontId="14" type="noConversion"/>
  </si>
  <si>
    <t>SMA20161208-1</t>
    <phoneticPr fontId="14" type="noConversion"/>
  </si>
  <si>
    <t>SMA20161208-1</t>
    <phoneticPr fontId="10" type="noConversion"/>
  </si>
  <si>
    <t>SME1612MN1</t>
    <phoneticPr fontId="10" type="noConversion"/>
  </si>
  <si>
    <t>SMA20160921-1</t>
    <phoneticPr fontId="10" type="noConversion"/>
  </si>
  <si>
    <t>锰片</t>
    <phoneticPr fontId="10" type="noConversion"/>
  </si>
  <si>
    <t xml:space="preserve">松桃三和锰业集团有限责任公司 </t>
    <phoneticPr fontId="10" type="noConversion"/>
  </si>
  <si>
    <t>SMZY1609Mn1</t>
    <phoneticPr fontId="14" type="noConversion"/>
  </si>
  <si>
    <t>锰片</t>
    <phoneticPr fontId="14" type="noConversion"/>
  </si>
  <si>
    <t>中冶京诚（湘潭）重工设备有限公司</t>
    <phoneticPr fontId="14" type="noConversion"/>
  </si>
  <si>
    <t>惠冶</t>
    <phoneticPr fontId="10" type="noConversion"/>
  </si>
  <si>
    <t>SMYY1609Mn1</t>
    <phoneticPr fontId="14" type="noConversion"/>
  </si>
  <si>
    <t>益阳金能新材料有限责任公司</t>
    <phoneticPr fontId="14" type="noConversion"/>
  </si>
  <si>
    <t>SMA20161017-1</t>
    <phoneticPr fontId="10" type="noConversion"/>
  </si>
  <si>
    <t>次锰</t>
    <phoneticPr fontId="10" type="noConversion"/>
  </si>
  <si>
    <t>金瑞新材料科技股份有限公司</t>
    <phoneticPr fontId="10" type="noConversion"/>
  </si>
  <si>
    <t>SMYY1610Mn1</t>
    <phoneticPr fontId="10" type="noConversion"/>
  </si>
  <si>
    <t>次锰</t>
    <phoneticPr fontId="14" type="noConversion"/>
  </si>
  <si>
    <t>SMZY1610Mn1</t>
    <phoneticPr fontId="10" type="noConversion"/>
  </si>
  <si>
    <t>SMXG1610Mb1</t>
    <phoneticPr fontId="10" type="noConversion"/>
  </si>
  <si>
    <t>陈剑钊</t>
    <phoneticPr fontId="14" type="noConversion"/>
  </si>
  <si>
    <t>中船工业成套物流(广州)有限公司</t>
    <phoneticPr fontId="14" type="noConversion"/>
  </si>
  <si>
    <t>SMA20161108-1</t>
    <phoneticPr fontId="10" type="noConversion"/>
  </si>
  <si>
    <t>广西新振锰业集团有限公司</t>
    <phoneticPr fontId="10" type="noConversion"/>
  </si>
  <si>
    <t>SMDH1611Mn1</t>
    <phoneticPr fontId="10" type="noConversion"/>
  </si>
  <si>
    <t>湘潭电化科技股份有限公司</t>
    <phoneticPr fontId="14" type="noConversion"/>
  </si>
  <si>
    <t>SMA20161130-1</t>
    <phoneticPr fontId="10" type="noConversion"/>
  </si>
  <si>
    <t>贵州建强锰业有限公司</t>
    <phoneticPr fontId="10" type="noConversion"/>
  </si>
  <si>
    <t>SMZY1611Mn1</t>
    <phoneticPr fontId="10" type="noConversion"/>
  </si>
  <si>
    <t>SMXG1611Mb1</t>
    <phoneticPr fontId="10" type="noConversion"/>
  </si>
  <si>
    <t>锰球</t>
    <phoneticPr fontId="14" type="noConversion"/>
  </si>
  <si>
    <t>SMXG1612Ms1</t>
    <phoneticPr fontId="14" type="noConversion"/>
  </si>
  <si>
    <t>SME20160925-3</t>
    <phoneticPr fontId="14" type="noConversion"/>
  </si>
  <si>
    <t>芦胜</t>
    <phoneticPr fontId="14" type="noConversion"/>
  </si>
  <si>
    <t>显示板铝壳</t>
    <phoneticPr fontId="14" type="noConversion"/>
  </si>
  <si>
    <t>A.K Associates</t>
    <phoneticPr fontId="14" type="noConversion"/>
  </si>
  <si>
    <t>通过华锟香港</t>
    <phoneticPr fontId="14" type="noConversion"/>
  </si>
  <si>
    <t>通过华锟香港</t>
    <phoneticPr fontId="14" type="noConversion"/>
  </si>
  <si>
    <t>SME20160925-3</t>
    <phoneticPr fontId="10" type="noConversion"/>
  </si>
  <si>
    <t>显示板铝壳</t>
    <phoneticPr fontId="14" type="noConversion"/>
  </si>
  <si>
    <t>上海</t>
    <phoneticPr fontId="14" type="noConversion"/>
  </si>
  <si>
    <t>印度</t>
    <phoneticPr fontId="14" type="noConversion"/>
  </si>
  <si>
    <t>A.K Associates</t>
    <phoneticPr fontId="14" type="noConversion"/>
  </si>
  <si>
    <t>显示板</t>
    <phoneticPr fontId="14" type="noConversion"/>
  </si>
  <si>
    <t>显示板主板</t>
    <phoneticPr fontId="14" type="noConversion"/>
  </si>
  <si>
    <t>SME20160925-2-A</t>
    <phoneticPr fontId="10" type="noConversion"/>
  </si>
  <si>
    <t>SME20160925-2-B</t>
    <phoneticPr fontId="10" type="noConversion"/>
  </si>
  <si>
    <t>SME20160925-2-A</t>
    <phoneticPr fontId="14" type="noConversion"/>
  </si>
  <si>
    <t>SME20160925-2-B</t>
    <phoneticPr fontId="14" type="noConversion"/>
  </si>
  <si>
    <t>3470950</t>
    <phoneticPr fontId="14" type="noConversion"/>
  </si>
  <si>
    <t>SMA20161219-1</t>
    <phoneticPr fontId="10" type="noConversion"/>
  </si>
  <si>
    <r>
      <rPr>
        <b/>
        <sz val="10"/>
        <rFont val="Arial Unicode MS"/>
        <family val="2"/>
        <charset val="134"/>
      </rPr>
      <t>硅锰</t>
    </r>
    <phoneticPr fontId="14" type="noConversion"/>
  </si>
  <si>
    <t>铁鼎</t>
    <phoneticPr fontId="14" type="noConversion"/>
  </si>
  <si>
    <t>湘钢</t>
    <phoneticPr fontId="14" type="noConversion"/>
  </si>
  <si>
    <t>采购合同</t>
    <phoneticPr fontId="14" type="noConversion"/>
  </si>
  <si>
    <t>3129723</t>
    <phoneticPr fontId="14" type="noConversion"/>
  </si>
  <si>
    <t>SMXG1612Mb1</t>
    <phoneticPr fontId="10" type="noConversion"/>
  </si>
  <si>
    <t>赣CX2667</t>
    <phoneticPr fontId="14" type="noConversion"/>
  </si>
  <si>
    <t>SMXG1701Al1</t>
    <phoneticPr fontId="14" type="noConversion"/>
  </si>
  <si>
    <t>炉料 （华菱湘钢）</t>
    <phoneticPr fontId="10" type="noConversion"/>
  </si>
  <si>
    <t>SMA20161228-1</t>
    <phoneticPr fontId="10" type="noConversion"/>
  </si>
  <si>
    <t>华锟签订合同</t>
    <phoneticPr fontId="10" type="noConversion"/>
  </si>
  <si>
    <t>SMZY1612Mn1</t>
    <phoneticPr fontId="14" type="noConversion"/>
  </si>
  <si>
    <t>SMA20161228-1</t>
    <phoneticPr fontId="14" type="noConversion"/>
  </si>
  <si>
    <t>SMA20161205-1</t>
    <phoneticPr fontId="10" type="noConversion"/>
  </si>
  <si>
    <t>松桃</t>
    <phoneticPr fontId="14" type="noConversion"/>
  </si>
  <si>
    <t>锰球</t>
    <phoneticPr fontId="14" type="noConversion"/>
  </si>
  <si>
    <t>赣k18882</t>
    <phoneticPr fontId="14" type="noConversion"/>
  </si>
  <si>
    <t>SMXG1701Mb1</t>
    <phoneticPr fontId="14" type="noConversion"/>
  </si>
  <si>
    <t> 硅锰 </t>
    <phoneticPr fontId="10" type="noConversion"/>
  </si>
  <si>
    <t>SMA20160905-3</t>
    <phoneticPr fontId="10" type="noConversion"/>
  </si>
  <si>
    <t>SMA20161201-1</t>
    <phoneticPr fontId="14" type="noConversion"/>
  </si>
  <si>
    <t>SMA20161101-2</t>
    <phoneticPr fontId="14" type="noConversion"/>
  </si>
  <si>
    <t>SMA20161101-3</t>
    <phoneticPr fontId="14" type="noConversion"/>
  </si>
  <si>
    <t>SMXG1611Mb1</t>
    <phoneticPr fontId="14" type="noConversion"/>
  </si>
  <si>
    <t>XHZYL20161107</t>
    <phoneticPr fontId="14" type="noConversion"/>
  </si>
  <si>
    <t>SMA20161101-4</t>
    <phoneticPr fontId="14" type="noConversion"/>
  </si>
  <si>
    <t>trust&amp;best co., ltd</t>
    <phoneticPr fontId="14" type="noConversion"/>
  </si>
  <si>
    <t>SMYKXR20160701-4</t>
    <phoneticPr fontId="14" type="noConversion"/>
  </si>
  <si>
    <t>SMA20161208-1</t>
    <phoneticPr fontId="14" type="noConversion"/>
  </si>
  <si>
    <t>SMA20161008-5</t>
    <phoneticPr fontId="14" type="noConversion"/>
  </si>
  <si>
    <t>华锟收款</t>
    <phoneticPr fontId="10" type="noConversion"/>
  </si>
  <si>
    <t>GN510116001-101</t>
    <phoneticPr fontId="14" type="noConversion"/>
  </si>
  <si>
    <t>SMZY1612Mn1</t>
    <phoneticPr fontId="14" type="noConversion"/>
  </si>
  <si>
    <t>长阳铠榕电解锰有限公司</t>
    <phoneticPr fontId="14" type="noConversion"/>
  </si>
  <si>
    <t>3117498</t>
    <phoneticPr fontId="14" type="noConversion"/>
  </si>
  <si>
    <t>3128687</t>
    <phoneticPr fontId="14" type="noConversion"/>
  </si>
  <si>
    <t>3333906</t>
    <phoneticPr fontId="14" type="noConversion"/>
  </si>
  <si>
    <t>3327930</t>
    <phoneticPr fontId="14" type="noConversion"/>
  </si>
  <si>
    <t>3315028</t>
    <phoneticPr fontId="14" type="noConversion"/>
  </si>
  <si>
    <t>SMA20160925-2-A</t>
    <phoneticPr fontId="10" type="noConversion"/>
  </si>
  <si>
    <t>芦胜</t>
    <phoneticPr fontId="10" type="noConversion"/>
  </si>
  <si>
    <t>江苏浩昱驰汽车电子有限公司</t>
    <phoneticPr fontId="10" type="noConversion"/>
  </si>
  <si>
    <t>SMA20160925-2-B</t>
    <phoneticPr fontId="10" type="noConversion"/>
  </si>
  <si>
    <t>SMA20160925-3</t>
    <phoneticPr fontId="10" type="noConversion"/>
  </si>
  <si>
    <t>显示板铝壳</t>
    <phoneticPr fontId="10" type="noConversion"/>
  </si>
  <si>
    <t>显示板</t>
    <phoneticPr fontId="10" type="noConversion"/>
  </si>
  <si>
    <t>显示板主板</t>
    <phoneticPr fontId="10" type="noConversion"/>
  </si>
  <si>
    <t>显示板</t>
    <phoneticPr fontId="14" type="noConversion"/>
  </si>
  <si>
    <t>显示板主板</t>
    <phoneticPr fontId="14" type="noConversion"/>
  </si>
  <si>
    <t>SMJR1701Mb1</t>
    <phoneticPr fontId="14" type="noConversion"/>
  </si>
  <si>
    <t>合同签订三个工作日收款，1月20日前发货</t>
    <phoneticPr fontId="14" type="noConversion"/>
  </si>
  <si>
    <t>SMZY1612Mn1</t>
    <phoneticPr fontId="10" type="noConversion"/>
  </si>
  <si>
    <t>SMA20161101-2</t>
    <phoneticPr fontId="14" type="noConversion"/>
  </si>
  <si>
    <t>硅锰</t>
    <phoneticPr fontId="14" type="noConversion"/>
  </si>
  <si>
    <t>广西中物矿业有限公司</t>
    <phoneticPr fontId="14" type="noConversion"/>
  </si>
  <si>
    <t>华锟上海付款</t>
    <phoneticPr fontId="10" type="noConversion"/>
  </si>
  <si>
    <t>中船工业成套物流(广州)有限公司</t>
    <phoneticPr fontId="14" type="noConversion"/>
  </si>
  <si>
    <t>华锟收款</t>
    <phoneticPr fontId="10" type="noConversion"/>
  </si>
  <si>
    <t>SMA20161101-1</t>
    <phoneticPr fontId="14" type="noConversion"/>
  </si>
  <si>
    <t>兴义市嘉泰铁合金有限公司</t>
    <phoneticPr fontId="14" type="noConversion"/>
  </si>
  <si>
    <t>湘EB2140</t>
    <phoneticPr fontId="14" type="noConversion"/>
  </si>
  <si>
    <t>兴义嘉泰</t>
    <phoneticPr fontId="14" type="noConversion"/>
  </si>
  <si>
    <t>湘钢</t>
    <phoneticPr fontId="14" type="noConversion"/>
  </si>
  <si>
    <t>销售合同</t>
    <phoneticPr fontId="14" type="noConversion"/>
  </si>
  <si>
    <t>SMXG1701Al1</t>
    <phoneticPr fontId="10" type="noConversion"/>
  </si>
  <si>
    <t>铝铁</t>
    <phoneticPr fontId="14" type="noConversion"/>
  </si>
  <si>
    <t xml:space="preserve">松桃三和锰业集团有限责任公司 </t>
    <phoneticPr fontId="10" type="noConversion"/>
  </si>
  <si>
    <t>SMA20161205-1</t>
    <phoneticPr fontId="14" type="noConversion"/>
  </si>
  <si>
    <t>二类精矿</t>
    <phoneticPr fontId="10" type="noConversion"/>
  </si>
  <si>
    <t>GN110216241-121</t>
    <phoneticPr fontId="10" type="noConversion"/>
  </si>
  <si>
    <t>炉料</t>
    <phoneticPr fontId="10" type="noConversion"/>
  </si>
  <si>
    <t>SMJR1701Mb1</t>
    <phoneticPr fontId="10" type="noConversion"/>
  </si>
  <si>
    <t>SMA20170110-1</t>
    <phoneticPr fontId="10" type="noConversion"/>
  </si>
  <si>
    <t>惠冶</t>
    <phoneticPr fontId="10" type="noConversion"/>
  </si>
  <si>
    <t>硅锰</t>
    <phoneticPr fontId="14" type="noConversion"/>
  </si>
  <si>
    <t>兴义市嘉泰铁合金有限公司</t>
    <phoneticPr fontId="14" type="noConversion"/>
  </si>
  <si>
    <t>华锟上海付款</t>
    <phoneticPr fontId="10" type="noConversion"/>
  </si>
  <si>
    <t>SMA20170110-1</t>
    <phoneticPr fontId="14" type="noConversion"/>
  </si>
  <si>
    <t>二类精矿</t>
    <phoneticPr fontId="14" type="noConversion"/>
  </si>
  <si>
    <t>娄底市旭峰贸易有限公司</t>
    <phoneticPr fontId="14" type="noConversion"/>
  </si>
  <si>
    <t>昕洪中付款</t>
    <phoneticPr fontId="10" type="noConversion"/>
  </si>
  <si>
    <t>SMA20170116-1</t>
    <phoneticPr fontId="10" type="noConversion"/>
  </si>
  <si>
    <t>自提价，送惠冶，现款后货</t>
    <phoneticPr fontId="10" type="noConversion"/>
  </si>
  <si>
    <t>GN110217104-011</t>
    <phoneticPr fontId="14" type="noConversion"/>
  </si>
  <si>
    <t>GN110217104-011</t>
    <phoneticPr fontId="10" type="noConversion"/>
  </si>
  <si>
    <t>SMA20170117-2</t>
    <phoneticPr fontId="10" type="noConversion"/>
  </si>
  <si>
    <t>松桃金泰矿业有限责任公司</t>
    <phoneticPr fontId="10" type="noConversion"/>
  </si>
  <si>
    <t>出厂价，装车付款</t>
    <phoneticPr fontId="10" type="noConversion"/>
  </si>
  <si>
    <t>SMA20170117-1</t>
    <phoneticPr fontId="10" type="noConversion"/>
  </si>
  <si>
    <t>现金出厂价，装车付款.</t>
    <phoneticPr fontId="10" type="noConversion"/>
  </si>
  <si>
    <t>SMXG1701Ms1</t>
    <phoneticPr fontId="14" type="noConversion"/>
  </si>
  <si>
    <t>华菱湘钢</t>
    <phoneticPr fontId="10" type="noConversion"/>
  </si>
  <si>
    <t>集团</t>
    <phoneticPr fontId="10" type="noConversion"/>
  </si>
  <si>
    <t>SMXG1701Mb1</t>
    <phoneticPr fontId="10" type="noConversion"/>
  </si>
  <si>
    <t>锰球</t>
    <phoneticPr fontId="14" type="noConversion"/>
  </si>
  <si>
    <t>惠冶</t>
    <phoneticPr fontId="14" type="noConversion"/>
  </si>
  <si>
    <t>湘钢</t>
    <phoneticPr fontId="14" type="noConversion"/>
  </si>
  <si>
    <t>销售合同</t>
    <phoneticPr fontId="14" type="noConversion"/>
  </si>
  <si>
    <t>SMA20170116-1</t>
    <phoneticPr fontId="14" type="noConversion"/>
  </si>
  <si>
    <t>锰片</t>
    <phoneticPr fontId="14" type="noConversion"/>
  </si>
  <si>
    <t>贵州建强锰业有限公司</t>
    <phoneticPr fontId="14" type="noConversion"/>
  </si>
  <si>
    <t>SMA20170117-1</t>
    <phoneticPr fontId="14" type="noConversion"/>
  </si>
  <si>
    <t>SMA20170117-2</t>
    <phoneticPr fontId="14" type="noConversion"/>
  </si>
  <si>
    <t>松桃金泰矿业有限责任公司</t>
    <phoneticPr fontId="14" type="noConversion"/>
  </si>
  <si>
    <t>锰片</t>
    <phoneticPr fontId="14" type="noConversion"/>
  </si>
  <si>
    <t>建强</t>
    <phoneticPr fontId="14" type="noConversion"/>
  </si>
  <si>
    <t>惠冶</t>
    <phoneticPr fontId="14" type="noConversion"/>
  </si>
  <si>
    <t>赣GP2048</t>
    <phoneticPr fontId="14" type="noConversion"/>
  </si>
  <si>
    <t>采购合同</t>
    <phoneticPr fontId="14" type="noConversion"/>
  </si>
  <si>
    <t>硅锰</t>
    <phoneticPr fontId="14" type="noConversion"/>
  </si>
  <si>
    <t>百色</t>
    <phoneticPr fontId="14" type="noConversion"/>
  </si>
  <si>
    <t>湘钢</t>
    <phoneticPr fontId="14" type="noConversion"/>
  </si>
  <si>
    <t>赣G7A743</t>
    <phoneticPr fontId="14" type="noConversion"/>
  </si>
  <si>
    <t>湘N0H891</t>
    <phoneticPr fontId="14" type="noConversion"/>
  </si>
  <si>
    <t>SME161201-B</t>
    <phoneticPr fontId="14" type="noConversion"/>
  </si>
  <si>
    <t>Dilip Chhabria Design Pvt.Ltd.</t>
    <phoneticPr fontId="14" type="noConversion"/>
  </si>
  <si>
    <t>SMA20161201-A</t>
    <phoneticPr fontId="10" type="noConversion"/>
  </si>
  <si>
    <t>SMA20161201-B</t>
    <phoneticPr fontId="10" type="noConversion"/>
  </si>
  <si>
    <t>SME161201-A</t>
    <phoneticPr fontId="10" type="noConversion"/>
  </si>
  <si>
    <t>SME161201-B</t>
    <phoneticPr fontId="10" type="noConversion"/>
  </si>
  <si>
    <t>Dilip Chhabria Design Pvt.Ltd.</t>
    <phoneticPr fontId="10" type="noConversion"/>
  </si>
  <si>
    <t>SME161201-A</t>
    <phoneticPr fontId="14" type="noConversion"/>
  </si>
  <si>
    <t>Dilip Chhabria Design Pvt.Ltd.</t>
    <phoneticPr fontId="14" type="noConversion"/>
  </si>
  <si>
    <t>SME161201-B</t>
    <phoneticPr fontId="14" type="noConversion"/>
  </si>
  <si>
    <t>GN110216209-091</t>
    <phoneticPr fontId="14" type="noConversion"/>
  </si>
  <si>
    <t>安徽一类造球精矿</t>
    <phoneticPr fontId="14" type="noConversion"/>
  </si>
  <si>
    <t>湘潭钢铁集团有限公司</t>
    <phoneticPr fontId="14" type="noConversion"/>
  </si>
  <si>
    <t>华锟收款</t>
    <phoneticPr fontId="10" type="noConversion"/>
  </si>
  <si>
    <t>SMYC1610Ms1</t>
    <phoneticPr fontId="14" type="noConversion"/>
  </si>
  <si>
    <t>SMXG1702Mb1</t>
    <phoneticPr fontId="14" type="noConversion"/>
  </si>
  <si>
    <t>HKLD20170122</t>
    <phoneticPr fontId="10" type="noConversion"/>
  </si>
  <si>
    <t>预付30%；装船后即安排付款50%</t>
    <phoneticPr fontId="10" type="noConversion"/>
  </si>
  <si>
    <t>M5GNM201700001</t>
    <phoneticPr fontId="10" type="noConversion"/>
  </si>
  <si>
    <t>自提价，2月华诚均价；20%预付款；2-17日发货，2月底多退少补</t>
    <phoneticPr fontId="10" type="noConversion"/>
  </si>
  <si>
    <t>SMA20170123-1</t>
    <phoneticPr fontId="14" type="noConversion"/>
  </si>
  <si>
    <t>2-13日支付30%；2-19日前到货，到厂价，款到发货</t>
    <phoneticPr fontId="10" type="noConversion"/>
  </si>
  <si>
    <t>SMA20161101-1</t>
    <phoneticPr fontId="10" type="noConversion"/>
  </si>
  <si>
    <t>SMXG1701Ms1</t>
    <phoneticPr fontId="10" type="noConversion"/>
  </si>
  <si>
    <t>SMXG1612Mb1 </t>
    <phoneticPr fontId="10" type="noConversion"/>
  </si>
  <si>
    <t> 锰球 </t>
    <phoneticPr fontId="10" type="noConversion"/>
  </si>
  <si>
    <t>矿石</t>
    <phoneticPr fontId="10" type="noConversion"/>
  </si>
  <si>
    <t>炉料</t>
    <phoneticPr fontId="10" type="noConversion"/>
  </si>
  <si>
    <t>SMXG1701Al1</t>
    <phoneticPr fontId="10" type="noConversion"/>
  </si>
  <si>
    <t>铝铁</t>
    <phoneticPr fontId="10" type="noConversion"/>
  </si>
  <si>
    <t>SMXG1612Ms1</t>
    <phoneticPr fontId="10" type="noConversion"/>
  </si>
  <si>
    <t>湘C07818</t>
    <phoneticPr fontId="14" type="noConversion"/>
  </si>
  <si>
    <t>SMXG1701Ms1</t>
    <phoneticPr fontId="10" type="noConversion"/>
  </si>
  <si>
    <t>硅锰</t>
    <phoneticPr fontId="14" type="noConversion"/>
  </si>
  <si>
    <t>百色</t>
    <phoneticPr fontId="14" type="noConversion"/>
  </si>
  <si>
    <t>销售合同</t>
    <phoneticPr fontId="14" type="noConversion"/>
  </si>
  <si>
    <t>SMXG1702Mb1</t>
    <phoneticPr fontId="10" type="noConversion"/>
  </si>
  <si>
    <t>锰球</t>
    <phoneticPr fontId="14" type="noConversion"/>
  </si>
  <si>
    <t>SMA20170123-1</t>
    <phoneticPr fontId="10" type="noConversion"/>
  </si>
  <si>
    <t>锰片</t>
    <phoneticPr fontId="14" type="noConversion"/>
  </si>
  <si>
    <t>泰立</t>
    <phoneticPr fontId="14" type="noConversion"/>
  </si>
  <si>
    <t>惠冶</t>
    <phoneticPr fontId="14" type="noConversion"/>
  </si>
  <si>
    <t>采购合同</t>
    <phoneticPr fontId="14" type="noConversion"/>
  </si>
  <si>
    <t>二类矿</t>
    <phoneticPr fontId="10" type="noConversion"/>
  </si>
  <si>
    <t>湘潭钢铁集团有限公司</t>
    <phoneticPr fontId="14" type="noConversion"/>
  </si>
  <si>
    <t>华锟收款</t>
    <phoneticPr fontId="10" type="noConversion"/>
  </si>
  <si>
    <t>SMYC1611Ms1</t>
    <phoneticPr fontId="14" type="noConversion"/>
  </si>
  <si>
    <t>SMJR1701Mb1</t>
    <phoneticPr fontId="14" type="noConversion"/>
  </si>
  <si>
    <t>金瑞新材料科技股份有限公司</t>
    <phoneticPr fontId="14" type="noConversion"/>
  </si>
  <si>
    <t>XHZCZZY201600902</t>
    <phoneticPr fontId="14" type="noConversion"/>
  </si>
  <si>
    <t>安徽一类造球精矿</t>
    <phoneticPr fontId="14" type="noConversion"/>
  </si>
  <si>
    <t>胡湘宪</t>
    <phoneticPr fontId="14" type="noConversion"/>
  </si>
  <si>
    <t>昕洪中付款</t>
    <phoneticPr fontId="10" type="noConversion"/>
  </si>
  <si>
    <t>XHZCZZY201600930</t>
    <phoneticPr fontId="14" type="noConversion"/>
  </si>
  <si>
    <t>SMA20161121-1</t>
    <phoneticPr fontId="14" type="noConversion"/>
  </si>
  <si>
    <t>二类精矿</t>
    <phoneticPr fontId="14" type="noConversion"/>
  </si>
  <si>
    <t>娄底市旭峰贸易有限公司</t>
    <phoneticPr fontId="14" type="noConversion"/>
  </si>
  <si>
    <t>华锟上海付款</t>
    <phoneticPr fontId="10" type="noConversion"/>
  </si>
  <si>
    <t>SMA20161201-1</t>
    <phoneticPr fontId="14" type="noConversion"/>
  </si>
  <si>
    <t>GN110216241-101</t>
    <phoneticPr fontId="14" type="noConversion"/>
  </si>
  <si>
    <t>湘U02888</t>
    <phoneticPr fontId="14" type="noConversion"/>
  </si>
  <si>
    <t>赣CX5366</t>
    <phoneticPr fontId="14" type="noConversion"/>
  </si>
  <si>
    <t>余额</t>
    <phoneticPr fontId="10" type="noConversion"/>
  </si>
  <si>
    <t>湘A77128</t>
    <phoneticPr fontId="14" type="noConversion"/>
  </si>
  <si>
    <t>GN110217104-012</t>
    <phoneticPr fontId="14" type="noConversion"/>
  </si>
  <si>
    <t>GN110217104-012</t>
    <phoneticPr fontId="10" type="noConversion"/>
  </si>
  <si>
    <t>豫H7796</t>
    <phoneticPr fontId="14" type="noConversion"/>
  </si>
  <si>
    <t>惠冶</t>
    <phoneticPr fontId="14" type="noConversion"/>
  </si>
  <si>
    <t>SMA20170123-2</t>
    <phoneticPr fontId="10" type="noConversion"/>
  </si>
  <si>
    <t>华锟盈余</t>
    <phoneticPr fontId="14" type="noConversion"/>
  </si>
  <si>
    <t>SMXG1702Ms1</t>
    <phoneticPr fontId="14" type="noConversion"/>
  </si>
  <si>
    <t>金瑞</t>
    <phoneticPr fontId="14" type="noConversion"/>
  </si>
  <si>
    <t>冀B2693A</t>
    <phoneticPr fontId="14" type="noConversion"/>
  </si>
  <si>
    <t>金泰</t>
    <phoneticPr fontId="14" type="noConversion"/>
  </si>
  <si>
    <t>炉料</t>
    <phoneticPr fontId="10" type="noConversion"/>
  </si>
  <si>
    <t>SMA20170217-1</t>
    <phoneticPr fontId="10" type="noConversion"/>
  </si>
  <si>
    <t>华锟上海签订</t>
    <phoneticPr fontId="10" type="noConversion"/>
  </si>
  <si>
    <t>现款到厂价，装车支付80%货款；2月底前到厂，加价归供方.</t>
    <phoneticPr fontId="10" type="noConversion"/>
  </si>
  <si>
    <t>SMXG1702Ms1</t>
    <phoneticPr fontId="10" type="noConversion"/>
  </si>
  <si>
    <t>邓金权</t>
    <phoneticPr fontId="10" type="noConversion"/>
  </si>
  <si>
    <t>焦粉</t>
    <phoneticPr fontId="10" type="noConversion"/>
  </si>
  <si>
    <t>现款到厂价，装船前85%货款；最晚3-10日装船，尾款结算后支付</t>
    <phoneticPr fontId="10" type="noConversion"/>
  </si>
  <si>
    <t>中船工业成套物流有限公司</t>
    <phoneticPr fontId="14" type="noConversion"/>
  </si>
  <si>
    <t>SMXG1702Fc1</t>
    <phoneticPr fontId="14" type="noConversion"/>
  </si>
  <si>
    <t>焦粉</t>
    <phoneticPr fontId="14" type="noConversion"/>
  </si>
  <si>
    <t>到厂现金价，交单收80%款，尾款结算支付</t>
    <phoneticPr fontId="14" type="noConversion"/>
  </si>
  <si>
    <t>SMA20161101-4</t>
    <phoneticPr fontId="10" type="noConversion"/>
  </si>
  <si>
    <t>豫EL1789</t>
    <phoneticPr fontId="14" type="noConversion"/>
  </si>
  <si>
    <t>鲁QS8412</t>
    <phoneticPr fontId="14" type="noConversion"/>
  </si>
  <si>
    <t>豫EP8603</t>
    <phoneticPr fontId="14" type="noConversion"/>
  </si>
  <si>
    <t>鲁QC3222</t>
    <phoneticPr fontId="14" type="noConversion"/>
  </si>
  <si>
    <t>豫Q26173</t>
    <phoneticPr fontId="14" type="noConversion"/>
  </si>
  <si>
    <t>SMA20170123-2</t>
    <phoneticPr fontId="10" type="noConversion"/>
  </si>
  <si>
    <t>锰片</t>
    <phoneticPr fontId="14" type="noConversion"/>
  </si>
  <si>
    <t>冀B5830</t>
    <phoneticPr fontId="14" type="noConversion"/>
  </si>
  <si>
    <t>新货运公司</t>
    <phoneticPr fontId="14" type="noConversion"/>
  </si>
  <si>
    <t>SMXG1702Ms1</t>
    <phoneticPr fontId="10" type="noConversion"/>
  </si>
  <si>
    <t>SMYKXR20170109-2</t>
    <phoneticPr fontId="10" type="noConversion"/>
  </si>
  <si>
    <t>SMYKXR20170109-3</t>
    <phoneticPr fontId="10" type="noConversion"/>
  </si>
  <si>
    <t>SMYKXR20170109-4</t>
    <phoneticPr fontId="10" type="noConversion"/>
  </si>
  <si>
    <t>SMYKXR20170109-5</t>
    <phoneticPr fontId="10" type="noConversion"/>
  </si>
  <si>
    <t>SMYKXR20160701-4</t>
    <phoneticPr fontId="10" type="noConversion"/>
  </si>
  <si>
    <t>SME1703Mp1</t>
    <phoneticPr fontId="10" type="noConversion"/>
  </si>
  <si>
    <t>SME1703Mp2</t>
    <phoneticPr fontId="10" type="noConversion"/>
  </si>
  <si>
    <t>SMYKXR20170109-1</t>
    <phoneticPr fontId="10" type="noConversion"/>
  </si>
  <si>
    <t>SMYKXR20170109-1</t>
    <phoneticPr fontId="10" type="noConversion"/>
  </si>
  <si>
    <t>SME1702Mp1</t>
    <phoneticPr fontId="10" type="noConversion"/>
  </si>
  <si>
    <t>SME1702Mp1</t>
    <phoneticPr fontId="14" type="noConversion"/>
  </si>
  <si>
    <t>SMA20170101-1</t>
    <phoneticPr fontId="10" type="noConversion"/>
  </si>
  <si>
    <t>METZ</t>
    <phoneticPr fontId="14" type="noConversion"/>
  </si>
  <si>
    <t>SMA20170101-2</t>
    <phoneticPr fontId="10" type="noConversion"/>
  </si>
  <si>
    <t>SMA20170201-1</t>
    <phoneticPr fontId="10" type="noConversion"/>
  </si>
  <si>
    <t>SME1701MN1</t>
    <phoneticPr fontId="10" type="noConversion"/>
  </si>
  <si>
    <t>SME1701MN2</t>
    <phoneticPr fontId="10" type="noConversion"/>
  </si>
  <si>
    <t>SME1702MN1</t>
    <phoneticPr fontId="10" type="noConversion"/>
  </si>
  <si>
    <t>SMA20170123-2</t>
    <phoneticPr fontId="14" type="noConversion"/>
  </si>
  <si>
    <t>山东泰盈康国际贸易有限公司</t>
    <phoneticPr fontId="10" type="noConversion"/>
  </si>
  <si>
    <t>SMA20170223-1</t>
    <phoneticPr fontId="10" type="noConversion"/>
  </si>
  <si>
    <t>HKLD20170306</t>
    <phoneticPr fontId="10" type="noConversion"/>
  </si>
  <si>
    <t>SMA20170307-1</t>
    <phoneticPr fontId="14" type="noConversion"/>
  </si>
  <si>
    <t>GN510116001-111</t>
    <phoneticPr fontId="10" type="noConversion"/>
  </si>
  <si>
    <t>铁矿</t>
    <phoneticPr fontId="10" type="noConversion"/>
  </si>
  <si>
    <t>SMXG1702Mb1</t>
    <phoneticPr fontId="10" type="noConversion"/>
  </si>
  <si>
    <t>锰球</t>
    <phoneticPr fontId="10" type="noConversion"/>
  </si>
  <si>
    <t>SMXG1701Ms1</t>
    <phoneticPr fontId="10" type="noConversion"/>
  </si>
  <si>
    <t>硅锰</t>
    <phoneticPr fontId="10" type="noConversion"/>
  </si>
  <si>
    <t>SMXG1702Ms1</t>
    <phoneticPr fontId="10" type="noConversion"/>
  </si>
  <si>
    <t>兴义市嘉泰铁合金有限公司</t>
    <phoneticPr fontId="10" type="noConversion"/>
  </si>
  <si>
    <t>二类精矿</t>
    <phoneticPr fontId="10" type="noConversion"/>
  </si>
  <si>
    <t>METZ CORPORATION</t>
    <phoneticPr fontId="10" type="noConversion"/>
  </si>
  <si>
    <t>SMA20170110-1</t>
    <phoneticPr fontId="10" type="noConversion"/>
  </si>
  <si>
    <t>HKLD20170122</t>
    <phoneticPr fontId="14" type="noConversion"/>
  </si>
  <si>
    <t>SMA20161101-3</t>
    <phoneticPr fontId="14" type="noConversion"/>
  </si>
  <si>
    <t>SMA20170123-1</t>
    <phoneticPr fontId="14" type="noConversion"/>
  </si>
  <si>
    <t>SMXG1701Al1</t>
    <phoneticPr fontId="14" type="noConversion"/>
  </si>
  <si>
    <t>SMXG1611Ms1</t>
    <phoneticPr fontId="14" type="noConversion"/>
  </si>
  <si>
    <t>SMXG1612Ms1</t>
    <phoneticPr fontId="14" type="noConversion"/>
  </si>
  <si>
    <t>GN510116001-111</t>
    <phoneticPr fontId="14" type="noConversion"/>
  </si>
  <si>
    <t>SMA20170217-1</t>
    <phoneticPr fontId="14" type="noConversion"/>
  </si>
  <si>
    <t>SMA20170117-1</t>
    <phoneticPr fontId="14" type="noConversion"/>
  </si>
  <si>
    <t>SMYKXR20170109-1</t>
    <phoneticPr fontId="14" type="noConversion"/>
  </si>
  <si>
    <t>SMYKXR20170109-2</t>
    <phoneticPr fontId="14" type="noConversion"/>
  </si>
  <si>
    <t>SMYKXR20170109-3</t>
    <phoneticPr fontId="14" type="noConversion"/>
  </si>
  <si>
    <t>SMYKXR20170109-4</t>
    <phoneticPr fontId="14" type="noConversion"/>
  </si>
  <si>
    <t>SMYKXR20170109-5</t>
    <phoneticPr fontId="14" type="noConversion"/>
  </si>
  <si>
    <t>SMA20170201-1</t>
    <phoneticPr fontId="14" type="noConversion"/>
  </si>
  <si>
    <t>SME1612MN1</t>
    <phoneticPr fontId="14" type="noConversion"/>
  </si>
  <si>
    <t>SME1701MN1</t>
    <phoneticPr fontId="14" type="noConversion"/>
  </si>
  <si>
    <t>SMA20170223-1</t>
    <phoneticPr fontId="14" type="noConversion"/>
  </si>
  <si>
    <t>SMXG1702Mb1</t>
    <phoneticPr fontId="14" type="noConversion"/>
  </si>
  <si>
    <t>SMXG1701Ms1</t>
    <phoneticPr fontId="14" type="noConversion"/>
  </si>
  <si>
    <t>SMA20170110-1</t>
    <phoneticPr fontId="14" type="noConversion"/>
  </si>
  <si>
    <t>娄底市旭峰贸易有限公司</t>
    <phoneticPr fontId="14" type="noConversion"/>
  </si>
  <si>
    <t xml:space="preserve">松桃三和锰业集团有限责任公司 </t>
    <phoneticPr fontId="14" type="noConversion"/>
  </si>
  <si>
    <t>SMYC1610Ms1</t>
    <phoneticPr fontId="14" type="noConversion"/>
  </si>
  <si>
    <t>SMYC1611Ms1</t>
    <phoneticPr fontId="14" type="noConversion"/>
  </si>
  <si>
    <t>GN110216241-111</t>
    <phoneticPr fontId="14" type="noConversion"/>
  </si>
  <si>
    <t>GN110216241-121</t>
    <phoneticPr fontId="14" type="noConversion"/>
  </si>
  <si>
    <t>营口鑫瑞耐火材料有限公司</t>
    <phoneticPr fontId="14" type="noConversion"/>
  </si>
  <si>
    <t>YONGHE METAL CO.,LTD</t>
    <phoneticPr fontId="14" type="noConversion"/>
  </si>
  <si>
    <t>METZ CORPORATION</t>
    <phoneticPr fontId="14" type="noConversion"/>
  </si>
  <si>
    <t>山东泰盈康国际贸易有限公司</t>
    <phoneticPr fontId="14" type="noConversion"/>
  </si>
  <si>
    <t>金昌一</t>
    <phoneticPr fontId="10" type="noConversion"/>
  </si>
  <si>
    <t>氧化镁球</t>
    <phoneticPr fontId="10" type="noConversion"/>
  </si>
  <si>
    <t>PT. KRAKATAU POSCO</t>
    <phoneticPr fontId="10" type="noConversion"/>
  </si>
  <si>
    <t>GN110217104-013</t>
    <phoneticPr fontId="10" type="noConversion"/>
  </si>
  <si>
    <t>55%承兑，转款</t>
    <phoneticPr fontId="10" type="noConversion"/>
  </si>
  <si>
    <t>SMA20170223-1</t>
    <phoneticPr fontId="10" type="noConversion"/>
  </si>
  <si>
    <t>焦粉</t>
    <phoneticPr fontId="14" type="noConversion"/>
  </si>
  <si>
    <t>山东</t>
    <phoneticPr fontId="14" type="noConversion"/>
  </si>
  <si>
    <t>GN110217104-011</t>
    <phoneticPr fontId="14" type="noConversion"/>
  </si>
  <si>
    <t>HKLD20170122</t>
    <phoneticPr fontId="14" type="noConversion"/>
  </si>
  <si>
    <t>二类精矿</t>
    <phoneticPr fontId="14" type="noConversion"/>
  </si>
  <si>
    <t>娄底市旭峰贸易有限公司</t>
    <phoneticPr fontId="14" type="noConversion"/>
  </si>
  <si>
    <t>昕洪中付款</t>
    <phoneticPr fontId="10" type="noConversion"/>
  </si>
  <si>
    <t>SMA20170307-1</t>
    <phoneticPr fontId="14" type="noConversion"/>
  </si>
  <si>
    <t>锰片</t>
    <phoneticPr fontId="14" type="noConversion"/>
  </si>
  <si>
    <t xml:space="preserve">松桃三和锰业集团有限责任公司 </t>
    <phoneticPr fontId="14" type="noConversion"/>
  </si>
  <si>
    <t>华锟上海付款</t>
    <phoneticPr fontId="10" type="noConversion"/>
  </si>
  <si>
    <t>SMXG1703Ms1</t>
    <phoneticPr fontId="14" type="noConversion"/>
  </si>
  <si>
    <t>HKLD20170122</t>
    <phoneticPr fontId="14" type="noConversion"/>
  </si>
  <si>
    <t>HKLD20170306</t>
    <phoneticPr fontId="14" type="noConversion"/>
  </si>
  <si>
    <t>二类精矿</t>
    <phoneticPr fontId="14" type="noConversion"/>
  </si>
  <si>
    <t>娄底市旭峰贸易有限公司</t>
    <phoneticPr fontId="14" type="noConversion"/>
  </si>
  <si>
    <t>昕洪中付款</t>
    <phoneticPr fontId="10" type="noConversion"/>
  </si>
  <si>
    <t>自提价，3月华诚均价；20%预付款；3月15-20日提货，3月底多退少补</t>
    <phoneticPr fontId="10" type="noConversion"/>
  </si>
  <si>
    <t>SMYKXR20170109-7</t>
    <phoneticPr fontId="10" type="noConversion"/>
  </si>
  <si>
    <t>炉料</t>
    <phoneticPr fontId="10" type="noConversion"/>
  </si>
  <si>
    <t>矿石</t>
    <phoneticPr fontId="10" type="noConversion"/>
  </si>
  <si>
    <t>湘潭钢铁集团有限公司</t>
    <phoneticPr fontId="14" type="noConversion"/>
  </si>
  <si>
    <t>华锟收款</t>
    <phoneticPr fontId="10" type="noConversion"/>
  </si>
  <si>
    <t>GN110216241-121</t>
    <phoneticPr fontId="14" type="noConversion"/>
  </si>
  <si>
    <t>二类精矿</t>
    <phoneticPr fontId="14" type="noConversion"/>
  </si>
  <si>
    <t>GN110217104-011</t>
    <phoneticPr fontId="14" type="noConversion"/>
  </si>
  <si>
    <t>SMXG1702Fc1</t>
    <phoneticPr fontId="10" type="noConversion"/>
  </si>
  <si>
    <t>焦粉</t>
    <phoneticPr fontId="14" type="noConversion"/>
  </si>
  <si>
    <t>山东</t>
    <phoneticPr fontId="14" type="noConversion"/>
  </si>
  <si>
    <t>湘钢</t>
    <phoneticPr fontId="14" type="noConversion"/>
  </si>
  <si>
    <t>销售合同</t>
    <phoneticPr fontId="14" type="noConversion"/>
  </si>
  <si>
    <t>HKLD20170306</t>
    <phoneticPr fontId="10" type="noConversion"/>
  </si>
  <si>
    <t>二类精矿</t>
    <phoneticPr fontId="14" type="noConversion"/>
  </si>
  <si>
    <t>娄底</t>
    <phoneticPr fontId="14" type="noConversion"/>
  </si>
  <si>
    <t>采购合同</t>
    <phoneticPr fontId="14" type="noConversion"/>
  </si>
  <si>
    <t>GN110217104-013</t>
    <phoneticPr fontId="10" type="noConversion"/>
  </si>
  <si>
    <t>SMA20170307-1</t>
    <phoneticPr fontId="14" type="noConversion"/>
  </si>
  <si>
    <t>锰片</t>
    <phoneticPr fontId="10" type="noConversion"/>
  </si>
  <si>
    <t xml:space="preserve">松桃三和锰业集团有限责任公司 </t>
    <phoneticPr fontId="10" type="noConversion"/>
  </si>
  <si>
    <t>煤炭</t>
    <phoneticPr fontId="10" type="noConversion"/>
  </si>
  <si>
    <t>SMA20170316-1</t>
    <phoneticPr fontId="14" type="noConversion"/>
  </si>
  <si>
    <t>4-15提货，装车付款，出厂价</t>
    <phoneticPr fontId="10" type="noConversion"/>
  </si>
  <si>
    <t>SMA20170317-1</t>
    <phoneticPr fontId="10" type="noConversion"/>
  </si>
  <si>
    <t>广西桂林凯昇贸易公司</t>
    <phoneticPr fontId="10" type="noConversion"/>
  </si>
  <si>
    <t>昕洪中签订合同</t>
    <phoneticPr fontId="10" type="noConversion"/>
  </si>
  <si>
    <t>3-22日货到付款85%，4月收增票支付尾款，到惠冶工厂价</t>
    <phoneticPr fontId="14" type="noConversion"/>
  </si>
  <si>
    <t>SMA20161219-1</t>
    <phoneticPr fontId="14" type="noConversion"/>
  </si>
  <si>
    <r>
      <rPr>
        <b/>
        <sz val="10"/>
        <rFont val="Arial Unicode MS"/>
        <family val="2"/>
        <charset val="134"/>
      </rPr>
      <t>硅锰</t>
    </r>
    <phoneticPr fontId="14" type="noConversion"/>
  </si>
  <si>
    <t>SMA20161219-1</t>
    <phoneticPr fontId="10" type="noConversion"/>
  </si>
  <si>
    <r>
      <rPr>
        <b/>
        <sz val="10"/>
        <rFont val="Arial Unicode MS"/>
        <family val="2"/>
        <charset val="134"/>
      </rPr>
      <t>陈剑钊</t>
    </r>
    <phoneticPr fontId="10" type="noConversion"/>
  </si>
  <si>
    <r>
      <rPr>
        <b/>
        <sz val="10"/>
        <rFont val="Arial Unicode MS"/>
        <family val="2"/>
        <charset val="134"/>
      </rPr>
      <t>硅锰</t>
    </r>
    <phoneticPr fontId="10" type="noConversion"/>
  </si>
  <si>
    <t>成都铁鼎商贸有限公司</t>
    <phoneticPr fontId="10" type="noConversion"/>
  </si>
  <si>
    <t>昕洪中签订合同</t>
    <phoneticPr fontId="10" type="noConversion"/>
  </si>
  <si>
    <r>
      <rPr>
        <i/>
        <sz val="10"/>
        <rFont val="Arial Unicode MS"/>
        <family val="2"/>
        <charset val="134"/>
      </rPr>
      <t>（-220）到货后1个月支付80%货款</t>
    </r>
    <r>
      <rPr>
        <sz val="10"/>
        <rFont val="Arial Unicode MS"/>
        <family val="2"/>
        <charset val="134"/>
      </rPr>
      <t>；承兑到湘钢钢厂价，现金按照4.9%年息折算，加价归供方</t>
    </r>
    <phoneticPr fontId="10" type="noConversion"/>
  </si>
  <si>
    <t>SMXG1703Mb1</t>
    <phoneticPr fontId="14" type="noConversion"/>
  </si>
  <si>
    <t>SMA20170307-1</t>
    <phoneticPr fontId="10" type="noConversion"/>
  </si>
  <si>
    <t>豫F66070</t>
    <phoneticPr fontId="14" type="noConversion"/>
  </si>
  <si>
    <t>冀B6733E</t>
    <phoneticPr fontId="14" type="noConversion"/>
  </si>
  <si>
    <t>玲玲</t>
    <phoneticPr fontId="14" type="noConversion"/>
  </si>
  <si>
    <t>桂林</t>
    <phoneticPr fontId="14" type="noConversion"/>
  </si>
  <si>
    <t>SMA20170317-1</t>
    <phoneticPr fontId="14" type="noConversion"/>
  </si>
  <si>
    <t>HKLD20170306</t>
    <phoneticPr fontId="14" type="noConversion"/>
  </si>
  <si>
    <t>二类精矿</t>
    <phoneticPr fontId="10" type="noConversion"/>
  </si>
  <si>
    <t>娄底市旭峰贸易有限公司</t>
    <phoneticPr fontId="10" type="noConversion"/>
  </si>
  <si>
    <t>SMFS1703Mn1</t>
    <phoneticPr fontId="14" type="noConversion"/>
  </si>
  <si>
    <t>佛山市南海三湘铝业材料有限公司</t>
    <phoneticPr fontId="14" type="noConversion"/>
  </si>
  <si>
    <t>款到发货；3-24日收款发货</t>
    <phoneticPr fontId="14" type="noConversion"/>
  </si>
  <si>
    <t>HKLD20170306</t>
    <phoneticPr fontId="10" type="noConversion"/>
  </si>
  <si>
    <t>二类精矿</t>
    <phoneticPr fontId="14" type="noConversion"/>
  </si>
  <si>
    <t>娄底</t>
    <phoneticPr fontId="14" type="noConversion"/>
  </si>
  <si>
    <t>湘钢</t>
    <phoneticPr fontId="14" type="noConversion"/>
  </si>
  <si>
    <t>采购合同</t>
    <phoneticPr fontId="14" type="noConversion"/>
  </si>
  <si>
    <t>GN110217104-013</t>
    <phoneticPr fontId="10" type="noConversion"/>
  </si>
  <si>
    <t>销售合同</t>
    <phoneticPr fontId="14" type="noConversion"/>
  </si>
  <si>
    <t>SMFS1703Mn1</t>
    <phoneticPr fontId="10" type="noConversion"/>
  </si>
  <si>
    <t>锰片</t>
    <phoneticPr fontId="14" type="noConversion"/>
  </si>
  <si>
    <t>佛山</t>
    <phoneticPr fontId="14" type="noConversion"/>
  </si>
  <si>
    <t>SMA20170217-1</t>
    <phoneticPr fontId="14" type="noConversion"/>
  </si>
  <si>
    <t>硅锰</t>
    <phoneticPr fontId="10" type="noConversion"/>
  </si>
  <si>
    <t>广西新锰国际贸易有限公司</t>
    <phoneticPr fontId="10" type="noConversion"/>
  </si>
  <si>
    <t>华锟上海付款</t>
    <phoneticPr fontId="10" type="noConversion"/>
  </si>
  <si>
    <t>SMFS1703Mn1</t>
    <phoneticPr fontId="14" type="noConversion"/>
  </si>
  <si>
    <t>锰片</t>
    <phoneticPr fontId="10" type="noConversion"/>
  </si>
  <si>
    <t>佛山市南海三湘铝业材料有限公司</t>
    <phoneticPr fontId="10" type="noConversion"/>
  </si>
  <si>
    <t>华锟收款</t>
    <phoneticPr fontId="10" type="noConversion"/>
  </si>
  <si>
    <t>株洲天鹰冶金炉料有限公司</t>
  </si>
  <si>
    <t>SMZZ1703Ms1</t>
  </si>
  <si>
    <t>SMZZ1703Ms1</t>
    <phoneticPr fontId="10" type="noConversion"/>
  </si>
  <si>
    <t>自提</t>
    <phoneticPr fontId="14" type="noConversion"/>
  </si>
  <si>
    <t>中船工业成套物流有限公司</t>
    <phoneticPr fontId="10" type="noConversion"/>
  </si>
  <si>
    <t>SME1704Mp1</t>
    <phoneticPr fontId="10" type="noConversion"/>
  </si>
  <si>
    <t>SME1704Mp2</t>
    <phoneticPr fontId="10" type="noConversion"/>
  </si>
  <si>
    <t>SME1704Mp3</t>
    <phoneticPr fontId="10" type="noConversion"/>
  </si>
  <si>
    <t>SMYKXR20170109-2</t>
    <phoneticPr fontId="10" type="noConversion"/>
  </si>
  <si>
    <t>SME1703Mp1</t>
    <phoneticPr fontId="10" type="noConversion"/>
  </si>
  <si>
    <t>SMYKXR20170109-3</t>
    <phoneticPr fontId="10" type="noConversion"/>
  </si>
  <si>
    <t>SME1703Mp3</t>
    <phoneticPr fontId="10" type="noConversion"/>
  </si>
  <si>
    <t>SME1703Mp2</t>
    <phoneticPr fontId="10" type="noConversion"/>
  </si>
  <si>
    <t>SMYKXR20170109-4</t>
    <phoneticPr fontId="10" type="noConversion"/>
  </si>
  <si>
    <t>SME1703Mp3</t>
    <phoneticPr fontId="14" type="noConversion"/>
  </si>
  <si>
    <t>SMYKXR20170109-6</t>
    <phoneticPr fontId="14" type="noConversion"/>
  </si>
  <si>
    <t>SMYKXR20170109-7</t>
    <phoneticPr fontId="14" type="noConversion"/>
  </si>
  <si>
    <t>SME1703Mp1</t>
    <phoneticPr fontId="14" type="noConversion"/>
  </si>
  <si>
    <t>SME1702Mp1</t>
    <phoneticPr fontId="10" type="noConversion"/>
  </si>
  <si>
    <t>SME1703Mp3</t>
    <phoneticPr fontId="14" type="noConversion"/>
  </si>
  <si>
    <t>包干费</t>
    <phoneticPr fontId="14" type="noConversion"/>
  </si>
  <si>
    <t>大连联航集运船务代理有限公司</t>
    <phoneticPr fontId="14" type="noConversion"/>
  </si>
  <si>
    <t>华锟上海付款</t>
    <phoneticPr fontId="10" type="noConversion"/>
  </si>
  <si>
    <t>SME1702Mp1</t>
    <phoneticPr fontId="14" type="noConversion"/>
  </si>
  <si>
    <t>氧化镁球</t>
    <phoneticPr fontId="14" type="noConversion"/>
  </si>
  <si>
    <t>PT. KRAKATAU POSCO</t>
    <phoneticPr fontId="14" type="noConversion"/>
  </si>
  <si>
    <t>华锟香港收款</t>
    <phoneticPr fontId="10" type="noConversion"/>
  </si>
  <si>
    <t>HKLD20170306</t>
    <phoneticPr fontId="14" type="noConversion"/>
  </si>
  <si>
    <t>二类精矿</t>
    <phoneticPr fontId="14" type="noConversion"/>
  </si>
  <si>
    <t>娄底市旭峰贸易有限公司</t>
    <phoneticPr fontId="14" type="noConversion"/>
  </si>
  <si>
    <t>昕洪中付款</t>
    <phoneticPr fontId="10" type="noConversion"/>
  </si>
  <si>
    <t>SMXG1702Fc1</t>
    <phoneticPr fontId="14" type="noConversion"/>
  </si>
  <si>
    <t>焦粉</t>
    <phoneticPr fontId="14" type="noConversion"/>
  </si>
  <si>
    <t>中船工业成套物流有限公司</t>
    <phoneticPr fontId="14" type="noConversion"/>
  </si>
  <si>
    <t>华锟收款</t>
    <phoneticPr fontId="10" type="noConversion"/>
  </si>
  <si>
    <t>SMA20170307-1</t>
    <phoneticPr fontId="14" type="noConversion"/>
  </si>
  <si>
    <t>锰片</t>
    <phoneticPr fontId="14" type="noConversion"/>
  </si>
  <si>
    <t xml:space="preserve">松桃三和锰业集团有限责任公司 </t>
    <phoneticPr fontId="14" type="noConversion"/>
  </si>
  <si>
    <t>SMZZ1703Ms1</t>
    <phoneticPr fontId="14" type="noConversion"/>
  </si>
  <si>
    <t>SMA20170316-1</t>
  </si>
  <si>
    <t>湖南泰立矿产开发有限公司</t>
  </si>
  <si>
    <t>湘B07818</t>
    <phoneticPr fontId="14" type="noConversion"/>
  </si>
  <si>
    <t>湘E2140</t>
    <phoneticPr fontId="14" type="noConversion"/>
  </si>
  <si>
    <t>湘07302</t>
    <phoneticPr fontId="14" type="noConversion"/>
  </si>
  <si>
    <t>SMYKXR20170109-5</t>
    <phoneticPr fontId="10" type="noConversion"/>
  </si>
  <si>
    <t>SMXG1703Mb1</t>
    <phoneticPr fontId="10" type="noConversion"/>
  </si>
  <si>
    <t>SMA201700405-1</t>
    <phoneticPr fontId="14" type="noConversion"/>
  </si>
  <si>
    <t>SME1704MN1</t>
    <phoneticPr fontId="14" type="noConversion"/>
  </si>
  <si>
    <t>SMA20170405-1</t>
    <phoneticPr fontId="14" type="noConversion"/>
  </si>
  <si>
    <t>炉料</t>
    <phoneticPr fontId="10" type="noConversion"/>
  </si>
  <si>
    <t>SMA20160925-2-A</t>
    <phoneticPr fontId="14" type="noConversion"/>
  </si>
  <si>
    <t>江苏浩昱驰汽车电子有限公司</t>
    <phoneticPr fontId="14" type="noConversion"/>
  </si>
  <si>
    <t>SMA20160925-2-B</t>
    <phoneticPr fontId="14" type="noConversion"/>
  </si>
  <si>
    <t>SMA20160925-3</t>
    <phoneticPr fontId="14" type="noConversion"/>
  </si>
  <si>
    <t>SMA20161201-A</t>
    <phoneticPr fontId="14" type="noConversion"/>
  </si>
  <si>
    <t>SMA20161201-B</t>
    <phoneticPr fontId="14" type="noConversion"/>
  </si>
  <si>
    <t>SMYKXR20170109-6</t>
    <phoneticPr fontId="10" type="noConversion"/>
  </si>
  <si>
    <t>SMYKXR20170109-6</t>
    <phoneticPr fontId="10" type="noConversion"/>
  </si>
  <si>
    <t>SMA20161019-1</t>
    <phoneticPr fontId="10" type="noConversion"/>
  </si>
  <si>
    <t>HKLD20170306</t>
    <phoneticPr fontId="10" type="noConversion"/>
  </si>
  <si>
    <t>HKLD20170306</t>
    <phoneticPr fontId="14" type="noConversion"/>
  </si>
  <si>
    <t>SMA20161101-1</t>
    <phoneticPr fontId="14" type="noConversion"/>
  </si>
  <si>
    <t>SMA20170407-1</t>
    <phoneticPr fontId="14" type="noConversion"/>
  </si>
  <si>
    <t>到湘潭价，4-7日支付10万，4-10日付余款收增票，发货.</t>
    <phoneticPr fontId="10" type="noConversion"/>
  </si>
  <si>
    <t>SMA20170407-1</t>
    <phoneticPr fontId="14" type="noConversion"/>
  </si>
  <si>
    <t>钒氮合金</t>
    <phoneticPr fontId="10" type="noConversion"/>
  </si>
  <si>
    <t xml:space="preserve"> 陕西五洲钒金属材料科技有限公司</t>
    <phoneticPr fontId="10" type="noConversion"/>
  </si>
  <si>
    <t>钒氮合金</t>
    <phoneticPr fontId="14" type="noConversion"/>
  </si>
  <si>
    <t xml:space="preserve"> 陕西五洲钒金属材料科技有限公司</t>
    <phoneticPr fontId="14" type="noConversion"/>
  </si>
  <si>
    <t>华锟上海付款</t>
    <phoneticPr fontId="10" type="noConversion"/>
  </si>
  <si>
    <t>SMA20170316-1</t>
    <phoneticPr fontId="10" type="noConversion"/>
  </si>
  <si>
    <t>泰立运输</t>
    <phoneticPr fontId="14" type="noConversion"/>
  </si>
  <si>
    <t>SMA20170407-1</t>
    <phoneticPr fontId="10" type="noConversion"/>
  </si>
  <si>
    <t>钒氮合金</t>
    <phoneticPr fontId="14" type="noConversion"/>
  </si>
  <si>
    <t>陕西</t>
    <phoneticPr fontId="14" type="noConversion"/>
  </si>
  <si>
    <t>SMA20170412-1</t>
    <phoneticPr fontId="10" type="noConversion"/>
  </si>
  <si>
    <t>广西金孟锰业有限公司</t>
    <phoneticPr fontId="10" type="noConversion"/>
  </si>
  <si>
    <t>现款到厂价，签订合同当天付90%货款；4-13/14日发货，4-20日前收增票，加价归我司，扣款算供方.</t>
    <phoneticPr fontId="10" type="noConversion"/>
  </si>
  <si>
    <t>SMA20170412-1</t>
  </si>
  <si>
    <t>广西金孟锰业有限公司</t>
  </si>
  <si>
    <t>惠冶</t>
    <phoneticPr fontId="10" type="noConversion"/>
  </si>
  <si>
    <t>SMA20170316-1</t>
    <phoneticPr fontId="10" type="noConversion"/>
  </si>
  <si>
    <t>锰片</t>
    <phoneticPr fontId="14" type="noConversion"/>
  </si>
  <si>
    <t>赣DD0782</t>
    <phoneticPr fontId="14" type="noConversion"/>
  </si>
  <si>
    <t>采购合同</t>
    <phoneticPr fontId="14" type="noConversion"/>
  </si>
  <si>
    <t>SMXG1703Mb1</t>
    <phoneticPr fontId="10" type="noConversion"/>
  </si>
  <si>
    <t>锰球</t>
    <phoneticPr fontId="14" type="noConversion"/>
  </si>
  <si>
    <t>惠冶</t>
    <phoneticPr fontId="14" type="noConversion"/>
  </si>
  <si>
    <t>湘钢</t>
    <phoneticPr fontId="14" type="noConversion"/>
  </si>
  <si>
    <t>销售合同</t>
    <phoneticPr fontId="14" type="noConversion"/>
  </si>
  <si>
    <t>SMA20170412-1</t>
    <phoneticPr fontId="10" type="noConversion"/>
  </si>
  <si>
    <t>硅锰</t>
    <phoneticPr fontId="14" type="noConversion"/>
  </si>
  <si>
    <t>广西</t>
    <phoneticPr fontId="14" type="noConversion"/>
  </si>
  <si>
    <t>采购合同</t>
    <phoneticPr fontId="14" type="noConversion"/>
  </si>
  <si>
    <t>SMXG1704Ms1</t>
    <phoneticPr fontId="14" type="noConversion"/>
  </si>
  <si>
    <t>SMA20170417-1</t>
    <phoneticPr fontId="10" type="noConversion"/>
  </si>
  <si>
    <t>现款到厂价，签订合同当天付90%货款；4-21日前发货，4-25日前收增票，加价归我司，扣款算供方.</t>
    <phoneticPr fontId="10" type="noConversion"/>
  </si>
  <si>
    <t>玲玲</t>
    <phoneticPr fontId="14" type="noConversion"/>
  </si>
  <si>
    <t>SMZY1704Mn1</t>
    <phoneticPr fontId="14" type="noConversion"/>
  </si>
  <si>
    <t>现款，自提</t>
    <phoneticPr fontId="14" type="noConversion"/>
  </si>
  <si>
    <t>实际到货</t>
    <phoneticPr fontId="10" type="noConversion"/>
  </si>
  <si>
    <t>实际发货</t>
    <phoneticPr fontId="10" type="noConversion"/>
  </si>
  <si>
    <t>二类精矿</t>
    <phoneticPr fontId="10" type="noConversion"/>
  </si>
  <si>
    <t>SMZY1704Mn1</t>
  </si>
  <si>
    <t>中冶京诚（湘潭）重工设备有限公司</t>
  </si>
  <si>
    <t>SMHS1704Mn1</t>
  </si>
  <si>
    <t>SMHS1704Mn1</t>
    <phoneticPr fontId="14" type="noConversion"/>
  </si>
  <si>
    <t>湖南华杉科技发展有限公司</t>
  </si>
  <si>
    <t>湖南华杉科技发展有限公司</t>
    <phoneticPr fontId="14" type="noConversion"/>
  </si>
  <si>
    <t>湖南华杉科技发展有限公司</t>
    <phoneticPr fontId="10" type="noConversion"/>
  </si>
  <si>
    <t>SMXG1703Ms1</t>
    <phoneticPr fontId="10" type="noConversion"/>
  </si>
  <si>
    <t>硅锰</t>
    <phoneticPr fontId="14" type="noConversion"/>
  </si>
  <si>
    <t>广西</t>
    <phoneticPr fontId="14" type="noConversion"/>
  </si>
  <si>
    <t>湘钢</t>
    <phoneticPr fontId="14" type="noConversion"/>
  </si>
  <si>
    <t>销售合同</t>
    <phoneticPr fontId="14" type="noConversion"/>
  </si>
  <si>
    <t>赣CH3890.</t>
    <phoneticPr fontId="14" type="noConversion"/>
  </si>
  <si>
    <t>SMA20170417-1</t>
    <phoneticPr fontId="14" type="noConversion"/>
  </si>
  <si>
    <t>SMA20170405-1</t>
    <phoneticPr fontId="10" type="noConversion"/>
  </si>
  <si>
    <t>锰片</t>
    <phoneticPr fontId="14" type="noConversion"/>
  </si>
  <si>
    <t>三和</t>
    <phoneticPr fontId="14" type="noConversion"/>
  </si>
  <si>
    <t>惠冶</t>
    <phoneticPr fontId="14" type="noConversion"/>
  </si>
  <si>
    <t>采购合同</t>
    <phoneticPr fontId="14" type="noConversion"/>
  </si>
  <si>
    <t>SMZY1704Mn1</t>
    <phoneticPr fontId="10" type="noConversion"/>
  </si>
  <si>
    <t>中冶</t>
    <phoneticPr fontId="14" type="noConversion"/>
  </si>
  <si>
    <t>销售合同</t>
    <phoneticPr fontId="14" type="noConversion"/>
  </si>
  <si>
    <t>SMHS1704Mn1</t>
    <phoneticPr fontId="10" type="noConversion"/>
  </si>
  <si>
    <t>华杉</t>
    <phoneticPr fontId="14" type="noConversion"/>
  </si>
  <si>
    <t>实际送货</t>
    <phoneticPr fontId="10" type="noConversion"/>
  </si>
  <si>
    <t>惠冶</t>
    <phoneticPr fontId="14" type="noConversion"/>
  </si>
  <si>
    <t>SMXG1704Ms1</t>
    <phoneticPr fontId="10" type="noConversion"/>
  </si>
  <si>
    <t>SMJR1704Mn1</t>
  </si>
  <si>
    <t>SMJR1704Mn1</t>
    <phoneticPr fontId="14" type="noConversion"/>
  </si>
  <si>
    <t>五矿资本股份有限公司</t>
  </si>
  <si>
    <t>五矿资本股份有限公司</t>
    <phoneticPr fontId="14" type="noConversion"/>
  </si>
  <si>
    <t>SMYKXR20170109-8</t>
    <phoneticPr fontId="10" type="noConversion"/>
  </si>
  <si>
    <t>SMYKXR20170109-9</t>
    <phoneticPr fontId="10" type="noConversion"/>
  </si>
  <si>
    <t>SMYKXR20170109-10</t>
    <phoneticPr fontId="10" type="noConversion"/>
  </si>
  <si>
    <t>SMYKXR20170109-7</t>
    <phoneticPr fontId="10" type="noConversion"/>
  </si>
  <si>
    <t>SMYKXR20170109-8</t>
    <phoneticPr fontId="14" type="noConversion"/>
  </si>
  <si>
    <t>SMYKXR20170109-9</t>
    <phoneticPr fontId="14" type="noConversion"/>
  </si>
  <si>
    <t>SME1705Mp2</t>
    <phoneticPr fontId="10" type="noConversion"/>
  </si>
  <si>
    <t>SME1705Mp3</t>
    <phoneticPr fontId="10" type="noConversion"/>
  </si>
  <si>
    <t>SMYKXR20170109-10</t>
    <phoneticPr fontId="14" type="noConversion"/>
  </si>
  <si>
    <t>氧化镁球</t>
    <phoneticPr fontId="14" type="noConversion"/>
  </si>
  <si>
    <t>营口鑫瑞耐火材料有限公司</t>
    <phoneticPr fontId="14" type="noConversion"/>
  </si>
  <si>
    <t>华锟上海付款</t>
    <phoneticPr fontId="10" type="noConversion"/>
  </si>
  <si>
    <t>SMJR1704Mn1</t>
    <phoneticPr fontId="14" type="noConversion"/>
  </si>
  <si>
    <t>锰片</t>
    <phoneticPr fontId="14" type="noConversion"/>
  </si>
  <si>
    <t>五矿资本股份有限公司</t>
    <phoneticPr fontId="14" type="noConversion"/>
  </si>
  <si>
    <t>华锟收款</t>
    <phoneticPr fontId="10" type="noConversion"/>
  </si>
  <si>
    <t>SMJR1704Mn1</t>
    <phoneticPr fontId="10" type="noConversion"/>
  </si>
  <si>
    <t>SMFS1704Mn1</t>
    <phoneticPr fontId="14" type="noConversion"/>
  </si>
  <si>
    <t>款到发货；4-27日收款发货</t>
    <phoneticPr fontId="14" type="noConversion"/>
  </si>
  <si>
    <t>造球</t>
    <phoneticPr fontId="10" type="noConversion"/>
  </si>
  <si>
    <t>玲玲</t>
    <phoneticPr fontId="14" type="noConversion"/>
  </si>
  <si>
    <t>SMZZ1704Ms1</t>
    <phoneticPr fontId="10" type="noConversion"/>
  </si>
  <si>
    <t>SMXG1705Mb1</t>
    <phoneticPr fontId="14" type="noConversion"/>
  </si>
  <si>
    <t>SMA20170427-1</t>
    <phoneticPr fontId="14" type="noConversion"/>
  </si>
  <si>
    <t>自提价，5月华诚均价；20%预付款；5月15前提货，5月底多退少补</t>
    <phoneticPr fontId="10" type="noConversion"/>
  </si>
  <si>
    <t>自提价，4月华诚均价；20%预付款；4月15-20日提货，4月底多退少补</t>
    <phoneticPr fontId="10" type="noConversion"/>
  </si>
  <si>
    <t>湘钢帐</t>
    <phoneticPr fontId="10" type="noConversion"/>
  </si>
  <si>
    <t>华菱湘钢尾款</t>
    <phoneticPr fontId="10" type="noConversion"/>
  </si>
  <si>
    <t>实际差额</t>
    <phoneticPr fontId="10" type="noConversion"/>
  </si>
  <si>
    <t>硅锰 华菱湘钢</t>
    <phoneticPr fontId="14" type="noConversion"/>
  </si>
  <si>
    <t>SMFS1704Mn1</t>
    <phoneticPr fontId="10" type="noConversion"/>
  </si>
  <si>
    <t>锰片</t>
    <phoneticPr fontId="14" type="noConversion"/>
  </si>
  <si>
    <t>惠冶</t>
    <phoneticPr fontId="14" type="noConversion"/>
  </si>
  <si>
    <t>佛山</t>
    <phoneticPr fontId="14" type="noConversion"/>
  </si>
  <si>
    <t>销售合同</t>
    <phoneticPr fontId="14" type="noConversion"/>
  </si>
  <si>
    <t>SMZZ1704Ms1</t>
    <phoneticPr fontId="10" type="noConversion"/>
  </si>
  <si>
    <t>株洲</t>
    <phoneticPr fontId="14" type="noConversion"/>
  </si>
  <si>
    <t>SMXG1705Mb1</t>
    <phoneticPr fontId="10" type="noConversion"/>
  </si>
  <si>
    <t>锰球</t>
    <phoneticPr fontId="14" type="noConversion"/>
  </si>
  <si>
    <t>株洲天鹰冶金炉料有限公司</t>
    <phoneticPr fontId="14" type="noConversion"/>
  </si>
  <si>
    <t>SMZZ1704Ms1</t>
    <phoneticPr fontId="14" type="noConversion"/>
  </si>
  <si>
    <t>华锟收款</t>
    <phoneticPr fontId="10" type="noConversion"/>
  </si>
  <si>
    <t>SMA20170405-1</t>
    <phoneticPr fontId="14" type="noConversion"/>
  </si>
  <si>
    <t xml:space="preserve">松桃三和锰业集团有限责任公司 </t>
    <phoneticPr fontId="14" type="noConversion"/>
  </si>
  <si>
    <t>华锟付款</t>
    <phoneticPr fontId="10" type="noConversion"/>
  </si>
  <si>
    <t>广西金孟锰业有限公司</t>
    <phoneticPr fontId="14" type="noConversion"/>
  </si>
  <si>
    <t>SMA20170503-1</t>
    <phoneticPr fontId="14" type="noConversion"/>
  </si>
  <si>
    <t>SMXG1705Vn1</t>
    <phoneticPr fontId="14" type="noConversion"/>
  </si>
  <si>
    <t>SMA201700427-1</t>
    <phoneticPr fontId="14" type="noConversion"/>
  </si>
  <si>
    <t>SMA201700427-2</t>
    <phoneticPr fontId="14" type="noConversion"/>
  </si>
  <si>
    <t>SME1705MN1</t>
    <phoneticPr fontId="14" type="noConversion"/>
  </si>
  <si>
    <t>SME1705MN2</t>
    <phoneticPr fontId="14" type="noConversion"/>
  </si>
  <si>
    <t>SME1703Mp2</t>
    <phoneticPr fontId="14" type="noConversion"/>
  </si>
  <si>
    <t>SMA20170427-1</t>
    <phoneticPr fontId="10" type="noConversion"/>
  </si>
  <si>
    <t>冀B2512F</t>
    <phoneticPr fontId="14" type="noConversion"/>
  </si>
  <si>
    <t>SMA20170503-1</t>
    <phoneticPr fontId="10" type="noConversion"/>
  </si>
  <si>
    <t>SMXG1705Vn1</t>
    <phoneticPr fontId="10" type="noConversion"/>
  </si>
  <si>
    <t>整车运费预计235</t>
    <phoneticPr fontId="14" type="noConversion"/>
  </si>
  <si>
    <t>赣CK7165</t>
    <phoneticPr fontId="14" type="noConversion"/>
  </si>
  <si>
    <t>SMXG1705Ms1</t>
    <phoneticPr fontId="14" type="noConversion"/>
  </si>
  <si>
    <t>SMXG1705Ms1</t>
    <phoneticPr fontId="14" type="noConversion"/>
  </si>
  <si>
    <t>硅锰</t>
    <phoneticPr fontId="14" type="noConversion"/>
  </si>
  <si>
    <t>中船工业成套物流(广州)有限公司</t>
    <phoneticPr fontId="14" type="noConversion"/>
  </si>
  <si>
    <t>SMXG1705Ms1</t>
    <phoneticPr fontId="10" type="noConversion"/>
  </si>
  <si>
    <t>SMA20170509-1</t>
    <phoneticPr fontId="14" type="noConversion"/>
  </si>
  <si>
    <t>永州市鑫城锰业有限公司</t>
    <phoneticPr fontId="10" type="noConversion"/>
  </si>
  <si>
    <t>到厂价，5-10日装车付款</t>
    <phoneticPr fontId="10" type="noConversion"/>
  </si>
  <si>
    <t>SMA20170509-2</t>
    <phoneticPr fontId="14" type="noConversion"/>
  </si>
  <si>
    <t>湘西自治州春华工贸有限责任公司</t>
    <phoneticPr fontId="10" type="noConversion"/>
  </si>
  <si>
    <t>SMA20170427-1</t>
    <phoneticPr fontId="10" type="noConversion"/>
  </si>
  <si>
    <t>锰片</t>
    <phoneticPr fontId="14" type="noConversion"/>
  </si>
  <si>
    <t>三和</t>
    <phoneticPr fontId="14" type="noConversion"/>
  </si>
  <si>
    <t>惠冶</t>
    <phoneticPr fontId="14" type="noConversion"/>
  </si>
  <si>
    <t>赣CK7165</t>
    <phoneticPr fontId="14" type="noConversion"/>
  </si>
  <si>
    <t>采购合同</t>
    <phoneticPr fontId="14" type="noConversion"/>
  </si>
  <si>
    <t>SMA20170509-1</t>
    <phoneticPr fontId="10" type="noConversion"/>
  </si>
  <si>
    <t>永州</t>
    <phoneticPr fontId="14" type="noConversion"/>
  </si>
  <si>
    <t>SMA20170509-2</t>
    <phoneticPr fontId="10" type="noConversion"/>
  </si>
  <si>
    <t>吉首</t>
    <phoneticPr fontId="14" type="noConversion"/>
  </si>
  <si>
    <t>湘C07818</t>
    <phoneticPr fontId="14" type="noConversion"/>
  </si>
  <si>
    <t>SMXG1705Mb2</t>
    <phoneticPr fontId="14" type="noConversion"/>
  </si>
  <si>
    <t>SMXG1705Mb2</t>
    <phoneticPr fontId="10" type="noConversion"/>
  </si>
  <si>
    <t>湘西自治州春华工贸有限责任公司</t>
    <phoneticPr fontId="14" type="noConversion"/>
  </si>
  <si>
    <t>永州市鑫城锰业有限公司</t>
    <phoneticPr fontId="14" type="noConversion"/>
  </si>
  <si>
    <t>SMA20170522-1</t>
    <phoneticPr fontId="14" type="noConversion"/>
  </si>
  <si>
    <t>到厂价，5-22日装车付款</t>
    <phoneticPr fontId="10" type="noConversion"/>
  </si>
  <si>
    <t>SMA20170522-1</t>
    <phoneticPr fontId="10" type="noConversion"/>
  </si>
  <si>
    <t>SMXG1706Mb2</t>
    <phoneticPr fontId="14" type="noConversion"/>
  </si>
  <si>
    <t>SMA20170531-1</t>
    <phoneticPr fontId="14" type="noConversion"/>
  </si>
  <si>
    <t>到厂价，6-1日装车付款</t>
    <phoneticPr fontId="10" type="noConversion"/>
  </si>
  <si>
    <t>SMZY1705Mn1</t>
    <phoneticPr fontId="14" type="noConversion"/>
  </si>
  <si>
    <t>现款，到厂价</t>
    <phoneticPr fontId="14" type="noConversion"/>
  </si>
  <si>
    <t>SMXG1705Mb2</t>
    <phoneticPr fontId="10" type="noConversion"/>
  </si>
  <si>
    <t>锰球</t>
    <phoneticPr fontId="14" type="noConversion"/>
  </si>
  <si>
    <t>惠冶</t>
    <phoneticPr fontId="14" type="noConversion"/>
  </si>
  <si>
    <t>湘钢</t>
    <phoneticPr fontId="14" type="noConversion"/>
  </si>
  <si>
    <t>湘C07818</t>
    <phoneticPr fontId="14" type="noConversion"/>
  </si>
  <si>
    <t>销售合同</t>
    <phoneticPr fontId="14" type="noConversion"/>
  </si>
  <si>
    <t>湘C07302</t>
    <phoneticPr fontId="14" type="noConversion"/>
  </si>
  <si>
    <t>锰球</t>
    <phoneticPr fontId="14" type="noConversion"/>
  </si>
  <si>
    <t>惠冶</t>
    <phoneticPr fontId="14" type="noConversion"/>
  </si>
  <si>
    <t>湘钢</t>
    <phoneticPr fontId="14" type="noConversion"/>
  </si>
  <si>
    <t>湘C07818</t>
    <phoneticPr fontId="14" type="noConversion"/>
  </si>
  <si>
    <t>销售合同</t>
    <phoneticPr fontId="14" type="noConversion"/>
  </si>
  <si>
    <t>SMA20170531-1</t>
    <phoneticPr fontId="10" type="noConversion"/>
  </si>
  <si>
    <t>锰片</t>
    <phoneticPr fontId="14" type="noConversion"/>
  </si>
  <si>
    <t>永州</t>
    <phoneticPr fontId="14" type="noConversion"/>
  </si>
  <si>
    <t>中冶</t>
    <phoneticPr fontId="14" type="noConversion"/>
  </si>
  <si>
    <t>湘M27329</t>
    <phoneticPr fontId="14" type="noConversion"/>
  </si>
  <si>
    <t>采购合同</t>
    <phoneticPr fontId="14" type="noConversion"/>
  </si>
  <si>
    <t>SMZY1705Mn1</t>
    <phoneticPr fontId="10" type="noConversion"/>
  </si>
  <si>
    <t>SMA201700427-1</t>
    <phoneticPr fontId="10" type="noConversion"/>
  </si>
  <si>
    <t>SMA201700427-2</t>
    <phoneticPr fontId="10" type="noConversion"/>
  </si>
  <si>
    <t>SME1705MN1</t>
    <phoneticPr fontId="10" type="noConversion"/>
  </si>
  <si>
    <t>SME1705MN2</t>
    <phoneticPr fontId="10" type="noConversion"/>
  </si>
  <si>
    <t>SMA20170523-1</t>
    <phoneticPr fontId="14" type="noConversion"/>
  </si>
  <si>
    <t>SMA20170523-2</t>
    <phoneticPr fontId="14" type="noConversion"/>
  </si>
  <si>
    <t>泰立</t>
    <phoneticPr fontId="10" type="noConversion"/>
  </si>
  <si>
    <t>湖南泰立矿产开发有限公司</t>
    <phoneticPr fontId="10" type="noConversion"/>
  </si>
  <si>
    <t>SME1706MN1</t>
    <phoneticPr fontId="14" type="noConversion"/>
  </si>
  <si>
    <t>SME1706MN2</t>
    <phoneticPr fontId="14" type="noConversion"/>
  </si>
  <si>
    <t>SME1705Mp1</t>
    <phoneticPr fontId="10" type="noConversion"/>
  </si>
  <si>
    <t>SME1705Mp1</t>
    <phoneticPr fontId="10" type="noConversion"/>
  </si>
  <si>
    <t>SME1704Mp1</t>
    <phoneticPr fontId="14" type="noConversion"/>
  </si>
  <si>
    <t>SME1704Mp2</t>
    <phoneticPr fontId="14" type="noConversion"/>
  </si>
  <si>
    <t>SME1704Mp3</t>
    <phoneticPr fontId="14" type="noConversion"/>
  </si>
  <si>
    <t>SME1705Mp1</t>
    <phoneticPr fontId="14" type="noConversion"/>
  </si>
  <si>
    <t>SMA201700405-1</t>
    <phoneticPr fontId="14" type="noConversion"/>
  </si>
  <si>
    <t>SMA201700405-1</t>
    <phoneticPr fontId="10" type="noConversion"/>
  </si>
  <si>
    <t>SME1704MN1</t>
    <phoneticPr fontId="14" type="noConversion"/>
  </si>
  <si>
    <t>SME1704MN1</t>
    <phoneticPr fontId="10" type="noConversion"/>
  </si>
  <si>
    <t>SMA20170605-1</t>
    <phoneticPr fontId="14" type="noConversion"/>
  </si>
  <si>
    <t>自提价，6月华诚均价；20%预付款；6月15前提货，6月底多退少补</t>
    <phoneticPr fontId="10" type="noConversion"/>
  </si>
  <si>
    <t>SMA20170605-2</t>
  </si>
  <si>
    <t>宁波中湖贸易有限公司</t>
    <phoneticPr fontId="10" type="noConversion"/>
  </si>
  <si>
    <t>到厂价，6-6日前装车付款</t>
    <phoneticPr fontId="10" type="noConversion"/>
  </si>
  <si>
    <t>SMA20170605-2</t>
    <phoneticPr fontId="14" type="noConversion"/>
  </si>
  <si>
    <t>广西桂林凯昇贸易公司</t>
    <phoneticPr fontId="14" type="noConversion"/>
  </si>
  <si>
    <t>GN110217104-013</t>
    <phoneticPr fontId="14" type="noConversion"/>
  </si>
  <si>
    <t>宁波中湖贸易有限公司</t>
    <phoneticPr fontId="14" type="noConversion"/>
  </si>
  <si>
    <t>SMA20170605-2</t>
    <phoneticPr fontId="10" type="noConversion"/>
  </si>
  <si>
    <t>湘C07302</t>
    <phoneticPr fontId="14" type="noConversion"/>
  </si>
  <si>
    <t>惠冶</t>
    <phoneticPr fontId="14" type="noConversion"/>
  </si>
  <si>
    <t>湘钢</t>
    <phoneticPr fontId="14" type="noConversion"/>
  </si>
  <si>
    <t>湘EB9247</t>
    <phoneticPr fontId="14" type="noConversion"/>
  </si>
  <si>
    <t>SMA20170612-1</t>
    <phoneticPr fontId="10" type="noConversion"/>
  </si>
  <si>
    <t>6-12货到付款</t>
    <phoneticPr fontId="10" type="noConversion"/>
  </si>
  <si>
    <t>SMA20170612-2</t>
    <phoneticPr fontId="10" type="noConversion"/>
  </si>
  <si>
    <t>南京金投化工科技有限公司</t>
    <phoneticPr fontId="10" type="noConversion"/>
  </si>
  <si>
    <t>SMA20170612-1</t>
    <phoneticPr fontId="14" type="noConversion"/>
  </si>
  <si>
    <t>锰片</t>
    <phoneticPr fontId="10" type="noConversion"/>
  </si>
  <si>
    <t>广西新振锰业集团有限公司</t>
    <phoneticPr fontId="10" type="noConversion"/>
  </si>
  <si>
    <t>SMA20170612-2</t>
    <phoneticPr fontId="14" type="noConversion"/>
  </si>
  <si>
    <t>赣Cx9095</t>
    <phoneticPr fontId="14" type="noConversion"/>
  </si>
  <si>
    <t>SMXG1706Mb1</t>
    <phoneticPr fontId="14" type="noConversion"/>
  </si>
  <si>
    <t>SMXG1706Mb1</t>
    <phoneticPr fontId="10" type="noConversion"/>
  </si>
  <si>
    <t>南京金投化工科技有限公司</t>
    <phoneticPr fontId="14" type="noConversion"/>
  </si>
  <si>
    <t>赣CX9095</t>
    <phoneticPr fontId="14" type="noConversion"/>
  </si>
  <si>
    <t>SMA20170605-1</t>
    <phoneticPr fontId="10" type="noConversion"/>
  </si>
  <si>
    <t>XHZYL20170615</t>
    <phoneticPr fontId="10" type="noConversion"/>
  </si>
  <si>
    <t>A.K Associates</t>
    <phoneticPr fontId="10" type="noConversion"/>
  </si>
  <si>
    <t>五矿资本股份有限公司</t>
    <phoneticPr fontId="10" type="noConversion"/>
  </si>
  <si>
    <t>赣CX9095</t>
    <phoneticPr fontId="14" type="noConversion"/>
  </si>
  <si>
    <t xml:space="preserve"> GN51011770088061</t>
    <phoneticPr fontId="14" type="noConversion"/>
  </si>
  <si>
    <t>景忠</t>
    <phoneticPr fontId="14" type="noConversion"/>
  </si>
  <si>
    <t xml:space="preserve"> GN51011770088061</t>
    <phoneticPr fontId="10" type="noConversion"/>
  </si>
  <si>
    <t>1284元挂账（结算后，应收，应开红字）到阳春价，5-3日支付50万，5-4日付余款收增票，发货.</t>
    <phoneticPr fontId="10" type="noConversion"/>
  </si>
  <si>
    <t>XHZYL20170615</t>
    <phoneticPr fontId="14" type="noConversion"/>
  </si>
  <si>
    <t>SMA20170621-1</t>
    <phoneticPr fontId="10" type="noConversion"/>
  </si>
  <si>
    <t>衡东林奕炉料贸易有限公司</t>
    <phoneticPr fontId="10" type="noConversion"/>
  </si>
  <si>
    <t>到厂价 款到发货，S 0.06</t>
    <phoneticPr fontId="10" type="noConversion"/>
  </si>
  <si>
    <t>到厂价 货到付款</t>
    <phoneticPr fontId="10" type="noConversion"/>
  </si>
  <si>
    <t>SMA20170621-1</t>
    <phoneticPr fontId="14" type="noConversion"/>
  </si>
  <si>
    <t>衡东林奕炉料贸易有限公司</t>
    <phoneticPr fontId="14" type="noConversion"/>
  </si>
  <si>
    <t>SMXG1707Mb1</t>
    <phoneticPr fontId="14" type="noConversion"/>
  </si>
  <si>
    <t>长沙</t>
    <phoneticPr fontId="14" type="noConversion"/>
  </si>
  <si>
    <t>SMXG1706Mb2</t>
    <phoneticPr fontId="10" type="noConversion"/>
  </si>
  <si>
    <t>SMA20170623-1</t>
    <phoneticPr fontId="10" type="noConversion"/>
  </si>
  <si>
    <t>SMA20170623-1</t>
    <phoneticPr fontId="14" type="noConversion"/>
  </si>
  <si>
    <t>SMA20170612-2</t>
    <phoneticPr fontId="14" type="noConversion"/>
  </si>
  <si>
    <t>锰片</t>
    <phoneticPr fontId="10" type="noConversion"/>
  </si>
  <si>
    <t>南京金投化工科技有限公司</t>
    <phoneticPr fontId="10" type="noConversion"/>
  </si>
  <si>
    <t>SMA20170621-1</t>
    <phoneticPr fontId="14" type="noConversion"/>
  </si>
  <si>
    <t>衡东林奕炉料贸易有限公司</t>
    <phoneticPr fontId="10" type="noConversion"/>
  </si>
  <si>
    <t>SMA20170623-1</t>
    <phoneticPr fontId="14" type="noConversion"/>
  </si>
  <si>
    <t>陈剑钊</t>
    <phoneticPr fontId="10" type="noConversion"/>
  </si>
  <si>
    <t>SMA20170628-1</t>
    <phoneticPr fontId="10" type="noConversion"/>
  </si>
  <si>
    <t>黔西南泰龙（集团）焱鑫冶炼有限公司</t>
    <phoneticPr fontId="10" type="noConversion"/>
  </si>
  <si>
    <t>SMXG1707Ms1</t>
    <phoneticPr fontId="14" type="noConversion"/>
  </si>
  <si>
    <t>SMA20170628-1</t>
    <phoneticPr fontId="14" type="noConversion"/>
  </si>
  <si>
    <t>黔西南泰龙（集团）焱鑫冶炼有限公司</t>
    <phoneticPr fontId="14" type="noConversion"/>
  </si>
  <si>
    <t>SMA20170703-1</t>
    <phoneticPr fontId="14" type="noConversion"/>
  </si>
  <si>
    <t>自提价，7月华诚均价；20%预付款；7月12前提货，7月底多退少补</t>
    <phoneticPr fontId="10" type="noConversion"/>
  </si>
  <si>
    <t>现金到厂价，7-10日前到 6-28日支付30%；装车支付55%，当天收85%发票；结算后收票付尾款，折基一半一半</t>
    <phoneticPr fontId="10" type="noConversion"/>
  </si>
  <si>
    <t>SMA20170627-1</t>
    <phoneticPr fontId="14" type="noConversion"/>
  </si>
  <si>
    <t>硅铁</t>
    <phoneticPr fontId="10" type="noConversion"/>
  </si>
  <si>
    <t>SME1707GT1</t>
    <phoneticPr fontId="14" type="noConversion"/>
  </si>
  <si>
    <t>SME1707GT2</t>
    <phoneticPr fontId="14" type="noConversion"/>
  </si>
  <si>
    <t>SME1707GT3</t>
    <phoneticPr fontId="14" type="noConversion"/>
  </si>
  <si>
    <t>SME1707GT4</t>
    <phoneticPr fontId="14" type="noConversion"/>
  </si>
  <si>
    <t>SME1707GT5</t>
    <phoneticPr fontId="14" type="noConversion"/>
  </si>
  <si>
    <t>SMA20170629-2</t>
    <phoneticPr fontId="14" type="noConversion"/>
  </si>
  <si>
    <t>SME1708GT1</t>
    <phoneticPr fontId="14" type="noConversion"/>
  </si>
  <si>
    <t>硅铁</t>
    <phoneticPr fontId="14" type="noConversion"/>
  </si>
  <si>
    <t>硅铁</t>
    <phoneticPr fontId="14" type="noConversion"/>
  </si>
  <si>
    <t>SMA20170630-2</t>
    <phoneticPr fontId="14" type="noConversion"/>
  </si>
  <si>
    <t>SME1708GT2</t>
    <phoneticPr fontId="14" type="noConversion"/>
  </si>
  <si>
    <t>SME1708GT3</t>
    <phoneticPr fontId="14" type="noConversion"/>
  </si>
  <si>
    <t>SMA20170630-3</t>
    <phoneticPr fontId="14" type="noConversion"/>
  </si>
  <si>
    <t>SMA20170628-2</t>
    <phoneticPr fontId="14" type="noConversion"/>
  </si>
  <si>
    <t>销售价格</t>
    <phoneticPr fontId="10" type="noConversion"/>
  </si>
  <si>
    <t>SMA20170704-1</t>
    <phoneticPr fontId="10" type="noConversion"/>
  </si>
  <si>
    <t>SMA20170704-1</t>
    <phoneticPr fontId="14" type="noConversion"/>
  </si>
  <si>
    <t>SMA20170703-1</t>
    <phoneticPr fontId="14" type="noConversion"/>
  </si>
  <si>
    <t>XHZYL20170615</t>
    <phoneticPr fontId="14" type="noConversion"/>
  </si>
  <si>
    <t>江西景忠贸易有限公司</t>
    <phoneticPr fontId="14" type="noConversion"/>
  </si>
  <si>
    <t>SMA20170704-2</t>
    <phoneticPr fontId="10" type="noConversion"/>
  </si>
  <si>
    <t>到厂价 款到发货；7-5日发货；S 0.03</t>
    <phoneticPr fontId="10" type="noConversion"/>
  </si>
  <si>
    <t>SMXG1706Mb2</t>
    <phoneticPr fontId="10" type="noConversion"/>
  </si>
  <si>
    <t>锰球</t>
    <phoneticPr fontId="10" type="noConversion"/>
  </si>
  <si>
    <t>惠冶</t>
    <phoneticPr fontId="14" type="noConversion"/>
  </si>
  <si>
    <t>湘钢</t>
    <phoneticPr fontId="14" type="noConversion"/>
  </si>
  <si>
    <t>赣CX9095</t>
    <phoneticPr fontId="14" type="noConversion"/>
  </si>
  <si>
    <t>销售合同</t>
    <phoneticPr fontId="14" type="noConversion"/>
  </si>
  <si>
    <t>SMA20170704-1</t>
    <phoneticPr fontId="10" type="noConversion"/>
  </si>
  <si>
    <t>锰片</t>
    <phoneticPr fontId="10" type="noConversion"/>
  </si>
  <si>
    <t>长沙</t>
    <phoneticPr fontId="14" type="noConversion"/>
  </si>
  <si>
    <t>惠冶</t>
    <phoneticPr fontId="14" type="noConversion"/>
  </si>
  <si>
    <t>采购合同</t>
    <phoneticPr fontId="14" type="noConversion"/>
  </si>
  <si>
    <t>SMA20170704-1</t>
    <phoneticPr fontId="14" type="noConversion"/>
  </si>
  <si>
    <t>锰片</t>
    <phoneticPr fontId="14" type="noConversion"/>
  </si>
  <si>
    <t>衡东林奕炉料贸易有限公司</t>
    <phoneticPr fontId="14" type="noConversion"/>
  </si>
  <si>
    <t>昕洪中付款</t>
    <phoneticPr fontId="10" type="noConversion"/>
  </si>
  <si>
    <t>SMA20170704-2</t>
    <phoneticPr fontId="14" type="noConversion"/>
  </si>
  <si>
    <t>长阳铠榕电解锰有限公司</t>
    <phoneticPr fontId="14" type="noConversion"/>
  </si>
  <si>
    <t>SMXG1707Mb1</t>
    <phoneticPr fontId="10" type="noConversion"/>
  </si>
  <si>
    <t>赣CX9095</t>
    <phoneticPr fontId="14" type="noConversion"/>
  </si>
  <si>
    <t>SMXG1707Mb1</t>
    <phoneticPr fontId="10" type="noConversion"/>
  </si>
  <si>
    <t>锰球</t>
    <phoneticPr fontId="10" type="noConversion"/>
  </si>
  <si>
    <t>惠冶</t>
    <phoneticPr fontId="14" type="noConversion"/>
  </si>
  <si>
    <t>湘钢</t>
    <phoneticPr fontId="14" type="noConversion"/>
  </si>
  <si>
    <t>赣CX9086</t>
    <phoneticPr fontId="14" type="noConversion"/>
  </si>
  <si>
    <t>销售合同</t>
    <phoneticPr fontId="14" type="noConversion"/>
  </si>
  <si>
    <t>SMA20170704-2</t>
    <phoneticPr fontId="10" type="noConversion"/>
  </si>
  <si>
    <t>锰片</t>
    <phoneticPr fontId="10" type="noConversion"/>
  </si>
  <si>
    <t>长阳</t>
    <phoneticPr fontId="14" type="noConversion"/>
  </si>
  <si>
    <t>采购合同</t>
    <phoneticPr fontId="14" type="noConversion"/>
  </si>
  <si>
    <t>SMA20170707-1</t>
    <phoneticPr fontId="10" type="noConversion"/>
  </si>
  <si>
    <t>赣CQ6997</t>
    <phoneticPr fontId="14" type="noConversion"/>
  </si>
  <si>
    <t>湖南华菱湘潭钢铁有限公司</t>
    <phoneticPr fontId="14" type="noConversion"/>
  </si>
  <si>
    <t>SMXG1707Mb1</t>
    <phoneticPr fontId="10" type="noConversion"/>
  </si>
  <si>
    <t>锰球</t>
    <phoneticPr fontId="10" type="noConversion"/>
  </si>
  <si>
    <t>惠冶</t>
    <phoneticPr fontId="14" type="noConversion"/>
  </si>
  <si>
    <t>湘钢</t>
    <phoneticPr fontId="14" type="noConversion"/>
  </si>
  <si>
    <t>赣CX9086</t>
    <phoneticPr fontId="14" type="noConversion"/>
  </si>
  <si>
    <t>销售合同</t>
    <phoneticPr fontId="14" type="noConversion"/>
  </si>
  <si>
    <t>湘EB2140</t>
    <phoneticPr fontId="14" type="noConversion"/>
  </si>
  <si>
    <t>赣CQ6997</t>
    <phoneticPr fontId="14" type="noConversion"/>
  </si>
  <si>
    <t>SMA20170628-1</t>
    <phoneticPr fontId="10" type="noConversion"/>
  </si>
  <si>
    <t>硅锰</t>
    <phoneticPr fontId="10" type="noConversion"/>
  </si>
  <si>
    <t>黔西南</t>
    <phoneticPr fontId="14" type="noConversion"/>
  </si>
  <si>
    <t>皖M6F701</t>
    <phoneticPr fontId="14" type="noConversion"/>
  </si>
  <si>
    <t>皖M6F451</t>
    <phoneticPr fontId="14" type="noConversion"/>
  </si>
  <si>
    <t>皖M6E760</t>
    <phoneticPr fontId="14" type="noConversion"/>
  </si>
  <si>
    <t>皖M6E771</t>
    <phoneticPr fontId="14" type="noConversion"/>
  </si>
  <si>
    <t>苏JR6617</t>
    <phoneticPr fontId="14" type="noConversion"/>
  </si>
  <si>
    <t>赣C9A662</t>
    <phoneticPr fontId="14" type="noConversion"/>
  </si>
  <si>
    <t>SMA20170710-1</t>
    <phoneticPr fontId="10" type="noConversion"/>
  </si>
  <si>
    <t>华锟收款</t>
    <phoneticPr fontId="10" type="noConversion"/>
  </si>
  <si>
    <t>SMA20170710-1</t>
    <phoneticPr fontId="14" type="noConversion"/>
  </si>
  <si>
    <t>SMA20170707-2</t>
    <phoneticPr fontId="10" type="noConversion"/>
  </si>
  <si>
    <t xml:space="preserve">湖南省旌玮金属材料有限责任公司 </t>
    <phoneticPr fontId="10" type="noConversion"/>
  </si>
  <si>
    <t>皖M6C030</t>
    <phoneticPr fontId="14" type="noConversion"/>
  </si>
  <si>
    <t>皖M6F327</t>
    <phoneticPr fontId="14" type="noConversion"/>
  </si>
  <si>
    <t>皖M68606</t>
    <phoneticPr fontId="14" type="noConversion"/>
  </si>
  <si>
    <t>SMA20170711-1</t>
    <phoneticPr fontId="10" type="noConversion"/>
  </si>
  <si>
    <t>现金到厂价，7-30日前到 当日支付30%；装车支付55%，当天收85%发票；结算后收票付尾款，折基一半一半</t>
    <phoneticPr fontId="10" type="noConversion"/>
  </si>
  <si>
    <t>SMA20170703-1</t>
    <phoneticPr fontId="10" type="noConversion"/>
  </si>
  <si>
    <t>SMA20170710-1</t>
    <phoneticPr fontId="10" type="noConversion"/>
  </si>
  <si>
    <t>锰片</t>
    <phoneticPr fontId="10" type="noConversion"/>
  </si>
  <si>
    <t>长沙</t>
    <phoneticPr fontId="14" type="noConversion"/>
  </si>
  <si>
    <t>惠冶</t>
    <phoneticPr fontId="14" type="noConversion"/>
  </si>
  <si>
    <t>采购合同</t>
    <phoneticPr fontId="14" type="noConversion"/>
  </si>
  <si>
    <t>SMA20170628-1</t>
    <phoneticPr fontId="10" type="noConversion"/>
  </si>
  <si>
    <t>SMXG1707Ms1</t>
    <phoneticPr fontId="10" type="noConversion"/>
  </si>
  <si>
    <t>SMA20170703-1</t>
    <phoneticPr fontId="10" type="noConversion"/>
  </si>
  <si>
    <t>SMA20170712-1</t>
    <phoneticPr fontId="10" type="noConversion"/>
  </si>
  <si>
    <t>到厂价 款到发货；7-13日前发货；S 0.03</t>
    <phoneticPr fontId="10" type="noConversion"/>
  </si>
  <si>
    <t>SMA20170712-2</t>
    <phoneticPr fontId="10" type="noConversion"/>
  </si>
  <si>
    <t>湖南发瑞经贸有限公司</t>
    <phoneticPr fontId="10" type="noConversion"/>
  </si>
  <si>
    <t>SMA20170712-1</t>
    <phoneticPr fontId="14" type="noConversion"/>
  </si>
  <si>
    <t>SMA20170712-2</t>
    <phoneticPr fontId="14" type="noConversion"/>
  </si>
  <si>
    <t>湖南发瑞经贸有限公司</t>
    <phoneticPr fontId="10" type="noConversion"/>
  </si>
  <si>
    <t>SMXG1707Mb2</t>
    <phoneticPr fontId="14" type="noConversion"/>
  </si>
  <si>
    <t>SMA20170713-1</t>
    <phoneticPr fontId="10" type="noConversion"/>
  </si>
  <si>
    <t>SMA20170713-1</t>
    <phoneticPr fontId="14" type="noConversion"/>
  </si>
  <si>
    <t>SMA20170713-2</t>
    <phoneticPr fontId="14" type="noConversion"/>
  </si>
  <si>
    <t>SMA20170712-1</t>
    <phoneticPr fontId="10" type="noConversion"/>
  </si>
  <si>
    <t>锰片</t>
    <phoneticPr fontId="10" type="noConversion"/>
  </si>
  <si>
    <t>长阳铠榕电解锰有限公司</t>
    <phoneticPr fontId="10" type="noConversion"/>
  </si>
  <si>
    <t>昕洪中付款</t>
    <phoneticPr fontId="10" type="noConversion"/>
  </si>
  <si>
    <t>SMA20170713-1</t>
    <phoneticPr fontId="10" type="noConversion"/>
  </si>
  <si>
    <t>衡东林奕炉料贸易有限公司</t>
    <phoneticPr fontId="10" type="noConversion"/>
  </si>
  <si>
    <t>SMA20170713-2</t>
    <phoneticPr fontId="10" type="noConversion"/>
  </si>
  <si>
    <t>7-21日前发货；厂价实际结算单价为发货日华诚网吉首价上浮100元/吨，</t>
    <phoneticPr fontId="10" type="noConversion"/>
  </si>
  <si>
    <t>SMA20170629-1</t>
    <phoneticPr fontId="14" type="noConversion"/>
  </si>
  <si>
    <t>SMA20170629-3</t>
    <phoneticPr fontId="14" type="noConversion"/>
  </si>
  <si>
    <t>SMA20170627-1</t>
    <phoneticPr fontId="10" type="noConversion"/>
  </si>
  <si>
    <t>硅铁</t>
    <phoneticPr fontId="10" type="noConversion"/>
  </si>
  <si>
    <t>天津</t>
    <phoneticPr fontId="14" type="noConversion"/>
  </si>
  <si>
    <t>名古屋</t>
    <phoneticPr fontId="14" type="noConversion"/>
  </si>
  <si>
    <t>采购合同</t>
    <phoneticPr fontId="14" type="noConversion"/>
  </si>
  <si>
    <t>SMA20170629-3</t>
    <phoneticPr fontId="10" type="noConversion"/>
  </si>
  <si>
    <t>SMA20170630-1</t>
    <phoneticPr fontId="10" type="noConversion"/>
  </si>
  <si>
    <t>SMA20170630-2</t>
    <phoneticPr fontId="10" type="noConversion"/>
  </si>
  <si>
    <t>SME1707GT1</t>
    <phoneticPr fontId="10" type="noConversion"/>
  </si>
  <si>
    <t>销售合同</t>
    <phoneticPr fontId="14" type="noConversion"/>
  </si>
  <si>
    <t>SME1707GT5</t>
    <phoneticPr fontId="10" type="noConversion"/>
  </si>
  <si>
    <t>SME1708GT1</t>
    <phoneticPr fontId="10" type="noConversion"/>
  </si>
  <si>
    <t>SME1708GT2</t>
    <phoneticPr fontId="10" type="noConversion"/>
  </si>
  <si>
    <t>SMA20170627-1</t>
    <phoneticPr fontId="10" type="noConversion"/>
  </si>
  <si>
    <t>SMA20170629-3</t>
    <phoneticPr fontId="10" type="noConversion"/>
  </si>
  <si>
    <t>SMA20170630-1</t>
    <phoneticPr fontId="10" type="noConversion"/>
  </si>
  <si>
    <t>SMA20170630-2</t>
    <phoneticPr fontId="10" type="noConversion"/>
  </si>
  <si>
    <t>SME1707GT1</t>
    <phoneticPr fontId="10" type="noConversion"/>
  </si>
  <si>
    <t>SME1707GT5</t>
    <phoneticPr fontId="10" type="noConversion"/>
  </si>
  <si>
    <t>SME1708GT1</t>
    <phoneticPr fontId="10" type="noConversion"/>
  </si>
  <si>
    <t>SME1708GT2</t>
    <phoneticPr fontId="10" type="noConversion"/>
  </si>
  <si>
    <t>华锟香港开票</t>
    <phoneticPr fontId="14" type="noConversion"/>
  </si>
  <si>
    <t>SMA20170523-1</t>
    <phoneticPr fontId="10" type="noConversion"/>
  </si>
  <si>
    <t>SMA20170523-2</t>
    <phoneticPr fontId="10" type="noConversion"/>
  </si>
  <si>
    <t>SME1706MN1</t>
    <phoneticPr fontId="10" type="noConversion"/>
  </si>
  <si>
    <t>SME1706MN2</t>
    <phoneticPr fontId="10" type="noConversion"/>
  </si>
  <si>
    <t>SME1705MN1</t>
    <phoneticPr fontId="10" type="noConversion"/>
  </si>
  <si>
    <t>锰片</t>
    <phoneticPr fontId="10" type="noConversion"/>
  </si>
  <si>
    <t>METZ CORPORATION</t>
    <phoneticPr fontId="10" type="noConversion"/>
  </si>
  <si>
    <t>华锟香港收款</t>
    <phoneticPr fontId="10" type="noConversion"/>
  </si>
  <si>
    <t>湖南华菱湘潭钢铁有限公司</t>
    <phoneticPr fontId="10" type="noConversion"/>
  </si>
  <si>
    <t>铁矿-华菱湘钢</t>
    <phoneticPr fontId="10" type="noConversion"/>
  </si>
  <si>
    <t>炉料</t>
    <phoneticPr fontId="10" type="noConversion"/>
  </si>
  <si>
    <t>SMA20170713-2</t>
    <phoneticPr fontId="10" type="noConversion"/>
  </si>
  <si>
    <t>SMA20170713-2</t>
    <phoneticPr fontId="14" type="noConversion"/>
  </si>
  <si>
    <t>SMZP1707Mn1</t>
    <phoneticPr fontId="14" type="noConversion"/>
  </si>
  <si>
    <t>50%承兑，50%现金.结算后支付全款.8-9日60T；8-15日30T；8-22日60T</t>
    <phoneticPr fontId="14" type="noConversion"/>
  </si>
  <si>
    <t>SMXG1707Fc1</t>
    <phoneticPr fontId="14" type="noConversion"/>
  </si>
  <si>
    <t>SMA20170717-1</t>
    <phoneticPr fontId="10" type="noConversion"/>
  </si>
  <si>
    <t>现款到厂价，装船前85%货款；尾款结算后支付</t>
    <phoneticPr fontId="10" type="noConversion"/>
  </si>
  <si>
    <t>旌玮</t>
    <phoneticPr fontId="14" type="noConversion"/>
  </si>
  <si>
    <t>铁矿-电承</t>
    <phoneticPr fontId="10" type="noConversion"/>
  </si>
  <si>
    <t>GN51011770088071</t>
    <phoneticPr fontId="10" type="noConversion"/>
  </si>
  <si>
    <t>SMA20170707-2</t>
    <phoneticPr fontId="14" type="noConversion"/>
  </si>
  <si>
    <t xml:space="preserve">湖南省旌玮金属材料有限责任公司 </t>
    <phoneticPr fontId="14" type="noConversion"/>
  </si>
  <si>
    <t>SMA20170717-1</t>
    <phoneticPr fontId="10" type="noConversion"/>
  </si>
  <si>
    <t>焦粉</t>
    <phoneticPr fontId="10" type="noConversion"/>
  </si>
  <si>
    <t>山东泰盈康国际贸易有限公司</t>
    <phoneticPr fontId="10" type="noConversion"/>
  </si>
  <si>
    <t>昕洪中付款</t>
    <phoneticPr fontId="10" type="noConversion"/>
  </si>
  <si>
    <t>SME161201-A</t>
  </si>
  <si>
    <t>SME161201-A</t>
    <phoneticPr fontId="14" type="noConversion"/>
  </si>
  <si>
    <t>快递费</t>
    <phoneticPr fontId="10" type="noConversion"/>
  </si>
  <si>
    <t>上海擎鼎实业有限公司</t>
    <phoneticPr fontId="10" type="noConversion"/>
  </si>
  <si>
    <t>调整</t>
    <phoneticPr fontId="10" type="noConversion"/>
  </si>
  <si>
    <t>SMA20170719-1</t>
    <phoneticPr fontId="14" type="noConversion"/>
  </si>
  <si>
    <t>SME1708GT4</t>
    <phoneticPr fontId="14" type="noConversion"/>
  </si>
  <si>
    <t>SME1708GT5</t>
    <phoneticPr fontId="14" type="noConversion"/>
  </si>
  <si>
    <t>SMA20170628-2</t>
    <phoneticPr fontId="14" type="noConversion"/>
  </si>
  <si>
    <t>SME1707GT2</t>
    <phoneticPr fontId="14" type="noConversion"/>
  </si>
  <si>
    <t>福山</t>
    <phoneticPr fontId="14" type="noConversion"/>
  </si>
  <si>
    <t>SME1708GT4</t>
    <phoneticPr fontId="14" type="noConversion"/>
  </si>
  <si>
    <t>YONGHE METAL CO.,LTD</t>
    <phoneticPr fontId="14" type="noConversion"/>
  </si>
  <si>
    <t>SMA20170627-1</t>
    <phoneticPr fontId="14" type="noConversion"/>
  </si>
  <si>
    <t>硅铁</t>
    <phoneticPr fontId="14" type="noConversion"/>
  </si>
  <si>
    <t>华锟香港付款</t>
    <phoneticPr fontId="10" type="noConversion"/>
  </si>
  <si>
    <t>SMA20170628-2</t>
    <phoneticPr fontId="14" type="noConversion"/>
  </si>
  <si>
    <t>SMA20170629-3</t>
    <phoneticPr fontId="14" type="noConversion"/>
  </si>
  <si>
    <t>硅铁</t>
    <phoneticPr fontId="14" type="noConversion"/>
  </si>
  <si>
    <t>YONGHE METAL CO.,LTD</t>
    <phoneticPr fontId="14" type="noConversion"/>
  </si>
  <si>
    <t>华锟香港付款</t>
    <phoneticPr fontId="10" type="noConversion"/>
  </si>
  <si>
    <t>SMA20170630-1</t>
    <phoneticPr fontId="14" type="noConversion"/>
  </si>
  <si>
    <t>SMA20170630-2</t>
    <phoneticPr fontId="14" type="noConversion"/>
  </si>
  <si>
    <t>SMA20170629-3</t>
    <phoneticPr fontId="14" type="noConversion"/>
  </si>
  <si>
    <t>SMXG1707Mb2</t>
    <phoneticPr fontId="10" type="noConversion"/>
  </si>
  <si>
    <t>SMA20170713-1</t>
    <phoneticPr fontId="14" type="noConversion"/>
  </si>
  <si>
    <t>SMA20170707-11</t>
    <phoneticPr fontId="14" type="noConversion"/>
  </si>
  <si>
    <t>SMXG1708Ms1</t>
    <phoneticPr fontId="14" type="noConversion"/>
  </si>
  <si>
    <t>SME1707GT2</t>
    <phoneticPr fontId="10" type="noConversion"/>
  </si>
  <si>
    <t>SMA20170707-11</t>
    <phoneticPr fontId="10" type="noConversion"/>
  </si>
  <si>
    <t>SMA20170724-1</t>
    <phoneticPr fontId="10" type="noConversion"/>
  </si>
  <si>
    <t>SME1708GT2</t>
    <phoneticPr fontId="14" type="noConversion"/>
  </si>
  <si>
    <t>硅铁</t>
    <phoneticPr fontId="14" type="noConversion"/>
  </si>
  <si>
    <t>METZ CORPORATION</t>
    <phoneticPr fontId="14" type="noConversion"/>
  </si>
  <si>
    <t>华锟香港收款</t>
    <phoneticPr fontId="10" type="noConversion"/>
  </si>
  <si>
    <t>硅锰</t>
    <phoneticPr fontId="14" type="noConversion"/>
  </si>
  <si>
    <t>黔西南泰龙（集团）焱鑫冶炼有限公司</t>
    <phoneticPr fontId="14" type="noConversion"/>
  </si>
  <si>
    <t>SMA20170711-1</t>
    <phoneticPr fontId="14" type="noConversion"/>
  </si>
  <si>
    <t>电票</t>
    <phoneticPr fontId="10" type="noConversion"/>
  </si>
  <si>
    <t>苏G29755</t>
    <phoneticPr fontId="14" type="noConversion"/>
  </si>
  <si>
    <t>苏GA9217</t>
    <phoneticPr fontId="14" type="noConversion"/>
  </si>
  <si>
    <t>SMA20170712-2</t>
    <phoneticPr fontId="10" type="noConversion"/>
  </si>
  <si>
    <t>苏BG1389</t>
    <phoneticPr fontId="14" type="noConversion"/>
  </si>
  <si>
    <t>SMA20170724-1</t>
    <phoneticPr fontId="14" type="noConversion"/>
  </si>
  <si>
    <t>湖南发瑞经贸有限公司</t>
    <phoneticPr fontId="14" type="noConversion"/>
  </si>
  <si>
    <t>GN51011770088071</t>
    <phoneticPr fontId="14" type="noConversion"/>
  </si>
  <si>
    <t>湖北鑫沃贸易有限公司</t>
    <phoneticPr fontId="10" type="noConversion"/>
  </si>
  <si>
    <t>SMXG1705Ms1</t>
    <phoneticPr fontId="14" type="noConversion"/>
  </si>
  <si>
    <t>硅锰</t>
    <phoneticPr fontId="14" type="noConversion"/>
  </si>
  <si>
    <t>中船工业成套物流(广州)有限公司</t>
    <phoneticPr fontId="14" type="noConversion"/>
  </si>
  <si>
    <t>华锟收款</t>
    <phoneticPr fontId="10" type="noConversion"/>
  </si>
  <si>
    <t>SMA20170707-1</t>
    <phoneticPr fontId="14" type="noConversion"/>
  </si>
  <si>
    <t>铁矿</t>
    <phoneticPr fontId="14" type="noConversion"/>
  </si>
  <si>
    <t>湖北鑫沃贸易有限公司</t>
    <phoneticPr fontId="14" type="noConversion"/>
  </si>
  <si>
    <t>电票</t>
    <phoneticPr fontId="10" type="noConversion"/>
  </si>
  <si>
    <t>昕洪中付款</t>
    <phoneticPr fontId="10" type="noConversion"/>
  </si>
  <si>
    <t>现款615，承兑634元/T 装船后即安排付款，甲方根据装运数量及出厂检验付款80%</t>
    <phoneticPr fontId="10" type="noConversion"/>
  </si>
  <si>
    <t>GN51011770088071</t>
    <phoneticPr fontId="10" type="noConversion"/>
  </si>
  <si>
    <t>铁矿</t>
    <phoneticPr fontId="10" type="noConversion"/>
  </si>
  <si>
    <t>鄂州</t>
    <phoneticPr fontId="14" type="noConversion"/>
  </si>
  <si>
    <t>湘钢</t>
    <phoneticPr fontId="14" type="noConversion"/>
  </si>
  <si>
    <t>销售合同</t>
    <phoneticPr fontId="14" type="noConversion"/>
  </si>
  <si>
    <t>SMXG1707Mb2</t>
    <phoneticPr fontId="10" type="noConversion"/>
  </si>
  <si>
    <t>锰球</t>
    <phoneticPr fontId="10" type="noConversion"/>
  </si>
  <si>
    <t>惠冶</t>
    <phoneticPr fontId="14" type="noConversion"/>
  </si>
  <si>
    <t>赣CX9086</t>
    <phoneticPr fontId="14" type="noConversion"/>
  </si>
  <si>
    <t>湘C11396</t>
    <phoneticPr fontId="14" type="noConversion"/>
  </si>
  <si>
    <t>湘EB9247</t>
    <phoneticPr fontId="14" type="noConversion"/>
  </si>
  <si>
    <t>赣CL5532</t>
    <phoneticPr fontId="14" type="noConversion"/>
  </si>
  <si>
    <t>赣CX2101</t>
    <phoneticPr fontId="14" type="noConversion"/>
  </si>
  <si>
    <t>鲁RB9395</t>
    <phoneticPr fontId="14" type="noConversion"/>
  </si>
  <si>
    <t>鲁RH4599</t>
    <phoneticPr fontId="14" type="noConversion"/>
  </si>
  <si>
    <t>SMA20170717-1</t>
    <phoneticPr fontId="10" type="noConversion"/>
  </si>
  <si>
    <t>焦粉</t>
    <phoneticPr fontId="10" type="noConversion"/>
  </si>
  <si>
    <t>山东泰盈康国际贸易有限公司</t>
    <phoneticPr fontId="10" type="noConversion"/>
  </si>
  <si>
    <t>昕洪中收票</t>
    <phoneticPr fontId="14" type="noConversion"/>
  </si>
  <si>
    <t>SMA20170731-1</t>
    <phoneticPr fontId="14" type="noConversion"/>
  </si>
  <si>
    <t>自提价，8月华诚均价；20%预付款；8月10前提2车，8月20前提3车，8月25前提清，8月底多退少补</t>
    <phoneticPr fontId="10" type="noConversion"/>
  </si>
  <si>
    <t>锰锭</t>
    <phoneticPr fontId="14" type="noConversion"/>
  </si>
  <si>
    <t>SMJR1708Mn1</t>
    <phoneticPr fontId="14" type="noConversion"/>
  </si>
  <si>
    <t>SMXG1708Mb1</t>
    <phoneticPr fontId="14" type="noConversion"/>
  </si>
  <si>
    <t>SMXG1707Mb2</t>
    <phoneticPr fontId="14" type="noConversion"/>
  </si>
  <si>
    <t>SMA20170703-1</t>
    <phoneticPr fontId="14" type="noConversion"/>
  </si>
  <si>
    <t>锰片</t>
    <phoneticPr fontId="14" type="noConversion"/>
  </si>
  <si>
    <t xml:space="preserve">松桃三和锰业集团有限责任公司 </t>
    <phoneticPr fontId="14" type="noConversion"/>
  </si>
  <si>
    <t>昕洪中付款</t>
    <phoneticPr fontId="10" type="noConversion"/>
  </si>
  <si>
    <t>SMA20170731-1</t>
    <phoneticPr fontId="14" type="noConversion"/>
  </si>
  <si>
    <t>焦粉</t>
    <phoneticPr fontId="10" type="noConversion"/>
  </si>
  <si>
    <t>SMXG1707Fc1</t>
    <phoneticPr fontId="10" type="noConversion"/>
  </si>
  <si>
    <t>SMA20170801-1</t>
    <phoneticPr fontId="10" type="noConversion"/>
  </si>
  <si>
    <t>合同当天付款，款到后两天内发货</t>
    <phoneticPr fontId="10" type="noConversion"/>
  </si>
  <si>
    <t>SMA20170801-2</t>
  </si>
  <si>
    <t>到厂价 款到发货，S 0.05</t>
    <phoneticPr fontId="10" type="noConversion"/>
  </si>
  <si>
    <t>SMA20170717-1</t>
    <phoneticPr fontId="14" type="noConversion"/>
  </si>
  <si>
    <t>焦粉</t>
    <phoneticPr fontId="14" type="noConversion"/>
  </si>
  <si>
    <t>山东泰盈康国际贸易有限公司</t>
    <phoneticPr fontId="14" type="noConversion"/>
  </si>
  <si>
    <t>SMA20170801-1</t>
    <phoneticPr fontId="14" type="noConversion"/>
  </si>
  <si>
    <t>湖南华杉科技发展有限公司</t>
    <phoneticPr fontId="14" type="noConversion"/>
  </si>
  <si>
    <t>SMA20170801-2</t>
    <phoneticPr fontId="14" type="noConversion"/>
  </si>
  <si>
    <t>衡东林奕炉料贸易有限公司</t>
    <phoneticPr fontId="14" type="noConversion"/>
  </si>
  <si>
    <t>SMA20170801-5</t>
    <phoneticPr fontId="14" type="noConversion"/>
  </si>
  <si>
    <t>1284元挂账；到阳春价，8-1日支付50万，8-2日付余款收增票，发货.</t>
    <phoneticPr fontId="10" type="noConversion"/>
  </si>
  <si>
    <t>SMA20170801-3</t>
    <phoneticPr fontId="10" type="noConversion"/>
  </si>
  <si>
    <t>现款652，承兑678元/T 装船后即安排付款，甲方根据装运数量及出厂检验付款80%</t>
    <phoneticPr fontId="10" type="noConversion"/>
  </si>
  <si>
    <t>中船工业成套物流有限公司</t>
    <phoneticPr fontId="14" type="noConversion"/>
  </si>
  <si>
    <t>SMA20170801-5</t>
    <phoneticPr fontId="10" type="noConversion"/>
  </si>
  <si>
    <t>SMXG1708Vn1</t>
    <phoneticPr fontId="14" type="noConversion"/>
  </si>
  <si>
    <t>暂为华杉库存</t>
    <phoneticPr fontId="14" type="noConversion"/>
  </si>
  <si>
    <t>SMA20170731-1</t>
    <phoneticPr fontId="10" type="noConversion"/>
  </si>
  <si>
    <t>SMA20170628-1</t>
    <phoneticPr fontId="10" type="noConversion"/>
  </si>
  <si>
    <t>黔西南泰龙（集团）焱鑫冶炼有限公司</t>
    <phoneticPr fontId="10" type="noConversion"/>
  </si>
  <si>
    <t>昕洪中收票</t>
    <phoneticPr fontId="14" type="noConversion"/>
  </si>
  <si>
    <t>SMA20170712-2</t>
    <phoneticPr fontId="10" type="noConversion"/>
  </si>
  <si>
    <t>锰片</t>
    <phoneticPr fontId="10" type="noConversion"/>
  </si>
  <si>
    <t>湖南发瑞经贸有限公司</t>
    <phoneticPr fontId="10" type="noConversion"/>
  </si>
  <si>
    <t>SMA20170703-1</t>
    <phoneticPr fontId="10" type="noConversion"/>
  </si>
  <si>
    <t xml:space="preserve">松桃三和锰业集团有限责任公司 </t>
    <phoneticPr fontId="10" type="noConversion"/>
  </si>
  <si>
    <t>SMA20170801-2</t>
    <phoneticPr fontId="10" type="noConversion"/>
  </si>
  <si>
    <t>长沙</t>
    <phoneticPr fontId="14" type="noConversion"/>
  </si>
  <si>
    <t>SMZZ1708Ms1</t>
    <phoneticPr fontId="10" type="noConversion"/>
  </si>
  <si>
    <t>SMA20170714-1</t>
    <phoneticPr fontId="10" type="noConversion"/>
  </si>
  <si>
    <t xml:space="preserve">苏NFM380 </t>
    <phoneticPr fontId="47" type="noConversion"/>
  </si>
  <si>
    <t>鲁Q1282A</t>
    <phoneticPr fontId="47" type="noConversion"/>
  </si>
  <si>
    <t>豫CF8732</t>
    <phoneticPr fontId="47" type="noConversion"/>
  </si>
  <si>
    <t>SMXG1708Vn1</t>
    <phoneticPr fontId="10" type="noConversion"/>
  </si>
  <si>
    <t>钒氮合金</t>
    <phoneticPr fontId="10" type="noConversion"/>
  </si>
  <si>
    <t>陕西</t>
    <phoneticPr fontId="14" type="noConversion"/>
  </si>
  <si>
    <t>湘钢</t>
    <phoneticPr fontId="14" type="noConversion"/>
  </si>
  <si>
    <t>销售合同</t>
    <phoneticPr fontId="14" type="noConversion"/>
  </si>
  <si>
    <t>SMZP1707Mn1</t>
    <phoneticPr fontId="10" type="noConversion"/>
  </si>
  <si>
    <t>金属锰锭</t>
    <phoneticPr fontId="10" type="noConversion"/>
  </si>
  <si>
    <t>SMZZ1708Ms1</t>
    <phoneticPr fontId="14" type="noConversion"/>
  </si>
  <si>
    <t>SMXG1707Mb1</t>
    <phoneticPr fontId="10" type="noConversion"/>
  </si>
  <si>
    <t>锰球</t>
    <phoneticPr fontId="10" type="noConversion"/>
  </si>
  <si>
    <t>湖南华菱湘潭钢铁有限公司</t>
    <phoneticPr fontId="10" type="noConversion"/>
  </si>
  <si>
    <t>SMXG1707Mb2</t>
    <phoneticPr fontId="10" type="noConversion"/>
  </si>
  <si>
    <t>SMXG1707Ms1</t>
    <phoneticPr fontId="10" type="noConversion"/>
  </si>
  <si>
    <t>硅锰</t>
    <phoneticPr fontId="10" type="noConversion"/>
  </si>
  <si>
    <t>SMA20170801-4</t>
    <phoneticPr fontId="10" type="noConversion"/>
  </si>
  <si>
    <t>SMA20170711-1</t>
    <phoneticPr fontId="10" type="noConversion"/>
  </si>
  <si>
    <t>铁合金-电承</t>
    <phoneticPr fontId="10" type="noConversion"/>
  </si>
  <si>
    <t>电承</t>
    <phoneticPr fontId="10" type="noConversion"/>
  </si>
  <si>
    <t>苏CWB962</t>
    <phoneticPr fontId="47" type="noConversion"/>
  </si>
  <si>
    <t>豫C82819</t>
    <phoneticPr fontId="47" type="noConversion"/>
  </si>
  <si>
    <t>SMA20170726-1</t>
    <phoneticPr fontId="14" type="noConversion"/>
  </si>
  <si>
    <t>SMA20170731-11</t>
    <phoneticPr fontId="14" type="noConversion"/>
  </si>
  <si>
    <t>SME1709GT1</t>
    <phoneticPr fontId="10" type="noConversion"/>
  </si>
  <si>
    <t>SME1708GT6</t>
    <phoneticPr fontId="10" type="noConversion"/>
  </si>
  <si>
    <t>Mitsui&amp;Co.,Ltd</t>
    <phoneticPr fontId="14" type="noConversion"/>
  </si>
  <si>
    <t>SME1709MN1</t>
    <phoneticPr fontId="14" type="noConversion"/>
  </si>
  <si>
    <t>宁夏天元</t>
    <phoneticPr fontId="10" type="noConversion"/>
  </si>
  <si>
    <t>宁夏天元锰业有限公司</t>
    <phoneticPr fontId="10" type="noConversion"/>
  </si>
  <si>
    <t>SMA20170628-2</t>
    <phoneticPr fontId="10" type="noConversion"/>
  </si>
  <si>
    <t>硅铁</t>
    <phoneticPr fontId="10" type="noConversion"/>
  </si>
  <si>
    <t>SMA20170629-1</t>
    <phoneticPr fontId="10" type="noConversion"/>
  </si>
  <si>
    <t>SMA20170630-1</t>
    <phoneticPr fontId="10" type="noConversion"/>
  </si>
  <si>
    <t>SMA20170630-3</t>
    <phoneticPr fontId="10" type="noConversion"/>
  </si>
  <si>
    <t>SMA20170629-2</t>
    <phoneticPr fontId="10" type="noConversion"/>
  </si>
  <si>
    <t>SMA20170630-1</t>
    <phoneticPr fontId="14" type="noConversion"/>
  </si>
  <si>
    <t>SME1707GT2</t>
  </si>
  <si>
    <t>SME1707GT3</t>
    <phoneticPr fontId="10" type="noConversion"/>
  </si>
  <si>
    <t>SME1707GT4</t>
    <phoneticPr fontId="10" type="noConversion"/>
  </si>
  <si>
    <t>SME1708GT3</t>
    <phoneticPr fontId="10" type="noConversion"/>
  </si>
  <si>
    <t>SME1707GT4</t>
    <phoneticPr fontId="14" type="noConversion"/>
  </si>
  <si>
    <t>硅铁</t>
    <phoneticPr fontId="14" type="noConversion"/>
  </si>
  <si>
    <t>METZ CORPORATION</t>
    <phoneticPr fontId="14" type="noConversion"/>
  </si>
  <si>
    <t>华锟香港收款</t>
    <phoneticPr fontId="10" type="noConversion"/>
  </si>
  <si>
    <t>SME1708GT1</t>
    <phoneticPr fontId="14" type="noConversion"/>
  </si>
  <si>
    <t>SME1707GT3</t>
    <phoneticPr fontId="14" type="noConversion"/>
  </si>
  <si>
    <t>SMXG1707Fc1</t>
    <phoneticPr fontId="14" type="noConversion"/>
  </si>
  <si>
    <t>焦粉</t>
    <phoneticPr fontId="14" type="noConversion"/>
  </si>
  <si>
    <t>中船工业成套物流有限公司</t>
    <phoneticPr fontId="14" type="noConversion"/>
  </si>
  <si>
    <t>GN51011770088071</t>
    <phoneticPr fontId="10" type="noConversion"/>
  </si>
  <si>
    <t>铁矿</t>
    <phoneticPr fontId="10" type="noConversion"/>
  </si>
  <si>
    <t>湖南华菱湘潭钢铁有限公司</t>
    <phoneticPr fontId="10" type="noConversion"/>
  </si>
  <si>
    <t>华锟开票</t>
    <phoneticPr fontId="14" type="noConversion"/>
  </si>
  <si>
    <t>SMA20170628-2</t>
    <phoneticPr fontId="10" type="noConversion"/>
  </si>
  <si>
    <t>硅铁</t>
    <phoneticPr fontId="10" type="noConversion"/>
  </si>
  <si>
    <t>YONGHE METAL CO.,LTD</t>
    <phoneticPr fontId="10" type="noConversion"/>
  </si>
  <si>
    <t>华锟香港收票</t>
    <phoneticPr fontId="14" type="noConversion"/>
  </si>
  <si>
    <t>SMA20170629-1</t>
    <phoneticPr fontId="10" type="noConversion"/>
  </si>
  <si>
    <t>SMA20170629-2</t>
    <phoneticPr fontId="10" type="noConversion"/>
  </si>
  <si>
    <t>SMA20170630-1</t>
    <phoneticPr fontId="10" type="noConversion"/>
  </si>
  <si>
    <t>SMA20170630-3</t>
    <phoneticPr fontId="10" type="noConversion"/>
  </si>
  <si>
    <t>SME1707GT2</t>
    <phoneticPr fontId="10" type="noConversion"/>
  </si>
  <si>
    <t>METZ CORPORATION</t>
    <phoneticPr fontId="10" type="noConversion"/>
  </si>
  <si>
    <t>华锟香港开票</t>
    <phoneticPr fontId="14" type="noConversion"/>
  </si>
  <si>
    <t>SME1707GT3</t>
    <phoneticPr fontId="10" type="noConversion"/>
  </si>
  <si>
    <t>SME1707GT4</t>
    <phoneticPr fontId="10" type="noConversion"/>
  </si>
  <si>
    <t>SME1708GT1</t>
    <phoneticPr fontId="10" type="noConversion"/>
  </si>
  <si>
    <t>SME1708GT3</t>
    <phoneticPr fontId="10" type="noConversion"/>
  </si>
  <si>
    <t>SMA20170714-1</t>
    <phoneticPr fontId="14" type="noConversion"/>
  </si>
  <si>
    <t>金属锰锭</t>
    <phoneticPr fontId="14" type="noConversion"/>
  </si>
  <si>
    <t>湖南泰立矿产开发有限公司</t>
    <phoneticPr fontId="14" type="noConversion"/>
  </si>
  <si>
    <t>昕洪中付款</t>
    <phoneticPr fontId="10" type="noConversion"/>
  </si>
  <si>
    <t>SMA20170801-3</t>
    <phoneticPr fontId="14" type="noConversion"/>
  </si>
  <si>
    <t>铁矿</t>
    <phoneticPr fontId="14" type="noConversion"/>
  </si>
  <si>
    <t>江西景忠贸易有限公司</t>
    <phoneticPr fontId="14" type="noConversion"/>
  </si>
  <si>
    <t>SMA20170801-3</t>
    <phoneticPr fontId="10" type="noConversion"/>
  </si>
  <si>
    <t>铁矿</t>
    <phoneticPr fontId="10" type="noConversion"/>
  </si>
  <si>
    <t>SMA20170801-4</t>
    <phoneticPr fontId="10" type="noConversion"/>
  </si>
  <si>
    <t>GN51011770088081</t>
    <phoneticPr fontId="14" type="noConversion"/>
  </si>
  <si>
    <t>GN51011770088081</t>
    <phoneticPr fontId="10" type="noConversion"/>
  </si>
  <si>
    <t>赣CX9086</t>
    <phoneticPr fontId="14" type="noConversion"/>
  </si>
  <si>
    <t>SMXG1708Mb1</t>
    <phoneticPr fontId="10" type="noConversion"/>
  </si>
  <si>
    <t>松桃金泰矿业有限责任公司</t>
    <phoneticPr fontId="10" type="noConversion"/>
  </si>
  <si>
    <t>加工锰锭</t>
    <phoneticPr fontId="10" type="noConversion"/>
  </si>
  <si>
    <t>2017HK08-JT-JG</t>
    <phoneticPr fontId="10" type="noConversion"/>
  </si>
  <si>
    <t>加工锰锭</t>
    <phoneticPr fontId="14" type="noConversion"/>
  </si>
  <si>
    <t>现款，送货</t>
    <phoneticPr fontId="14" type="noConversion"/>
  </si>
  <si>
    <t>2017XS08-SG-JG</t>
    <phoneticPr fontId="14" type="noConversion"/>
  </si>
  <si>
    <t>SMA20170707-2</t>
    <phoneticPr fontId="10" type="noConversion"/>
  </si>
  <si>
    <t>铁矿</t>
    <phoneticPr fontId="10" type="noConversion"/>
  </si>
  <si>
    <t xml:space="preserve">湖南省旌玮金属材料有限责任公司 </t>
    <phoneticPr fontId="10" type="noConversion"/>
  </si>
  <si>
    <t>昕洪中收票</t>
    <phoneticPr fontId="14" type="noConversion"/>
  </si>
  <si>
    <t>GN51011770088071</t>
    <phoneticPr fontId="10" type="noConversion"/>
  </si>
  <si>
    <t>湖南华菱湘潭钢铁有限公司</t>
    <phoneticPr fontId="10" type="noConversion"/>
  </si>
  <si>
    <t>华锟开票</t>
    <phoneticPr fontId="14" type="noConversion"/>
  </si>
  <si>
    <t>赣CX9095</t>
    <phoneticPr fontId="10" type="noConversion"/>
  </si>
  <si>
    <t>SMA20170801-4</t>
    <phoneticPr fontId="14" type="noConversion"/>
  </si>
  <si>
    <t>铁矿</t>
    <phoneticPr fontId="14" type="noConversion"/>
  </si>
  <si>
    <t xml:space="preserve">湖南省旌玮金属材料有限责任公司 </t>
    <phoneticPr fontId="14" type="noConversion"/>
  </si>
  <si>
    <t>昕洪中付款</t>
    <phoneticPr fontId="10" type="noConversion"/>
  </si>
  <si>
    <t>SMA20170731-1</t>
    <phoneticPr fontId="14" type="noConversion"/>
  </si>
  <si>
    <t>锰片</t>
    <phoneticPr fontId="14" type="noConversion"/>
  </si>
  <si>
    <t xml:space="preserve">松桃三和锰业集团有限责任公司 </t>
    <phoneticPr fontId="14" type="noConversion"/>
  </si>
  <si>
    <t>昕洪中付款</t>
    <phoneticPr fontId="10" type="noConversion"/>
  </si>
  <si>
    <t>2017XS08-SG-JG</t>
    <phoneticPr fontId="14" type="noConversion"/>
  </si>
  <si>
    <t>加工锰锭</t>
    <phoneticPr fontId="14" type="noConversion"/>
  </si>
  <si>
    <t>五矿资本股份有限公司</t>
    <phoneticPr fontId="14" type="noConversion"/>
  </si>
  <si>
    <t>华锟收款</t>
    <phoneticPr fontId="10" type="noConversion"/>
  </si>
  <si>
    <t>赣CQ6997</t>
    <phoneticPr fontId="10" type="noConversion"/>
  </si>
  <si>
    <t>SMA20170731-1</t>
    <phoneticPr fontId="14" type="noConversion"/>
  </si>
  <si>
    <t>含税6个月承兑价；现金到厂价（6820元/T），7-10日前到 6-28日支付30%；装车支付55%，当天收85%发票；结算后收票付尾款，折基一半一半</t>
    <phoneticPr fontId="10" type="noConversion"/>
  </si>
  <si>
    <t>承兑</t>
    <phoneticPr fontId="10" type="noConversion"/>
  </si>
  <si>
    <t>铁矿-承兑</t>
    <phoneticPr fontId="10" type="noConversion"/>
  </si>
  <si>
    <t>2017HK08-JT-JG-02</t>
    <phoneticPr fontId="10" type="noConversion"/>
  </si>
  <si>
    <t>2017XS08-15</t>
    <phoneticPr fontId="14" type="noConversion"/>
  </si>
  <si>
    <t>SMXG1709Mb1</t>
    <phoneticPr fontId="14" type="noConversion"/>
  </si>
  <si>
    <t>SMXG1709Mb1</t>
    <phoneticPr fontId="14" type="noConversion"/>
  </si>
  <si>
    <t>锰球</t>
    <phoneticPr fontId="14" type="noConversion"/>
  </si>
  <si>
    <t>湖南华菱湘潭钢铁有限公司</t>
    <phoneticPr fontId="14" type="noConversion"/>
  </si>
  <si>
    <t>SMZZ1708Ms1</t>
    <phoneticPr fontId="10" type="noConversion"/>
  </si>
  <si>
    <t>锰片</t>
    <phoneticPr fontId="10" type="noConversion"/>
  </si>
  <si>
    <t>株洲天鹰冶金炉料有限公司</t>
    <phoneticPr fontId="10" type="noConversion"/>
  </si>
  <si>
    <t>华锟开票</t>
    <phoneticPr fontId="14" type="noConversion"/>
  </si>
  <si>
    <t>SMA20170801-5</t>
    <phoneticPr fontId="10" type="noConversion"/>
  </si>
  <si>
    <t>钒氮合金</t>
    <phoneticPr fontId="10" type="noConversion"/>
  </si>
  <si>
    <t xml:space="preserve"> 陕西五洲钒金属材料科技有限公司</t>
    <phoneticPr fontId="10" type="noConversion"/>
  </si>
  <si>
    <t>昕洪中收票</t>
    <phoneticPr fontId="14" type="noConversion"/>
  </si>
  <si>
    <t>SMA20170801-1</t>
    <phoneticPr fontId="10" type="noConversion"/>
  </si>
  <si>
    <t>湖南华杉科技发展有限公司</t>
    <phoneticPr fontId="10" type="noConversion"/>
  </si>
  <si>
    <t>SMA20170825-1</t>
    <phoneticPr fontId="10" type="noConversion"/>
  </si>
  <si>
    <t>贵州铜仁和诚锰业有限公司</t>
    <phoneticPr fontId="10" type="noConversion"/>
  </si>
  <si>
    <t>2017HK08-JT-JG</t>
    <phoneticPr fontId="10" type="noConversion"/>
  </si>
  <si>
    <t>加工锰锭</t>
    <phoneticPr fontId="10" type="noConversion"/>
  </si>
  <si>
    <t>金泰</t>
    <phoneticPr fontId="14" type="noConversion"/>
  </si>
  <si>
    <t>沙钢</t>
    <phoneticPr fontId="14" type="noConversion"/>
  </si>
  <si>
    <t>2017XS08-SG-JG</t>
    <phoneticPr fontId="10" type="noConversion"/>
  </si>
  <si>
    <t>泰龙</t>
    <phoneticPr fontId="14" type="noConversion"/>
  </si>
  <si>
    <t>豫QE3028</t>
    <phoneticPr fontId="14" type="noConversion"/>
  </si>
  <si>
    <t>SMA20170814</t>
    <phoneticPr fontId="14" type="noConversion"/>
  </si>
  <si>
    <t>SMA20170818-1</t>
    <phoneticPr fontId="14" type="noConversion"/>
  </si>
  <si>
    <t>YONGHE METAL CO.,LTD</t>
    <phoneticPr fontId="10" type="noConversion"/>
  </si>
  <si>
    <t>SMA20170823</t>
    <phoneticPr fontId="14" type="noConversion"/>
  </si>
  <si>
    <t>SME1709GT3</t>
    <phoneticPr fontId="14" type="noConversion"/>
  </si>
  <si>
    <t>SME1709GT4</t>
    <phoneticPr fontId="14" type="noConversion"/>
  </si>
  <si>
    <t>SME1710GT1</t>
    <phoneticPr fontId="14" type="noConversion"/>
  </si>
  <si>
    <t>SME1711GT1</t>
    <phoneticPr fontId="14" type="noConversion"/>
  </si>
  <si>
    <t>SME1709GT2</t>
    <phoneticPr fontId="14" type="noConversion"/>
  </si>
  <si>
    <t>SME1708MN1</t>
    <phoneticPr fontId="14" type="noConversion"/>
  </si>
  <si>
    <t>皖K9H922</t>
    <phoneticPr fontId="14" type="noConversion"/>
  </si>
  <si>
    <t>皖C81245</t>
    <phoneticPr fontId="14" type="noConversion"/>
  </si>
  <si>
    <t>豫QE0727</t>
    <phoneticPr fontId="14" type="noConversion"/>
  </si>
  <si>
    <t>豫Q26980</t>
    <phoneticPr fontId="14" type="noConversion"/>
  </si>
  <si>
    <t>2017XS08-15</t>
    <phoneticPr fontId="14" type="noConversion"/>
  </si>
  <si>
    <t>加工锰锭</t>
    <phoneticPr fontId="14" type="noConversion"/>
  </si>
  <si>
    <t>五矿资本股份有限公司</t>
    <phoneticPr fontId="14" type="noConversion"/>
  </si>
  <si>
    <t>华锟收款</t>
    <phoneticPr fontId="10" type="noConversion"/>
  </si>
  <si>
    <t>SMA20170628-1</t>
    <phoneticPr fontId="14" type="noConversion"/>
  </si>
  <si>
    <t>硅锰</t>
    <phoneticPr fontId="14" type="noConversion"/>
  </si>
  <si>
    <t>黔西南泰龙（集团）焱鑫冶炼有限公司</t>
    <phoneticPr fontId="14" type="noConversion"/>
  </si>
  <si>
    <t>昕洪中付款</t>
    <phoneticPr fontId="10" type="noConversion"/>
  </si>
  <si>
    <t>SMA20170711-1</t>
    <phoneticPr fontId="14" type="noConversion"/>
  </si>
  <si>
    <t>SMA20170724-1</t>
    <phoneticPr fontId="14" type="noConversion"/>
  </si>
  <si>
    <t>2017HK08-JT-JG</t>
    <phoneticPr fontId="10" type="noConversion"/>
  </si>
  <si>
    <t>加工锰锭</t>
    <phoneticPr fontId="10" type="noConversion"/>
  </si>
  <si>
    <t>松桃金泰矿业有限责任公司</t>
    <phoneticPr fontId="10" type="noConversion"/>
  </si>
  <si>
    <t>铜仁</t>
    <phoneticPr fontId="14" type="noConversion"/>
  </si>
  <si>
    <t>SMA20170830-1</t>
    <phoneticPr fontId="14" type="noConversion"/>
  </si>
  <si>
    <t>SMA20170831-1</t>
    <phoneticPr fontId="14" type="noConversion"/>
  </si>
  <si>
    <t>SMA20170724-1</t>
    <phoneticPr fontId="10" type="noConversion"/>
  </si>
  <si>
    <t>SMA20170825-1</t>
    <phoneticPr fontId="10" type="noConversion"/>
  </si>
  <si>
    <t>SMXG1708Ms1</t>
    <phoneticPr fontId="10" type="noConversion"/>
  </si>
  <si>
    <t>SMA20170831-1</t>
    <phoneticPr fontId="10" type="noConversion"/>
  </si>
  <si>
    <t>冀B6685E</t>
    <phoneticPr fontId="14" type="noConversion"/>
  </si>
  <si>
    <t>赣C6A075</t>
    <phoneticPr fontId="14" type="noConversion"/>
  </si>
  <si>
    <t>SMA20170731-1</t>
    <phoneticPr fontId="10" type="noConversion"/>
  </si>
  <si>
    <t>锰片</t>
    <phoneticPr fontId="10" type="noConversion"/>
  </si>
  <si>
    <t xml:space="preserve">松桃三和锰业集团有限责任公司 </t>
    <phoneticPr fontId="10" type="noConversion"/>
  </si>
  <si>
    <t>昕洪中收票</t>
    <phoneticPr fontId="14" type="noConversion"/>
  </si>
  <si>
    <t>SMA20170707-2</t>
    <phoneticPr fontId="10" type="noConversion"/>
  </si>
  <si>
    <t>铁矿</t>
    <phoneticPr fontId="10" type="noConversion"/>
  </si>
  <si>
    <t xml:space="preserve">湖南省旌玮金属材料有限责任公司 </t>
    <phoneticPr fontId="10" type="noConversion"/>
  </si>
  <si>
    <t>SMA20170801-4</t>
    <phoneticPr fontId="10" type="noConversion"/>
  </si>
  <si>
    <t>SMXG1709Mb1</t>
    <phoneticPr fontId="10" type="noConversion"/>
  </si>
  <si>
    <t>湘EB9347</t>
    <phoneticPr fontId="14" type="noConversion"/>
  </si>
  <si>
    <t>冀DK9381</t>
    <phoneticPr fontId="14" type="noConversion"/>
  </si>
  <si>
    <t>赣CX909</t>
    <phoneticPr fontId="14" type="noConversion"/>
  </si>
  <si>
    <t>赣CX9086</t>
    <phoneticPr fontId="14" type="noConversion"/>
  </si>
  <si>
    <t>豫Q26311</t>
    <phoneticPr fontId="14" type="noConversion"/>
  </si>
  <si>
    <t>贵E17063</t>
    <phoneticPr fontId="14" type="noConversion"/>
  </si>
  <si>
    <t>金属锰</t>
    <phoneticPr fontId="10" type="noConversion"/>
  </si>
  <si>
    <t>张家港浦项不锈钢有限公司</t>
    <phoneticPr fontId="10" type="noConversion"/>
  </si>
  <si>
    <t>豫Q29039</t>
    <phoneticPr fontId="14" type="noConversion"/>
  </si>
  <si>
    <t>豫Q26861</t>
    <phoneticPr fontId="14" type="noConversion"/>
  </si>
  <si>
    <t>豫QE5275</t>
    <phoneticPr fontId="14" type="noConversion"/>
  </si>
  <si>
    <t>SMA20170825-1</t>
    <phoneticPr fontId="14" type="noConversion"/>
  </si>
  <si>
    <t>贵州铜仁和诚锰业有限公司</t>
    <phoneticPr fontId="14" type="noConversion"/>
  </si>
  <si>
    <t>湘N91458</t>
    <phoneticPr fontId="14" type="noConversion"/>
  </si>
  <si>
    <t>2017HK08-JT-JG-02</t>
    <phoneticPr fontId="10" type="noConversion"/>
  </si>
  <si>
    <t>加工锰锭</t>
    <phoneticPr fontId="10" type="noConversion"/>
  </si>
  <si>
    <t>苏NV3860</t>
    <phoneticPr fontId="14" type="noConversion"/>
  </si>
  <si>
    <t>苏CP7701</t>
    <phoneticPr fontId="14" type="noConversion"/>
  </si>
  <si>
    <t>苏CGM289</t>
    <phoneticPr fontId="14" type="noConversion"/>
  </si>
  <si>
    <t>苏CWA706</t>
    <phoneticPr fontId="14" type="noConversion"/>
  </si>
  <si>
    <t>苏CCL615</t>
    <phoneticPr fontId="14" type="noConversion"/>
  </si>
  <si>
    <t>苏C6J865</t>
    <phoneticPr fontId="14" type="noConversion"/>
  </si>
  <si>
    <t>苏GCT507</t>
    <phoneticPr fontId="14" type="noConversion"/>
  </si>
  <si>
    <t>苏CGW290</t>
    <phoneticPr fontId="14" type="noConversion"/>
  </si>
  <si>
    <t>苏C3T111</t>
    <phoneticPr fontId="14" type="noConversion"/>
  </si>
  <si>
    <t>2017XS08-15</t>
    <phoneticPr fontId="10" type="noConversion"/>
  </si>
  <si>
    <t>SMZY1709Mn1</t>
    <phoneticPr fontId="14" type="noConversion"/>
  </si>
  <si>
    <t>SMZY1709Mn1</t>
    <phoneticPr fontId="10" type="noConversion"/>
  </si>
  <si>
    <t>SMZP1707Mn1</t>
    <phoneticPr fontId="14" type="noConversion"/>
  </si>
  <si>
    <t>金属锰</t>
    <phoneticPr fontId="14" type="noConversion"/>
  </si>
  <si>
    <t>张家港浦项不锈钢有限公司</t>
    <phoneticPr fontId="14" type="noConversion"/>
  </si>
  <si>
    <t>华锟收款</t>
    <phoneticPr fontId="10" type="noConversion"/>
  </si>
  <si>
    <t>2017HK08-JT-JG</t>
    <phoneticPr fontId="14" type="noConversion"/>
  </si>
  <si>
    <t>加工锰锭</t>
    <phoneticPr fontId="14" type="noConversion"/>
  </si>
  <si>
    <t>松桃金泰矿业有限责任公司</t>
    <phoneticPr fontId="14" type="noConversion"/>
  </si>
  <si>
    <t>华锟付款</t>
    <phoneticPr fontId="10" type="noConversion"/>
  </si>
  <si>
    <t>2017HK08-JT-JG-02</t>
    <phoneticPr fontId="14" type="noConversion"/>
  </si>
  <si>
    <t>SMZY1709Mn1</t>
    <phoneticPr fontId="10" type="noConversion"/>
  </si>
  <si>
    <t>锰片</t>
    <phoneticPr fontId="10" type="noConversion"/>
  </si>
  <si>
    <t>惠冶</t>
    <phoneticPr fontId="14" type="noConversion"/>
  </si>
  <si>
    <t>中冶</t>
    <phoneticPr fontId="14" type="noConversion"/>
  </si>
  <si>
    <t>销售合同</t>
    <phoneticPr fontId="14" type="noConversion"/>
  </si>
  <si>
    <t>SMXG1708Ms1</t>
    <phoneticPr fontId="10" type="noConversion"/>
  </si>
  <si>
    <t>硅锰</t>
    <phoneticPr fontId="10" type="noConversion"/>
  </si>
  <si>
    <t>泰龙</t>
    <phoneticPr fontId="14" type="noConversion"/>
  </si>
  <si>
    <t>湘钢</t>
    <phoneticPr fontId="14" type="noConversion"/>
  </si>
  <si>
    <t>冀DK9381</t>
    <phoneticPr fontId="14" type="noConversion"/>
  </si>
  <si>
    <t>销售合同</t>
    <phoneticPr fontId="14" type="noConversion"/>
  </si>
  <si>
    <t>SMXG1708Ms1</t>
    <phoneticPr fontId="10" type="noConversion"/>
  </si>
  <si>
    <t>硅锰</t>
    <phoneticPr fontId="10" type="noConversion"/>
  </si>
  <si>
    <t>泰龙</t>
    <phoneticPr fontId="14" type="noConversion"/>
  </si>
  <si>
    <t>湘钢</t>
    <phoneticPr fontId="14" type="noConversion"/>
  </si>
  <si>
    <t>豫Q26311</t>
    <phoneticPr fontId="14" type="noConversion"/>
  </si>
  <si>
    <t>贵E17063</t>
    <phoneticPr fontId="14" type="noConversion"/>
  </si>
  <si>
    <t>豫Q29039</t>
    <phoneticPr fontId="14" type="noConversion"/>
  </si>
  <si>
    <t>豫Q26861</t>
    <phoneticPr fontId="14" type="noConversion"/>
  </si>
  <si>
    <t>SMA20170926-1</t>
    <phoneticPr fontId="10" type="noConversion"/>
  </si>
  <si>
    <t>现款包到价，承兑按7400单价，签订合同支付80%款.加价我司50%，嘉泰50%</t>
    <phoneticPr fontId="10" type="noConversion"/>
  </si>
  <si>
    <t>SMA20170926-1</t>
    <phoneticPr fontId="14" type="noConversion"/>
  </si>
  <si>
    <t>SMXG1710Mb1</t>
    <phoneticPr fontId="14" type="noConversion"/>
  </si>
  <si>
    <t>五矿</t>
    <phoneticPr fontId="14" type="noConversion"/>
  </si>
  <si>
    <t>锰锭</t>
    <phoneticPr fontId="10" type="noConversion"/>
  </si>
  <si>
    <t>承兑</t>
    <phoneticPr fontId="10" type="noConversion"/>
  </si>
  <si>
    <t>SMJR1708Mn1</t>
    <phoneticPr fontId="10" type="noConversion"/>
  </si>
  <si>
    <t>豫RD6998</t>
    <phoneticPr fontId="14" type="noConversion"/>
  </si>
  <si>
    <t>豫Q28651</t>
    <phoneticPr fontId="14" type="noConversion"/>
  </si>
  <si>
    <t>SMXG1709Ms1</t>
    <phoneticPr fontId="14" type="noConversion"/>
  </si>
  <si>
    <t>现款包到价，承兑按7400单价，签订合同支付50%款.发货付30%.加价我司50%，嘉泰50%</t>
    <phoneticPr fontId="10" type="noConversion"/>
  </si>
  <si>
    <t>SMXG1709Ms1</t>
    <phoneticPr fontId="10" type="noConversion"/>
  </si>
  <si>
    <t>SMA20170926-1</t>
    <phoneticPr fontId="14" type="noConversion"/>
  </si>
  <si>
    <t>硅锰</t>
    <phoneticPr fontId="14" type="noConversion"/>
  </si>
  <si>
    <t>兴义市嘉泰铁合金有限公司</t>
    <phoneticPr fontId="14" type="noConversion"/>
  </si>
  <si>
    <t>电承</t>
    <phoneticPr fontId="10" type="noConversion"/>
  </si>
  <si>
    <t>昕洪中付款</t>
    <phoneticPr fontId="10" type="noConversion"/>
  </si>
  <si>
    <t>SMA20170831-1</t>
    <phoneticPr fontId="14" type="noConversion"/>
  </si>
  <si>
    <t>锰片</t>
    <phoneticPr fontId="14" type="noConversion"/>
  </si>
  <si>
    <t xml:space="preserve">松桃三和锰业集团有限责任公司 </t>
    <phoneticPr fontId="14" type="noConversion"/>
  </si>
  <si>
    <t>SMA20170930-1</t>
    <phoneticPr fontId="14" type="noConversion"/>
  </si>
  <si>
    <t>SMA20170831-1</t>
    <phoneticPr fontId="10" type="noConversion"/>
  </si>
  <si>
    <t>SMJR1708Mn1</t>
    <phoneticPr fontId="10" type="noConversion"/>
  </si>
  <si>
    <t>锰锭</t>
    <phoneticPr fontId="10" type="noConversion"/>
  </si>
  <si>
    <t>五矿资本股份有限公司</t>
    <phoneticPr fontId="10" type="noConversion"/>
  </si>
  <si>
    <t>豫Q29039</t>
    <phoneticPr fontId="14" type="noConversion"/>
  </si>
  <si>
    <t>皖M5D948</t>
    <phoneticPr fontId="14" type="noConversion"/>
  </si>
  <si>
    <t>鲁Q293BR</t>
    <phoneticPr fontId="14" type="noConversion"/>
  </si>
  <si>
    <t>苏AL0811</t>
    <phoneticPr fontId="14" type="noConversion"/>
  </si>
  <si>
    <t>赣CG3446</t>
    <phoneticPr fontId="14" type="noConversion"/>
  </si>
  <si>
    <t>赣CX2101</t>
    <phoneticPr fontId="14" type="noConversion"/>
  </si>
  <si>
    <t>冀EF3200</t>
    <phoneticPr fontId="14" type="noConversion"/>
  </si>
  <si>
    <t>鲁Q6837G</t>
    <phoneticPr fontId="14" type="noConversion"/>
  </si>
  <si>
    <t>赣CX5907</t>
    <phoneticPr fontId="14" type="noConversion"/>
  </si>
  <si>
    <t>SMXG1710Mb1</t>
    <phoneticPr fontId="10" type="noConversion"/>
  </si>
  <si>
    <t>锰球</t>
    <phoneticPr fontId="10" type="noConversion"/>
  </si>
  <si>
    <t>赣CC9086</t>
    <phoneticPr fontId="14" type="noConversion"/>
  </si>
  <si>
    <t>赣CQ6997</t>
    <phoneticPr fontId="14" type="noConversion"/>
  </si>
  <si>
    <t>SMXG1709Ms1</t>
    <phoneticPr fontId="10" type="noConversion"/>
  </si>
  <si>
    <t>嘉泰</t>
    <phoneticPr fontId="14" type="noConversion"/>
  </si>
  <si>
    <t>豫QE5275</t>
    <phoneticPr fontId="14" type="noConversion"/>
  </si>
  <si>
    <t>赣CX6480</t>
    <phoneticPr fontId="14" type="noConversion"/>
  </si>
  <si>
    <t>SMA20170802-1</t>
    <phoneticPr fontId="14" type="noConversion"/>
  </si>
  <si>
    <t>SMA20170802-1</t>
    <phoneticPr fontId="10" type="noConversion"/>
  </si>
  <si>
    <t>SMA20170823</t>
    <phoneticPr fontId="10" type="noConversion"/>
  </si>
  <si>
    <t>SME1709MN1</t>
    <phoneticPr fontId="10" type="noConversion"/>
  </si>
  <si>
    <t>SME1708MN1</t>
    <phoneticPr fontId="10" type="noConversion"/>
  </si>
  <si>
    <t>NINGXIA TIANYUAN MANGANESE INDUSTRY CO.,LTD</t>
    <phoneticPr fontId="10" type="noConversion"/>
  </si>
  <si>
    <t>华锟香港收票</t>
    <phoneticPr fontId="14" type="noConversion"/>
  </si>
  <si>
    <t>华锟香港付款</t>
    <phoneticPr fontId="10" type="noConversion"/>
  </si>
  <si>
    <t>华锟香港收款</t>
    <phoneticPr fontId="10" type="noConversion"/>
  </si>
  <si>
    <t>SMA20170901-1</t>
    <phoneticPr fontId="48"/>
  </si>
  <si>
    <t>SMA20170901-2</t>
  </si>
  <si>
    <t>SMA20170914-1</t>
    <phoneticPr fontId="48"/>
  </si>
  <si>
    <t>金昌一</t>
    <phoneticPr fontId="14" type="noConversion"/>
  </si>
  <si>
    <t>SMA20170908-1</t>
    <phoneticPr fontId="48"/>
  </si>
  <si>
    <t>SME1711GT2</t>
    <phoneticPr fontId="14" type="noConversion"/>
  </si>
  <si>
    <t>SME1711GT3</t>
    <phoneticPr fontId="14" type="noConversion"/>
  </si>
  <si>
    <t>SME1710GT2</t>
    <phoneticPr fontId="14" type="noConversion"/>
  </si>
  <si>
    <t>SME1711GT4</t>
    <phoneticPr fontId="14" type="noConversion"/>
  </si>
  <si>
    <t>SME1711GT5</t>
    <phoneticPr fontId="14" type="noConversion"/>
  </si>
  <si>
    <t>SEOAN RESOURCES CO.,LTD</t>
  </si>
  <si>
    <t>SMA20170719-1</t>
    <phoneticPr fontId="10" type="noConversion"/>
  </si>
  <si>
    <t>SMA20170726-1</t>
    <phoneticPr fontId="10" type="noConversion"/>
  </si>
  <si>
    <t>SMA20170731-11</t>
    <phoneticPr fontId="10" type="noConversion"/>
  </si>
  <si>
    <t>SMA20170814</t>
    <phoneticPr fontId="10" type="noConversion"/>
  </si>
  <si>
    <t>SMA20170818-1</t>
    <phoneticPr fontId="10" type="noConversion"/>
  </si>
  <si>
    <t>SMA20170818-2</t>
    <phoneticPr fontId="10" type="noConversion"/>
  </si>
  <si>
    <t>SMA20170908-1</t>
    <phoneticPr fontId="10" type="noConversion"/>
  </si>
  <si>
    <t>SME1708GT5</t>
    <phoneticPr fontId="10" type="noConversion"/>
  </si>
  <si>
    <t>SME1709GT2</t>
    <phoneticPr fontId="10" type="noConversion"/>
  </si>
  <si>
    <t>SME1709GT3</t>
    <phoneticPr fontId="10" type="noConversion"/>
  </si>
  <si>
    <t>SME1709GT4</t>
    <phoneticPr fontId="10" type="noConversion"/>
  </si>
  <si>
    <t>SME1709GT5</t>
    <phoneticPr fontId="10" type="noConversion"/>
  </si>
  <si>
    <t>SEOAN RESOURCES CO.,LTD</t>
    <phoneticPr fontId="10" type="noConversion"/>
  </si>
  <si>
    <t>SME1708GT1</t>
    <phoneticPr fontId="14" type="noConversion"/>
  </si>
  <si>
    <t>SMA20170711-1</t>
    <phoneticPr fontId="10" type="noConversion"/>
  </si>
  <si>
    <t>黔西南泰龙（集团）焱鑫冶炼有限公司</t>
    <phoneticPr fontId="10" type="noConversion"/>
  </si>
  <si>
    <t>昕洪中收票</t>
    <phoneticPr fontId="14" type="noConversion"/>
  </si>
  <si>
    <t>SMXG1708Ms1</t>
    <phoneticPr fontId="10" type="noConversion"/>
  </si>
  <si>
    <t>湖南华菱湘潭钢铁有限公司</t>
    <phoneticPr fontId="10" type="noConversion"/>
  </si>
  <si>
    <t>SMXG1709Ms1</t>
    <phoneticPr fontId="10" type="noConversion"/>
  </si>
  <si>
    <t>SME1707GT3</t>
    <phoneticPr fontId="14" type="noConversion"/>
  </si>
  <si>
    <t>炉料</t>
    <phoneticPr fontId="10" type="noConversion"/>
  </si>
  <si>
    <t>SMXG1710Mb2</t>
    <phoneticPr fontId="10" type="noConversion"/>
  </si>
  <si>
    <t>自提价，10月华诚均价；20%预付款；10-18发货，10月底多退少补</t>
    <phoneticPr fontId="10" type="noConversion"/>
  </si>
  <si>
    <t>现款到厂价，承兑按照7300结算，签订合同当周付90%货款，当周收等额发票；10-31日前到湘钢，加价各一半，扣款算供方.</t>
    <phoneticPr fontId="10" type="noConversion"/>
  </si>
  <si>
    <t>SMXG1710Mb1</t>
    <phoneticPr fontId="10" type="noConversion"/>
  </si>
  <si>
    <t>湖南华菱湘潭钢铁有限公司</t>
    <phoneticPr fontId="10" type="noConversion"/>
  </si>
  <si>
    <t>SMXG1710Mb2</t>
    <phoneticPr fontId="10" type="noConversion"/>
  </si>
  <si>
    <t>SMA20170930-1</t>
    <phoneticPr fontId="10" type="noConversion"/>
  </si>
  <si>
    <t>矿石-电承</t>
    <phoneticPr fontId="10" type="noConversion"/>
  </si>
  <si>
    <t>锰球</t>
    <phoneticPr fontId="10" type="noConversion"/>
  </si>
  <si>
    <t>SMXG1709Mb1</t>
    <phoneticPr fontId="10" type="noConversion"/>
  </si>
  <si>
    <t>硅锰</t>
    <phoneticPr fontId="10" type="noConversion"/>
  </si>
  <si>
    <t>SMXG1708Ms1</t>
    <phoneticPr fontId="10" type="noConversion"/>
  </si>
  <si>
    <t>SMXG1709Ms1</t>
    <phoneticPr fontId="10" type="noConversion"/>
  </si>
  <si>
    <t>SMXG1710Mb1</t>
    <phoneticPr fontId="10" type="noConversion"/>
  </si>
  <si>
    <t>SMXG1710Mb2</t>
    <phoneticPr fontId="10" type="noConversion"/>
  </si>
  <si>
    <t>赣CC9095</t>
    <phoneticPr fontId="14" type="noConversion"/>
  </si>
  <si>
    <t>赣CQ6997</t>
    <phoneticPr fontId="14" type="noConversion"/>
  </si>
  <si>
    <t>赣CX9095</t>
    <phoneticPr fontId="14" type="noConversion"/>
  </si>
  <si>
    <t>赣CX9086</t>
    <phoneticPr fontId="14" type="noConversion"/>
  </si>
  <si>
    <t>SMXG1710Mb2</t>
    <phoneticPr fontId="14" type="noConversion"/>
  </si>
  <si>
    <t>SMA20171016-1</t>
    <phoneticPr fontId="10" type="noConversion"/>
  </si>
  <si>
    <t>锰片</t>
    <phoneticPr fontId="10" type="noConversion"/>
  </si>
  <si>
    <t xml:space="preserve">松桃三和锰业集团有限责任公司 </t>
    <phoneticPr fontId="10" type="noConversion"/>
  </si>
  <si>
    <t>昕洪中付款</t>
    <phoneticPr fontId="10" type="noConversion"/>
  </si>
  <si>
    <t>三和</t>
    <phoneticPr fontId="14" type="noConversion"/>
  </si>
  <si>
    <t>惠冶</t>
    <phoneticPr fontId="14" type="noConversion"/>
  </si>
  <si>
    <t xml:space="preserve">赣C87567 </t>
    <phoneticPr fontId="14" type="noConversion"/>
  </si>
  <si>
    <t>采购合同</t>
    <phoneticPr fontId="14" type="noConversion"/>
  </si>
  <si>
    <t>冀DS9062</t>
    <phoneticPr fontId="14" type="noConversion"/>
  </si>
  <si>
    <t>豫HJ1822</t>
    <phoneticPr fontId="14" type="noConversion"/>
  </si>
  <si>
    <t>冀DQ3812</t>
    <phoneticPr fontId="14" type="noConversion"/>
  </si>
  <si>
    <t>豫HJ0689</t>
    <phoneticPr fontId="14" type="noConversion"/>
  </si>
  <si>
    <t>豫HJ3889</t>
    <phoneticPr fontId="14" type="noConversion"/>
  </si>
  <si>
    <t>豫HJ2359</t>
    <phoneticPr fontId="14" type="noConversion"/>
  </si>
  <si>
    <t>豫CN6695</t>
    <phoneticPr fontId="14" type="noConversion"/>
  </si>
  <si>
    <t>SMA20170930-1</t>
    <phoneticPr fontId="10" type="noConversion"/>
  </si>
  <si>
    <t>SMA20171017-1</t>
    <phoneticPr fontId="10" type="noConversion"/>
  </si>
  <si>
    <t>陈剑钊</t>
    <phoneticPr fontId="14" type="noConversion"/>
  </si>
  <si>
    <t>昕洪中签订合同</t>
    <phoneticPr fontId="10" type="noConversion"/>
  </si>
  <si>
    <t>现款包到价，承兑按7400单价，预付80%款.加价我司50%，嘉泰50%</t>
    <phoneticPr fontId="10" type="noConversion"/>
  </si>
  <si>
    <t>SMA20171018-1</t>
    <phoneticPr fontId="10" type="noConversion"/>
  </si>
  <si>
    <t>湖南泰立矿产开发有限公司</t>
    <phoneticPr fontId="10" type="noConversion"/>
  </si>
  <si>
    <t>今明两天，装车付款，到厂价</t>
    <phoneticPr fontId="10" type="noConversion"/>
  </si>
  <si>
    <t>SMA20171018-2</t>
    <phoneticPr fontId="10" type="noConversion"/>
  </si>
  <si>
    <t>重庆市王庭商贸有限公司</t>
    <phoneticPr fontId="10" type="noConversion"/>
  </si>
  <si>
    <t>昕洪中签订合同</t>
    <phoneticPr fontId="10" type="noConversion"/>
  </si>
  <si>
    <t>今明两天，款到发货，到厂价</t>
    <phoneticPr fontId="10" type="noConversion"/>
  </si>
  <si>
    <t>豫HJ1376</t>
    <phoneticPr fontId="14" type="noConversion"/>
  </si>
  <si>
    <t>SMA20171017-1</t>
    <phoneticPr fontId="14" type="noConversion"/>
  </si>
  <si>
    <t>SMA20171018-1</t>
    <phoneticPr fontId="14" type="noConversion"/>
  </si>
  <si>
    <t>SMA20171018-2</t>
    <phoneticPr fontId="14" type="noConversion"/>
  </si>
  <si>
    <t>重庆市王庭商贸有限公司</t>
    <phoneticPr fontId="14" type="noConversion"/>
  </si>
  <si>
    <t>渝H:05931</t>
    <phoneticPr fontId="14" type="noConversion"/>
  </si>
  <si>
    <t>赣CH6082</t>
    <phoneticPr fontId="14" type="noConversion"/>
  </si>
  <si>
    <t>重庆</t>
    <phoneticPr fontId="14" type="noConversion"/>
  </si>
  <si>
    <t>渝H05905</t>
    <phoneticPr fontId="14" type="noConversion"/>
  </si>
  <si>
    <t>渝B丫0318</t>
    <phoneticPr fontId="14" type="noConversion"/>
  </si>
  <si>
    <t>赣CX2308</t>
    <phoneticPr fontId="14" type="noConversion"/>
  </si>
  <si>
    <t>SMYKXR20170109-8</t>
    <phoneticPr fontId="10" type="noConversion"/>
  </si>
  <si>
    <t>SMYKXR20170109-8</t>
    <phoneticPr fontId="14" type="noConversion"/>
  </si>
  <si>
    <t>营口鑫瑞耐火材料有限公司</t>
    <phoneticPr fontId="10" type="noConversion"/>
  </si>
  <si>
    <t>营口鑫瑞耐火材料有限公司</t>
    <phoneticPr fontId="14" type="noConversion"/>
  </si>
  <si>
    <t>华锟收票</t>
    <phoneticPr fontId="14" type="noConversion"/>
  </si>
  <si>
    <t>铁合金-承兑</t>
    <phoneticPr fontId="10" type="noConversion"/>
  </si>
  <si>
    <t>豫U81989</t>
    <phoneticPr fontId="14" type="noConversion"/>
  </si>
  <si>
    <t>苏CU7659</t>
    <phoneticPr fontId="14" type="noConversion"/>
  </si>
  <si>
    <t>冀DS3159</t>
    <phoneticPr fontId="14" type="noConversion"/>
  </si>
  <si>
    <t>赣CQ3446</t>
    <phoneticPr fontId="14" type="noConversion"/>
  </si>
  <si>
    <t>豫Q28070</t>
    <phoneticPr fontId="14" type="noConversion"/>
  </si>
  <si>
    <t>SMA20171016-2</t>
    <phoneticPr fontId="14" type="noConversion"/>
  </si>
  <si>
    <t>SMA20171025-1</t>
    <phoneticPr fontId="10" type="noConversion"/>
  </si>
  <si>
    <t>豫HJ4615</t>
    <phoneticPr fontId="14" type="noConversion"/>
  </si>
  <si>
    <t>豫E00956</t>
    <phoneticPr fontId="14" type="noConversion"/>
  </si>
  <si>
    <t>SMA20171018-2</t>
    <phoneticPr fontId="10" type="noConversion"/>
  </si>
  <si>
    <t>重庆市王庭商贸有限公司</t>
    <phoneticPr fontId="10" type="noConversion"/>
  </si>
  <si>
    <t>到厂价；8-9日交60吨、8-15日交30吨、8-22日交60吨，货到付款，最后一批支付50吨货款，预留10吨待结算平帐</t>
    <phoneticPr fontId="10" type="noConversion"/>
  </si>
  <si>
    <t>收到单据后三个工作日内付款</t>
    <phoneticPr fontId="10" type="noConversion"/>
  </si>
  <si>
    <t>合同签订日期</t>
    <phoneticPr fontId="14" type="noConversion"/>
  </si>
  <si>
    <t>SMA20171018-1</t>
    <phoneticPr fontId="10" type="noConversion"/>
  </si>
  <si>
    <t>GN51011770088081</t>
    <phoneticPr fontId="10" type="noConversion"/>
  </si>
  <si>
    <t>SMA20171016-1</t>
    <phoneticPr fontId="14" type="noConversion"/>
  </si>
  <si>
    <r>
      <rPr>
        <sz val="11"/>
        <color theme="1"/>
        <rFont val="宋体"/>
        <family val="3"/>
        <charset val="134"/>
      </rPr>
      <t>松桃三和锰业集团有限责任公司</t>
    </r>
    <r>
      <rPr>
        <sz val="11"/>
        <color theme="1"/>
        <rFont val="Arial Narrow"/>
        <family val="2"/>
      </rPr>
      <t xml:space="preserve"> </t>
    </r>
    <phoneticPr fontId="10" type="noConversion"/>
  </si>
  <si>
    <t>SMA20171016-2</t>
    <phoneticPr fontId="10" type="noConversion"/>
  </si>
  <si>
    <t>废钢</t>
    <phoneticPr fontId="10" type="noConversion"/>
  </si>
  <si>
    <t>现款到厂价，每周结算80%货款；每月20日开票后付尾款</t>
    <phoneticPr fontId="10" type="noConversion"/>
  </si>
  <si>
    <t>废钢</t>
    <phoneticPr fontId="14" type="noConversion"/>
  </si>
  <si>
    <t>广州珏来再生资源有限公司</t>
    <phoneticPr fontId="10" type="noConversion"/>
  </si>
  <si>
    <t>SMA20171101-1</t>
    <phoneticPr fontId="14" type="noConversion"/>
  </si>
  <si>
    <t>广州珏来再生资源有限公司</t>
    <phoneticPr fontId="14" type="noConversion"/>
  </si>
  <si>
    <t>SMXG1710Ms1</t>
    <phoneticPr fontId="14" type="noConversion"/>
  </si>
  <si>
    <t>SMXG1710Ms1</t>
    <phoneticPr fontId="10" type="noConversion"/>
  </si>
  <si>
    <t>SMXG1710Mb2</t>
    <phoneticPr fontId="14" type="noConversion"/>
  </si>
  <si>
    <t>SMXG1710Mb2</t>
    <phoneticPr fontId="10" type="noConversion"/>
  </si>
  <si>
    <t>硅锰</t>
    <phoneticPr fontId="10" type="noConversion"/>
  </si>
  <si>
    <t>SMXG1710Ms1</t>
    <phoneticPr fontId="10" type="noConversion"/>
  </si>
  <si>
    <t>SMA20171011-1</t>
    <phoneticPr fontId="48"/>
  </si>
  <si>
    <t>SMA20171012</t>
    <phoneticPr fontId="48"/>
  </si>
  <si>
    <t>金昌一</t>
    <phoneticPr fontId="14" type="noConversion"/>
  </si>
  <si>
    <t>华锟香港签订合同</t>
    <phoneticPr fontId="10" type="noConversion"/>
  </si>
  <si>
    <t>收到单据后三个工作日内付款</t>
    <phoneticPr fontId="10" type="noConversion"/>
  </si>
  <si>
    <t>SMA20171011-2</t>
    <phoneticPr fontId="48"/>
  </si>
  <si>
    <t>SMA20171016-3</t>
    <phoneticPr fontId="48"/>
  </si>
  <si>
    <t>SMA20171016-4</t>
    <phoneticPr fontId="48"/>
  </si>
  <si>
    <t>SMA20171107</t>
    <phoneticPr fontId="48"/>
  </si>
  <si>
    <t>SMA20171108</t>
    <phoneticPr fontId="48"/>
  </si>
  <si>
    <t>SME1711GT9</t>
    <phoneticPr fontId="14" type="noConversion"/>
  </si>
  <si>
    <t>SME1711GT7</t>
    <phoneticPr fontId="14" type="noConversion"/>
  </si>
  <si>
    <t>SME1711GT8</t>
    <phoneticPr fontId="14" type="noConversion"/>
  </si>
  <si>
    <t>SME1712GT2</t>
    <phoneticPr fontId="14" type="noConversion"/>
  </si>
  <si>
    <t>SME1711GT10</t>
    <phoneticPr fontId="14" type="noConversion"/>
  </si>
  <si>
    <t>SME1711GT6</t>
    <phoneticPr fontId="14" type="noConversion"/>
  </si>
  <si>
    <t>NAGOYA;正本文件交单议付后14个工作日收95%，余款结算后支付</t>
    <phoneticPr fontId="14" type="noConversion"/>
  </si>
  <si>
    <t>到厂现金价，交单收80%款，尾款结算支付</t>
    <phoneticPr fontId="14" type="noConversion"/>
  </si>
  <si>
    <t>SEOAN RESOURCES CO.,LTD</t>
    <phoneticPr fontId="14" type="noConversion"/>
  </si>
  <si>
    <t>POSCO</t>
    <phoneticPr fontId="14" type="noConversion"/>
  </si>
  <si>
    <t>SMA20171114-1</t>
    <phoneticPr fontId="48"/>
  </si>
  <si>
    <t>SMA20171114-3</t>
    <phoneticPr fontId="48"/>
  </si>
  <si>
    <t>SMA20171114-4</t>
    <phoneticPr fontId="48"/>
  </si>
  <si>
    <t>SME1712GT5</t>
    <phoneticPr fontId="14" type="noConversion"/>
  </si>
  <si>
    <t>金昌一</t>
    <phoneticPr fontId="14" type="noConversion"/>
  </si>
  <si>
    <t>硅铁</t>
    <phoneticPr fontId="14" type="noConversion"/>
  </si>
  <si>
    <t>METZ CORPORATION</t>
    <phoneticPr fontId="14" type="noConversion"/>
  </si>
  <si>
    <t>永合</t>
    <phoneticPr fontId="10" type="noConversion"/>
  </si>
  <si>
    <t>NAGOYA;正本文件交单议付后14个工作日收95%，余款结算后支付</t>
    <phoneticPr fontId="14" type="noConversion"/>
  </si>
  <si>
    <t>SME1712GT7</t>
    <phoneticPr fontId="14" type="noConversion"/>
  </si>
  <si>
    <t>SME1712GT8</t>
    <phoneticPr fontId="14" type="noConversion"/>
  </si>
  <si>
    <t>SME1709GT3</t>
    <phoneticPr fontId="14" type="noConversion"/>
  </si>
  <si>
    <t>SEOAN RESOURCES CO.,LTD</t>
    <phoneticPr fontId="14" type="noConversion"/>
  </si>
  <si>
    <t>SME1709GT5</t>
    <phoneticPr fontId="14" type="noConversion"/>
  </si>
  <si>
    <t>SMA20170818-3</t>
    <phoneticPr fontId="14" type="noConversion"/>
  </si>
  <si>
    <t>SMA20170908-2</t>
    <phoneticPr fontId="48"/>
  </si>
  <si>
    <t>SMA20170908-3</t>
    <phoneticPr fontId="48"/>
  </si>
  <si>
    <t>SMA20170929</t>
    <phoneticPr fontId="48"/>
  </si>
  <si>
    <t>SMA20170818-3</t>
    <phoneticPr fontId="10" type="noConversion"/>
  </si>
  <si>
    <t>SMA20170908-2</t>
    <phoneticPr fontId="10" type="noConversion"/>
  </si>
  <si>
    <t>SMA20170908-3</t>
    <phoneticPr fontId="10" type="noConversion"/>
  </si>
  <si>
    <t>SMA20170929</t>
    <phoneticPr fontId="10" type="noConversion"/>
  </si>
  <si>
    <t>SMA20171016-5</t>
    <phoneticPr fontId="10" type="noConversion"/>
  </si>
  <si>
    <t>SME1711GT4</t>
    <phoneticPr fontId="10" type="noConversion"/>
  </si>
  <si>
    <t>SME1710GT2</t>
    <phoneticPr fontId="10" type="noConversion"/>
  </si>
  <si>
    <t>SME1710GT1</t>
    <phoneticPr fontId="10" type="noConversion"/>
  </si>
  <si>
    <t>SME1711GT10</t>
    <phoneticPr fontId="10" type="noConversion"/>
  </si>
  <si>
    <t>METZ CORPORATION</t>
    <phoneticPr fontId="14" type="noConversion"/>
  </si>
  <si>
    <t>SMA20170818-3</t>
    <phoneticPr fontId="14" type="noConversion"/>
  </si>
  <si>
    <t>SMA20170908-2</t>
    <phoneticPr fontId="14" type="noConversion"/>
  </si>
  <si>
    <t>SMA20170908-3</t>
    <phoneticPr fontId="14" type="noConversion"/>
  </si>
  <si>
    <t>SMA20170929</t>
    <phoneticPr fontId="14" type="noConversion"/>
  </si>
  <si>
    <t>SMA20171016-5</t>
    <phoneticPr fontId="14" type="noConversion"/>
  </si>
  <si>
    <t>SMA20170818-2</t>
    <phoneticPr fontId="14" type="noConversion"/>
  </si>
  <si>
    <t>SME1709GT5</t>
    <phoneticPr fontId="14" type="noConversion"/>
  </si>
  <si>
    <t>Mitsui&amp;Co.,Ltd</t>
    <phoneticPr fontId="14" type="noConversion"/>
  </si>
  <si>
    <t>SME1709GT2</t>
    <phoneticPr fontId="10" type="noConversion"/>
  </si>
  <si>
    <t>SME1708MN1</t>
    <phoneticPr fontId="10" type="noConversion"/>
  </si>
  <si>
    <t>SME1709GT4</t>
    <phoneticPr fontId="10" type="noConversion"/>
  </si>
  <si>
    <t>SME1709MN1</t>
    <phoneticPr fontId="10" type="noConversion"/>
  </si>
  <si>
    <t>SME1708GT6</t>
    <phoneticPr fontId="10" type="noConversion"/>
  </si>
  <si>
    <t>SMZY1711Mn1</t>
    <phoneticPr fontId="14" type="noConversion"/>
  </si>
  <si>
    <t>SMZY1711Mn1</t>
    <phoneticPr fontId="10" type="noConversion"/>
  </si>
  <si>
    <t>中冶京诚（湘潭）重工设备有限公司</t>
    <phoneticPr fontId="14" type="noConversion"/>
  </si>
  <si>
    <t>日照</t>
    <phoneticPr fontId="14" type="noConversion"/>
  </si>
  <si>
    <t>阳江</t>
    <phoneticPr fontId="14" type="noConversion"/>
  </si>
  <si>
    <t>SMXG1710Fc1</t>
    <phoneticPr fontId="10" type="noConversion"/>
  </si>
  <si>
    <t>山东泰盈康国际贸易有限公司</t>
    <phoneticPr fontId="10" type="noConversion"/>
  </si>
  <si>
    <t>锰矿</t>
    <phoneticPr fontId="14" type="noConversion"/>
  </si>
  <si>
    <t>阳春新钢铁有限责任公司</t>
    <phoneticPr fontId="14" type="noConversion"/>
  </si>
  <si>
    <t>港口车板干吨价</t>
    <phoneticPr fontId="14" type="noConversion"/>
  </si>
  <si>
    <t>邓金权</t>
    <phoneticPr fontId="14" type="noConversion"/>
  </si>
  <si>
    <t>锰矿</t>
    <phoneticPr fontId="10" type="noConversion"/>
  </si>
  <si>
    <t>广西穗成矿业发展有限公司</t>
    <phoneticPr fontId="10" type="noConversion"/>
  </si>
  <si>
    <t>华锟上海签订</t>
    <phoneticPr fontId="10" type="noConversion"/>
  </si>
  <si>
    <t>自提价，运费166元/吨，装车付款；备注：600元/吨回款至私帐</t>
    <phoneticPr fontId="10" type="noConversion"/>
  </si>
  <si>
    <t>泰和联粤工贸有限公司</t>
    <phoneticPr fontId="10" type="noConversion"/>
  </si>
  <si>
    <t>SMTHLY20171101</t>
    <phoneticPr fontId="10" type="noConversion"/>
  </si>
  <si>
    <t>SMTHLY20171101</t>
    <phoneticPr fontId="14" type="noConversion"/>
  </si>
  <si>
    <t>到厂现金价，交单收80%款，尾款结算支付</t>
    <phoneticPr fontId="14" type="noConversion"/>
  </si>
  <si>
    <t>SMA20170801-5</t>
    <phoneticPr fontId="14" type="noConversion"/>
  </si>
  <si>
    <t xml:space="preserve"> 陕西五洲钒金属材料科技有限公司</t>
    <phoneticPr fontId="10" type="noConversion"/>
  </si>
  <si>
    <t>自提价，9月华诚均价；20%预付款；9月10前提2车，9月20前提1车，9月底多退少补</t>
    <phoneticPr fontId="10" type="noConversion"/>
  </si>
  <si>
    <t>SMA20171016-2</t>
    <phoneticPr fontId="10" type="noConversion"/>
  </si>
  <si>
    <t>岑巩金孟锰业有限公司</t>
  </si>
  <si>
    <t>岑巩金孟锰业有限公司</t>
    <phoneticPr fontId="10" type="noConversion"/>
  </si>
  <si>
    <t>岑巩金孟锰业有限公司</t>
    <phoneticPr fontId="10" type="noConversion"/>
  </si>
  <si>
    <t>邓金权</t>
    <phoneticPr fontId="14" type="noConversion"/>
  </si>
  <si>
    <t>废钢</t>
    <phoneticPr fontId="14" type="noConversion"/>
  </si>
  <si>
    <t>收到阳春三个月承兑后付款给华锟</t>
    <phoneticPr fontId="14" type="noConversion"/>
  </si>
  <si>
    <t>G7GNM201700175</t>
    <phoneticPr fontId="14" type="noConversion"/>
  </si>
  <si>
    <t>废钢</t>
    <phoneticPr fontId="14" type="noConversion"/>
  </si>
  <si>
    <t>中船工业成套物流（广州）有限公司</t>
    <phoneticPr fontId="14" type="noConversion"/>
  </si>
  <si>
    <t>华锟开票</t>
    <phoneticPr fontId="14" type="noConversion"/>
  </si>
  <si>
    <t>SMYC20171124</t>
    <phoneticPr fontId="14" type="noConversion"/>
  </si>
  <si>
    <t>SMA20171025-1</t>
    <phoneticPr fontId="10" type="noConversion"/>
  </si>
  <si>
    <t>SMZZ1712Mn1</t>
    <phoneticPr fontId="10" type="noConversion"/>
  </si>
  <si>
    <t>SMXG1711Mb1</t>
    <phoneticPr fontId="14" type="noConversion"/>
  </si>
  <si>
    <t>SMA20171116-1</t>
    <phoneticPr fontId="48"/>
  </si>
  <si>
    <t>SMA20171117-1</t>
    <phoneticPr fontId="48"/>
  </si>
  <si>
    <t>SME1802GT1</t>
    <phoneticPr fontId="14" type="noConversion"/>
  </si>
  <si>
    <t>SME1801GT1</t>
    <phoneticPr fontId="14" type="noConversion"/>
  </si>
  <si>
    <t>SME1801GT2</t>
    <phoneticPr fontId="14" type="noConversion"/>
  </si>
  <si>
    <t>SMA20170829</t>
    <phoneticPr fontId="14" type="noConversion"/>
  </si>
  <si>
    <t>SMA20170901-1</t>
    <phoneticPr fontId="14" type="noConversion"/>
  </si>
  <si>
    <t>SMA20170901-2</t>
    <phoneticPr fontId="14" type="noConversion"/>
  </si>
  <si>
    <t>SME1711GT2</t>
    <phoneticPr fontId="14" type="noConversion"/>
  </si>
  <si>
    <t>SME1711GT3</t>
    <phoneticPr fontId="14" type="noConversion"/>
  </si>
  <si>
    <t>SMA20170914-1</t>
    <phoneticPr fontId="14" type="noConversion"/>
  </si>
  <si>
    <t>SMA20171012</t>
  </si>
  <si>
    <t>SMA20171011-1</t>
    <phoneticPr fontId="14" type="noConversion"/>
  </si>
  <si>
    <t>SMA20171011-2</t>
    <phoneticPr fontId="14" type="noConversion"/>
  </si>
  <si>
    <t>SME1711GT7</t>
    <phoneticPr fontId="14" type="noConversion"/>
  </si>
  <si>
    <t>SME1711GT8</t>
    <phoneticPr fontId="14" type="noConversion"/>
  </si>
  <si>
    <t>SME1711GT6</t>
    <phoneticPr fontId="14" type="noConversion"/>
  </si>
  <si>
    <t>SME1711GT5</t>
    <phoneticPr fontId="14" type="noConversion"/>
  </si>
  <si>
    <t>SME1711GT10</t>
    <phoneticPr fontId="14" type="noConversion"/>
  </si>
  <si>
    <t xml:space="preserve">山东泰盈康国际贸易有限公司 </t>
    <phoneticPr fontId="10" type="noConversion"/>
  </si>
  <si>
    <t>SMA20171116</t>
    <phoneticPr fontId="10" type="noConversion"/>
  </si>
  <si>
    <t>SMA20171124</t>
    <phoneticPr fontId="10" type="noConversion"/>
  </si>
  <si>
    <t>SMA20171108</t>
    <phoneticPr fontId="10" type="noConversion"/>
  </si>
  <si>
    <t>SMA20170829</t>
    <phoneticPr fontId="10" type="noConversion"/>
  </si>
  <si>
    <t>SMA20170901-1</t>
    <phoneticPr fontId="10" type="noConversion"/>
  </si>
  <si>
    <t>SMA20170901-2</t>
    <phoneticPr fontId="10" type="noConversion"/>
  </si>
  <si>
    <t>SMA20170914-1</t>
    <phoneticPr fontId="10" type="noConversion"/>
  </si>
  <si>
    <t>SMA20171012</t>
    <phoneticPr fontId="10" type="noConversion"/>
  </si>
  <si>
    <t>SMA20171011-1</t>
    <phoneticPr fontId="10" type="noConversion"/>
  </si>
  <si>
    <t>SMA20171011-2</t>
    <phoneticPr fontId="10" type="noConversion"/>
  </si>
  <si>
    <t>SME1711GT2</t>
    <phoneticPr fontId="10" type="noConversion"/>
  </si>
  <si>
    <t>SME1711GT1</t>
    <phoneticPr fontId="10" type="noConversion"/>
  </si>
  <si>
    <t>SME1711GT3</t>
    <phoneticPr fontId="10" type="noConversion"/>
  </si>
  <si>
    <t>SME1711GT5</t>
    <phoneticPr fontId="10" type="noConversion"/>
  </si>
  <si>
    <t>SME1711GT9</t>
    <phoneticPr fontId="10" type="noConversion"/>
  </si>
  <si>
    <t>SME1711GT7</t>
    <phoneticPr fontId="10" type="noConversion"/>
  </si>
  <si>
    <t>SME1711GT8</t>
    <phoneticPr fontId="10" type="noConversion"/>
  </si>
  <si>
    <t>M9GNM201700084</t>
    <phoneticPr fontId="10" type="noConversion"/>
  </si>
  <si>
    <t>SMA20171016-5</t>
    <phoneticPr fontId="48"/>
  </si>
  <si>
    <t>SMA20170914-2</t>
  </si>
  <si>
    <t>SMA20170914-2</t>
    <phoneticPr fontId="48"/>
  </si>
  <si>
    <t>SME1712GT1</t>
    <phoneticPr fontId="14" type="noConversion"/>
  </si>
  <si>
    <t>SMA20170914-2</t>
    <phoneticPr fontId="10" type="noConversion"/>
  </si>
  <si>
    <t>SMA20170829</t>
  </si>
  <si>
    <t>SMA20170829</t>
    <phoneticPr fontId="14" type="noConversion"/>
  </si>
  <si>
    <t>SME1711GT1</t>
    <phoneticPr fontId="14" type="noConversion"/>
  </si>
  <si>
    <t>SME1711GT1</t>
    <phoneticPr fontId="14" type="noConversion"/>
  </si>
  <si>
    <t>硅铁</t>
    <phoneticPr fontId="10" type="noConversion"/>
  </si>
  <si>
    <t>SMA20171016-3</t>
    <phoneticPr fontId="14" type="noConversion"/>
  </si>
  <si>
    <t>SMA20171016-4</t>
    <phoneticPr fontId="14" type="noConversion"/>
  </si>
  <si>
    <t>SME1712GT2</t>
    <phoneticPr fontId="14" type="noConversion"/>
  </si>
  <si>
    <t>SME1712GT3</t>
    <phoneticPr fontId="14" type="noConversion"/>
  </si>
  <si>
    <t>SMA20171208</t>
    <phoneticPr fontId="48"/>
  </si>
  <si>
    <t>SMA20171213</t>
    <phoneticPr fontId="48"/>
  </si>
  <si>
    <t>SME1801GT3</t>
  </si>
  <si>
    <t>SME1712GT9</t>
  </si>
  <si>
    <t>SMA20170829</t>
    <phoneticPr fontId="10" type="noConversion"/>
  </si>
  <si>
    <t>YONGHE METAL CO.,LTD</t>
    <phoneticPr fontId="10" type="noConversion"/>
  </si>
  <si>
    <t>华锟香港付款</t>
    <phoneticPr fontId="10" type="noConversion"/>
  </si>
  <si>
    <t>SME1712GT1</t>
    <phoneticPr fontId="48"/>
  </si>
  <si>
    <t>SEOAN RESOURCES CO.,LTD</t>
    <phoneticPr fontId="10" type="noConversion"/>
  </si>
  <si>
    <t>SME1711GT6</t>
    <phoneticPr fontId="48"/>
  </si>
  <si>
    <t>Mitsui&amp;Co.,Ltd</t>
    <phoneticPr fontId="10" type="noConversion"/>
  </si>
  <si>
    <t>SME1712GT2</t>
    <phoneticPr fontId="48"/>
  </si>
  <si>
    <t>METZ CORPORATION</t>
    <phoneticPr fontId="10" type="noConversion"/>
  </si>
  <si>
    <t>SME1711GT1</t>
    <phoneticPr fontId="48"/>
  </si>
  <si>
    <t>SMTHLY20171201</t>
  </si>
  <si>
    <t>泰和联粤工贸有限公司</t>
    <phoneticPr fontId="14" type="noConversion"/>
  </si>
  <si>
    <t>SMTHLY20171101</t>
    <phoneticPr fontId="14" type="noConversion"/>
  </si>
  <si>
    <t>SMTHLY20171101</t>
    <phoneticPr fontId="10" type="noConversion"/>
  </si>
  <si>
    <t>废钢</t>
    <phoneticPr fontId="10" type="noConversion"/>
  </si>
  <si>
    <t>华锟上海付款</t>
    <phoneticPr fontId="10" type="noConversion"/>
  </si>
  <si>
    <t>废钢</t>
    <phoneticPr fontId="10" type="noConversion"/>
  </si>
  <si>
    <t>广州</t>
    <phoneticPr fontId="14" type="noConversion"/>
  </si>
  <si>
    <t>金孟</t>
    <phoneticPr fontId="14" type="noConversion"/>
  </si>
  <si>
    <t>天津</t>
    <phoneticPr fontId="14" type="noConversion"/>
  </si>
  <si>
    <t>名古屋</t>
    <phoneticPr fontId="14" type="noConversion"/>
  </si>
  <si>
    <t>SMA20170908-2</t>
    <phoneticPr fontId="14" type="noConversion"/>
  </si>
  <si>
    <t>SMA20170908-3</t>
    <phoneticPr fontId="14" type="noConversion"/>
  </si>
  <si>
    <t>硅铁</t>
    <phoneticPr fontId="10" type="noConversion"/>
  </si>
  <si>
    <t>天津</t>
    <phoneticPr fontId="14" type="noConversion"/>
  </si>
  <si>
    <t>名古屋</t>
    <phoneticPr fontId="14" type="noConversion"/>
  </si>
  <si>
    <t>采购合同</t>
    <phoneticPr fontId="14" type="noConversion"/>
  </si>
  <si>
    <t>SMA20170929</t>
    <phoneticPr fontId="14" type="noConversion"/>
  </si>
  <si>
    <t>SMA20171016-5</t>
    <phoneticPr fontId="14" type="noConversion"/>
  </si>
  <si>
    <t>SME1711GT4</t>
    <phoneticPr fontId="14" type="noConversion"/>
  </si>
  <si>
    <t>销售合同</t>
    <phoneticPr fontId="14" type="noConversion"/>
  </si>
  <si>
    <t>SME1710GT2</t>
    <phoneticPr fontId="14" type="noConversion"/>
  </si>
  <si>
    <t>SME1710GT1</t>
    <phoneticPr fontId="14" type="noConversion"/>
  </si>
  <si>
    <t>SME1711GT6</t>
    <phoneticPr fontId="14" type="noConversion"/>
  </si>
  <si>
    <t>SME1711GT10</t>
    <phoneticPr fontId="14" type="noConversion"/>
  </si>
  <si>
    <t>SMZY1711Mn1</t>
    <phoneticPr fontId="14" type="noConversion"/>
  </si>
  <si>
    <t>锰片</t>
    <phoneticPr fontId="10" type="noConversion"/>
  </si>
  <si>
    <t>惠冶</t>
    <phoneticPr fontId="14" type="noConversion"/>
  </si>
  <si>
    <t>自提</t>
    <phoneticPr fontId="14" type="noConversion"/>
  </si>
  <si>
    <t>SMA20171025-1</t>
    <phoneticPr fontId="14" type="noConversion"/>
  </si>
  <si>
    <t>焦粉</t>
    <phoneticPr fontId="10" type="noConversion"/>
  </si>
  <si>
    <t>日照</t>
    <phoneticPr fontId="14" type="noConversion"/>
  </si>
  <si>
    <t>阳江</t>
    <phoneticPr fontId="14" type="noConversion"/>
  </si>
  <si>
    <t>SMXG1710Fc1</t>
    <phoneticPr fontId="14" type="noConversion"/>
  </si>
  <si>
    <t>SMTHLY20171101</t>
    <phoneticPr fontId="14" type="noConversion"/>
  </si>
  <si>
    <t>废钢</t>
    <phoneticPr fontId="10" type="noConversion"/>
  </si>
  <si>
    <t>广州</t>
    <phoneticPr fontId="14" type="noConversion"/>
  </si>
  <si>
    <t>阳春</t>
    <phoneticPr fontId="14" type="noConversion"/>
  </si>
  <si>
    <t>SMA20171116</t>
    <phoneticPr fontId="14" type="noConversion"/>
  </si>
  <si>
    <t>锰矿</t>
    <phoneticPr fontId="10" type="noConversion"/>
  </si>
  <si>
    <t>钦州港</t>
    <phoneticPr fontId="14" type="noConversion"/>
  </si>
  <si>
    <t>SMYC20171116</t>
    <phoneticPr fontId="14" type="noConversion"/>
  </si>
  <si>
    <t>G7GNM201700175</t>
    <phoneticPr fontId="14" type="noConversion"/>
  </si>
  <si>
    <t>SME1711MN1</t>
    <phoneticPr fontId="14" type="noConversion"/>
  </si>
  <si>
    <t>黄埔</t>
    <phoneticPr fontId="14" type="noConversion"/>
  </si>
  <si>
    <t>光阳</t>
    <phoneticPr fontId="14" type="noConversion"/>
  </si>
  <si>
    <t>SMA20171108</t>
    <phoneticPr fontId="14" type="noConversion"/>
  </si>
  <si>
    <t>SMXG1711Mb1</t>
    <phoneticPr fontId="14" type="noConversion"/>
  </si>
  <si>
    <t>锰球</t>
    <phoneticPr fontId="10" type="noConversion"/>
  </si>
  <si>
    <t>湘钢</t>
    <phoneticPr fontId="14" type="noConversion"/>
  </si>
  <si>
    <t>SMA20170829</t>
    <phoneticPr fontId="14" type="noConversion"/>
  </si>
  <si>
    <t>门司</t>
    <phoneticPr fontId="14" type="noConversion"/>
  </si>
  <si>
    <t>SME1711GT1</t>
    <phoneticPr fontId="14" type="noConversion"/>
  </si>
  <si>
    <t>SMA20170901-1</t>
    <phoneticPr fontId="14" type="noConversion"/>
  </si>
  <si>
    <t>横滨</t>
    <phoneticPr fontId="14" type="noConversion"/>
  </si>
  <si>
    <t>SMA20170901-2</t>
    <phoneticPr fontId="14" type="noConversion"/>
  </si>
  <si>
    <t>SME1711GT2</t>
    <phoneticPr fontId="14" type="noConversion"/>
  </si>
  <si>
    <t>SME1711GT3</t>
    <phoneticPr fontId="14" type="noConversion"/>
  </si>
  <si>
    <t>SMA20170914-1</t>
    <phoneticPr fontId="14" type="noConversion"/>
  </si>
  <si>
    <t>胡志明</t>
    <phoneticPr fontId="14" type="noConversion"/>
  </si>
  <si>
    <t>SME1711GT5</t>
    <phoneticPr fontId="14" type="noConversion"/>
  </si>
  <si>
    <t>SMA20171012</t>
    <phoneticPr fontId="14" type="noConversion"/>
  </si>
  <si>
    <t>SME1711GT9</t>
    <phoneticPr fontId="14" type="noConversion"/>
  </si>
  <si>
    <t>SMA20171011-1</t>
    <phoneticPr fontId="14" type="noConversion"/>
  </si>
  <si>
    <t>仙台</t>
    <phoneticPr fontId="14" type="noConversion"/>
  </si>
  <si>
    <t>SMA20171011-2</t>
    <phoneticPr fontId="14" type="noConversion"/>
  </si>
  <si>
    <t>八户</t>
    <phoneticPr fontId="14" type="noConversion"/>
  </si>
  <si>
    <t>SME1711GT7</t>
    <phoneticPr fontId="14" type="noConversion"/>
  </si>
  <si>
    <t>SME1711GT8</t>
    <phoneticPr fontId="14" type="noConversion"/>
  </si>
  <si>
    <t>SMA20170914-2</t>
    <phoneticPr fontId="14" type="noConversion"/>
  </si>
  <si>
    <t>SME1712GT1</t>
    <phoneticPr fontId="14" type="noConversion"/>
  </si>
  <si>
    <t>SMA20171016-3</t>
    <phoneticPr fontId="14" type="noConversion"/>
  </si>
  <si>
    <t>福山</t>
    <phoneticPr fontId="14" type="noConversion"/>
  </si>
  <si>
    <t>SMA20171016-4</t>
    <phoneticPr fontId="14" type="noConversion"/>
  </si>
  <si>
    <t>SME1712GT2</t>
    <phoneticPr fontId="14" type="noConversion"/>
  </si>
  <si>
    <t>SME1712GT3</t>
    <phoneticPr fontId="14" type="noConversion"/>
  </si>
  <si>
    <t>SMTHLY20171201</t>
    <phoneticPr fontId="14" type="noConversion"/>
  </si>
  <si>
    <t>G7GNM201700175</t>
    <phoneticPr fontId="14" type="noConversion"/>
  </si>
  <si>
    <t>中船工业成套物流（广州）有限公司</t>
    <phoneticPr fontId="14" type="noConversion"/>
  </si>
  <si>
    <t>SMXG1710Fc1</t>
    <phoneticPr fontId="14" type="noConversion"/>
  </si>
  <si>
    <t>山东泰盈康国际贸易有限公司</t>
    <phoneticPr fontId="10" type="noConversion"/>
  </si>
  <si>
    <t>SMXG1710Fc1</t>
    <phoneticPr fontId="10" type="noConversion"/>
  </si>
  <si>
    <t>SMA20171129-1</t>
    <phoneticPr fontId="10" type="noConversion"/>
  </si>
  <si>
    <t>SMXG1712Fc1</t>
    <phoneticPr fontId="14" type="noConversion"/>
  </si>
  <si>
    <t>SMA20171129-1</t>
    <phoneticPr fontId="14" type="noConversion"/>
  </si>
  <si>
    <t>SMA20171129-1</t>
    <phoneticPr fontId="10" type="noConversion"/>
  </si>
  <si>
    <t>焦粉</t>
    <phoneticPr fontId="10" type="noConversion"/>
  </si>
  <si>
    <t xml:space="preserve">山东泰盈康国际贸易有限公司 </t>
    <phoneticPr fontId="10" type="noConversion"/>
  </si>
  <si>
    <t>昕洪中付款</t>
    <phoneticPr fontId="10" type="noConversion"/>
  </si>
  <si>
    <t>生铁</t>
    <phoneticPr fontId="10" type="noConversion"/>
  </si>
  <si>
    <t>钦州市钦州港新明冶炼有限公司</t>
    <phoneticPr fontId="10" type="noConversion"/>
  </si>
  <si>
    <t>装车付款80%，钢厂结算后供方开票，需方收票后2个工作日内付尾款</t>
    <phoneticPr fontId="10" type="noConversion"/>
  </si>
  <si>
    <t>SMA20171201-1</t>
    <phoneticPr fontId="10" type="noConversion"/>
  </si>
  <si>
    <t>生铁</t>
    <phoneticPr fontId="14" type="noConversion"/>
  </si>
  <si>
    <t>SMA20171201-1</t>
    <phoneticPr fontId="14" type="noConversion"/>
  </si>
  <si>
    <t>生铁</t>
    <phoneticPr fontId="10" type="noConversion"/>
  </si>
  <si>
    <t>SMXG1712ST1</t>
    <phoneticPr fontId="14" type="noConversion"/>
  </si>
  <si>
    <t>生铁</t>
    <phoneticPr fontId="10" type="noConversion"/>
  </si>
  <si>
    <t>SMA20171201-1</t>
    <phoneticPr fontId="10" type="noConversion"/>
  </si>
  <si>
    <t>钦州市钦州港新明冶炼有限公司</t>
    <phoneticPr fontId="10" type="noConversion"/>
  </si>
  <si>
    <t>华锟上海收款</t>
    <phoneticPr fontId="10" type="noConversion"/>
  </si>
  <si>
    <t>SMXG1710Fc1</t>
    <phoneticPr fontId="10" type="noConversion"/>
  </si>
  <si>
    <t>SMZCGZ1712FG1</t>
    <phoneticPr fontId="14" type="noConversion"/>
  </si>
  <si>
    <t>SMZZ1712Mn2</t>
    <phoneticPr fontId="10" type="noConversion"/>
  </si>
  <si>
    <t>SMZZ1712Mn1</t>
    <phoneticPr fontId="14" type="noConversion"/>
  </si>
  <si>
    <t>SMZZ1712Mn2</t>
    <phoneticPr fontId="14" type="noConversion"/>
  </si>
  <si>
    <t>SMZZ1712Mn1</t>
    <phoneticPr fontId="10" type="noConversion"/>
  </si>
  <si>
    <t>锰片</t>
    <phoneticPr fontId="10" type="noConversion"/>
  </si>
  <si>
    <t>SMZZ1712Mn2</t>
    <phoneticPr fontId="10" type="noConversion"/>
  </si>
  <si>
    <t>SMXT1712Mn1</t>
    <phoneticPr fontId="14" type="noConversion"/>
  </si>
  <si>
    <t>湖南新泰鸿丰铁合金有限公司</t>
    <phoneticPr fontId="10" type="noConversion"/>
  </si>
  <si>
    <t>SMXT1712Mn1</t>
    <phoneticPr fontId="10" type="noConversion"/>
  </si>
  <si>
    <t>湖南新泰鸿丰铁合金有限公司</t>
    <phoneticPr fontId="10" type="noConversion"/>
  </si>
  <si>
    <t>SMXT1712Mn1</t>
    <phoneticPr fontId="10" type="noConversion"/>
  </si>
  <si>
    <t>SMXT1712Mn1</t>
    <phoneticPr fontId="10" type="noConversion"/>
  </si>
  <si>
    <t>SMZZ1712Mn2</t>
    <phoneticPr fontId="10" type="noConversion"/>
  </si>
  <si>
    <t>SME1711MN1</t>
    <phoneticPr fontId="14" type="noConversion"/>
  </si>
  <si>
    <t>SMA20171108</t>
    <phoneticPr fontId="10" type="noConversion"/>
  </si>
  <si>
    <t>SME1711MN1</t>
    <phoneticPr fontId="10" type="noConversion"/>
  </si>
  <si>
    <t>华锟香港开票</t>
    <phoneticPr fontId="14" type="noConversion"/>
  </si>
  <si>
    <t>SME1711MN1</t>
    <phoneticPr fontId="10" type="noConversion"/>
  </si>
  <si>
    <t>POSCO</t>
    <phoneticPr fontId="10" type="noConversion"/>
  </si>
  <si>
    <t>华锟香港付款</t>
    <phoneticPr fontId="10" type="noConversion"/>
  </si>
  <si>
    <t>华锟香港收款</t>
    <phoneticPr fontId="10" type="noConversion"/>
  </si>
  <si>
    <t>SMXG1711Mb1</t>
    <phoneticPr fontId="14" type="noConversion"/>
  </si>
  <si>
    <t>11月锰球</t>
    <phoneticPr fontId="10" type="noConversion"/>
  </si>
  <si>
    <t>SMXG1710Ms1</t>
    <phoneticPr fontId="14" type="noConversion"/>
  </si>
  <si>
    <t>硅锰</t>
    <phoneticPr fontId="10" type="noConversion"/>
  </si>
  <si>
    <t>SMXG1710Ms1</t>
    <phoneticPr fontId="10" type="noConversion"/>
  </si>
  <si>
    <t>SMXG1710Mb2</t>
    <phoneticPr fontId="10" type="noConversion"/>
  </si>
  <si>
    <t>锰球</t>
    <phoneticPr fontId="10" type="noConversion"/>
  </si>
  <si>
    <t>SMXG1711Mb1</t>
    <phoneticPr fontId="10" type="noConversion"/>
  </si>
  <si>
    <t>SMA20171116</t>
    <phoneticPr fontId="48"/>
  </si>
  <si>
    <t>SMA20171116</t>
    <phoneticPr fontId="14" type="noConversion"/>
  </si>
  <si>
    <t>SMA20171124</t>
    <phoneticPr fontId="14" type="noConversion"/>
  </si>
  <si>
    <t>SMYC20171116</t>
    <phoneticPr fontId="14" type="noConversion"/>
  </si>
  <si>
    <t>阳春新钢铁有限责任公司</t>
    <phoneticPr fontId="14" type="noConversion"/>
  </si>
  <si>
    <t>SMA20171025-1</t>
    <phoneticPr fontId="10" type="noConversion"/>
  </si>
  <si>
    <t>SMXG1712Fc1</t>
    <phoneticPr fontId="10" type="noConversion"/>
  </si>
  <si>
    <t>SMXG1712Fc1</t>
    <phoneticPr fontId="10" type="noConversion"/>
  </si>
  <si>
    <t>广西穗成矿业发展有限公司</t>
    <phoneticPr fontId="10" type="noConversion"/>
  </si>
  <si>
    <t>阳春市朝谷源工贸实业有限公司</t>
    <phoneticPr fontId="10" type="noConversion"/>
  </si>
  <si>
    <t>华锟收票</t>
    <phoneticPr fontId="14" type="noConversion"/>
  </si>
  <si>
    <t>锰矿</t>
    <phoneticPr fontId="14" type="noConversion"/>
  </si>
  <si>
    <t>广西穗成矿业发展有限公司</t>
    <phoneticPr fontId="14" type="noConversion"/>
  </si>
  <si>
    <t>SMYC20171116</t>
    <phoneticPr fontId="14" type="noConversion"/>
  </si>
  <si>
    <t>阳春新钢铁有限责任公司</t>
    <phoneticPr fontId="14" type="noConversion"/>
  </si>
  <si>
    <t>SMYC20171116</t>
    <phoneticPr fontId="10" type="noConversion"/>
  </si>
  <si>
    <t>锰矿</t>
    <phoneticPr fontId="10" type="noConversion"/>
  </si>
  <si>
    <t>阳春新钢铁有限责任公司</t>
    <phoneticPr fontId="10" type="noConversion"/>
  </si>
  <si>
    <t>SMA20171101-1</t>
    <phoneticPr fontId="10" type="noConversion"/>
  </si>
  <si>
    <t>广州珏来再生资源有限公司</t>
    <phoneticPr fontId="10" type="noConversion"/>
  </si>
  <si>
    <t>SMA20171101-1</t>
    <phoneticPr fontId="10" type="noConversion"/>
  </si>
  <si>
    <t>SMCGY20171201</t>
    <phoneticPr fontId="10" type="noConversion"/>
  </si>
  <si>
    <t>SMCGY20171201</t>
    <phoneticPr fontId="14" type="noConversion"/>
  </si>
  <si>
    <t>SMZCGZ1712FG1</t>
  </si>
  <si>
    <t>阳春市朝谷源工贸实业有限公司</t>
    <phoneticPr fontId="14" type="noConversion"/>
  </si>
  <si>
    <t>SMCGY20171201</t>
    <phoneticPr fontId="10" type="noConversion"/>
  </si>
  <si>
    <t>阳春市朝谷源工贸实业有限公司</t>
    <phoneticPr fontId="10" type="noConversion"/>
  </si>
  <si>
    <t>SMA20170930-1</t>
    <phoneticPr fontId="10" type="noConversion"/>
  </si>
  <si>
    <t>兴义市嘉泰铁合金有限公司</t>
    <phoneticPr fontId="10" type="noConversion"/>
  </si>
  <si>
    <t>SMA20171017-1</t>
    <phoneticPr fontId="10" type="noConversion"/>
  </si>
  <si>
    <t>SMA20170930-1</t>
  </si>
  <si>
    <t>SMA20170930-1</t>
    <phoneticPr fontId="10" type="noConversion"/>
  </si>
  <si>
    <t>SMA20171017-1</t>
  </si>
  <si>
    <t>岑巩金孟锰业有限公司</t>
    <phoneticPr fontId="10" type="noConversion"/>
  </si>
  <si>
    <t>SMXG1801Mb1</t>
    <phoneticPr fontId="14" type="noConversion"/>
  </si>
  <si>
    <t>SMXG1712Mb1</t>
    <phoneticPr fontId="14" type="noConversion"/>
  </si>
  <si>
    <t>SMXG1712Mb1</t>
    <phoneticPr fontId="14" type="noConversion"/>
  </si>
  <si>
    <t>SMA20171201-1</t>
    <phoneticPr fontId="14" type="noConversion"/>
  </si>
  <si>
    <t>SMA20171201-1</t>
    <phoneticPr fontId="14" type="noConversion"/>
  </si>
  <si>
    <t>生铁</t>
    <phoneticPr fontId="14" type="noConversion"/>
  </si>
  <si>
    <t>钦州市钦州港新明冶炼有限公司</t>
    <phoneticPr fontId="10" type="noConversion"/>
  </si>
  <si>
    <t>钦州市钦州港新明冶炼有限公司</t>
    <phoneticPr fontId="14" type="noConversion"/>
  </si>
  <si>
    <t>生铁</t>
    <phoneticPr fontId="10" type="noConversion"/>
  </si>
  <si>
    <t>钦州市钦州港新明冶炼有限公司</t>
    <phoneticPr fontId="10" type="noConversion"/>
  </si>
  <si>
    <t>SMA20171221-1</t>
    <phoneticPr fontId="10" type="noConversion"/>
  </si>
  <si>
    <t>华锟香港签订合同</t>
    <phoneticPr fontId="10" type="noConversion"/>
  </si>
  <si>
    <t>SMA20171228-1</t>
    <phoneticPr fontId="48"/>
  </si>
  <si>
    <t>SMA20171228-2</t>
    <phoneticPr fontId="48"/>
  </si>
  <si>
    <t>SMA20171228-3</t>
    <phoneticPr fontId="48"/>
  </si>
  <si>
    <t>SMA20171228-4</t>
    <phoneticPr fontId="48"/>
  </si>
  <si>
    <t>SMA20171228-5</t>
    <phoneticPr fontId="48"/>
  </si>
  <si>
    <t>SME1802GT4</t>
  </si>
  <si>
    <t>SME1802GT6</t>
  </si>
  <si>
    <t>SME1712GT1</t>
    <phoneticPr fontId="14" type="noConversion"/>
  </si>
  <si>
    <t>SME1712GT1</t>
    <phoneticPr fontId="10" type="noConversion"/>
  </si>
  <si>
    <t>SEOAN RESOURCES CO.,LTD</t>
    <phoneticPr fontId="10" type="noConversion"/>
  </si>
  <si>
    <t>SME1712GT3</t>
    <phoneticPr fontId="14" type="noConversion"/>
  </si>
  <si>
    <t>SME1712GT3</t>
    <phoneticPr fontId="10" type="noConversion"/>
  </si>
  <si>
    <t>METZ CORPORATION</t>
    <phoneticPr fontId="14" type="noConversion"/>
  </si>
  <si>
    <t>METZ CORPORATION</t>
    <phoneticPr fontId="10" type="noConversion"/>
  </si>
  <si>
    <t>SMA20171107</t>
    <phoneticPr fontId="14" type="noConversion"/>
  </si>
  <si>
    <t>SMA20171114-1</t>
    <phoneticPr fontId="14" type="noConversion"/>
  </si>
  <si>
    <t>SMA20171114-3</t>
    <phoneticPr fontId="14" type="noConversion"/>
  </si>
  <si>
    <t>SMA20171114-4</t>
    <phoneticPr fontId="14" type="noConversion"/>
  </si>
  <si>
    <t>SMA20171213</t>
    <phoneticPr fontId="14" type="noConversion"/>
  </si>
  <si>
    <t>SME1712GT4</t>
    <phoneticPr fontId="14" type="noConversion"/>
  </si>
  <si>
    <t>SME1712GT5</t>
    <phoneticPr fontId="14" type="noConversion"/>
  </si>
  <si>
    <t>SME1712GT7</t>
    <phoneticPr fontId="14" type="noConversion"/>
  </si>
  <si>
    <t>SME1712GT9</t>
    <phoneticPr fontId="14" type="noConversion"/>
  </si>
  <si>
    <t>横滨</t>
    <phoneticPr fontId="14" type="noConversion"/>
  </si>
  <si>
    <t>仙台</t>
    <phoneticPr fontId="14" type="noConversion"/>
  </si>
  <si>
    <t>曼谷</t>
    <phoneticPr fontId="14" type="noConversion"/>
  </si>
  <si>
    <t>SEOAN RESOURCES CO.,LTD</t>
    <phoneticPr fontId="14" type="noConversion"/>
  </si>
  <si>
    <t>SEOAN RESOURCES CO.,LTD</t>
    <phoneticPr fontId="14" type="noConversion"/>
  </si>
  <si>
    <t>华锟香港收票</t>
    <phoneticPr fontId="14" type="noConversion"/>
  </si>
  <si>
    <t>SMA20171107</t>
    <phoneticPr fontId="10" type="noConversion"/>
  </si>
  <si>
    <t>SMA20171114-1</t>
    <phoneticPr fontId="10" type="noConversion"/>
  </si>
  <si>
    <t>SMA20171114-3</t>
    <phoneticPr fontId="10" type="noConversion"/>
  </si>
  <si>
    <t>SMA20171114-4</t>
    <phoneticPr fontId="10" type="noConversion"/>
  </si>
  <si>
    <t>SMA20171213</t>
    <phoneticPr fontId="10" type="noConversion"/>
  </si>
  <si>
    <t>SME1712GT4</t>
    <phoneticPr fontId="10" type="noConversion"/>
  </si>
  <si>
    <t>SME1712GT5</t>
    <phoneticPr fontId="10" type="noConversion"/>
  </si>
  <si>
    <t>SME1712GT7</t>
    <phoneticPr fontId="10" type="noConversion"/>
  </si>
  <si>
    <t>SME1712GT8</t>
    <phoneticPr fontId="10" type="noConversion"/>
  </si>
  <si>
    <t>SME1712GT9</t>
    <phoneticPr fontId="10" type="noConversion"/>
  </si>
  <si>
    <t>YONGHE METAL CO.,LTD</t>
    <phoneticPr fontId="10" type="noConversion"/>
  </si>
  <si>
    <t>XHZCZZY201600930</t>
    <phoneticPr fontId="14" type="noConversion"/>
  </si>
  <si>
    <t>安徽一类造球精矿</t>
    <phoneticPr fontId="10" type="noConversion"/>
  </si>
  <si>
    <t>SMYC20171124</t>
    <phoneticPr fontId="14" type="noConversion"/>
  </si>
  <si>
    <t>阳春新钢铁有限责任公司</t>
    <phoneticPr fontId="14" type="noConversion"/>
  </si>
  <si>
    <t>华锟上海开票</t>
    <phoneticPr fontId="14" type="noConversion"/>
  </si>
  <si>
    <t>SMA20171124</t>
    <phoneticPr fontId="48"/>
  </si>
  <si>
    <t>广西威龙物流有限公司</t>
    <phoneticPr fontId="10" type="noConversion"/>
  </si>
  <si>
    <t>SMYC20171124</t>
    <phoneticPr fontId="10" type="noConversion"/>
  </si>
  <si>
    <t>港口船板干吨价</t>
    <phoneticPr fontId="14" type="noConversion"/>
  </si>
  <si>
    <t>SMXG1712Fc1</t>
    <phoneticPr fontId="14" type="noConversion"/>
  </si>
  <si>
    <t>中船工业成套物流有限公司</t>
    <phoneticPr fontId="14" type="noConversion"/>
  </si>
  <si>
    <t>阳春市朝谷源工贸实业有限公司</t>
    <phoneticPr fontId="10" type="noConversion"/>
  </si>
  <si>
    <t>SMZCGZ1801FG1</t>
    <phoneticPr fontId="14" type="noConversion"/>
  </si>
  <si>
    <t>SMCGY20180101</t>
    <phoneticPr fontId="14" type="noConversion"/>
  </si>
  <si>
    <t>SMZCGZ1801FG1</t>
    <phoneticPr fontId="14" type="noConversion"/>
  </si>
  <si>
    <t>SMCGY20180101</t>
    <phoneticPr fontId="10" type="noConversion"/>
  </si>
  <si>
    <t>锰片</t>
    <phoneticPr fontId="14" type="noConversion"/>
  </si>
  <si>
    <t>湘潭</t>
    <phoneticPr fontId="14" type="noConversion"/>
  </si>
  <si>
    <t>惠冶</t>
    <phoneticPr fontId="14" type="noConversion"/>
  </si>
  <si>
    <t>SMA20180109-1</t>
    <phoneticPr fontId="14" type="noConversion"/>
  </si>
  <si>
    <t>SMA20180109-1</t>
    <phoneticPr fontId="10" type="noConversion"/>
  </si>
  <si>
    <t>锰片</t>
    <phoneticPr fontId="10" type="noConversion"/>
  </si>
  <si>
    <t>湖南长鑫冶金炉料有限公司</t>
    <phoneticPr fontId="10" type="noConversion"/>
  </si>
  <si>
    <t>昕洪中付款</t>
    <phoneticPr fontId="10" type="noConversion"/>
  </si>
  <si>
    <t>邓金权</t>
    <phoneticPr fontId="14" type="noConversion"/>
  </si>
  <si>
    <t>SMXG1712ST1</t>
    <phoneticPr fontId="14" type="noConversion"/>
  </si>
  <si>
    <t>SMA20170926-1</t>
  </si>
  <si>
    <t>SMA20170926-1</t>
    <phoneticPr fontId="14" type="noConversion"/>
  </si>
  <si>
    <t>硅锰</t>
    <phoneticPr fontId="10" type="noConversion"/>
  </si>
  <si>
    <t>SMA20180126-1</t>
    <phoneticPr fontId="10" type="noConversion"/>
  </si>
  <si>
    <t>现款包到价，承兑按8600单价，预付80%款.加价我司50%，嘉泰50%</t>
    <phoneticPr fontId="10" type="noConversion"/>
  </si>
  <si>
    <t>现款包到价，承兑按8300单价，预付80%款.加价我司50%，嘉泰50%</t>
    <phoneticPr fontId="10" type="noConversion"/>
  </si>
  <si>
    <t>SMA20180117-1</t>
  </si>
  <si>
    <t>SMA20180117-1</t>
    <phoneticPr fontId="10" type="noConversion"/>
  </si>
  <si>
    <t>SMA20180117-1</t>
    <phoneticPr fontId="14" type="noConversion"/>
  </si>
  <si>
    <t>硅锰</t>
    <phoneticPr fontId="14" type="noConversion"/>
  </si>
  <si>
    <t>广西</t>
    <phoneticPr fontId="14" type="noConversion"/>
  </si>
  <si>
    <t>惠冶</t>
    <phoneticPr fontId="14" type="noConversion"/>
  </si>
  <si>
    <t>现款包到价，合同签订后需方支付20%定金，装车后需方支付75%货款，需方支付定金后3个工作日内供方提供90%增值税发票，待钢厂结算后，供需双方确认结算单后供方开具余额发票，需方两个工作日内付清尾款</t>
    <phoneticPr fontId="10" type="noConversion"/>
  </si>
  <si>
    <t>广西中物矿业有限公司</t>
    <phoneticPr fontId="10" type="noConversion"/>
  </si>
  <si>
    <t>SMA20180109-1</t>
    <phoneticPr fontId="48"/>
  </si>
  <si>
    <t>湖南长鑫冶金炉料有限公司</t>
    <phoneticPr fontId="10" type="noConversion"/>
  </si>
  <si>
    <t>湖南长鑫冶金炉料有限公司</t>
    <phoneticPr fontId="14" type="noConversion"/>
  </si>
  <si>
    <t>SMA20180117-2</t>
    <phoneticPr fontId="10" type="noConversion"/>
  </si>
  <si>
    <t>SMCGY20180101</t>
    <phoneticPr fontId="14" type="noConversion"/>
  </si>
  <si>
    <t>废钢</t>
    <phoneticPr fontId="10" type="noConversion"/>
  </si>
  <si>
    <t>广州</t>
    <phoneticPr fontId="14" type="noConversion"/>
  </si>
  <si>
    <t>SMCGY20180101</t>
  </si>
  <si>
    <t>SMCGY20171201</t>
    <phoneticPr fontId="10" type="noConversion"/>
  </si>
  <si>
    <t>SMCGY20171201</t>
    <phoneticPr fontId="14" type="noConversion"/>
  </si>
  <si>
    <t>G7GNM201700175</t>
    <phoneticPr fontId="14" type="noConversion"/>
  </si>
  <si>
    <t>G7GNM201700175</t>
    <phoneticPr fontId="10" type="noConversion"/>
  </si>
  <si>
    <t>生铁</t>
    <phoneticPr fontId="10" type="noConversion"/>
  </si>
  <si>
    <t>SMA20171221-1</t>
    <phoneticPr fontId="14" type="noConversion"/>
  </si>
  <si>
    <t>SMA20180116-1</t>
    <phoneticPr fontId="14" type="noConversion"/>
  </si>
  <si>
    <t>生铁</t>
    <phoneticPr fontId="10" type="noConversion"/>
  </si>
  <si>
    <t>生铁</t>
    <phoneticPr fontId="14" type="noConversion"/>
  </si>
  <si>
    <t>中船工业成套物流有限公司</t>
    <phoneticPr fontId="14" type="noConversion"/>
  </si>
  <si>
    <t>阳春市朝谷源工贸实业有限公司</t>
    <phoneticPr fontId="10" type="noConversion"/>
  </si>
  <si>
    <t>SMA20171129-1</t>
    <phoneticPr fontId="10" type="noConversion"/>
  </si>
  <si>
    <t>SME1802GT7</t>
    <phoneticPr fontId="48"/>
  </si>
  <si>
    <t>SME1803GT1</t>
    <phoneticPr fontId="48"/>
  </si>
  <si>
    <t>金昌一</t>
    <phoneticPr fontId="14" type="noConversion"/>
  </si>
  <si>
    <t>NAGOYA;正本文件交单议付后14个工作日收95%，余款结算后支付</t>
    <phoneticPr fontId="14" type="noConversion"/>
  </si>
  <si>
    <t>SMA20180115</t>
  </si>
  <si>
    <t>SMA20180118</t>
  </si>
  <si>
    <t>SMA20171116-1</t>
    <phoneticPr fontId="14" type="noConversion"/>
  </si>
  <si>
    <t>SMA20171117-1</t>
    <phoneticPr fontId="14" type="noConversion"/>
  </si>
  <si>
    <t>SMA20171208</t>
    <phoneticPr fontId="14" type="noConversion"/>
  </si>
  <si>
    <t>SME1802GT1</t>
    <phoneticPr fontId="14" type="noConversion"/>
  </si>
  <si>
    <t>SME1801GT1</t>
    <phoneticPr fontId="14" type="noConversion"/>
  </si>
  <si>
    <t>SME1801GT3</t>
    <phoneticPr fontId="14" type="noConversion"/>
  </si>
  <si>
    <t>门司</t>
    <phoneticPr fontId="14" type="noConversion"/>
  </si>
  <si>
    <t>SMA20171116-1</t>
    <phoneticPr fontId="10" type="noConversion"/>
  </si>
  <si>
    <t>SMA20171117-1</t>
    <phoneticPr fontId="10" type="noConversion"/>
  </si>
  <si>
    <t>SMA20171208</t>
    <phoneticPr fontId="10" type="noConversion"/>
  </si>
  <si>
    <t>SME1802GT1</t>
    <phoneticPr fontId="10" type="noConversion"/>
  </si>
  <si>
    <t>SME1801GT3</t>
    <phoneticPr fontId="10" type="noConversion"/>
  </si>
  <si>
    <t>METZ CORPORATION</t>
    <phoneticPr fontId="10" type="noConversion"/>
  </si>
  <si>
    <t>SME1712GT4</t>
  </si>
  <si>
    <t>SME1712GT4</t>
    <phoneticPr fontId="14" type="noConversion"/>
  </si>
  <si>
    <t>SMLY20171101</t>
    <phoneticPr fontId="14" type="noConversion"/>
  </si>
  <si>
    <t>江西联宇物资有限公司</t>
    <phoneticPr fontId="14" type="noConversion"/>
  </si>
  <si>
    <t>钦州市钦州港新明冶炼有限公司</t>
    <phoneticPr fontId="10" type="noConversion"/>
  </si>
  <si>
    <t>SMA20180116-1</t>
    <phoneticPr fontId="10" type="noConversion"/>
  </si>
  <si>
    <t>SMA20180116-1</t>
    <phoneticPr fontId="14" type="noConversion"/>
  </si>
  <si>
    <t>SMCGY20180201</t>
    <phoneticPr fontId="10" type="noConversion"/>
  </si>
  <si>
    <t>SMCGY20180201</t>
    <phoneticPr fontId="14" type="noConversion"/>
  </si>
  <si>
    <t>生铁</t>
    <phoneticPr fontId="14" type="noConversion"/>
  </si>
  <si>
    <t>SMA20180129-1</t>
    <phoneticPr fontId="10" type="noConversion"/>
  </si>
  <si>
    <t>SMA20180116-1</t>
    <phoneticPr fontId="10" type="noConversion"/>
  </si>
  <si>
    <t>SMXG1712ST1</t>
    <phoneticPr fontId="14" type="noConversion"/>
  </si>
  <si>
    <t>SMXG1712ST1</t>
    <phoneticPr fontId="14" type="noConversion"/>
  </si>
  <si>
    <t>中船工业成套物流有限公司</t>
    <phoneticPr fontId="14" type="noConversion"/>
  </si>
  <si>
    <t>华锟开票</t>
    <phoneticPr fontId="14" type="noConversion"/>
  </si>
  <si>
    <t>SMZC1801ST1</t>
    <phoneticPr fontId="14" type="noConversion"/>
  </si>
  <si>
    <t>江西联宇物资有限公司</t>
    <phoneticPr fontId="10" type="noConversion"/>
  </si>
  <si>
    <t>SMTHLY20171201</t>
    <phoneticPr fontId="10" type="noConversion"/>
  </si>
  <si>
    <t>SMLY20171201</t>
    <phoneticPr fontId="14" type="noConversion"/>
  </si>
  <si>
    <t>SMYC20171124</t>
    <phoneticPr fontId="14" type="noConversion"/>
  </si>
  <si>
    <t>锰矿</t>
    <phoneticPr fontId="10" type="noConversion"/>
  </si>
  <si>
    <t>阳春新钢铁有限责任公司</t>
    <phoneticPr fontId="10" type="noConversion"/>
  </si>
  <si>
    <t>华锟上海收款</t>
    <phoneticPr fontId="10" type="noConversion"/>
  </si>
  <si>
    <t>SMXG1712Mb1</t>
    <phoneticPr fontId="14" type="noConversion"/>
  </si>
  <si>
    <t>锰球</t>
    <phoneticPr fontId="14" type="noConversion"/>
  </si>
  <si>
    <t>湖南华菱湘潭钢铁有限公司</t>
    <phoneticPr fontId="14" type="noConversion"/>
  </si>
  <si>
    <t>华锟开票</t>
    <phoneticPr fontId="14" type="noConversion"/>
  </si>
  <si>
    <t>SMXG1801Mb1</t>
    <phoneticPr fontId="14" type="noConversion"/>
  </si>
  <si>
    <t>自提价，2月华诚均价；20%预付款；2-28前发货，2月底多退少补</t>
    <phoneticPr fontId="10" type="noConversion"/>
  </si>
  <si>
    <t>SMA20180130-1</t>
    <phoneticPr fontId="14" type="noConversion"/>
  </si>
  <si>
    <t>锰片</t>
    <phoneticPr fontId="10" type="noConversion"/>
  </si>
  <si>
    <t xml:space="preserve">松桃三和锰业集团有限责任公司 </t>
    <phoneticPr fontId="10" type="noConversion"/>
  </si>
  <si>
    <t>昕洪中付款</t>
    <phoneticPr fontId="10" type="noConversion"/>
  </si>
  <si>
    <t>SMA20170926-1</t>
    <phoneticPr fontId="10" type="noConversion"/>
  </si>
  <si>
    <t>SMA20171017-1</t>
    <phoneticPr fontId="10" type="noConversion"/>
  </si>
  <si>
    <t>兴义市嘉泰铁合金有限公司</t>
    <phoneticPr fontId="10" type="noConversion"/>
  </si>
  <si>
    <t>SMA20170926-1</t>
    <phoneticPr fontId="14" type="noConversion"/>
  </si>
  <si>
    <t>硅锰</t>
    <phoneticPr fontId="10" type="noConversion"/>
  </si>
  <si>
    <t>SMA20171017-1</t>
    <phoneticPr fontId="14" type="noConversion"/>
  </si>
  <si>
    <t>SMA20180126-2</t>
    <phoneticPr fontId="10" type="noConversion"/>
  </si>
  <si>
    <t>SMA20180126-2</t>
    <phoneticPr fontId="10" type="noConversion"/>
  </si>
  <si>
    <t>G7GNM201700175</t>
    <phoneticPr fontId="14" type="noConversion"/>
  </si>
  <si>
    <t>G7GNM201700175</t>
    <phoneticPr fontId="10" type="noConversion"/>
  </si>
  <si>
    <t>废钢</t>
    <phoneticPr fontId="10" type="noConversion"/>
  </si>
  <si>
    <t>中船工业成套物流(广州)有限公司</t>
    <phoneticPr fontId="10" type="noConversion"/>
  </si>
  <si>
    <t>SMZCGZ1712FG1</t>
    <phoneticPr fontId="10" type="noConversion"/>
  </si>
  <si>
    <t>阳春市朝谷源工贸实业有限公司</t>
    <phoneticPr fontId="10" type="noConversion"/>
  </si>
  <si>
    <t>华锟上海付款</t>
    <phoneticPr fontId="10" type="noConversion"/>
  </si>
  <si>
    <t>SME1803GT3</t>
  </si>
  <si>
    <t>SME1803GT8</t>
  </si>
  <si>
    <t>SMA20180212-2</t>
  </si>
  <si>
    <t>SMA20180212-3</t>
  </si>
  <si>
    <t>SMA20180212-4</t>
  </si>
  <si>
    <t>SMA20180212-5</t>
  </si>
  <si>
    <t>SMA20180212-6</t>
  </si>
  <si>
    <t>SMA20180212-7</t>
  </si>
  <si>
    <t>SMA20180212-8</t>
  </si>
  <si>
    <t>SMA20180131</t>
  </si>
  <si>
    <t>SMA20180206-1</t>
  </si>
  <si>
    <t>SMA20180206-2</t>
  </si>
  <si>
    <t>SMA20180212-1</t>
  </si>
  <si>
    <t>SMA20180209</t>
  </si>
  <si>
    <t>SMA20171114-2</t>
    <phoneticPr fontId="48"/>
  </si>
  <si>
    <t>硅铁</t>
    <phoneticPr fontId="10" type="noConversion"/>
  </si>
  <si>
    <t>SMA20171114-2</t>
    <phoneticPr fontId="14" type="noConversion"/>
  </si>
  <si>
    <t>硅铁</t>
    <phoneticPr fontId="14" type="noConversion"/>
  </si>
  <si>
    <t>YONGHE METAL CO.,LTD</t>
    <phoneticPr fontId="14" type="noConversion"/>
  </si>
  <si>
    <t>SME1712GT6</t>
    <phoneticPr fontId="14" type="noConversion"/>
  </si>
  <si>
    <t>METZ CORPORATION</t>
    <phoneticPr fontId="14" type="noConversion"/>
  </si>
  <si>
    <t>SMA20171227</t>
    <phoneticPr fontId="14" type="noConversion"/>
  </si>
  <si>
    <t>SME1801GT4</t>
    <phoneticPr fontId="14" type="noConversion"/>
  </si>
  <si>
    <t>华锟香港收票</t>
    <phoneticPr fontId="14" type="noConversion"/>
  </si>
  <si>
    <t>华锟香港开票</t>
    <phoneticPr fontId="14" type="noConversion"/>
  </si>
  <si>
    <t>YONGHE METAL CO.,LTD</t>
    <phoneticPr fontId="10" type="noConversion"/>
  </si>
  <si>
    <t>SMA20171227</t>
    <phoneticPr fontId="48"/>
  </si>
  <si>
    <t>华锟香港付款</t>
    <phoneticPr fontId="10" type="noConversion"/>
  </si>
  <si>
    <t>SMA20180111</t>
    <phoneticPr fontId="48"/>
  </si>
  <si>
    <t>SME1802MN1</t>
    <phoneticPr fontId="14" type="noConversion"/>
  </si>
  <si>
    <t>SMA20180111</t>
    <phoneticPr fontId="14" type="noConversion"/>
  </si>
  <si>
    <t>锰片</t>
    <phoneticPr fontId="14" type="noConversion"/>
  </si>
  <si>
    <t>SME1802MN1</t>
    <phoneticPr fontId="14" type="noConversion"/>
  </si>
  <si>
    <t>华锟香港收款</t>
    <phoneticPr fontId="10" type="noConversion"/>
  </si>
  <si>
    <t>SMXG1802ST1</t>
    <phoneticPr fontId="14" type="noConversion"/>
  </si>
  <si>
    <t>SMXG1802Ms1</t>
    <phoneticPr fontId="14" type="noConversion"/>
  </si>
  <si>
    <t>SMXG1801Ms1</t>
  </si>
  <si>
    <t>SMXG1801Ms1</t>
    <phoneticPr fontId="14" type="noConversion"/>
  </si>
  <si>
    <t>1月硅锰</t>
    <phoneticPr fontId="10" type="noConversion"/>
  </si>
  <si>
    <t>2月硅锰</t>
    <phoneticPr fontId="10" type="noConversion"/>
  </si>
  <si>
    <t>SMXG1801Ms1</t>
    <phoneticPr fontId="10" type="noConversion"/>
  </si>
  <si>
    <t>SMXG1802Ms1</t>
    <phoneticPr fontId="10" type="noConversion"/>
  </si>
  <si>
    <t>2月生铁</t>
    <phoneticPr fontId="10" type="noConversion"/>
  </si>
  <si>
    <t>SMXG1802ST1</t>
    <phoneticPr fontId="10" type="noConversion"/>
  </si>
  <si>
    <t>生铁</t>
    <phoneticPr fontId="14" type="noConversion"/>
  </si>
  <si>
    <t>阳春市朝谷源工贸实业有限公司</t>
    <phoneticPr fontId="10" type="noConversion"/>
  </si>
  <si>
    <t>2月锰球</t>
    <phoneticPr fontId="10" type="noConversion"/>
  </si>
  <si>
    <t>1月锰球</t>
    <phoneticPr fontId="10" type="noConversion"/>
  </si>
  <si>
    <t>SMXG1801Mb1</t>
    <phoneticPr fontId="10" type="noConversion"/>
  </si>
  <si>
    <t>SMXG1802Mb1</t>
    <phoneticPr fontId="10" type="noConversion"/>
  </si>
  <si>
    <t>SMXG1802Mb1</t>
    <phoneticPr fontId="14" type="noConversion"/>
  </si>
  <si>
    <t>SMXG1802Mb1</t>
    <phoneticPr fontId="14" type="noConversion"/>
  </si>
  <si>
    <t>阳春市朝谷源工贸实业有限公司</t>
    <phoneticPr fontId="10" type="noConversion"/>
  </si>
  <si>
    <t>SMZCGZ1712FG1</t>
    <phoneticPr fontId="10" type="noConversion"/>
  </si>
  <si>
    <t>SMA20180301-1</t>
    <phoneticPr fontId="14" type="noConversion"/>
  </si>
  <si>
    <t>自提价，3月华诚均价；20%预付款；3-15前发货，3月底多退少补</t>
    <phoneticPr fontId="10" type="noConversion"/>
  </si>
  <si>
    <t>SMZY1803Mn1</t>
    <phoneticPr fontId="14" type="noConversion"/>
  </si>
  <si>
    <t>SMA20180301-3</t>
    <phoneticPr fontId="14" type="noConversion"/>
  </si>
  <si>
    <t>SMZY1803Mn1</t>
    <phoneticPr fontId="14" type="noConversion"/>
  </si>
  <si>
    <t>SMZCGZ1802FG1</t>
    <phoneticPr fontId="14" type="noConversion"/>
  </si>
  <si>
    <t>SMA20180129-1</t>
    <phoneticPr fontId="14" type="noConversion"/>
  </si>
  <si>
    <t>SMZC1801ST1</t>
    <phoneticPr fontId="14" type="noConversion"/>
  </si>
  <si>
    <t>SMXG1802ST1</t>
    <phoneticPr fontId="14" type="noConversion"/>
  </si>
  <si>
    <t>SMA20171114-2</t>
    <phoneticPr fontId="14" type="noConversion"/>
  </si>
  <si>
    <t>SME1712GT6</t>
    <phoneticPr fontId="14" type="noConversion"/>
  </si>
  <si>
    <t>SMA20171227</t>
    <phoneticPr fontId="14" type="noConversion"/>
  </si>
  <si>
    <t>SME1801GT4</t>
    <phoneticPr fontId="14" type="noConversion"/>
  </si>
  <si>
    <t>SMA20180111</t>
    <phoneticPr fontId="14" type="noConversion"/>
  </si>
  <si>
    <t>德山</t>
    <phoneticPr fontId="14" type="noConversion"/>
  </si>
  <si>
    <t>SME1802MN1</t>
    <phoneticPr fontId="14" type="noConversion"/>
  </si>
  <si>
    <t>SMXG1801Ms1</t>
    <phoneticPr fontId="14" type="noConversion"/>
  </si>
  <si>
    <t>SMA20180126-1</t>
    <phoneticPr fontId="14" type="noConversion"/>
  </si>
  <si>
    <t>SMA20180126-2</t>
    <phoneticPr fontId="14" type="noConversion"/>
  </si>
  <si>
    <t>SMXG1802Ms1</t>
    <phoneticPr fontId="14" type="noConversion"/>
  </si>
  <si>
    <t>SMXG1802Mb1</t>
    <phoneticPr fontId="14" type="noConversion"/>
  </si>
  <si>
    <t>SMA20180117-2</t>
    <phoneticPr fontId="14" type="noConversion"/>
  </si>
  <si>
    <t>SMZY1803Mn1</t>
    <phoneticPr fontId="10" type="noConversion"/>
  </si>
  <si>
    <t>SMA20180301-3</t>
    <phoneticPr fontId="10" type="noConversion"/>
  </si>
  <si>
    <t xml:space="preserve">松桃三和锰业集团有限责任公司 </t>
    <phoneticPr fontId="10" type="noConversion"/>
  </si>
  <si>
    <t>SMA20180130-1</t>
    <phoneticPr fontId="14" type="noConversion"/>
  </si>
  <si>
    <t>SMA20180130-1</t>
    <phoneticPr fontId="10" type="noConversion"/>
  </si>
  <si>
    <t>SMA20180117-2</t>
    <phoneticPr fontId="48"/>
  </si>
  <si>
    <t>永州市鑫城锰业有限公司</t>
    <phoneticPr fontId="10" type="noConversion"/>
  </si>
  <si>
    <t>SMA20171016-1</t>
    <phoneticPr fontId="14" type="noConversion"/>
  </si>
  <si>
    <t>昕洪中收款</t>
    <phoneticPr fontId="10" type="noConversion"/>
  </si>
  <si>
    <t>SMXG1803ST1</t>
    <phoneticPr fontId="14" type="noConversion"/>
  </si>
  <si>
    <t>SMA20180301-2</t>
    <phoneticPr fontId="10" type="noConversion"/>
  </si>
  <si>
    <t>SMGZYX20180305</t>
    <phoneticPr fontId="14" type="noConversion"/>
  </si>
  <si>
    <t>生铁</t>
    <phoneticPr fontId="14" type="noConversion"/>
  </si>
  <si>
    <t>钦州</t>
    <phoneticPr fontId="14" type="noConversion"/>
  </si>
  <si>
    <t>阳春</t>
    <phoneticPr fontId="14" type="noConversion"/>
  </si>
  <si>
    <t>SMGZYX20180305</t>
    <phoneticPr fontId="14" type="noConversion"/>
  </si>
  <si>
    <t>广州钺新贸易有限公司</t>
    <phoneticPr fontId="14" type="noConversion"/>
  </si>
  <si>
    <t>华锟开票</t>
    <phoneticPr fontId="14" type="noConversion"/>
  </si>
  <si>
    <t>生铁</t>
    <phoneticPr fontId="10" type="noConversion"/>
  </si>
  <si>
    <t>SMLY20171201</t>
  </si>
  <si>
    <t>SMLY20171201</t>
    <phoneticPr fontId="10" type="noConversion"/>
  </si>
  <si>
    <t>SMLY20171101</t>
    <phoneticPr fontId="10" type="noConversion"/>
  </si>
  <si>
    <t>含税6个月承兑价；现金到厂价5.4%年息折算，9-20日前到 预付30%；装车支付55%，当天收85%发票；结算后收票付尾款，折基一半一半</t>
    <phoneticPr fontId="10" type="noConversion"/>
  </si>
  <si>
    <t>焱鑫</t>
    <phoneticPr fontId="14" type="noConversion"/>
  </si>
  <si>
    <t>SMA20180117-1</t>
    <phoneticPr fontId="10" type="noConversion"/>
  </si>
  <si>
    <t>SMXG1803Ms1</t>
    <phoneticPr fontId="14" type="noConversion"/>
  </si>
  <si>
    <t>SMA20180305-2</t>
    <phoneticPr fontId="10" type="noConversion"/>
  </si>
  <si>
    <t>现款包到价，承兑按8450单价，预付85%款.加价我司50%，嘉泰50%</t>
    <phoneticPr fontId="10" type="noConversion"/>
  </si>
  <si>
    <t>SMA20180305-1</t>
    <phoneticPr fontId="10" type="noConversion"/>
  </si>
  <si>
    <t>SMXG1712Mb1</t>
    <phoneticPr fontId="10" type="noConversion"/>
  </si>
  <si>
    <t>SMA20171221-1</t>
    <phoneticPr fontId="10" type="noConversion"/>
  </si>
  <si>
    <t>SMZY1803Mn1</t>
    <phoneticPr fontId="14" type="noConversion"/>
  </si>
  <si>
    <t>中冶京诚（湘潭）重工设备有限公司</t>
    <phoneticPr fontId="14" type="noConversion"/>
  </si>
  <si>
    <t>SMXG1803Mb1</t>
    <phoneticPr fontId="14" type="noConversion"/>
  </si>
  <si>
    <t>江西联宇物资有限公司</t>
  </si>
  <si>
    <t>江西联宇物资有限公司</t>
    <phoneticPr fontId="10" type="noConversion"/>
  </si>
  <si>
    <t>泰和联粤工贸有限公司</t>
    <phoneticPr fontId="10" type="noConversion"/>
  </si>
  <si>
    <t>SMCGY20180301</t>
    <phoneticPr fontId="10" type="noConversion"/>
  </si>
  <si>
    <t>SMZCGZ1803FG1</t>
    <phoneticPr fontId="14" type="noConversion"/>
  </si>
  <si>
    <t>SMZCGZ1803FG1</t>
    <phoneticPr fontId="14" type="noConversion"/>
  </si>
  <si>
    <t>SMCGY20180301</t>
    <phoneticPr fontId="14" type="noConversion"/>
  </si>
  <si>
    <t>SMCGY20180301</t>
    <phoneticPr fontId="10" type="noConversion"/>
  </si>
  <si>
    <t>SME1803GT7-1</t>
    <phoneticPr fontId="14" type="noConversion"/>
  </si>
  <si>
    <t>SME1803GT7-2</t>
    <phoneticPr fontId="14" type="noConversion"/>
  </si>
  <si>
    <t>SME1803GT7-3</t>
    <phoneticPr fontId="14" type="noConversion"/>
  </si>
  <si>
    <t>SME1803GT6-1</t>
    <phoneticPr fontId="14" type="noConversion"/>
  </si>
  <si>
    <t>SME1803GT6-2</t>
    <phoneticPr fontId="14" type="noConversion"/>
  </si>
  <si>
    <t>SME1803GT6-3</t>
    <phoneticPr fontId="14" type="noConversion"/>
  </si>
  <si>
    <t>SME1803GT5-1</t>
    <phoneticPr fontId="14" type="noConversion"/>
  </si>
  <si>
    <t>SME1803GT5-2</t>
    <phoneticPr fontId="14" type="noConversion"/>
  </si>
  <si>
    <t>SME1712GT6</t>
    <phoneticPr fontId="14" type="noConversion"/>
  </si>
  <si>
    <t>SME1712GT6</t>
    <phoneticPr fontId="10" type="noConversion"/>
  </si>
  <si>
    <t>SME1712GT8</t>
    <phoneticPr fontId="14" type="noConversion"/>
  </si>
  <si>
    <t>SME1801GT2</t>
    <phoneticPr fontId="14" type="noConversion"/>
  </si>
  <si>
    <t>SME1802GT4</t>
    <phoneticPr fontId="14" type="noConversion"/>
  </si>
  <si>
    <t>SME1802GT6</t>
    <phoneticPr fontId="14" type="noConversion"/>
  </si>
  <si>
    <t>SME1802GT7</t>
    <phoneticPr fontId="14" type="noConversion"/>
  </si>
  <si>
    <t>SME1802GT8</t>
    <phoneticPr fontId="14" type="noConversion"/>
  </si>
  <si>
    <t>SMA20171130</t>
    <phoneticPr fontId="14" type="noConversion"/>
  </si>
  <si>
    <t>SMA20171228-3</t>
    <phoneticPr fontId="14" type="noConversion"/>
  </si>
  <si>
    <t>SMA20171228-5</t>
    <phoneticPr fontId="14" type="noConversion"/>
  </si>
  <si>
    <t>SMA20180115</t>
    <phoneticPr fontId="14" type="noConversion"/>
  </si>
  <si>
    <t>SMA20180131</t>
    <phoneticPr fontId="14" type="noConversion"/>
  </si>
  <si>
    <t>镜港</t>
    <phoneticPr fontId="14" type="noConversion"/>
  </si>
  <si>
    <t>Mitsui&amp;Co.,Ltd</t>
    <phoneticPr fontId="14" type="noConversion"/>
  </si>
  <si>
    <t>SEOAN RESOURCES CO.,LTD</t>
    <phoneticPr fontId="14" type="noConversion"/>
  </si>
  <si>
    <t>SMA20171130</t>
    <phoneticPr fontId="48"/>
  </si>
  <si>
    <t>SMA20171130</t>
    <phoneticPr fontId="10" type="noConversion"/>
  </si>
  <si>
    <t>SMA20171228-3</t>
    <phoneticPr fontId="10" type="noConversion"/>
  </si>
  <si>
    <t>SMA20171228-5</t>
    <phoneticPr fontId="10" type="noConversion"/>
  </si>
  <si>
    <t>SMA20180115</t>
    <phoneticPr fontId="10" type="noConversion"/>
  </si>
  <si>
    <t>SMA20180131</t>
    <phoneticPr fontId="10" type="noConversion"/>
  </si>
  <si>
    <t>SME1801GT4</t>
    <phoneticPr fontId="14" type="noConversion"/>
  </si>
  <si>
    <t>SME1801GT4</t>
    <phoneticPr fontId="10" type="noConversion"/>
  </si>
  <si>
    <t>SMXG1803Mb1</t>
    <phoneticPr fontId="14" type="noConversion"/>
  </si>
  <si>
    <t>3月锰球1</t>
    <phoneticPr fontId="10" type="noConversion"/>
  </si>
  <si>
    <t>SMXG1802ST1</t>
    <phoneticPr fontId="10" type="noConversion"/>
  </si>
  <si>
    <t>SMLY201780120</t>
    <phoneticPr fontId="14" type="noConversion"/>
  </si>
  <si>
    <t>泰和联粤工贸有限公司</t>
    <phoneticPr fontId="10" type="noConversion"/>
  </si>
  <si>
    <t>SMLY20171101</t>
  </si>
  <si>
    <t>SMLY20171101</t>
    <phoneticPr fontId="10" type="noConversion"/>
  </si>
  <si>
    <t>SMTHLY20171201</t>
    <phoneticPr fontId="10" type="noConversion"/>
  </si>
  <si>
    <t>SMLY201780120</t>
    <phoneticPr fontId="10" type="noConversion"/>
  </si>
  <si>
    <t>SMZCGZ1801FG1</t>
    <phoneticPr fontId="14" type="noConversion"/>
  </si>
  <si>
    <t>SMZCGZ1801FG1</t>
    <phoneticPr fontId="10" type="noConversion"/>
  </si>
  <si>
    <t>SMZCGZ1801FG1</t>
    <phoneticPr fontId="10" type="noConversion"/>
  </si>
  <si>
    <t>生铁</t>
    <phoneticPr fontId="14" type="noConversion"/>
  </si>
  <si>
    <t>SMXG1803ST1</t>
    <phoneticPr fontId="14" type="noConversion"/>
  </si>
  <si>
    <t>SMA20180301-2</t>
    <phoneticPr fontId="14" type="noConversion"/>
  </si>
  <si>
    <t>生铁</t>
    <phoneticPr fontId="10" type="noConversion"/>
  </si>
  <si>
    <t>SMA20180129-1</t>
    <phoneticPr fontId="10" type="noConversion"/>
  </si>
  <si>
    <t>SMA20180314-1</t>
    <phoneticPr fontId="14" type="noConversion"/>
  </si>
  <si>
    <t>包到湘潭工厂。需方2018年3月21日支付全额货款。2018年3月15日发货</t>
    <phoneticPr fontId="10" type="noConversion"/>
  </si>
  <si>
    <t>SMA20180301-1</t>
    <phoneticPr fontId="10" type="noConversion"/>
  </si>
  <si>
    <t>SME1802GT2</t>
    <phoneticPr fontId="14" type="noConversion"/>
  </si>
  <si>
    <t>SME1802GT5</t>
    <phoneticPr fontId="14" type="noConversion"/>
  </si>
  <si>
    <t>SME1803GT2</t>
    <phoneticPr fontId="14" type="noConversion"/>
  </si>
  <si>
    <t>SMA20171228-1</t>
    <phoneticPr fontId="14" type="noConversion"/>
  </si>
  <si>
    <t>SMA20171228-4</t>
    <phoneticPr fontId="14" type="noConversion"/>
  </si>
  <si>
    <t>SMA20180206-1</t>
    <phoneticPr fontId="14" type="noConversion"/>
  </si>
  <si>
    <t>SMA20180212-1</t>
    <phoneticPr fontId="14" type="noConversion"/>
  </si>
  <si>
    <t>SMA20180212-2</t>
    <phoneticPr fontId="14" type="noConversion"/>
  </si>
  <si>
    <t>名古屋</t>
    <phoneticPr fontId="14" type="noConversion"/>
  </si>
  <si>
    <t>SMA20171228-1</t>
    <phoneticPr fontId="10" type="noConversion"/>
  </si>
  <si>
    <t>SMA20171228-4</t>
    <phoneticPr fontId="10" type="noConversion"/>
  </si>
  <si>
    <t>SMA20180206-1</t>
    <phoneticPr fontId="10" type="noConversion"/>
  </si>
  <si>
    <t>SMA20180212-1</t>
    <phoneticPr fontId="10" type="noConversion"/>
  </si>
  <si>
    <t>SMA20180212-2</t>
    <phoneticPr fontId="10" type="noConversion"/>
  </si>
  <si>
    <t>SME1803GT5-2</t>
    <phoneticPr fontId="10" type="noConversion"/>
  </si>
  <si>
    <t>SME1802GT8</t>
    <phoneticPr fontId="10" type="noConversion"/>
  </si>
  <si>
    <t>SME1803GT2</t>
    <phoneticPr fontId="14" type="noConversion"/>
  </si>
  <si>
    <t>SME1803GT2</t>
    <phoneticPr fontId="10" type="noConversion"/>
  </si>
  <si>
    <t>SME1802GT5</t>
    <phoneticPr fontId="14" type="noConversion"/>
  </si>
  <si>
    <t>SME1802GT5</t>
    <phoneticPr fontId="10" type="noConversion"/>
  </si>
  <si>
    <t>SME1803GT5-1</t>
    <phoneticPr fontId="10" type="noConversion"/>
  </si>
  <si>
    <t>阳春市朝谷源工贸实业有限公司</t>
    <phoneticPr fontId="14" type="noConversion"/>
  </si>
  <si>
    <t>3月生铁1</t>
    <phoneticPr fontId="10" type="noConversion"/>
  </si>
  <si>
    <t>3月硅锰1</t>
    <phoneticPr fontId="10" type="noConversion"/>
  </si>
  <si>
    <t>SMXG1803Ms1</t>
    <phoneticPr fontId="10" type="noConversion"/>
  </si>
  <si>
    <t>SMXG1803ST1</t>
    <phoneticPr fontId="10" type="noConversion"/>
  </si>
  <si>
    <t>SMXG1803Mb1</t>
    <phoneticPr fontId="10" type="noConversion"/>
  </si>
  <si>
    <t>SMZC1801ST1</t>
    <phoneticPr fontId="14" type="noConversion"/>
  </si>
  <si>
    <t>SMZC1801ST1</t>
    <phoneticPr fontId="10" type="noConversion"/>
  </si>
  <si>
    <t>生铁</t>
    <phoneticPr fontId="10" type="noConversion"/>
  </si>
  <si>
    <t>中船工业成套物流有限公司</t>
    <phoneticPr fontId="10" type="noConversion"/>
  </si>
  <si>
    <t>华锟上海收款</t>
    <phoneticPr fontId="10" type="noConversion"/>
  </si>
  <si>
    <t>2月生铁2</t>
    <phoneticPr fontId="10" type="noConversion"/>
  </si>
  <si>
    <t>SMXG1803Ms1</t>
    <phoneticPr fontId="14" type="noConversion"/>
  </si>
  <si>
    <t>SMA20180305-1</t>
    <phoneticPr fontId="14" type="noConversion"/>
  </si>
  <si>
    <t>SMA20180305-2</t>
    <phoneticPr fontId="14" type="noConversion"/>
  </si>
  <si>
    <t>兴义</t>
    <phoneticPr fontId="14" type="noConversion"/>
  </si>
  <si>
    <t>SMA20180301-1</t>
    <phoneticPr fontId="14" type="noConversion"/>
  </si>
  <si>
    <t>达腾</t>
    <phoneticPr fontId="14" type="noConversion"/>
  </si>
  <si>
    <t>SMA20180314-1</t>
    <phoneticPr fontId="10" type="noConversion"/>
  </si>
  <si>
    <t xml:space="preserve">松桃三和锰业集团有限责任公司 </t>
    <phoneticPr fontId="10" type="noConversion"/>
  </si>
  <si>
    <t xml:space="preserve">湖南达腾工矿贸易有限公司 </t>
    <phoneticPr fontId="10" type="noConversion"/>
  </si>
  <si>
    <t>生铁</t>
    <phoneticPr fontId="14" type="noConversion"/>
  </si>
  <si>
    <t>钦州市钦州港新明冶炼有限公司</t>
    <phoneticPr fontId="14" type="noConversion"/>
  </si>
  <si>
    <t>JXYX-050001</t>
    <phoneticPr fontId="10" type="noConversion"/>
  </si>
  <si>
    <t>江西粤鑫工贸有限公司</t>
    <phoneticPr fontId="10" type="noConversion"/>
  </si>
  <si>
    <t>兴义市嘉泰铁合金有限公司</t>
    <phoneticPr fontId="10" type="noConversion"/>
  </si>
  <si>
    <t>12月锰球</t>
    <phoneticPr fontId="10" type="noConversion"/>
  </si>
  <si>
    <t>SMXG1712Mb1</t>
    <phoneticPr fontId="10" type="noConversion"/>
  </si>
  <si>
    <t>SMXG1802ST1</t>
    <phoneticPr fontId="14" type="noConversion"/>
  </si>
  <si>
    <t>SMXG1802ST1</t>
    <phoneticPr fontId="10" type="noConversion"/>
  </si>
  <si>
    <t>生铁</t>
    <phoneticPr fontId="10" type="noConversion"/>
  </si>
  <si>
    <t>SMXG1802Ms1</t>
    <phoneticPr fontId="14" type="noConversion"/>
  </si>
  <si>
    <t>SMXG1802Ms1</t>
    <phoneticPr fontId="10" type="noConversion"/>
  </si>
  <si>
    <t>SMXG1802Mb1</t>
    <phoneticPr fontId="10" type="noConversion"/>
  </si>
  <si>
    <t>SMXG1803ST1</t>
    <phoneticPr fontId="10" type="noConversion"/>
  </si>
  <si>
    <t>SMXG1803Ms1</t>
    <phoneticPr fontId="10" type="noConversion"/>
  </si>
  <si>
    <t>SMXG1803Mb1</t>
    <phoneticPr fontId="10" type="noConversion"/>
  </si>
  <si>
    <t>SMZY1804Mn1</t>
  </si>
  <si>
    <t>SMZY1804Mn1</t>
    <phoneticPr fontId="14" type="noConversion"/>
  </si>
  <si>
    <t>SMA20180130-1</t>
    <phoneticPr fontId="14" type="noConversion"/>
  </si>
  <si>
    <t>SMA20180301-1</t>
    <phoneticPr fontId="14" type="noConversion"/>
  </si>
  <si>
    <t>锰片</t>
    <phoneticPr fontId="14" type="noConversion"/>
  </si>
  <si>
    <t>昕洪中收票</t>
    <phoneticPr fontId="14" type="noConversion"/>
  </si>
  <si>
    <t>SMA20180314-1</t>
    <phoneticPr fontId="14" type="noConversion"/>
  </si>
  <si>
    <t>SMA20180314-1</t>
    <phoneticPr fontId="14" type="noConversion"/>
  </si>
  <si>
    <t xml:space="preserve">湖南达腾工矿贸易有限公司 </t>
    <phoneticPr fontId="10" type="noConversion"/>
  </si>
  <si>
    <t>湖南达腾工矿贸易有限公司</t>
    <phoneticPr fontId="14" type="noConversion"/>
  </si>
  <si>
    <t>SMA20180403-1</t>
  </si>
  <si>
    <t>SMA20180403-1</t>
    <phoneticPr fontId="14" type="noConversion"/>
  </si>
  <si>
    <t>惠冶</t>
    <phoneticPr fontId="14" type="noConversion"/>
  </si>
  <si>
    <t>自提</t>
    <phoneticPr fontId="14" type="noConversion"/>
  </si>
  <si>
    <t>SMZY1804Mn1</t>
    <phoneticPr fontId="10" type="noConversion"/>
  </si>
  <si>
    <t>SMA20180403-1</t>
    <phoneticPr fontId="10" type="noConversion"/>
  </si>
  <si>
    <t>长沙矿冶研究院有限责任公司</t>
    <phoneticPr fontId="10" type="noConversion"/>
  </si>
  <si>
    <t>SMA20180402-1</t>
    <phoneticPr fontId="14" type="noConversion"/>
  </si>
  <si>
    <t>SMLY201780120</t>
    <phoneticPr fontId="14" type="noConversion"/>
  </si>
  <si>
    <t>废钢</t>
    <phoneticPr fontId="14" type="noConversion"/>
  </si>
  <si>
    <t>江西联宇物资有限公司</t>
    <phoneticPr fontId="14" type="noConversion"/>
  </si>
  <si>
    <t>华锟收票</t>
    <phoneticPr fontId="14" type="noConversion"/>
  </si>
  <si>
    <t>JXYX-050001</t>
    <phoneticPr fontId="14" type="noConversion"/>
  </si>
  <si>
    <t>江西粤鑫工贸有限公司</t>
    <phoneticPr fontId="14" type="noConversion"/>
  </si>
  <si>
    <t>JXYX-050001</t>
    <phoneticPr fontId="10" type="noConversion"/>
  </si>
  <si>
    <t>JXYX-050001</t>
    <phoneticPr fontId="14" type="noConversion"/>
  </si>
  <si>
    <t>SMA20180319-2</t>
    <phoneticPr fontId="48"/>
  </si>
  <si>
    <t>SMA20180328</t>
    <phoneticPr fontId="48"/>
  </si>
  <si>
    <t>金昌一</t>
    <phoneticPr fontId="14" type="noConversion"/>
  </si>
  <si>
    <t>SME1805GT1</t>
  </si>
  <si>
    <t>SME1804GT1</t>
    <phoneticPr fontId="14" type="noConversion"/>
  </si>
  <si>
    <t>SMA20180319-1</t>
    <phoneticPr fontId="48"/>
  </si>
  <si>
    <t>江西粤鑫工贸有限公司</t>
    <phoneticPr fontId="10" type="noConversion"/>
  </si>
  <si>
    <t>3月锰球2</t>
    <phoneticPr fontId="10" type="noConversion"/>
  </si>
  <si>
    <t>SMXG1803Mb2</t>
    <phoneticPr fontId="10" type="noConversion"/>
  </si>
  <si>
    <t>会昌县湘鸿废旧物资回收有限公司</t>
  </si>
  <si>
    <t>会昌县湘鸿废旧物资回收有限公司</t>
    <phoneticPr fontId="10" type="noConversion"/>
  </si>
  <si>
    <t>SMHCXH20180301</t>
    <phoneticPr fontId="14" type="noConversion"/>
  </si>
  <si>
    <t>废钢</t>
    <phoneticPr fontId="14" type="noConversion"/>
  </si>
  <si>
    <t>会昌县湘鸿废旧物资回收有限公司</t>
    <phoneticPr fontId="14" type="noConversion"/>
  </si>
  <si>
    <t>SMHCXH20180301</t>
    <phoneticPr fontId="10" type="noConversion"/>
  </si>
  <si>
    <t>会昌县湘鸿废旧物资回收有限公司</t>
    <phoneticPr fontId="10" type="noConversion"/>
  </si>
  <si>
    <t>SMCGY20180201</t>
    <phoneticPr fontId="10" type="noConversion"/>
  </si>
  <si>
    <t>SMCGY20180201</t>
    <phoneticPr fontId="10" type="noConversion"/>
  </si>
  <si>
    <t>华锟收款</t>
    <phoneticPr fontId="10" type="noConversion"/>
  </si>
  <si>
    <t>SMCGY20180201</t>
    <phoneticPr fontId="10" type="noConversion"/>
  </si>
  <si>
    <t>SMCGY20180401</t>
    <phoneticPr fontId="10" type="noConversion"/>
  </si>
  <si>
    <t>SMZCGZ1804FG1</t>
    <phoneticPr fontId="14" type="noConversion"/>
  </si>
  <si>
    <t>SMZCGZ1802FG1</t>
    <phoneticPr fontId="14" type="noConversion"/>
  </si>
  <si>
    <t>SMZCGZ1802FG1</t>
    <phoneticPr fontId="14" type="noConversion"/>
  </si>
  <si>
    <t>SMZCGZ1803FG1</t>
    <phoneticPr fontId="14" type="noConversion"/>
  </si>
  <si>
    <t>中船工业成套物流(广州)有限公司</t>
    <phoneticPr fontId="10" type="noConversion"/>
  </si>
  <si>
    <t>SMXG1803Mb2</t>
    <phoneticPr fontId="14" type="noConversion"/>
  </si>
  <si>
    <t>SMXG1803Mb2</t>
    <phoneticPr fontId="14" type="noConversion"/>
  </si>
  <si>
    <t>锰球</t>
    <phoneticPr fontId="14" type="noConversion"/>
  </si>
  <si>
    <t>惠冶</t>
    <phoneticPr fontId="14" type="noConversion"/>
  </si>
  <si>
    <t>湘钢</t>
    <phoneticPr fontId="14" type="noConversion"/>
  </si>
  <si>
    <t>SMA20180305-1</t>
    <phoneticPr fontId="14" type="noConversion"/>
  </si>
  <si>
    <t>硅锰</t>
    <phoneticPr fontId="14" type="noConversion"/>
  </si>
  <si>
    <t>兴义</t>
    <phoneticPr fontId="14" type="noConversion"/>
  </si>
  <si>
    <t>湘钢</t>
    <phoneticPr fontId="14" type="noConversion"/>
  </si>
  <si>
    <t>采购合同</t>
    <phoneticPr fontId="14" type="noConversion"/>
  </si>
  <si>
    <t>SMA20180305-2</t>
    <phoneticPr fontId="14" type="noConversion"/>
  </si>
  <si>
    <t>硅锰</t>
    <phoneticPr fontId="14" type="noConversion"/>
  </si>
  <si>
    <t>中物</t>
    <phoneticPr fontId="14" type="noConversion"/>
  </si>
  <si>
    <t>湘钢</t>
    <phoneticPr fontId="14" type="noConversion"/>
  </si>
  <si>
    <t>采购合同</t>
    <phoneticPr fontId="14" type="noConversion"/>
  </si>
  <si>
    <t>SMXG1803Ms1</t>
    <phoneticPr fontId="14" type="noConversion"/>
  </si>
  <si>
    <t>兴义</t>
    <phoneticPr fontId="14" type="noConversion"/>
  </si>
  <si>
    <t>销售合同</t>
    <phoneticPr fontId="14" type="noConversion"/>
  </si>
  <si>
    <t>SMA20180126-2</t>
    <phoneticPr fontId="10" type="noConversion"/>
  </si>
  <si>
    <t>SMA20180126-2</t>
    <phoneticPr fontId="14" type="noConversion"/>
  </si>
  <si>
    <t>现款包到价，承兑按8170单价，预付85%款.加价我司50%，嘉泰50%</t>
    <phoneticPr fontId="10" type="noConversion"/>
  </si>
  <si>
    <t>SMA20180404-1</t>
    <phoneticPr fontId="10" type="noConversion"/>
  </si>
  <si>
    <t>SMA20180404-1</t>
    <phoneticPr fontId="10" type="noConversion"/>
  </si>
  <si>
    <t>昕洪中付款</t>
    <phoneticPr fontId="10" type="noConversion"/>
  </si>
  <si>
    <t>SMXG1804Ms1</t>
    <phoneticPr fontId="14" type="noConversion"/>
  </si>
  <si>
    <t>SMXG1803ST1</t>
  </si>
  <si>
    <t>SMXG1803ST1</t>
    <phoneticPr fontId="10" type="noConversion"/>
  </si>
  <si>
    <t>SMA20180301-2</t>
  </si>
  <si>
    <t>SMA20180301-2</t>
    <phoneticPr fontId="10" type="noConversion"/>
  </si>
  <si>
    <t>生铁</t>
    <phoneticPr fontId="10" type="noConversion"/>
  </si>
  <si>
    <t>广州钺新贸易有限公司</t>
    <phoneticPr fontId="14" type="noConversion"/>
  </si>
  <si>
    <t>SMGZYX20180305</t>
    <phoneticPr fontId="10" type="noConversion"/>
  </si>
  <si>
    <t>广州钺新贸易有限公司</t>
    <phoneticPr fontId="10" type="noConversion"/>
  </si>
  <si>
    <t>华锟收款</t>
    <phoneticPr fontId="10" type="noConversion"/>
  </si>
  <si>
    <t>SMA20171221-1</t>
    <phoneticPr fontId="10" type="noConversion"/>
  </si>
  <si>
    <t>生铁</t>
    <phoneticPr fontId="10" type="noConversion"/>
  </si>
  <si>
    <t>钦州市钦州港新明冶炼有限公司</t>
    <phoneticPr fontId="10" type="noConversion"/>
  </si>
  <si>
    <t>昕洪中付款</t>
    <phoneticPr fontId="10" type="noConversion"/>
  </si>
  <si>
    <t>SMA20180116-1</t>
    <phoneticPr fontId="10" type="noConversion"/>
  </si>
  <si>
    <t>长沙矿冶研究院有限责任公司</t>
    <phoneticPr fontId="14" type="noConversion"/>
  </si>
  <si>
    <t>SMA20180301-1</t>
    <phoneticPr fontId="14" type="noConversion"/>
  </si>
  <si>
    <t xml:space="preserve">松桃三和锰业集团有限责任公司 </t>
    <phoneticPr fontId="10" type="noConversion"/>
  </si>
  <si>
    <t>SMA20180413-1</t>
    <phoneticPr fontId="10" type="noConversion"/>
  </si>
  <si>
    <t>现款到厂价，合同签订3个工作日内付20%，货到85%货款；尾款结算后支付</t>
    <phoneticPr fontId="10" type="noConversion"/>
  </si>
  <si>
    <t>青岛润霖再生资源有限公司</t>
    <phoneticPr fontId="10" type="noConversion"/>
  </si>
  <si>
    <t>SMA20180401-1</t>
    <phoneticPr fontId="10" type="noConversion"/>
  </si>
  <si>
    <t>SMQDRL20180410</t>
    <phoneticPr fontId="10" type="noConversion"/>
  </si>
  <si>
    <t>SMQDRL20180410</t>
    <phoneticPr fontId="14" type="noConversion"/>
  </si>
  <si>
    <t>青岛润霖再生资源有限公司</t>
    <phoneticPr fontId="14" type="noConversion"/>
  </si>
  <si>
    <t>SMA20180401-1</t>
    <phoneticPr fontId="14" type="noConversion"/>
  </si>
  <si>
    <t>SMA20180404-2</t>
    <phoneticPr fontId="14" type="noConversion"/>
  </si>
  <si>
    <t>SMA20180404-2</t>
    <phoneticPr fontId="10" type="noConversion"/>
  </si>
  <si>
    <t>湘潭市友顺工贸有限责任公司</t>
    <phoneticPr fontId="10" type="noConversion"/>
  </si>
  <si>
    <t>SMA20180305-2</t>
    <phoneticPr fontId="10" type="noConversion"/>
  </si>
  <si>
    <t>SMA20180305-2</t>
    <phoneticPr fontId="10" type="noConversion"/>
  </si>
  <si>
    <t>硅锰</t>
    <phoneticPr fontId="10" type="noConversion"/>
  </si>
  <si>
    <t>SMZCGZ1804FG1</t>
    <phoneticPr fontId="14" type="noConversion"/>
  </si>
  <si>
    <t>SMQDRL20180410</t>
    <phoneticPr fontId="14" type="noConversion"/>
  </si>
  <si>
    <t>SMHCXH20180301</t>
    <phoneticPr fontId="10" type="noConversion"/>
  </si>
  <si>
    <t>SMZC1804ST1</t>
    <phoneticPr fontId="14" type="noConversion"/>
  </si>
  <si>
    <t>现款到厂价，每周结算80%货款；每月20日开票后付尾款</t>
    <phoneticPr fontId="10" type="noConversion"/>
  </si>
  <si>
    <t>长沙矿冶研究院有限责任公司</t>
    <phoneticPr fontId="10" type="noConversion"/>
  </si>
  <si>
    <t>SMGZYX20180305</t>
    <phoneticPr fontId="14" type="noConversion"/>
  </si>
  <si>
    <t>到厂现金价，交单收80%款，尾款结算支付</t>
    <phoneticPr fontId="14" type="noConversion"/>
  </si>
  <si>
    <t>4月硅锰1</t>
    <phoneticPr fontId="10" type="noConversion"/>
  </si>
  <si>
    <t>3月生铁1</t>
    <phoneticPr fontId="10" type="noConversion"/>
  </si>
  <si>
    <t>铁矿石业务清账-现款</t>
    <phoneticPr fontId="10" type="noConversion"/>
  </si>
  <si>
    <t>GN51011770088081</t>
    <phoneticPr fontId="14" type="noConversion"/>
  </si>
  <si>
    <t>SMXG1803ST1</t>
    <phoneticPr fontId="10" type="noConversion"/>
  </si>
  <si>
    <t>生铁</t>
    <phoneticPr fontId="10" type="noConversion"/>
  </si>
  <si>
    <t>SMXG1803Ms1</t>
    <phoneticPr fontId="14" type="noConversion"/>
  </si>
  <si>
    <t>锰球</t>
    <phoneticPr fontId="10" type="noConversion"/>
  </si>
  <si>
    <t>SMXG1803Ms1</t>
    <phoneticPr fontId="10" type="noConversion"/>
  </si>
  <si>
    <t>硅锰</t>
    <phoneticPr fontId="10" type="noConversion"/>
  </si>
  <si>
    <t>湖南华菱湘潭钢铁有限公司</t>
    <phoneticPr fontId="10" type="noConversion"/>
  </si>
  <si>
    <t>华锟收款</t>
    <phoneticPr fontId="10" type="noConversion"/>
  </si>
  <si>
    <t>SMXG1803Mb1</t>
    <phoneticPr fontId="10" type="noConversion"/>
  </si>
  <si>
    <t>铁矿石业务清账-承兑</t>
    <phoneticPr fontId="10" type="noConversion"/>
  </si>
  <si>
    <t>铁合金-电承</t>
    <phoneticPr fontId="10" type="noConversion"/>
  </si>
  <si>
    <t>5月3日刘杰查询湘钢余额</t>
    <phoneticPr fontId="10" type="noConversion"/>
  </si>
  <si>
    <t>SMA20180402-1</t>
    <phoneticPr fontId="14" type="noConversion"/>
  </si>
  <si>
    <t>SMA20180402-1</t>
    <phoneticPr fontId="14" type="noConversion"/>
  </si>
  <si>
    <t>锰片</t>
    <phoneticPr fontId="14" type="noConversion"/>
  </si>
  <si>
    <t>三和</t>
    <phoneticPr fontId="14" type="noConversion"/>
  </si>
  <si>
    <t>惠冶</t>
    <phoneticPr fontId="14" type="noConversion"/>
  </si>
  <si>
    <t>采购合同</t>
    <phoneticPr fontId="14" type="noConversion"/>
  </si>
  <si>
    <t>SMA20180402-1</t>
    <phoneticPr fontId="14" type="noConversion"/>
  </si>
  <si>
    <t>SMA20180402-1</t>
    <phoneticPr fontId="10" type="noConversion"/>
  </si>
  <si>
    <t>锰片</t>
    <phoneticPr fontId="10" type="noConversion"/>
  </si>
  <si>
    <t>昕洪中付款</t>
    <phoneticPr fontId="10" type="noConversion"/>
  </si>
  <si>
    <t>SMA20180305-1</t>
    <phoneticPr fontId="10" type="noConversion"/>
  </si>
  <si>
    <t>包含黔西南泰龙1车34吨</t>
    <phoneticPr fontId="14" type="noConversion"/>
  </si>
  <si>
    <t>现款包到价，承兑按8150单价，装车付款95%.折基各半</t>
    <phoneticPr fontId="10" type="noConversion"/>
  </si>
  <si>
    <t>现款包到价，承兑按8450单价，装车付款95%.折基各半</t>
    <phoneticPr fontId="10" type="noConversion"/>
  </si>
  <si>
    <t>SMA20180420-1</t>
    <phoneticPr fontId="10" type="noConversion"/>
  </si>
  <si>
    <t>华锟签订合同</t>
    <phoneticPr fontId="10" type="noConversion"/>
  </si>
  <si>
    <t>中物</t>
    <phoneticPr fontId="14" type="noConversion"/>
  </si>
  <si>
    <t>湘钢</t>
    <phoneticPr fontId="14" type="noConversion"/>
  </si>
  <si>
    <t>SMXG1804Ms1</t>
  </si>
  <si>
    <t>SMXG1804Mb1</t>
    <phoneticPr fontId="14" type="noConversion"/>
  </si>
  <si>
    <t>阳江港</t>
    <phoneticPr fontId="14" type="noConversion"/>
  </si>
  <si>
    <t>日照港</t>
    <phoneticPr fontId="14" type="noConversion"/>
  </si>
  <si>
    <t>SMXG1804Fc1</t>
    <phoneticPr fontId="10" type="noConversion"/>
  </si>
  <si>
    <t>销售合同</t>
    <phoneticPr fontId="14" type="noConversion"/>
  </si>
  <si>
    <t>SMA20180413-1</t>
    <phoneticPr fontId="10" type="noConversion"/>
  </si>
  <si>
    <t>SMA20180301-2</t>
    <phoneticPr fontId="10" type="noConversion"/>
  </si>
  <si>
    <t>SMA20180301-2</t>
    <phoneticPr fontId="14" type="noConversion"/>
  </si>
  <si>
    <t>生铁</t>
    <phoneticPr fontId="14" type="noConversion"/>
  </si>
  <si>
    <t>钦州市钦州港新明冶炼有限公司</t>
    <phoneticPr fontId="10" type="noConversion"/>
  </si>
  <si>
    <t>昕洪中收票</t>
    <phoneticPr fontId="14" type="noConversion"/>
  </si>
  <si>
    <t>SMXG1803ST1</t>
    <phoneticPr fontId="14" type="noConversion"/>
  </si>
  <si>
    <t>湖南华菱湘潭钢铁有限公司</t>
    <phoneticPr fontId="10" type="noConversion"/>
  </si>
  <si>
    <t>华锟开票</t>
    <phoneticPr fontId="14" type="noConversion"/>
  </si>
  <si>
    <t>SMXG1804Ms1</t>
    <phoneticPr fontId="10" type="noConversion"/>
  </si>
  <si>
    <t>SMZCGZ1801FG1</t>
    <phoneticPr fontId="10" type="noConversion"/>
  </si>
  <si>
    <t>废钢</t>
    <phoneticPr fontId="10" type="noConversion"/>
  </si>
  <si>
    <t>中船工业成套物流(广州)有限公司</t>
    <phoneticPr fontId="10" type="noConversion"/>
  </si>
  <si>
    <t>华锟上海收款</t>
    <phoneticPr fontId="10" type="noConversion"/>
  </si>
  <si>
    <t>SMZCGZ1802FG1</t>
    <phoneticPr fontId="10" type="noConversion"/>
  </si>
  <si>
    <t>SMZCGZ1803FG1</t>
    <phoneticPr fontId="10" type="noConversion"/>
  </si>
  <si>
    <t>华锟上海付款</t>
    <phoneticPr fontId="10" type="noConversion"/>
  </si>
  <si>
    <t>SMQDRL20180411</t>
    <phoneticPr fontId="14" type="noConversion"/>
  </si>
  <si>
    <t>SMQDRL20180411</t>
    <phoneticPr fontId="14" type="noConversion"/>
  </si>
  <si>
    <t>SMQDRL20180410</t>
    <phoneticPr fontId="10" type="noConversion"/>
  </si>
  <si>
    <t>青岛润霖再生资源有限公司</t>
    <phoneticPr fontId="10" type="noConversion"/>
  </si>
  <si>
    <t>SMQDRL20180411</t>
    <phoneticPr fontId="10" type="noConversion"/>
  </si>
  <si>
    <t>SMA20180412</t>
    <phoneticPr fontId="48"/>
  </si>
  <si>
    <t>SMA20180419</t>
    <phoneticPr fontId="48"/>
  </si>
  <si>
    <t>SMA20180423</t>
    <phoneticPr fontId="48"/>
  </si>
  <si>
    <t>金昌一</t>
    <phoneticPr fontId="14" type="noConversion"/>
  </si>
  <si>
    <t>硅铁</t>
    <phoneticPr fontId="10" type="noConversion"/>
  </si>
  <si>
    <t>YONGHE METAL CO.,LTD</t>
    <phoneticPr fontId="10" type="noConversion"/>
  </si>
  <si>
    <t>华锟香港签订合同</t>
    <phoneticPr fontId="10" type="noConversion"/>
  </si>
  <si>
    <t>收到单据后三个工作日内付款</t>
    <phoneticPr fontId="10" type="noConversion"/>
  </si>
  <si>
    <t>SME1806GT1</t>
  </si>
  <si>
    <t>SME1806GT2</t>
  </si>
  <si>
    <t>SME1802GT2</t>
    <phoneticPr fontId="14" type="noConversion"/>
  </si>
  <si>
    <t>SME1802GT2</t>
    <phoneticPr fontId="10" type="noConversion"/>
  </si>
  <si>
    <t>SME1802GT3</t>
    <phoneticPr fontId="14" type="noConversion"/>
  </si>
  <si>
    <t>SME1802GT3</t>
    <phoneticPr fontId="14" type="noConversion"/>
  </si>
  <si>
    <t>硅铁</t>
    <phoneticPr fontId="14" type="noConversion"/>
  </si>
  <si>
    <t>天津</t>
    <phoneticPr fontId="14" type="noConversion"/>
  </si>
  <si>
    <t>仙台</t>
    <phoneticPr fontId="14" type="noConversion"/>
  </si>
  <si>
    <t>销售合同</t>
    <phoneticPr fontId="14" type="noConversion"/>
  </si>
  <si>
    <t>SME1803GT1</t>
    <phoneticPr fontId="14" type="noConversion"/>
  </si>
  <si>
    <t>福山</t>
    <phoneticPr fontId="14" type="noConversion"/>
  </si>
  <si>
    <t>SME1803GT3</t>
    <phoneticPr fontId="14" type="noConversion"/>
  </si>
  <si>
    <t>胡志明</t>
    <phoneticPr fontId="14" type="noConversion"/>
  </si>
  <si>
    <t>SME1803GT6-1</t>
    <phoneticPr fontId="14" type="noConversion"/>
  </si>
  <si>
    <t>门司</t>
    <phoneticPr fontId="14" type="noConversion"/>
  </si>
  <si>
    <t>SME1803GT6-2</t>
    <phoneticPr fontId="14" type="noConversion"/>
  </si>
  <si>
    <t>SME1803GT7-1</t>
    <phoneticPr fontId="14" type="noConversion"/>
  </si>
  <si>
    <t>SME1803GT7-2</t>
    <phoneticPr fontId="14" type="noConversion"/>
  </si>
  <si>
    <t>SME1803GT7-3</t>
    <phoneticPr fontId="14" type="noConversion"/>
  </si>
  <si>
    <t>横滨</t>
    <phoneticPr fontId="14" type="noConversion"/>
  </si>
  <si>
    <t>SME1803GT8</t>
    <phoneticPr fontId="14" type="noConversion"/>
  </si>
  <si>
    <t>SME1804GT1</t>
    <phoneticPr fontId="14" type="noConversion"/>
  </si>
  <si>
    <t>SMA20171228-2</t>
    <phoneticPr fontId="14" type="noConversion"/>
  </si>
  <si>
    <t>采购合同</t>
    <phoneticPr fontId="14" type="noConversion"/>
  </si>
  <si>
    <t>SMA20180118</t>
    <phoneticPr fontId="14" type="noConversion"/>
  </si>
  <si>
    <t>SMA20180206-2</t>
    <phoneticPr fontId="14" type="noConversion"/>
  </si>
  <si>
    <t>SMA20180212-3</t>
    <phoneticPr fontId="14" type="noConversion"/>
  </si>
  <si>
    <t>SMA20180212-4</t>
    <phoneticPr fontId="14" type="noConversion"/>
  </si>
  <si>
    <t>SMA20180212-6</t>
    <phoneticPr fontId="14" type="noConversion"/>
  </si>
  <si>
    <t>SMA20180212-7</t>
    <phoneticPr fontId="14" type="noConversion"/>
  </si>
  <si>
    <t>SMA20180212-8</t>
    <phoneticPr fontId="14" type="noConversion"/>
  </si>
  <si>
    <t>SMA20180209</t>
    <phoneticPr fontId="14" type="noConversion"/>
  </si>
  <si>
    <t>SMA20180319-1</t>
    <phoneticPr fontId="14" type="noConversion"/>
  </si>
  <si>
    <t>SMA20171228-2</t>
    <phoneticPr fontId="14" type="noConversion"/>
  </si>
  <si>
    <t>SMA20180118</t>
    <phoneticPr fontId="14" type="noConversion"/>
  </si>
  <si>
    <t>SMA20180206-2</t>
    <phoneticPr fontId="14" type="noConversion"/>
  </si>
  <si>
    <t>SMA20180212-3</t>
    <phoneticPr fontId="14" type="noConversion"/>
  </si>
  <si>
    <t>SMA20180212-4</t>
    <phoneticPr fontId="14" type="noConversion"/>
  </si>
  <si>
    <t>SMA20180212-6</t>
    <phoneticPr fontId="14" type="noConversion"/>
  </si>
  <si>
    <t>SMA20180212-7</t>
    <phoneticPr fontId="14" type="noConversion"/>
  </si>
  <si>
    <t>SMA20180212-8</t>
    <phoneticPr fontId="14" type="noConversion"/>
  </si>
  <si>
    <t>SMA20180209</t>
    <phoneticPr fontId="14" type="noConversion"/>
  </si>
  <si>
    <t>SMA20180319-1</t>
    <phoneticPr fontId="14" type="noConversion"/>
  </si>
  <si>
    <t>SME1802GT3</t>
    <phoneticPr fontId="14" type="noConversion"/>
  </si>
  <si>
    <t>SME1803GT1</t>
    <phoneticPr fontId="14" type="noConversion"/>
  </si>
  <si>
    <t>SME1803GT3</t>
    <phoneticPr fontId="14" type="noConversion"/>
  </si>
  <si>
    <t>SME1803GT8</t>
    <phoneticPr fontId="14" type="noConversion"/>
  </si>
  <si>
    <t>SMA20171228-2</t>
    <phoneticPr fontId="10" type="noConversion"/>
  </si>
  <si>
    <t>SMA20180118</t>
    <phoneticPr fontId="10" type="noConversion"/>
  </si>
  <si>
    <t>SMA20180206-2</t>
    <phoneticPr fontId="10" type="noConversion"/>
  </si>
  <si>
    <t>SMA20180212-3</t>
    <phoneticPr fontId="10" type="noConversion"/>
  </si>
  <si>
    <t>SMA20180212-4</t>
    <phoneticPr fontId="10" type="noConversion"/>
  </si>
  <si>
    <t>SMA20180212-6</t>
    <phoneticPr fontId="10" type="noConversion"/>
  </si>
  <si>
    <t>SMA20180212-7</t>
    <phoneticPr fontId="10" type="noConversion"/>
  </si>
  <si>
    <t>SMA20180212-8</t>
    <phoneticPr fontId="10" type="noConversion"/>
  </si>
  <si>
    <t>SMA20180209</t>
    <phoneticPr fontId="10" type="noConversion"/>
  </si>
  <si>
    <t>SMA20180319-1</t>
    <phoneticPr fontId="10" type="noConversion"/>
  </si>
  <si>
    <t>SME1802GT3</t>
    <phoneticPr fontId="10" type="noConversion"/>
  </si>
  <si>
    <t>SME1803GT1</t>
    <phoneticPr fontId="10" type="noConversion"/>
  </si>
  <si>
    <t>SME1803GT3</t>
    <phoneticPr fontId="10" type="noConversion"/>
  </si>
  <si>
    <t>SME1803GT6-1</t>
    <phoneticPr fontId="10" type="noConversion"/>
  </si>
  <si>
    <t>SME1803GT6-2</t>
    <phoneticPr fontId="10" type="noConversion"/>
  </si>
  <si>
    <t>SME1803GT7-1</t>
    <phoneticPr fontId="10" type="noConversion"/>
  </si>
  <si>
    <t>SME1803GT7-2</t>
    <phoneticPr fontId="10" type="noConversion"/>
  </si>
  <si>
    <t>SME1803GT7-3</t>
    <phoneticPr fontId="10" type="noConversion"/>
  </si>
  <si>
    <t>SME1803GT8</t>
    <phoneticPr fontId="10" type="noConversion"/>
  </si>
  <si>
    <t>SME1804GT1</t>
    <phoneticPr fontId="10" type="noConversion"/>
  </si>
  <si>
    <t>SME1802GT8</t>
    <phoneticPr fontId="14" type="noConversion"/>
  </si>
  <si>
    <t>SME1802GT8</t>
    <phoneticPr fontId="10" type="noConversion"/>
  </si>
  <si>
    <t>SME1801GT1</t>
    <phoneticPr fontId="10" type="noConversion"/>
  </si>
  <si>
    <t>SMXG1801Mb1</t>
    <phoneticPr fontId="14" type="noConversion"/>
  </si>
  <si>
    <t>SMA20180301-3</t>
    <phoneticPr fontId="14" type="noConversion"/>
  </si>
  <si>
    <t>SMXG1804Ms1</t>
    <phoneticPr fontId="10" type="noConversion"/>
  </si>
  <si>
    <t>SMXG1804Mb1</t>
    <phoneticPr fontId="10" type="noConversion"/>
  </si>
  <si>
    <t>4月锰球1</t>
    <phoneticPr fontId="10" type="noConversion"/>
  </si>
  <si>
    <t>SMXG1804Mb1</t>
    <phoneticPr fontId="14" type="noConversion"/>
  </si>
  <si>
    <t>SMXG1804Mb1</t>
    <phoneticPr fontId="14" type="noConversion"/>
  </si>
  <si>
    <t>锰球</t>
    <phoneticPr fontId="14" type="noConversion"/>
  </si>
  <si>
    <t>惠冶</t>
    <phoneticPr fontId="14" type="noConversion"/>
  </si>
  <si>
    <t>湘钢</t>
    <phoneticPr fontId="14" type="noConversion"/>
  </si>
  <si>
    <t>SMXG1804Ms1</t>
    <phoneticPr fontId="14" type="noConversion"/>
  </si>
  <si>
    <t>SMA20180404-1</t>
    <phoneticPr fontId="14" type="noConversion"/>
  </si>
  <si>
    <t>硅锰</t>
    <phoneticPr fontId="14" type="noConversion"/>
  </si>
  <si>
    <t>兴义</t>
    <phoneticPr fontId="14" type="noConversion"/>
  </si>
  <si>
    <t>SMXG1803ST1</t>
    <phoneticPr fontId="14" type="noConversion"/>
  </si>
  <si>
    <t>湖南华菱湘潭钢铁有限公司</t>
    <phoneticPr fontId="10" type="noConversion"/>
  </si>
  <si>
    <t>SMXG1803ST1</t>
    <phoneticPr fontId="10" type="noConversion"/>
  </si>
  <si>
    <t>生铁</t>
    <phoneticPr fontId="10" type="noConversion"/>
  </si>
  <si>
    <t>SMXG1803Mb1</t>
    <phoneticPr fontId="10" type="noConversion"/>
  </si>
  <si>
    <t>锰球</t>
    <phoneticPr fontId="10" type="noConversion"/>
  </si>
  <si>
    <t>SMXG1803Mb2</t>
    <phoneticPr fontId="10" type="noConversion"/>
  </si>
  <si>
    <t>SMXG1804Ms1</t>
    <phoneticPr fontId="10" type="noConversion"/>
  </si>
  <si>
    <t>硅锰</t>
    <phoneticPr fontId="10" type="noConversion"/>
  </si>
  <si>
    <t>包到惠冶，2018年2月5日前到货</t>
    <phoneticPr fontId="10" type="noConversion"/>
  </si>
  <si>
    <t>包到惠冶，货到付款</t>
    <phoneticPr fontId="10" type="noConversion"/>
  </si>
  <si>
    <t>现款价，承兑支付单价为2800.装车付款80%，钢厂结算后供方开票，需方收票后2个工作日内付尾款</t>
    <phoneticPr fontId="10" type="noConversion"/>
  </si>
  <si>
    <t>SMZC1805ST1</t>
    <phoneticPr fontId="14" type="noConversion"/>
  </si>
  <si>
    <t>SMZC1804ST1</t>
    <phoneticPr fontId="14" type="noConversion"/>
  </si>
  <si>
    <t>生铁</t>
    <phoneticPr fontId="14" type="noConversion"/>
  </si>
  <si>
    <t>中船工业成套物流有限公司</t>
    <phoneticPr fontId="14" type="noConversion"/>
  </si>
  <si>
    <t>中船工业成套物流有限公司</t>
    <phoneticPr fontId="14" type="noConversion"/>
  </si>
  <si>
    <t>华锟开票</t>
    <phoneticPr fontId="14" type="noConversion"/>
  </si>
  <si>
    <t>SMZCGZ1804FG1</t>
    <phoneticPr fontId="14" type="noConversion"/>
  </si>
  <si>
    <r>
      <t>16%</t>
    </r>
    <r>
      <rPr>
        <sz val="11"/>
        <color theme="1"/>
        <rFont val="宋体"/>
        <family val="3"/>
        <charset val="134"/>
      </rPr>
      <t>税率</t>
    </r>
    <phoneticPr fontId="14" type="noConversion"/>
  </si>
  <si>
    <t>SMZCGZ1803FG1</t>
    <phoneticPr fontId="14" type="noConversion"/>
  </si>
  <si>
    <t>SMZCGZ1803FG1</t>
    <phoneticPr fontId="10" type="noConversion"/>
  </si>
  <si>
    <t>废钢</t>
    <phoneticPr fontId="10" type="noConversion"/>
  </si>
  <si>
    <t>SMZCGZ1712FG1</t>
    <phoneticPr fontId="14" type="noConversion"/>
  </si>
  <si>
    <t>SMXG1805Ms1</t>
    <phoneticPr fontId="14" type="noConversion"/>
  </si>
  <si>
    <t>现款包到价，承兑按7650单价，预付85%款.加价我司50%，嘉泰50%</t>
    <phoneticPr fontId="10" type="noConversion"/>
  </si>
  <si>
    <t>SMA20180404-1</t>
    <phoneticPr fontId="14" type="noConversion"/>
  </si>
  <si>
    <t>SMXG1804Ms1</t>
    <phoneticPr fontId="14" type="noConversion"/>
  </si>
  <si>
    <t>SMA20180404-1</t>
    <phoneticPr fontId="14" type="noConversion"/>
  </si>
  <si>
    <t>SMA20180404-1</t>
    <phoneticPr fontId="10" type="noConversion"/>
  </si>
  <si>
    <t>硅锰</t>
    <phoneticPr fontId="10" type="noConversion"/>
  </si>
  <si>
    <t>昕洪中付款</t>
    <phoneticPr fontId="10" type="noConversion"/>
  </si>
  <si>
    <t>SMA20180507-2</t>
    <phoneticPr fontId="10" type="noConversion"/>
  </si>
  <si>
    <t>包到湘潭工厂。需方2018年5月10日支付全额货款。2018年5月10日发货</t>
    <phoneticPr fontId="10" type="noConversion"/>
  </si>
  <si>
    <t>SMA20180510-1</t>
    <phoneticPr fontId="14" type="noConversion"/>
  </si>
  <si>
    <t>SMA20180510-1</t>
    <phoneticPr fontId="14" type="noConversion"/>
  </si>
  <si>
    <t>SMA20180510-1</t>
    <phoneticPr fontId="10" type="noConversion"/>
  </si>
  <si>
    <t>锰片</t>
    <phoneticPr fontId="10" type="noConversion"/>
  </si>
  <si>
    <t>长沙矿冶研究院有限责任公司</t>
    <phoneticPr fontId="10" type="noConversion"/>
  </si>
  <si>
    <t>SMZY1804Mn1</t>
    <phoneticPr fontId="14" type="noConversion"/>
  </si>
  <si>
    <t>SMZY1804Mn1</t>
    <phoneticPr fontId="14" type="noConversion"/>
  </si>
  <si>
    <t>锰片</t>
    <phoneticPr fontId="14" type="noConversion"/>
  </si>
  <si>
    <t>SMA20180401-1</t>
    <phoneticPr fontId="14" type="noConversion"/>
  </si>
  <si>
    <t>钦州</t>
    <phoneticPr fontId="14" type="noConversion"/>
  </si>
  <si>
    <t>SMZC1804ST1</t>
    <phoneticPr fontId="14" type="noConversion"/>
  </si>
  <si>
    <t>SMA20180404-2</t>
    <phoneticPr fontId="14" type="noConversion"/>
  </si>
  <si>
    <t>湘潭市友顺工贸有限责任公司</t>
    <phoneticPr fontId="14" type="noConversion"/>
  </si>
  <si>
    <t>SMA20180404-2</t>
    <phoneticPr fontId="10" type="noConversion"/>
  </si>
  <si>
    <t>生铁</t>
    <phoneticPr fontId="10" type="noConversion"/>
  </si>
  <si>
    <t>SMA20180510-2</t>
    <phoneticPr fontId="14" type="noConversion"/>
  </si>
  <si>
    <t>SMA20180510-2</t>
    <phoneticPr fontId="10" type="noConversion"/>
  </si>
  <si>
    <t>SMZC1804ST1</t>
    <phoneticPr fontId="10" type="noConversion"/>
  </si>
  <si>
    <t>SMQDRL20180411</t>
    <phoneticPr fontId="10" type="noConversion"/>
  </si>
  <si>
    <t>SMCGY20180301</t>
    <phoneticPr fontId="10" type="noConversion"/>
  </si>
  <si>
    <t>SMCGY20180401</t>
  </si>
  <si>
    <t>SMA20180507-1</t>
    <phoneticPr fontId="14" type="noConversion"/>
  </si>
  <si>
    <t>锰片</t>
    <phoneticPr fontId="14" type="noConversion"/>
  </si>
  <si>
    <t>惠冶</t>
    <phoneticPr fontId="14" type="noConversion"/>
  </si>
  <si>
    <t>SMA20180507-1</t>
    <phoneticPr fontId="14" type="noConversion"/>
  </si>
  <si>
    <t>锰片</t>
    <phoneticPr fontId="10" type="noConversion"/>
  </si>
  <si>
    <t>长沙矿冶研究院有限责任公司</t>
    <phoneticPr fontId="10" type="noConversion"/>
  </si>
  <si>
    <t>SMA20180507-1</t>
    <phoneticPr fontId="10" type="noConversion"/>
  </si>
  <si>
    <t>SMA20180507-1</t>
    <phoneticPr fontId="14" type="noConversion"/>
  </si>
  <si>
    <t>长沙矿冶研究院有限责任公司</t>
    <phoneticPr fontId="14" type="noConversion"/>
  </si>
  <si>
    <t>SMZZ1804Mn1</t>
    <phoneticPr fontId="10" type="noConversion"/>
  </si>
  <si>
    <t>SMZZ1804Mn1</t>
    <phoneticPr fontId="14" type="noConversion"/>
  </si>
  <si>
    <t>自提</t>
    <phoneticPr fontId="14" type="noConversion"/>
  </si>
  <si>
    <t>SMZZ1804Mn1</t>
    <phoneticPr fontId="14" type="noConversion"/>
  </si>
  <si>
    <t>株洲天鹰冶金炉料有限公司</t>
    <phoneticPr fontId="10" type="noConversion"/>
  </si>
  <si>
    <t>株洲天鹰冶金炉料有限公司</t>
    <phoneticPr fontId="14" type="noConversion"/>
  </si>
  <si>
    <t>中船工业成套物流(广州)有限公司</t>
    <phoneticPr fontId="14" type="noConversion"/>
  </si>
  <si>
    <t>华锟上海收款</t>
    <phoneticPr fontId="10" type="noConversion"/>
  </si>
  <si>
    <t>昕洪中付款</t>
    <phoneticPr fontId="10" type="noConversion"/>
  </si>
  <si>
    <t>SMZCGZ1803FG1</t>
    <phoneticPr fontId="14" type="noConversion"/>
  </si>
  <si>
    <t>废钢</t>
    <phoneticPr fontId="10" type="noConversion"/>
  </si>
  <si>
    <t>中船工业成套物流(广州)有限公司</t>
    <phoneticPr fontId="10" type="noConversion"/>
  </si>
  <si>
    <t>华锟上海收款</t>
    <phoneticPr fontId="10" type="noConversion"/>
  </si>
  <si>
    <t>SMZCGZ1804FG1</t>
    <phoneticPr fontId="14" type="noConversion"/>
  </si>
  <si>
    <t>华锟上海付款</t>
    <phoneticPr fontId="10" type="noConversion"/>
  </si>
  <si>
    <t>SMZCGZ1804FG1</t>
    <phoneticPr fontId="10" type="noConversion"/>
  </si>
  <si>
    <t>SMCGY20180401</t>
    <phoneticPr fontId="10" type="noConversion"/>
  </si>
  <si>
    <t>青岛润霖再生资源有限公司</t>
    <phoneticPr fontId="10" type="noConversion"/>
  </si>
  <si>
    <t>中船工业成套物流(广州)有限公司</t>
    <phoneticPr fontId="10" type="noConversion"/>
  </si>
  <si>
    <t>SMQDRL20180411</t>
    <phoneticPr fontId="10" type="noConversion"/>
  </si>
  <si>
    <t>SMA20180413-1</t>
    <phoneticPr fontId="14" type="noConversion"/>
  </si>
  <si>
    <t>焦粉</t>
    <phoneticPr fontId="14" type="noConversion"/>
  </si>
  <si>
    <t>山东泰盈康国际贸易有限公司</t>
    <phoneticPr fontId="10" type="noConversion"/>
  </si>
  <si>
    <t>山东泰盈康国际贸易有限公司</t>
    <phoneticPr fontId="14" type="noConversion"/>
  </si>
  <si>
    <t>SMXG1804Fc1</t>
    <phoneticPr fontId="14" type="noConversion"/>
  </si>
  <si>
    <t>中船工业成套物流有限公司</t>
    <phoneticPr fontId="14" type="noConversion"/>
  </si>
  <si>
    <t>中船工业成套物流有限公司</t>
    <phoneticPr fontId="14" type="noConversion"/>
  </si>
  <si>
    <t>SMXG1804Fc1</t>
    <phoneticPr fontId="14" type="noConversion"/>
  </si>
  <si>
    <t>SMZC1805ST1</t>
    <phoneticPr fontId="10" type="noConversion"/>
  </si>
  <si>
    <t>SMA20180510-2</t>
    <phoneticPr fontId="14" type="noConversion"/>
  </si>
  <si>
    <t>生铁</t>
    <phoneticPr fontId="14" type="noConversion"/>
  </si>
  <si>
    <t>SMZC1805ST1</t>
    <phoneticPr fontId="14" type="noConversion"/>
  </si>
  <si>
    <t>SMA20180404-2</t>
    <phoneticPr fontId="14" type="noConversion"/>
  </si>
  <si>
    <t>湘潭市友顺工贸有限责任公司</t>
    <phoneticPr fontId="10" type="noConversion"/>
  </si>
  <si>
    <t>湘潭市友顺工贸有限责任公司</t>
    <phoneticPr fontId="14" type="noConversion"/>
  </si>
  <si>
    <t>SMA20180508-1</t>
    <phoneticPr fontId="10" type="noConversion"/>
  </si>
  <si>
    <t>SMA20180510-1</t>
    <phoneticPr fontId="14" type="noConversion"/>
  </si>
  <si>
    <t>5月锰球1</t>
    <phoneticPr fontId="10" type="noConversion"/>
  </si>
  <si>
    <t>SMXG1805Mb1</t>
    <phoneticPr fontId="10" type="noConversion"/>
  </si>
  <si>
    <t>承兑价，合同签订后第二天发货。供方负责送货到湘潭仓库，运费由供方承担</t>
    <phoneticPr fontId="10" type="noConversion"/>
  </si>
  <si>
    <t>SMHSKJ20180530</t>
    <phoneticPr fontId="14" type="noConversion"/>
  </si>
  <si>
    <t>锰球</t>
    <phoneticPr fontId="14" type="noConversion"/>
  </si>
  <si>
    <t>陈剑钊</t>
    <phoneticPr fontId="14" type="noConversion"/>
  </si>
  <si>
    <t>款到后第二天发货   。供方负责送货到湘潭仓库，运费由供方承担。</t>
    <phoneticPr fontId="10" type="noConversion"/>
  </si>
  <si>
    <t>SMA20180604-1</t>
    <phoneticPr fontId="14" type="noConversion"/>
  </si>
  <si>
    <t>现货自提，华诚网月均价结算</t>
    <phoneticPr fontId="10" type="noConversion"/>
  </si>
  <si>
    <t>SMA20180508-1</t>
  </si>
  <si>
    <t>SMA20180508-1</t>
    <phoneticPr fontId="14" type="noConversion"/>
  </si>
  <si>
    <t>SMA20180530-1</t>
    <phoneticPr fontId="14" type="noConversion"/>
  </si>
  <si>
    <t>SMA20180530-1</t>
    <phoneticPr fontId="14" type="noConversion"/>
  </si>
  <si>
    <t>SMA20180601-1</t>
    <phoneticPr fontId="14" type="noConversion"/>
  </si>
  <si>
    <t>SMA20180601-1</t>
    <phoneticPr fontId="14" type="noConversion"/>
  </si>
  <si>
    <t xml:space="preserve">松桃三和锰业集团有限责任公司 </t>
    <phoneticPr fontId="10" type="noConversion"/>
  </si>
  <si>
    <t>锰片</t>
    <phoneticPr fontId="14" type="noConversion"/>
  </si>
  <si>
    <t>三和</t>
    <phoneticPr fontId="14" type="noConversion"/>
  </si>
  <si>
    <t>惠冶</t>
    <phoneticPr fontId="14" type="noConversion"/>
  </si>
  <si>
    <t>玲玲物流</t>
    <phoneticPr fontId="14" type="noConversion"/>
  </si>
  <si>
    <t>SMA20180508-1</t>
    <phoneticPr fontId="14" type="noConversion"/>
  </si>
  <si>
    <t>SMA20180601-1</t>
    <phoneticPr fontId="10" type="noConversion"/>
  </si>
  <si>
    <t>SMXG1805Mb1</t>
    <phoneticPr fontId="14" type="noConversion"/>
  </si>
  <si>
    <t>SMXG1805Mb1</t>
    <phoneticPr fontId="14" type="noConversion"/>
  </si>
  <si>
    <t>锰球</t>
    <phoneticPr fontId="14" type="noConversion"/>
  </si>
  <si>
    <t>湘钢</t>
    <phoneticPr fontId="14" type="noConversion"/>
  </si>
  <si>
    <t>湖南华菱湘潭钢铁有限公司</t>
    <phoneticPr fontId="14" type="noConversion"/>
  </si>
  <si>
    <t>SMA20180420-1</t>
    <phoneticPr fontId="14" type="noConversion"/>
  </si>
  <si>
    <t>华锟收票</t>
    <phoneticPr fontId="14" type="noConversion"/>
  </si>
  <si>
    <t>SMA20180401-1</t>
    <phoneticPr fontId="14" type="noConversion"/>
  </si>
  <si>
    <t>生铁</t>
    <phoneticPr fontId="14" type="noConversion"/>
  </si>
  <si>
    <t>SMA20180401-1</t>
    <phoneticPr fontId="10" type="noConversion"/>
  </si>
  <si>
    <t>生铁</t>
    <phoneticPr fontId="10" type="noConversion"/>
  </si>
  <si>
    <t>SMA20180404-2</t>
    <phoneticPr fontId="10" type="noConversion"/>
  </si>
  <si>
    <t>SMA20180510-2</t>
    <phoneticPr fontId="10" type="noConversion"/>
  </si>
  <si>
    <t>SME1807GT1</t>
    <phoneticPr fontId="14" type="noConversion"/>
  </si>
  <si>
    <t>硅铁</t>
    <phoneticPr fontId="14" type="noConversion"/>
  </si>
  <si>
    <t>SME1803GT6-3</t>
    <phoneticPr fontId="14" type="noConversion"/>
  </si>
  <si>
    <t>硅铁</t>
    <phoneticPr fontId="14" type="noConversion"/>
  </si>
  <si>
    <t>SME1805GT1</t>
    <phoneticPr fontId="14" type="noConversion"/>
  </si>
  <si>
    <t>SME1805GT2</t>
    <phoneticPr fontId="14" type="noConversion"/>
  </si>
  <si>
    <t>SME1805GT3</t>
    <phoneticPr fontId="14" type="noConversion"/>
  </si>
  <si>
    <t>SMA20180212-5</t>
    <phoneticPr fontId="14" type="noConversion"/>
  </si>
  <si>
    <t>SMA20180319-2</t>
    <phoneticPr fontId="14" type="noConversion"/>
  </si>
  <si>
    <t>SMA20180328</t>
    <phoneticPr fontId="14" type="noConversion"/>
  </si>
  <si>
    <t>SMA20180419</t>
    <phoneticPr fontId="14" type="noConversion"/>
  </si>
  <si>
    <t>门司</t>
    <phoneticPr fontId="14" type="noConversion"/>
  </si>
  <si>
    <t>釜山</t>
    <phoneticPr fontId="14" type="noConversion"/>
  </si>
  <si>
    <t>SME1803GT6-3</t>
    <phoneticPr fontId="14" type="noConversion"/>
  </si>
  <si>
    <t>METZ CORPORATION</t>
    <phoneticPr fontId="14" type="noConversion"/>
  </si>
  <si>
    <t>SME1805GT1</t>
    <phoneticPr fontId="14" type="noConversion"/>
  </si>
  <si>
    <t>SEOAN RESOURCES CO.,LTD</t>
    <phoneticPr fontId="14" type="noConversion"/>
  </si>
  <si>
    <t>SME1805GT2</t>
    <phoneticPr fontId="14" type="noConversion"/>
  </si>
  <si>
    <t>Mitsui&amp;Co.,Ltd</t>
    <phoneticPr fontId="14" type="noConversion"/>
  </si>
  <si>
    <t>SME1805GT3</t>
    <phoneticPr fontId="14" type="noConversion"/>
  </si>
  <si>
    <t>SMA20180212-5</t>
    <phoneticPr fontId="14" type="noConversion"/>
  </si>
  <si>
    <t>YONGHE METAL CO.,LTD</t>
    <phoneticPr fontId="14" type="noConversion"/>
  </si>
  <si>
    <t>SMA20180319-2</t>
    <phoneticPr fontId="14" type="noConversion"/>
  </si>
  <si>
    <t>SMA20180328</t>
    <phoneticPr fontId="14" type="noConversion"/>
  </si>
  <si>
    <t>SMA20180419</t>
    <phoneticPr fontId="14" type="noConversion"/>
  </si>
  <si>
    <t>SEOAN RESOURCES CO.,LTD</t>
    <phoneticPr fontId="14" type="noConversion"/>
  </si>
  <si>
    <t>SMA20180212-5</t>
    <phoneticPr fontId="10" type="noConversion"/>
  </si>
  <si>
    <t>硅铁</t>
    <phoneticPr fontId="10" type="noConversion"/>
  </si>
  <si>
    <t>SMA20180319-2</t>
    <phoneticPr fontId="10" type="noConversion"/>
  </si>
  <si>
    <t>SMA20180328</t>
    <phoneticPr fontId="10" type="noConversion"/>
  </si>
  <si>
    <t>SMA20180419</t>
    <phoneticPr fontId="10" type="noConversion"/>
  </si>
  <si>
    <t>SEOAN RESOURCES CO.,LTD</t>
    <phoneticPr fontId="14" type="noConversion"/>
  </si>
  <si>
    <t>硅锰</t>
    <phoneticPr fontId="14" type="noConversion"/>
  </si>
  <si>
    <t>SMXG1805Ms1</t>
    <phoneticPr fontId="10" type="noConversion"/>
  </si>
  <si>
    <t>5月硅锰1</t>
    <phoneticPr fontId="10" type="noConversion"/>
  </si>
  <si>
    <t>SMXG1805Ms1</t>
    <phoneticPr fontId="14" type="noConversion"/>
  </si>
  <si>
    <t>硅锰</t>
    <phoneticPr fontId="14" type="noConversion"/>
  </si>
  <si>
    <t>兴义</t>
    <phoneticPr fontId="14" type="noConversion"/>
  </si>
  <si>
    <t>湘钢</t>
    <phoneticPr fontId="14" type="noConversion"/>
  </si>
  <si>
    <t>SMA20180507-2</t>
    <phoneticPr fontId="14" type="noConversion"/>
  </si>
  <si>
    <t>SMXG1804Ms1</t>
    <phoneticPr fontId="14" type="noConversion"/>
  </si>
  <si>
    <t>SMXG1804Mb1</t>
    <phoneticPr fontId="14" type="noConversion"/>
  </si>
  <si>
    <t>湖南华菱湘潭钢铁有限公司</t>
    <phoneticPr fontId="14" type="noConversion"/>
  </si>
  <si>
    <t>调整1月盈余</t>
    <phoneticPr fontId="10" type="noConversion"/>
  </si>
  <si>
    <t>SMXG1804Mb1</t>
    <phoneticPr fontId="14" type="noConversion"/>
  </si>
  <si>
    <t>锰球</t>
    <phoneticPr fontId="14" type="noConversion"/>
  </si>
  <si>
    <t>湖南华菱湘潭钢铁有限公司</t>
    <phoneticPr fontId="14" type="noConversion"/>
  </si>
  <si>
    <t>华锟上海收款</t>
    <phoneticPr fontId="10" type="noConversion"/>
  </si>
  <si>
    <t>SMXG1805Mb1</t>
    <phoneticPr fontId="14" type="noConversion"/>
  </si>
  <si>
    <t>惠冶</t>
    <phoneticPr fontId="14" type="noConversion"/>
  </si>
  <si>
    <t>SMHSKJ20180530</t>
    <phoneticPr fontId="14" type="noConversion"/>
  </si>
  <si>
    <t>锰球</t>
    <phoneticPr fontId="14" type="noConversion"/>
  </si>
  <si>
    <t>湘钢</t>
    <phoneticPr fontId="14" type="noConversion"/>
  </si>
  <si>
    <t>湖南华杉科技发展有限公司</t>
    <phoneticPr fontId="14" type="noConversion"/>
  </si>
  <si>
    <t>湖南华杉科技发展有限公司</t>
    <phoneticPr fontId="14" type="noConversion"/>
  </si>
  <si>
    <t>到厂承兑价，交单收80%款，尾款结算支付</t>
    <phoneticPr fontId="14" type="noConversion"/>
  </si>
  <si>
    <t>SMHSKJ20180530</t>
    <phoneticPr fontId="10" type="noConversion"/>
  </si>
  <si>
    <t>现货自提</t>
    <phoneticPr fontId="10" type="noConversion"/>
  </si>
  <si>
    <t>现货自提，直接销售中冶京诚</t>
    <phoneticPr fontId="10" type="noConversion"/>
  </si>
  <si>
    <t>山东泰盈康国际贸易有限公司</t>
    <phoneticPr fontId="10" type="noConversion"/>
  </si>
  <si>
    <t>华锟签订合同</t>
    <phoneticPr fontId="10" type="noConversion"/>
  </si>
  <si>
    <t>SMA20180621</t>
    <phoneticPr fontId="48"/>
  </si>
  <si>
    <t>金昌一</t>
    <phoneticPr fontId="14" type="noConversion"/>
  </si>
  <si>
    <t>YONGHE METAL CO.,LTD</t>
    <phoneticPr fontId="10" type="noConversion"/>
  </si>
  <si>
    <t>华锟香港签订合同</t>
    <phoneticPr fontId="10" type="noConversion"/>
  </si>
  <si>
    <t>收到单据后三个工作日内付款</t>
    <phoneticPr fontId="10" type="noConversion"/>
  </si>
  <si>
    <t>SMA20180613-3</t>
    <phoneticPr fontId="48"/>
  </si>
  <si>
    <t>SEAH CHANGWON INTEGRATED SPECIAL STEEL CORPORATION</t>
    <phoneticPr fontId="14" type="noConversion"/>
  </si>
  <si>
    <t>SME1807GT2</t>
  </si>
  <si>
    <t>SME1808GT3</t>
  </si>
  <si>
    <t>SMA20180412</t>
    <phoneticPr fontId="14" type="noConversion"/>
  </si>
  <si>
    <t>胡志明</t>
    <phoneticPr fontId="14" type="noConversion"/>
  </si>
  <si>
    <t>SMA20180423</t>
    <phoneticPr fontId="14" type="noConversion"/>
  </si>
  <si>
    <t>SME1806GT1</t>
    <phoneticPr fontId="14" type="noConversion"/>
  </si>
  <si>
    <t>SME1806GT2</t>
    <phoneticPr fontId="14" type="noConversion"/>
  </si>
  <si>
    <t>SME1805GT3</t>
    <phoneticPr fontId="14" type="noConversion"/>
  </si>
  <si>
    <t>SMA20180611-1</t>
    <phoneticPr fontId="10" type="noConversion"/>
  </si>
  <si>
    <t>SMA20180412</t>
    <phoneticPr fontId="10" type="noConversion"/>
  </si>
  <si>
    <t>SMA20180423</t>
    <phoneticPr fontId="10" type="noConversion"/>
  </si>
  <si>
    <t>SME1806GT1</t>
    <phoneticPr fontId="10" type="noConversion"/>
  </si>
  <si>
    <t>SME1806GT2</t>
    <phoneticPr fontId="10" type="noConversion"/>
  </si>
  <si>
    <t>SME1805GT2</t>
    <phoneticPr fontId="10" type="noConversion"/>
  </si>
  <si>
    <t>华锟上海收款</t>
    <phoneticPr fontId="10" type="noConversion"/>
  </si>
  <si>
    <t>SMA20180530-1</t>
    <phoneticPr fontId="14" type="noConversion"/>
  </si>
  <si>
    <t>SMA20180530-1</t>
    <phoneticPr fontId="10" type="noConversion"/>
  </si>
  <si>
    <t>锰片</t>
    <phoneticPr fontId="10" type="noConversion"/>
  </si>
  <si>
    <t>长沙矿冶研究院有限责任公司</t>
    <phoneticPr fontId="10" type="noConversion"/>
  </si>
  <si>
    <t>长沙矿冶研究院有限责任公司</t>
    <phoneticPr fontId="10" type="noConversion"/>
  </si>
  <si>
    <t>华锟上海付款</t>
    <phoneticPr fontId="10" type="noConversion"/>
  </si>
  <si>
    <t>SMA20180530-1</t>
    <phoneticPr fontId="14" type="noConversion"/>
  </si>
  <si>
    <t>锰片</t>
    <phoneticPr fontId="14" type="noConversion"/>
  </si>
  <si>
    <t>长沙矿冶研究院有限责任公司</t>
    <phoneticPr fontId="14" type="noConversion"/>
  </si>
  <si>
    <t>SMA20180601-1</t>
    <phoneticPr fontId="14" type="noConversion"/>
  </si>
  <si>
    <t>SMA20180601-1</t>
    <phoneticPr fontId="14" type="noConversion"/>
  </si>
  <si>
    <t>昕洪中收票</t>
    <phoneticPr fontId="14" type="noConversion"/>
  </si>
  <si>
    <t>SMHSKJ20180530</t>
    <phoneticPr fontId="14" type="noConversion"/>
  </si>
  <si>
    <t>SMHSKJ20180530</t>
    <phoneticPr fontId="10" type="noConversion"/>
  </si>
  <si>
    <t>锰球</t>
    <phoneticPr fontId="10" type="noConversion"/>
  </si>
  <si>
    <t>昕洪中付款</t>
    <phoneticPr fontId="10" type="noConversion"/>
  </si>
  <si>
    <t>SMXG1806Mb1</t>
    <phoneticPr fontId="14" type="noConversion"/>
  </si>
  <si>
    <t>SMA20180420-1</t>
    <phoneticPr fontId="10" type="noConversion"/>
  </si>
  <si>
    <t>SMA20180420-1</t>
    <phoneticPr fontId="10" type="noConversion"/>
  </si>
  <si>
    <t>硅锰</t>
    <phoneticPr fontId="10" type="noConversion"/>
  </si>
  <si>
    <t>现款包到价，承兑按8320单价，预付85%款.加价我司50%，嘉泰50%</t>
    <phoneticPr fontId="10" type="noConversion"/>
  </si>
  <si>
    <t>SMA20180611-1</t>
    <phoneticPr fontId="14" type="noConversion"/>
  </si>
  <si>
    <t>SMXG1806Fc1</t>
    <phoneticPr fontId="14" type="noConversion"/>
  </si>
  <si>
    <t>焦粉</t>
    <phoneticPr fontId="14" type="noConversion"/>
  </si>
  <si>
    <t>日照</t>
    <phoneticPr fontId="14" type="noConversion"/>
  </si>
  <si>
    <t>阳江</t>
    <phoneticPr fontId="14" type="noConversion"/>
  </si>
  <si>
    <t>SMA20180510-2</t>
    <phoneticPr fontId="14" type="noConversion"/>
  </si>
  <si>
    <t>SMZC1805ST1</t>
    <phoneticPr fontId="14" type="noConversion"/>
  </si>
  <si>
    <t>SMZC1805ST1</t>
    <phoneticPr fontId="10" type="noConversion"/>
  </si>
  <si>
    <t>生铁</t>
    <phoneticPr fontId="10" type="noConversion"/>
  </si>
  <si>
    <t>中船工业成套物流有限公司</t>
    <phoneticPr fontId="10" type="noConversion"/>
  </si>
  <si>
    <t>生铁</t>
    <phoneticPr fontId="14" type="noConversion"/>
  </si>
  <si>
    <t>SMA20180523</t>
    <phoneticPr fontId="48"/>
  </si>
  <si>
    <t>SME1807GT1</t>
    <phoneticPr fontId="14" type="noConversion"/>
  </si>
  <si>
    <t>硅铁</t>
    <phoneticPr fontId="14" type="noConversion"/>
  </si>
  <si>
    <t>SMA20180523</t>
    <phoneticPr fontId="14" type="noConversion"/>
  </si>
  <si>
    <t>YONGHE METAL CO.,LTD</t>
    <phoneticPr fontId="14" type="noConversion"/>
  </si>
  <si>
    <t>METZ CORPORATION</t>
    <phoneticPr fontId="14" type="noConversion"/>
  </si>
  <si>
    <t>SMA20180523</t>
    <phoneticPr fontId="14" type="noConversion"/>
  </si>
  <si>
    <t>SMA20180523</t>
    <phoneticPr fontId="10" type="noConversion"/>
  </si>
  <si>
    <t>硅铁</t>
    <phoneticPr fontId="10" type="noConversion"/>
  </si>
  <si>
    <t>YONGHE METAL CO.,LTD</t>
    <phoneticPr fontId="10" type="noConversion"/>
  </si>
  <si>
    <t>华锟香港付款</t>
    <phoneticPr fontId="10" type="noConversion"/>
  </si>
  <si>
    <t>SMXG1805Ms1</t>
    <phoneticPr fontId="14" type="noConversion"/>
  </si>
  <si>
    <t>硅锰</t>
    <phoneticPr fontId="14" type="noConversion"/>
  </si>
  <si>
    <t>华锟开票</t>
    <phoneticPr fontId="14" type="noConversion"/>
  </si>
  <si>
    <t>SMXG1807Ms1</t>
    <phoneticPr fontId="14" type="noConversion"/>
  </si>
  <si>
    <t>SMXG1806Ms1</t>
    <phoneticPr fontId="14" type="noConversion"/>
  </si>
  <si>
    <t>SMXG1806Ms1</t>
    <phoneticPr fontId="14" type="noConversion"/>
  </si>
  <si>
    <t>兴义</t>
    <phoneticPr fontId="14" type="noConversion"/>
  </si>
  <si>
    <t>湘钢</t>
    <phoneticPr fontId="14" type="noConversion"/>
  </si>
  <si>
    <t>SMA20180615-1</t>
    <phoneticPr fontId="10" type="noConversion"/>
  </si>
  <si>
    <t>SMA20180615-1</t>
    <phoneticPr fontId="14" type="noConversion"/>
  </si>
  <si>
    <t>SMA20180507-2</t>
    <phoneticPr fontId="14" type="noConversion"/>
  </si>
  <si>
    <t>昕洪中收票</t>
    <phoneticPr fontId="14" type="noConversion"/>
  </si>
  <si>
    <t>SMZCGZ1804FG1</t>
    <phoneticPr fontId="14" type="noConversion"/>
  </si>
  <si>
    <t>SMZCGZ1804FG1</t>
    <phoneticPr fontId="14" type="noConversion"/>
  </si>
  <si>
    <t>废钢</t>
    <phoneticPr fontId="14" type="noConversion"/>
  </si>
  <si>
    <t>中船工业成套物流（广州）有限公司</t>
    <phoneticPr fontId="14" type="noConversion"/>
  </si>
  <si>
    <t>与帐面数调整一致</t>
    <phoneticPr fontId="10" type="noConversion"/>
  </si>
  <si>
    <t>实际盘点7.928吨，盘盈0.849吨，为锰灰的差异</t>
    <phoneticPr fontId="10" type="noConversion"/>
  </si>
  <si>
    <t>SMA20180703-1</t>
    <phoneticPr fontId="14" type="noConversion"/>
  </si>
  <si>
    <t>SMA20180604-1</t>
    <phoneticPr fontId="14" type="noConversion"/>
  </si>
  <si>
    <t>陈剑钊</t>
    <phoneticPr fontId="14" type="noConversion"/>
  </si>
  <si>
    <t>锰片</t>
    <phoneticPr fontId="10" type="noConversion"/>
  </si>
  <si>
    <t xml:space="preserve">松桃三和锰业集团有限责任公司 </t>
    <phoneticPr fontId="10" type="noConversion"/>
  </si>
  <si>
    <t>昕洪中签订合同</t>
    <phoneticPr fontId="10" type="noConversion"/>
  </si>
  <si>
    <t>现货自提，华诚网月均价结算</t>
    <phoneticPr fontId="10" type="noConversion"/>
  </si>
  <si>
    <t>SMA20180703-2</t>
    <phoneticPr fontId="14" type="noConversion"/>
  </si>
  <si>
    <t>SMHSKJ2018703</t>
    <phoneticPr fontId="14" type="noConversion"/>
  </si>
  <si>
    <t>SMA20180703-1</t>
    <phoneticPr fontId="14" type="noConversion"/>
  </si>
  <si>
    <t>SMA20180703-1</t>
    <phoneticPr fontId="10" type="noConversion"/>
  </si>
  <si>
    <t>锰片</t>
    <phoneticPr fontId="10" type="noConversion"/>
  </si>
  <si>
    <t>SMA20180611-1</t>
    <phoneticPr fontId="10" type="noConversion"/>
  </si>
  <si>
    <t>焦粉</t>
    <phoneticPr fontId="10" type="noConversion"/>
  </si>
  <si>
    <t>SMA20180611-1</t>
    <phoneticPr fontId="14" type="noConversion"/>
  </si>
  <si>
    <t>焦粉</t>
    <phoneticPr fontId="14" type="noConversion"/>
  </si>
  <si>
    <t>华锟上海收票</t>
    <phoneticPr fontId="14" type="noConversion"/>
  </si>
  <si>
    <t>SMA20180628-1</t>
    <phoneticPr fontId="10" type="noConversion"/>
  </si>
  <si>
    <t>硅锰</t>
    <phoneticPr fontId="10" type="noConversion"/>
  </si>
  <si>
    <t>SMA20180613-2</t>
    <phoneticPr fontId="14" type="noConversion"/>
  </si>
  <si>
    <t>SME1807GT2</t>
    <phoneticPr fontId="14" type="noConversion"/>
  </si>
  <si>
    <t>硅铁</t>
    <phoneticPr fontId="14" type="noConversion"/>
  </si>
  <si>
    <t>SEAH CHANGWON INTEGRATED SPECIAL STEEL CORPORATION</t>
    <phoneticPr fontId="14" type="noConversion"/>
  </si>
  <si>
    <t>华锟香港收票</t>
    <phoneticPr fontId="14" type="noConversion"/>
  </si>
  <si>
    <t>华锟香港开票</t>
    <phoneticPr fontId="14" type="noConversion"/>
  </si>
  <si>
    <t>SMA20180613-2</t>
    <phoneticPr fontId="14" type="noConversion"/>
  </si>
  <si>
    <t>SMA20180613-2</t>
    <phoneticPr fontId="10" type="noConversion"/>
  </si>
  <si>
    <t>SME1807GT1</t>
    <phoneticPr fontId="14" type="noConversion"/>
  </si>
  <si>
    <t>SME1807GT1</t>
    <phoneticPr fontId="10" type="noConversion"/>
  </si>
  <si>
    <t>中船工业成套物流有限公司</t>
    <phoneticPr fontId="14" type="noConversion"/>
  </si>
  <si>
    <t>中船工业成套物流有限公司</t>
    <phoneticPr fontId="14" type="noConversion"/>
  </si>
  <si>
    <t>华锟上海开票</t>
    <phoneticPr fontId="14" type="noConversion"/>
  </si>
  <si>
    <t>SMXG1806Fc1</t>
    <phoneticPr fontId="14" type="noConversion"/>
  </si>
  <si>
    <t>SMQDRL20180411</t>
    <phoneticPr fontId="10" type="noConversion"/>
  </si>
  <si>
    <t>SMCGY20180301</t>
    <phoneticPr fontId="14" type="noConversion"/>
  </si>
  <si>
    <t>SMDGTS20180401</t>
  </si>
  <si>
    <t>SMDGTS20180401</t>
    <phoneticPr fontId="10" type="noConversion"/>
  </si>
  <si>
    <t>SMDGTS20180401</t>
    <phoneticPr fontId="14" type="noConversion"/>
  </si>
  <si>
    <t>SMDGTS20180401</t>
    <phoneticPr fontId="14" type="noConversion"/>
  </si>
  <si>
    <t>废钢</t>
    <phoneticPr fontId="14" type="noConversion"/>
  </si>
  <si>
    <t>东莞市铁山再生资源回收有限公司</t>
    <phoneticPr fontId="10" type="noConversion"/>
  </si>
  <si>
    <t>东莞市铁山再生资源回收有限公司</t>
    <phoneticPr fontId="14" type="noConversion"/>
  </si>
  <si>
    <t>6月锰球1</t>
    <phoneticPr fontId="10" type="noConversion"/>
  </si>
  <si>
    <t>SMXG1806Mb1</t>
    <phoneticPr fontId="10" type="noConversion"/>
  </si>
  <si>
    <t>SMXG1806Mb1</t>
    <phoneticPr fontId="14" type="noConversion"/>
  </si>
  <si>
    <t>锰球</t>
    <phoneticPr fontId="14" type="noConversion"/>
  </si>
  <si>
    <t>SMXG1805Ms1</t>
    <phoneticPr fontId="10" type="noConversion"/>
  </si>
  <si>
    <t>硅锰</t>
    <phoneticPr fontId="10" type="noConversion"/>
  </si>
  <si>
    <t>SMA20180510-2</t>
    <phoneticPr fontId="10" type="noConversion"/>
  </si>
  <si>
    <t>SMA20180712-1</t>
    <phoneticPr fontId="14" type="noConversion"/>
  </si>
  <si>
    <t>锰球</t>
    <phoneticPr fontId="10" type="noConversion"/>
  </si>
  <si>
    <t>华锟签订合同</t>
    <phoneticPr fontId="10" type="noConversion"/>
  </si>
  <si>
    <t>SMXG1806Mb1</t>
    <phoneticPr fontId="10" type="noConversion"/>
  </si>
  <si>
    <t>SMXG1807Mb1</t>
    <phoneticPr fontId="10" type="noConversion"/>
  </si>
  <si>
    <t>7月锰球1</t>
    <phoneticPr fontId="10" type="noConversion"/>
  </si>
  <si>
    <t>承兑价.8月1日发货。8月1日前支付货款50%，剩余货款8月14日前支付完毕。供方负责送货到湘潭仓库，运费由供方承担。</t>
    <phoneticPr fontId="10" type="noConversion"/>
  </si>
  <si>
    <t>SMA20180712-1</t>
    <phoneticPr fontId="14" type="noConversion"/>
  </si>
  <si>
    <t>SMA20180712-1</t>
    <phoneticPr fontId="10" type="noConversion"/>
  </si>
  <si>
    <t>SMA20180720-1</t>
    <phoneticPr fontId="10" type="noConversion"/>
  </si>
  <si>
    <t>SMA20180723-1</t>
    <phoneticPr fontId="10" type="noConversion"/>
  </si>
  <si>
    <t>SMHSKJ2018703</t>
    <phoneticPr fontId="14" type="noConversion"/>
  </si>
  <si>
    <t>SMXG1807Mb1</t>
    <phoneticPr fontId="14" type="noConversion"/>
  </si>
  <si>
    <t>SMXG1807Mb1</t>
    <phoneticPr fontId="14" type="noConversion"/>
  </si>
  <si>
    <t>锰球</t>
    <phoneticPr fontId="14" type="noConversion"/>
  </si>
  <si>
    <t>湘钢</t>
    <phoneticPr fontId="14" type="noConversion"/>
  </si>
  <si>
    <t>SMXG1807Mb1</t>
    <phoneticPr fontId="14" type="noConversion"/>
  </si>
  <si>
    <t>SMXG1806Mb1</t>
    <phoneticPr fontId="14" type="noConversion"/>
  </si>
  <si>
    <t>SMXG1806Fc1</t>
    <phoneticPr fontId="14" type="noConversion"/>
  </si>
  <si>
    <t>SMA20180703-2</t>
    <phoneticPr fontId="14" type="noConversion"/>
  </si>
  <si>
    <t>SMA20180703-2</t>
    <phoneticPr fontId="14" type="noConversion"/>
  </si>
  <si>
    <t>生铁</t>
    <phoneticPr fontId="14" type="noConversion"/>
  </si>
  <si>
    <t>锰片</t>
    <phoneticPr fontId="14" type="noConversion"/>
  </si>
  <si>
    <t>SMA20180703-2</t>
    <phoneticPr fontId="10" type="noConversion"/>
  </si>
  <si>
    <t>SMXG1806Fc1</t>
    <phoneticPr fontId="14" type="noConversion"/>
  </si>
  <si>
    <t>SMXG1806Fc1</t>
    <phoneticPr fontId="10" type="noConversion"/>
  </si>
  <si>
    <t>SMCGY20180401</t>
    <phoneticPr fontId="10" type="noConversion"/>
  </si>
  <si>
    <t>SMDGTS20180401</t>
    <phoneticPr fontId="10" type="noConversion"/>
  </si>
  <si>
    <t>阳春市朝谷源工贸实业有限公司</t>
  </si>
  <si>
    <t>阳春市朝谷源工贸实业有限公司</t>
    <phoneticPr fontId="10" type="noConversion"/>
  </si>
  <si>
    <t>东莞市铁山再生资源回收有限公司</t>
    <phoneticPr fontId="10" type="noConversion"/>
  </si>
  <si>
    <t>华锟签订合同</t>
    <phoneticPr fontId="10" type="noConversion"/>
  </si>
  <si>
    <t>现款价，.装车付款80%，钢厂结算后供方开票，需方收票后2个工作日内付尾款</t>
    <phoneticPr fontId="10" type="noConversion"/>
  </si>
  <si>
    <t>SMHSKJ2018703</t>
    <phoneticPr fontId="14" type="noConversion"/>
  </si>
  <si>
    <t>SMHSKJ2018703</t>
    <phoneticPr fontId="10" type="noConversion"/>
  </si>
  <si>
    <t>SMGZYX20180702</t>
    <phoneticPr fontId="14" type="noConversion"/>
  </si>
  <si>
    <t>SMGZYX20180702</t>
    <phoneticPr fontId="14" type="noConversion"/>
  </si>
  <si>
    <t>SMA20180702-1</t>
    <phoneticPr fontId="14" type="noConversion"/>
  </si>
  <si>
    <t>钦州</t>
    <phoneticPr fontId="14" type="noConversion"/>
  </si>
  <si>
    <t>阳春</t>
    <phoneticPr fontId="14" type="noConversion"/>
  </si>
  <si>
    <t>广州钺新贸易有限公司</t>
    <phoneticPr fontId="14" type="noConversion"/>
  </si>
  <si>
    <t>SMA20180703-1</t>
    <phoneticPr fontId="14" type="noConversion"/>
  </si>
  <si>
    <t>锰片</t>
    <phoneticPr fontId="14" type="noConversion"/>
  </si>
  <si>
    <t>长沙矿冶研究院有限责任公司</t>
    <phoneticPr fontId="14" type="noConversion"/>
  </si>
  <si>
    <t>华锟上海收票</t>
    <phoneticPr fontId="14" type="noConversion"/>
  </si>
  <si>
    <t>SMA20180712-1</t>
    <phoneticPr fontId="14" type="noConversion"/>
  </si>
  <si>
    <t>生铁</t>
    <phoneticPr fontId="14" type="noConversion"/>
  </si>
  <si>
    <t>SMA20180508-1</t>
    <phoneticPr fontId="14" type="noConversion"/>
  </si>
  <si>
    <t>SMA20180508-1</t>
    <phoneticPr fontId="10" type="noConversion"/>
  </si>
  <si>
    <t>锰片</t>
    <phoneticPr fontId="10" type="noConversion"/>
  </si>
  <si>
    <t>昕洪中收款</t>
    <phoneticPr fontId="10" type="noConversion"/>
  </si>
  <si>
    <t>SMA20180628-1</t>
    <phoneticPr fontId="10" type="noConversion"/>
  </si>
  <si>
    <t>硅锰</t>
    <phoneticPr fontId="10" type="noConversion"/>
  </si>
  <si>
    <t>华锟上海付款</t>
    <phoneticPr fontId="10" type="noConversion"/>
  </si>
  <si>
    <t>SMA20180628-1</t>
    <phoneticPr fontId="14" type="noConversion"/>
  </si>
  <si>
    <t>SMXG1805Ms1</t>
    <phoneticPr fontId="14" type="noConversion"/>
  </si>
  <si>
    <t>SMXG1805Ms1</t>
    <phoneticPr fontId="10" type="noConversion"/>
  </si>
  <si>
    <t>SMXG1806Mb1</t>
    <phoneticPr fontId="14" type="noConversion"/>
  </si>
  <si>
    <t>SMXG1806Mb1</t>
    <phoneticPr fontId="10" type="noConversion"/>
  </si>
  <si>
    <t>锰球</t>
    <phoneticPr fontId="10" type="noConversion"/>
  </si>
  <si>
    <t>湖南华菱湘潭钢铁有限公司</t>
  </si>
  <si>
    <t>湖南华菱湘潭钢铁有限公司</t>
    <phoneticPr fontId="14" type="noConversion"/>
  </si>
  <si>
    <t>华锟上海收款</t>
    <phoneticPr fontId="10" type="noConversion"/>
  </si>
  <si>
    <t>SME1808GT4</t>
    <phoneticPr fontId="14" type="noConversion"/>
  </si>
  <si>
    <t>SMA20180723</t>
    <phoneticPr fontId="14" type="noConversion"/>
  </si>
  <si>
    <t>SMA20180613-1</t>
    <phoneticPr fontId="48"/>
  </si>
  <si>
    <t>SMA20180613-1</t>
    <phoneticPr fontId="14" type="noConversion"/>
  </si>
  <si>
    <t>SME1808GT1</t>
    <phoneticPr fontId="14" type="noConversion"/>
  </si>
  <si>
    <t>SME1808GT1</t>
    <phoneticPr fontId="14" type="noConversion"/>
  </si>
  <si>
    <t>硅铁</t>
    <phoneticPr fontId="14" type="noConversion"/>
  </si>
  <si>
    <t>华锟香港付款</t>
    <phoneticPr fontId="10" type="noConversion"/>
  </si>
  <si>
    <t>华锟香港收款</t>
    <phoneticPr fontId="10" type="noConversion"/>
  </si>
  <si>
    <t>SMA20180412</t>
    <phoneticPr fontId="14" type="noConversion"/>
  </si>
  <si>
    <t>SMA20180328</t>
    <phoneticPr fontId="14" type="noConversion"/>
  </si>
  <si>
    <t>SME1805GT2</t>
    <phoneticPr fontId="14" type="noConversion"/>
  </si>
  <si>
    <t>SME1805GT2</t>
    <phoneticPr fontId="14" type="noConversion"/>
  </si>
  <si>
    <t>SME1807GT2</t>
    <phoneticPr fontId="14" type="noConversion"/>
  </si>
  <si>
    <t>SME1807GT2</t>
    <phoneticPr fontId="10" type="noConversion"/>
  </si>
  <si>
    <t>SEAH CHANGWON INTEGRATED SPECIAL STEEL CORPORATION</t>
    <phoneticPr fontId="14" type="noConversion"/>
  </si>
  <si>
    <t>SEAH CHANGWON INTEGRATED SPECIAL STEEL CORPORATION</t>
    <phoneticPr fontId="10" type="noConversion"/>
  </si>
  <si>
    <t>SMA20180613-2</t>
    <phoneticPr fontId="48"/>
  </si>
  <si>
    <t>SMA20180613-2</t>
    <phoneticPr fontId="10" type="noConversion"/>
  </si>
  <si>
    <t>收到单据后三个工作日内付款</t>
    <phoneticPr fontId="10" type="noConversion"/>
  </si>
  <si>
    <t>SMA20170830-1</t>
    <phoneticPr fontId="10" type="noConversion"/>
  </si>
  <si>
    <t>SMA20170830-1</t>
    <phoneticPr fontId="10" type="noConversion"/>
  </si>
  <si>
    <t>硅锰</t>
    <phoneticPr fontId="10" type="noConversion"/>
  </si>
  <si>
    <t>黔西南泰龙（集团）焱鑫冶炼有限公司</t>
    <phoneticPr fontId="10" type="noConversion"/>
  </si>
  <si>
    <t>黔西南泰龙（集团）焱鑫冶炼有限公司</t>
    <phoneticPr fontId="10" type="noConversion"/>
  </si>
  <si>
    <t>昕洪中收款</t>
    <phoneticPr fontId="10" type="noConversion"/>
  </si>
  <si>
    <t>承兑价，合同签订后第二天发货。供方负责送货到湘潭仓库，运费由供方承担</t>
    <phoneticPr fontId="10" type="noConversion"/>
  </si>
  <si>
    <t>承兑价，款到后第二天发货 。供方负责送货到湘潭仓库，运费由供方承担。</t>
    <phoneticPr fontId="10" type="noConversion"/>
  </si>
  <si>
    <t>7月硅锰1</t>
    <phoneticPr fontId="10" type="noConversion"/>
  </si>
  <si>
    <t>6月硅锰1</t>
    <phoneticPr fontId="10" type="noConversion"/>
  </si>
  <si>
    <t>SMXG1806Ms1</t>
    <phoneticPr fontId="10" type="noConversion"/>
  </si>
  <si>
    <t>SMXG1807Ms1</t>
    <phoneticPr fontId="10" type="noConversion"/>
  </si>
  <si>
    <t>SMXG1806Ms1</t>
    <phoneticPr fontId="14" type="noConversion"/>
  </si>
  <si>
    <t>SMXG1807Ms1</t>
    <phoneticPr fontId="14" type="noConversion"/>
  </si>
  <si>
    <t>应付款</t>
    <phoneticPr fontId="10" type="noConversion"/>
  </si>
  <si>
    <t>SMXG1807Mb2</t>
    <phoneticPr fontId="14" type="noConversion"/>
  </si>
  <si>
    <t>锰球</t>
    <phoneticPr fontId="14" type="noConversion"/>
  </si>
  <si>
    <t>惠冶</t>
    <phoneticPr fontId="14" type="noConversion"/>
  </si>
  <si>
    <t>SMA20180720-1</t>
    <phoneticPr fontId="14" type="noConversion"/>
  </si>
  <si>
    <t>SMA20180720-1</t>
    <phoneticPr fontId="14" type="noConversion"/>
  </si>
  <si>
    <t>SMXG1807Mb2</t>
    <phoneticPr fontId="10" type="noConversion"/>
  </si>
  <si>
    <t>7月锰球2</t>
    <phoneticPr fontId="10" type="noConversion"/>
  </si>
  <si>
    <t>湖南华菱湘潭钢铁有限公司</t>
    <phoneticPr fontId="14" type="noConversion"/>
  </si>
  <si>
    <t>SMXG1806Ms1</t>
    <phoneticPr fontId="10" type="noConversion"/>
  </si>
  <si>
    <t>硅锰</t>
    <phoneticPr fontId="10" type="noConversion"/>
  </si>
  <si>
    <t>湖南华菱湘潭钢铁有限公司</t>
    <phoneticPr fontId="10" type="noConversion"/>
  </si>
  <si>
    <t>华锟上海收款</t>
    <phoneticPr fontId="10" type="noConversion"/>
  </si>
  <si>
    <t>SMXG1806Mb1</t>
    <phoneticPr fontId="10" type="noConversion"/>
  </si>
  <si>
    <t>锰球</t>
    <phoneticPr fontId="10" type="noConversion"/>
  </si>
  <si>
    <t>SMA20180723-1</t>
    <phoneticPr fontId="14" type="noConversion"/>
  </si>
  <si>
    <t>锰片</t>
    <phoneticPr fontId="14" type="noConversion"/>
  </si>
  <si>
    <t>包到湘潭工厂。需方2018年5月7日支付全额货款。2018年5月7日发货</t>
    <phoneticPr fontId="10" type="noConversion"/>
  </si>
  <si>
    <t>现款包到价，承兑按7300单价，预付85%款.加价我司50%，嘉泰50%</t>
    <phoneticPr fontId="10" type="noConversion"/>
  </si>
  <si>
    <t>SMA20180615-1</t>
    <phoneticPr fontId="10" type="noConversion"/>
  </si>
  <si>
    <t>SMA20180613-3</t>
    <phoneticPr fontId="14" type="noConversion"/>
  </si>
  <si>
    <t>SMA20180621</t>
    <phoneticPr fontId="14" type="noConversion"/>
  </si>
  <si>
    <t>SME1808GT2</t>
    <phoneticPr fontId="14" type="noConversion"/>
  </si>
  <si>
    <t>SME1808GT3</t>
    <phoneticPr fontId="14" type="noConversion"/>
  </si>
  <si>
    <t>SMA20180613-3</t>
    <phoneticPr fontId="14" type="noConversion"/>
  </si>
  <si>
    <t>硅铁</t>
    <phoneticPr fontId="14" type="noConversion"/>
  </si>
  <si>
    <t>YONGHE METAL CO.,LTD</t>
    <phoneticPr fontId="10" type="noConversion"/>
  </si>
  <si>
    <t>华锟香港收票</t>
    <phoneticPr fontId="14" type="noConversion"/>
  </si>
  <si>
    <t>SMA20180621</t>
    <phoneticPr fontId="14" type="noConversion"/>
  </si>
  <si>
    <t>SMA20180723</t>
    <phoneticPr fontId="14" type="noConversion"/>
  </si>
  <si>
    <t>SME1808GT2</t>
    <phoneticPr fontId="14" type="noConversion"/>
  </si>
  <si>
    <t>SEAH CHANGWON INTEGRATED SPECIAL STEEL CORPORATION</t>
    <phoneticPr fontId="10" type="noConversion"/>
  </si>
  <si>
    <t>华锟香港开票</t>
    <phoneticPr fontId="14" type="noConversion"/>
  </si>
  <si>
    <t>SME1808GT3</t>
    <phoneticPr fontId="14" type="noConversion"/>
  </si>
  <si>
    <t>SEOAN RESOURCES CO.,LTD</t>
    <phoneticPr fontId="10" type="noConversion"/>
  </si>
  <si>
    <t>SME1808GT4</t>
    <phoneticPr fontId="14" type="noConversion"/>
  </si>
  <si>
    <t>硅铁</t>
    <phoneticPr fontId="10" type="noConversion"/>
  </si>
  <si>
    <t>华锟香港付款</t>
    <phoneticPr fontId="10" type="noConversion"/>
  </si>
  <si>
    <t>华锟香港收款</t>
    <phoneticPr fontId="10" type="noConversion"/>
  </si>
  <si>
    <t>SME1808GT2</t>
    <phoneticPr fontId="14" type="noConversion"/>
  </si>
  <si>
    <t>SMA20180628-1</t>
    <phoneticPr fontId="10" type="noConversion"/>
  </si>
  <si>
    <t>SMA20180507-2</t>
    <phoneticPr fontId="10" type="noConversion"/>
  </si>
  <si>
    <t>硅锰</t>
    <phoneticPr fontId="10" type="noConversion"/>
  </si>
  <si>
    <t>华锟上海收款</t>
    <phoneticPr fontId="10" type="noConversion"/>
  </si>
  <si>
    <t>昕洪中付款</t>
    <phoneticPr fontId="10" type="noConversion"/>
  </si>
  <si>
    <t>SMA20180611-1</t>
    <phoneticPr fontId="10" type="noConversion"/>
  </si>
  <si>
    <t>SMGZYX20180702</t>
    <phoneticPr fontId="14" type="noConversion"/>
  </si>
  <si>
    <t>SMGZYX20180702</t>
    <phoneticPr fontId="10" type="noConversion"/>
  </si>
  <si>
    <t>生铁</t>
    <phoneticPr fontId="10" type="noConversion"/>
  </si>
  <si>
    <t>SMA20180720-1</t>
    <phoneticPr fontId="10" type="noConversion"/>
  </si>
  <si>
    <t>SMA20180723-1</t>
    <phoneticPr fontId="14" type="noConversion"/>
  </si>
  <si>
    <t>SMA20180723-1</t>
    <phoneticPr fontId="10" type="noConversion"/>
  </si>
  <si>
    <t>SMA20180702-1</t>
    <phoneticPr fontId="10" type="noConversion"/>
  </si>
  <si>
    <t>SMA20180702-1</t>
    <phoneticPr fontId="10" type="noConversion"/>
  </si>
  <si>
    <t>生铁</t>
    <phoneticPr fontId="10" type="noConversion"/>
  </si>
  <si>
    <t>SMA20180702-1</t>
    <phoneticPr fontId="14" type="noConversion"/>
  </si>
  <si>
    <t>生铁</t>
    <phoneticPr fontId="14" type="noConversion"/>
  </si>
  <si>
    <t>合同签订后第二天发货。供方负责送货到湘潭仓库，运费由供方承担</t>
    <phoneticPr fontId="10" type="noConversion"/>
  </si>
  <si>
    <t>SMXG1806Mb1</t>
    <phoneticPr fontId="10" type="noConversion"/>
  </si>
  <si>
    <t>锰球</t>
    <phoneticPr fontId="14" type="noConversion"/>
  </si>
  <si>
    <t>湖南华菱湘潭钢铁有限公司</t>
    <phoneticPr fontId="14" type="noConversion"/>
  </si>
  <si>
    <t>SMXG1807Ms1</t>
    <phoneticPr fontId="10" type="noConversion"/>
  </si>
  <si>
    <t>硅锰</t>
    <phoneticPr fontId="14" type="noConversion"/>
  </si>
  <si>
    <t>SMXG1807Mb1</t>
    <phoneticPr fontId="10" type="noConversion"/>
  </si>
  <si>
    <t>SMXG1807Mb2</t>
    <phoneticPr fontId="10" type="noConversion"/>
  </si>
  <si>
    <t>锰球</t>
    <phoneticPr fontId="14" type="noConversion"/>
  </si>
  <si>
    <t>湖南华菱湘潭钢铁有限公司</t>
    <phoneticPr fontId="14" type="noConversion"/>
  </si>
  <si>
    <t>SMA20180720-1</t>
    <phoneticPr fontId="14" type="noConversion"/>
  </si>
  <si>
    <t>锰球</t>
    <phoneticPr fontId="14" type="noConversion"/>
  </si>
  <si>
    <t>长沙矿冶研究院有限责任公司</t>
    <phoneticPr fontId="14" type="noConversion"/>
  </si>
  <si>
    <t>华锟上海收票</t>
    <phoneticPr fontId="14" type="noConversion"/>
  </si>
  <si>
    <t>SMA20180723-1</t>
    <phoneticPr fontId="14" type="noConversion"/>
  </si>
  <si>
    <t>锰片</t>
    <phoneticPr fontId="14" type="noConversion"/>
  </si>
  <si>
    <t>承兑价，合同签订后第二天发货。供方负责送货到湘潭仓库，运费由供方承担</t>
    <phoneticPr fontId="10" type="noConversion"/>
  </si>
  <si>
    <t>SMA20180903-1</t>
    <phoneticPr fontId="14" type="noConversion"/>
  </si>
  <si>
    <t>SMA20180903-1</t>
    <phoneticPr fontId="10" type="noConversion"/>
  </si>
  <si>
    <t>锰片</t>
    <phoneticPr fontId="10" type="noConversion"/>
  </si>
  <si>
    <t>现款到厂价，合同签订3个工作日内付200万，货到85%货款；尾款结算后支付</t>
    <phoneticPr fontId="10" type="noConversion"/>
  </si>
  <si>
    <t>SMXG1809Fc1</t>
    <phoneticPr fontId="14" type="noConversion"/>
  </si>
  <si>
    <t>9月锰球1</t>
    <phoneticPr fontId="10" type="noConversion"/>
  </si>
  <si>
    <t>SMXG1809Mb1</t>
  </si>
  <si>
    <t>SMXG1809Mb1</t>
    <phoneticPr fontId="10" type="noConversion"/>
  </si>
  <si>
    <t xml:space="preserve">湘潭钢铁集团有限公司采购部 </t>
    <phoneticPr fontId="10" type="noConversion"/>
  </si>
  <si>
    <t>焦粉</t>
    <phoneticPr fontId="14" type="noConversion"/>
  </si>
  <si>
    <t>SMXG1809Fc1</t>
    <phoneticPr fontId="14" type="noConversion"/>
  </si>
  <si>
    <t>SMA20180911-1</t>
    <phoneticPr fontId="14" type="noConversion"/>
  </si>
  <si>
    <t>SMA20180911-1</t>
    <phoneticPr fontId="10" type="noConversion"/>
  </si>
  <si>
    <t>焦粉</t>
    <phoneticPr fontId="10" type="noConversion"/>
  </si>
  <si>
    <t>山东泰盈康国际贸易有限公司</t>
    <phoneticPr fontId="10" type="noConversion"/>
  </si>
  <si>
    <t>SMA20180903-1</t>
    <phoneticPr fontId="10" type="noConversion"/>
  </si>
  <si>
    <t>锰片</t>
    <phoneticPr fontId="10" type="noConversion"/>
  </si>
  <si>
    <t>长沙矿冶研究院有限责任公司</t>
    <phoneticPr fontId="14" type="noConversion"/>
  </si>
  <si>
    <t>华锟上海付款</t>
    <phoneticPr fontId="10" type="noConversion"/>
  </si>
  <si>
    <t>SMA20180930-1</t>
    <phoneticPr fontId="14" type="noConversion"/>
  </si>
  <si>
    <t>GN110216209-101</t>
    <phoneticPr fontId="10" type="noConversion"/>
  </si>
  <si>
    <t>湘潭钢铁集团有限公司</t>
    <phoneticPr fontId="14" type="noConversion"/>
  </si>
  <si>
    <t>安徽一类造球精矿</t>
    <phoneticPr fontId="10" type="noConversion"/>
  </si>
  <si>
    <t>湘潭钢铁集团有限公司</t>
    <phoneticPr fontId="14" type="noConversion"/>
  </si>
  <si>
    <t>华锟上海收款</t>
    <phoneticPr fontId="10" type="noConversion"/>
  </si>
  <si>
    <t>GN110217104-013</t>
    <phoneticPr fontId="10" type="noConversion"/>
  </si>
  <si>
    <t>GN110217104-013</t>
    <phoneticPr fontId="10" type="noConversion"/>
  </si>
  <si>
    <t>二类精矿</t>
    <phoneticPr fontId="10" type="noConversion"/>
  </si>
  <si>
    <t>SMXG1807Mb2</t>
    <phoneticPr fontId="14" type="noConversion"/>
  </si>
  <si>
    <t>SMXG1807Mb2</t>
    <phoneticPr fontId="10" type="noConversion"/>
  </si>
  <si>
    <t>锰球</t>
    <phoneticPr fontId="10" type="noConversion"/>
  </si>
  <si>
    <t>湖南华菱湘潭钢铁有限公司</t>
    <phoneticPr fontId="14" type="noConversion"/>
  </si>
  <si>
    <t>SMXG1809Mb1</t>
    <phoneticPr fontId="14" type="noConversion"/>
  </si>
  <si>
    <t>矿石-现款</t>
    <phoneticPr fontId="10" type="noConversion"/>
  </si>
  <si>
    <t>SMA20180903-1</t>
    <phoneticPr fontId="14" type="noConversion"/>
  </si>
  <si>
    <t>SMA20180911-1</t>
    <phoneticPr fontId="10" type="noConversion"/>
  </si>
  <si>
    <t>焦粉</t>
    <phoneticPr fontId="10" type="noConversion"/>
  </si>
  <si>
    <t>山东泰盈康国际贸易有限公司</t>
    <phoneticPr fontId="10" type="noConversion"/>
  </si>
  <si>
    <t>山东泰盈康国际贸易有限公司</t>
    <phoneticPr fontId="10" type="noConversion"/>
  </si>
  <si>
    <t>SMXG1809Mb1</t>
    <phoneticPr fontId="10" type="noConversion"/>
  </si>
  <si>
    <t>SMXG1809Mb1</t>
    <phoneticPr fontId="14" type="noConversion"/>
  </si>
  <si>
    <t>SMXG1809Mb1</t>
    <phoneticPr fontId="14" type="noConversion"/>
  </si>
  <si>
    <t>SMXG1809Mb1</t>
    <phoneticPr fontId="10" type="noConversion"/>
  </si>
  <si>
    <t>SMXG1810Mb1</t>
    <phoneticPr fontId="14" type="noConversion"/>
  </si>
  <si>
    <t>SMXG1810Fc1</t>
    <phoneticPr fontId="14" type="noConversion"/>
  </si>
  <si>
    <t>SMXG1810Mb1</t>
    <phoneticPr fontId="14" type="noConversion"/>
  </si>
  <si>
    <t>10月锰球1</t>
    <phoneticPr fontId="10" type="noConversion"/>
  </si>
  <si>
    <t>SMXG1810Mb1</t>
    <phoneticPr fontId="10" type="noConversion"/>
  </si>
  <si>
    <t>惠冶</t>
    <phoneticPr fontId="10" type="noConversion"/>
  </si>
  <si>
    <t>锰球</t>
    <phoneticPr fontId="10" type="noConversion"/>
  </si>
  <si>
    <t>锰片</t>
    <phoneticPr fontId="10" type="noConversion"/>
  </si>
  <si>
    <t>SMA20181025-1</t>
    <phoneticPr fontId="14" type="noConversion"/>
  </si>
  <si>
    <t>承兑价，款到后第二天发货。供方负责送货到湘潭仓库，运费由供方承担</t>
    <phoneticPr fontId="10" type="noConversion"/>
  </si>
  <si>
    <t>SMA20180903-1</t>
    <phoneticPr fontId="10" type="noConversion"/>
  </si>
  <si>
    <t>SMA20180911-1</t>
    <phoneticPr fontId="10" type="noConversion"/>
  </si>
  <si>
    <t>焦粉</t>
    <phoneticPr fontId="10" type="noConversion"/>
  </si>
  <si>
    <t>SMA20181016-1</t>
    <phoneticPr fontId="10" type="noConversion"/>
  </si>
  <si>
    <t>SMA20181016-1</t>
    <phoneticPr fontId="14" type="noConversion"/>
  </si>
  <si>
    <t>SMXG1809Fc1</t>
    <phoneticPr fontId="14" type="noConversion"/>
  </si>
  <si>
    <t>SMXG1809Fc1</t>
    <phoneticPr fontId="14" type="noConversion"/>
  </si>
  <si>
    <t>SMXG1809Fc1</t>
    <phoneticPr fontId="10" type="noConversion"/>
  </si>
  <si>
    <t>SMA20180903-1</t>
  </si>
  <si>
    <t>SMA20180930-1</t>
    <phoneticPr fontId="14" type="noConversion"/>
  </si>
  <si>
    <t>SMA20180930-1</t>
    <phoneticPr fontId="14" type="noConversion"/>
  </si>
  <si>
    <t>SMA20180903-1</t>
    <phoneticPr fontId="14" type="noConversion"/>
  </si>
  <si>
    <t>SMA20181016-1</t>
    <phoneticPr fontId="10" type="noConversion"/>
  </si>
  <si>
    <t>SMA20181016-1</t>
    <phoneticPr fontId="14" type="noConversion"/>
  </si>
  <si>
    <t>SMA20180930-1</t>
    <phoneticPr fontId="10" type="noConversion"/>
  </si>
  <si>
    <t>SMA20181025-1</t>
    <phoneticPr fontId="10" type="noConversion"/>
  </si>
  <si>
    <t>锰片</t>
    <phoneticPr fontId="10" type="noConversion"/>
  </si>
  <si>
    <t>长沙矿冶研究院有限责任公司</t>
    <phoneticPr fontId="10" type="noConversion"/>
  </si>
  <si>
    <t>长沙矿冶研究院有限责任公司</t>
    <phoneticPr fontId="10" type="noConversion"/>
  </si>
  <si>
    <t>SMXG1810Fc1</t>
    <phoneticPr fontId="14" type="noConversion"/>
  </si>
  <si>
    <t>SMXG1810Fc1</t>
    <phoneticPr fontId="10" type="noConversion"/>
  </si>
  <si>
    <t>SMXG1810Mb1</t>
    <phoneticPr fontId="14" type="noConversion"/>
  </si>
  <si>
    <t>SMA20181031-1</t>
    <phoneticPr fontId="14" type="noConversion"/>
  </si>
  <si>
    <t>SMA20181031-1</t>
    <phoneticPr fontId="14" type="noConversion"/>
  </si>
  <si>
    <t>SMXG1811Mb1</t>
  </si>
  <si>
    <t>SMXG1811Mb1</t>
    <phoneticPr fontId="14" type="noConversion"/>
  </si>
  <si>
    <t>SMA20181031-1</t>
    <phoneticPr fontId="10" type="noConversion"/>
  </si>
  <si>
    <t>SMXG1811Mb1</t>
    <phoneticPr fontId="10" type="noConversion"/>
  </si>
  <si>
    <t>11月锰球1</t>
    <phoneticPr fontId="10" type="noConversion"/>
  </si>
  <si>
    <t>SMXG1811Mb1</t>
    <phoneticPr fontId="14" type="noConversion"/>
  </si>
  <si>
    <t>SMA20181126-1</t>
    <phoneticPr fontId="14" type="noConversion"/>
  </si>
  <si>
    <t>SMA20181126-1</t>
    <phoneticPr fontId="10" type="noConversion"/>
  </si>
  <si>
    <t>到厂现金价，合同签订后付全款</t>
    <phoneticPr fontId="14" type="noConversion"/>
  </si>
  <si>
    <t>SMHSKJ20181126</t>
    <phoneticPr fontId="14" type="noConversion"/>
  </si>
  <si>
    <t>SMXG1812Mb1</t>
    <phoneticPr fontId="14" type="noConversion"/>
  </si>
  <si>
    <t>SMA20181031-1</t>
    <phoneticPr fontId="14" type="noConversion"/>
  </si>
  <si>
    <t>SMA20181204-1</t>
    <phoneticPr fontId="14" type="noConversion"/>
  </si>
  <si>
    <t>SMHSKJ20181204</t>
    <phoneticPr fontId="14" type="noConversion"/>
  </si>
  <si>
    <t>SMXG1812Mb1</t>
    <phoneticPr fontId="14" type="noConversion"/>
  </si>
  <si>
    <t>SMA20181016-1</t>
    <phoneticPr fontId="10" type="noConversion"/>
  </si>
  <si>
    <t>焦粉</t>
    <phoneticPr fontId="10" type="noConversion"/>
  </si>
  <si>
    <t>SMXG1810Fc1</t>
    <phoneticPr fontId="10" type="noConversion"/>
  </si>
  <si>
    <t>SMXG1810Fc1</t>
    <phoneticPr fontId="14" type="noConversion"/>
  </si>
  <si>
    <t>焦粉</t>
    <phoneticPr fontId="14" type="noConversion"/>
  </si>
  <si>
    <t>12月锰球1</t>
    <phoneticPr fontId="10" type="noConversion"/>
  </si>
  <si>
    <t>SMXG1812Mb1</t>
    <phoneticPr fontId="10" type="noConversion"/>
  </si>
  <si>
    <t>SMXG1811Mb1</t>
    <phoneticPr fontId="14" type="noConversion"/>
  </si>
  <si>
    <t>SMXG1812Mb1</t>
    <phoneticPr fontId="14" type="noConversion"/>
  </si>
  <si>
    <t>锰球</t>
    <phoneticPr fontId="14" type="noConversion"/>
  </si>
  <si>
    <t>SMHSKJ20181126</t>
    <phoneticPr fontId="10" type="noConversion"/>
  </si>
  <si>
    <t>SMHSKJ20181204</t>
    <phoneticPr fontId="10" type="noConversion"/>
  </si>
  <si>
    <t>SMXG1812Mb1</t>
    <phoneticPr fontId="10" type="noConversion"/>
  </si>
  <si>
    <t>SMA20181204-1</t>
    <phoneticPr fontId="10" type="noConversion"/>
  </si>
  <si>
    <t>承兑价，合同签订10天内付款。供方负责送货到湘潭仓库，运费由供方承担</t>
    <phoneticPr fontId="10" type="noConversion"/>
  </si>
  <si>
    <t>SMA20181224-1</t>
    <phoneticPr fontId="10" type="noConversion"/>
  </si>
  <si>
    <t>SMXG1901Fc1</t>
    <phoneticPr fontId="14" type="noConversion"/>
  </si>
  <si>
    <t>SMA20181224-1</t>
    <phoneticPr fontId="14" type="noConversion"/>
  </si>
  <si>
    <t>焦粉</t>
    <phoneticPr fontId="14" type="noConversion"/>
  </si>
  <si>
    <t>日照</t>
    <phoneticPr fontId="14" type="noConversion"/>
  </si>
  <si>
    <t>阳江港</t>
    <phoneticPr fontId="14" type="noConversion"/>
  </si>
  <si>
    <t>SMXG1901Fc1</t>
    <phoneticPr fontId="14" type="noConversion"/>
  </si>
  <si>
    <t>SMA20181224-1</t>
    <phoneticPr fontId="10" type="noConversion"/>
  </si>
  <si>
    <t>焦粉</t>
    <phoneticPr fontId="10" type="noConversion"/>
  </si>
  <si>
    <t>山东泰盈康国际贸易有限公司</t>
    <phoneticPr fontId="10" type="noConversion"/>
  </si>
  <si>
    <t>华锟上海付款</t>
    <phoneticPr fontId="10" type="noConversion"/>
  </si>
  <si>
    <t>SMXG1901Fc1</t>
    <phoneticPr fontId="10" type="noConversion"/>
  </si>
  <si>
    <t>中船工业成套物流有限公司</t>
    <phoneticPr fontId="10" type="noConversion"/>
  </si>
  <si>
    <t>SMHSKJ20190102</t>
    <phoneticPr fontId="14" type="noConversion"/>
  </si>
  <si>
    <t>SMA20190102-1</t>
    <phoneticPr fontId="14" type="noConversion"/>
  </si>
  <si>
    <t>SMA20190102-2</t>
    <phoneticPr fontId="14" type="noConversion"/>
  </si>
  <si>
    <t>SMXG1901Mb1</t>
    <phoneticPr fontId="14" type="noConversion"/>
  </si>
  <si>
    <t>铜仁万山金盛锰业有限公司</t>
    <phoneticPr fontId="10" type="noConversion"/>
  </si>
  <si>
    <t>现款包到价，承兑按8800单价，预付80%款.加价全部归供方</t>
    <phoneticPr fontId="10" type="noConversion"/>
  </si>
  <si>
    <t>SMA20181210-1</t>
    <phoneticPr fontId="14" type="noConversion"/>
  </si>
  <si>
    <t>SMA20181210-1</t>
    <phoneticPr fontId="10" type="noConversion"/>
  </si>
  <si>
    <t>硅锰</t>
    <phoneticPr fontId="10" type="noConversion"/>
  </si>
  <si>
    <t>铜仁万山金盛锰业有限公司</t>
    <phoneticPr fontId="10" type="noConversion"/>
  </si>
  <si>
    <t>华锟上海付款</t>
    <phoneticPr fontId="10" type="noConversion"/>
  </si>
  <si>
    <t>铜仁万山金盛锰业有限公司</t>
    <phoneticPr fontId="14" type="noConversion"/>
  </si>
  <si>
    <t>SMXG1807Ms1</t>
    <phoneticPr fontId="10" type="noConversion"/>
  </si>
  <si>
    <t>补发18年7月硅锰</t>
    <phoneticPr fontId="10" type="noConversion"/>
  </si>
  <si>
    <t>SMXG1901Mb1</t>
    <phoneticPr fontId="10" type="noConversion"/>
  </si>
  <si>
    <t>1月锰球1</t>
    <phoneticPr fontId="10" type="noConversion"/>
  </si>
  <si>
    <t>SMA20181204-1</t>
    <phoneticPr fontId="10" type="noConversion"/>
  </si>
  <si>
    <t>锰片</t>
    <phoneticPr fontId="10" type="noConversion"/>
  </si>
  <si>
    <t>长沙矿冶研究院有限责任公司</t>
    <phoneticPr fontId="10" type="noConversion"/>
  </si>
  <si>
    <t>SMXG1812Mb1</t>
    <phoneticPr fontId="10" type="noConversion"/>
  </si>
  <si>
    <t>锰球</t>
    <phoneticPr fontId="10" type="noConversion"/>
  </si>
  <si>
    <t>惠冶签订合同</t>
    <phoneticPr fontId="10" type="noConversion"/>
  </si>
  <si>
    <t>SMA20190117-1</t>
    <phoneticPr fontId="14" type="noConversion"/>
  </si>
  <si>
    <t>SMA20190117-1</t>
    <phoneticPr fontId="10" type="noConversion"/>
  </si>
  <si>
    <t>SMXG1901Mb1</t>
    <phoneticPr fontId="10" type="noConversion"/>
  </si>
  <si>
    <t>SMXG1807Ms1</t>
    <phoneticPr fontId="10" type="noConversion"/>
  </si>
  <si>
    <t>SMXG1812Mb1</t>
    <phoneticPr fontId="10" type="noConversion"/>
  </si>
  <si>
    <t>硅锰</t>
    <phoneticPr fontId="10" type="noConversion"/>
  </si>
  <si>
    <t>锰球</t>
    <phoneticPr fontId="10" type="noConversion"/>
  </si>
  <si>
    <t>湖南华菱湘潭钢铁有限公司</t>
    <phoneticPr fontId="10" type="noConversion"/>
  </si>
  <si>
    <t>华锟上海收款</t>
    <phoneticPr fontId="10" type="noConversion"/>
  </si>
  <si>
    <t>SMXG1901Mb1</t>
    <phoneticPr fontId="14" type="noConversion"/>
  </si>
  <si>
    <t>SMHSKJ20190102</t>
    <phoneticPr fontId="14" type="noConversion"/>
  </si>
  <si>
    <t>SMHSKJ20190118</t>
    <phoneticPr fontId="14" type="noConversion"/>
  </si>
  <si>
    <t>SMXG1901Mb2</t>
    <phoneticPr fontId="14" type="noConversion"/>
  </si>
  <si>
    <t>SMXG1902Mb1</t>
    <phoneticPr fontId="14" type="noConversion"/>
  </si>
  <si>
    <t>长沙矿冶研究院有限责任公司</t>
  </si>
  <si>
    <t>惠冶收票</t>
    <phoneticPr fontId="14" type="noConversion"/>
  </si>
  <si>
    <t>锰片</t>
    <phoneticPr fontId="10" type="noConversion"/>
  </si>
  <si>
    <t>SMA20190102-1</t>
    <phoneticPr fontId="10" type="noConversion"/>
  </si>
  <si>
    <t>长沙矿冶研究院有限责任公司</t>
    <phoneticPr fontId="10" type="noConversion"/>
  </si>
  <si>
    <t>SMA20190102-2</t>
    <phoneticPr fontId="10" type="noConversion"/>
  </si>
  <si>
    <t>惠冶付款</t>
    <phoneticPr fontId="10" type="noConversion"/>
  </si>
  <si>
    <t>SMA20181210-1</t>
    <phoneticPr fontId="10" type="noConversion"/>
  </si>
  <si>
    <t>华锟上海付款</t>
    <phoneticPr fontId="10" type="noConversion"/>
  </si>
  <si>
    <t>SMA20181224-1</t>
    <phoneticPr fontId="14" type="noConversion"/>
  </si>
  <si>
    <t>焦粉</t>
    <phoneticPr fontId="14" type="noConversion"/>
  </si>
  <si>
    <t>华锟上海收票</t>
    <phoneticPr fontId="14" type="noConversion"/>
  </si>
  <si>
    <t>SMHSKJ20190118</t>
    <phoneticPr fontId="14" type="noConversion"/>
  </si>
  <si>
    <t>SMHSKJ20190102</t>
    <phoneticPr fontId="10" type="noConversion"/>
  </si>
  <si>
    <t>SMHSKJ20190118</t>
    <phoneticPr fontId="10" type="noConversion"/>
  </si>
  <si>
    <t>SMXG1901Mb1</t>
    <phoneticPr fontId="10" type="noConversion"/>
  </si>
  <si>
    <t>SMA20190201-1</t>
    <phoneticPr fontId="14" type="noConversion"/>
  </si>
  <si>
    <t>SMHSKJ20190129</t>
    <phoneticPr fontId="14" type="noConversion"/>
  </si>
  <si>
    <t>SMA20190102-2</t>
    <phoneticPr fontId="10" type="noConversion"/>
  </si>
  <si>
    <t>锰片</t>
    <phoneticPr fontId="10" type="noConversion"/>
  </si>
  <si>
    <t>SMA20190117-1</t>
    <phoneticPr fontId="10" type="noConversion"/>
  </si>
  <si>
    <t>SMXG1901Mb2</t>
    <phoneticPr fontId="14" type="noConversion"/>
  </si>
  <si>
    <t>SMHSKJ20190227</t>
    <phoneticPr fontId="14" type="noConversion"/>
  </si>
  <si>
    <t>SMA20190226-1</t>
    <phoneticPr fontId="14" type="noConversion"/>
  </si>
  <si>
    <t>中锰（湖北）科技发展有限公司</t>
    <phoneticPr fontId="10" type="noConversion"/>
  </si>
  <si>
    <t>长协合同，每月1-10号华诚网吉首均价包到湘潭</t>
    <phoneticPr fontId="10" type="noConversion"/>
  </si>
  <si>
    <t>SMA20190201-1</t>
    <phoneticPr fontId="14" type="noConversion"/>
  </si>
  <si>
    <t>SMXG1902Mb1</t>
    <phoneticPr fontId="14" type="noConversion"/>
  </si>
  <si>
    <t>SMXG1901Fc1</t>
    <phoneticPr fontId="14" type="noConversion"/>
  </si>
  <si>
    <t>中船工业成套物流有限公司</t>
    <phoneticPr fontId="14" type="noConversion"/>
  </si>
  <si>
    <t>SMXG1901Fc1</t>
    <phoneticPr fontId="10" type="noConversion"/>
  </si>
  <si>
    <t>焦粉</t>
    <phoneticPr fontId="10" type="noConversion"/>
  </si>
  <si>
    <t>中船工业成套物流有限公司</t>
    <phoneticPr fontId="10" type="noConversion"/>
  </si>
  <si>
    <t>SMHSKJ20190129</t>
    <phoneticPr fontId="14" type="noConversion"/>
  </si>
  <si>
    <t>SMHSKJ20190129</t>
    <phoneticPr fontId="10" type="noConversion"/>
  </si>
  <si>
    <t>SMA20181224-1</t>
    <phoneticPr fontId="14" type="noConversion"/>
  </si>
  <si>
    <t>1月锰球2</t>
    <phoneticPr fontId="10" type="noConversion"/>
  </si>
  <si>
    <t>SMXG1901Mb2</t>
    <phoneticPr fontId="10" type="noConversion"/>
  </si>
  <si>
    <t>2月锰球1</t>
    <phoneticPr fontId="10" type="noConversion"/>
  </si>
  <si>
    <t>SMXG1902Mb1</t>
    <phoneticPr fontId="10" type="noConversion"/>
  </si>
  <si>
    <t>SMXG1903Mb1</t>
    <phoneticPr fontId="14" type="noConversion"/>
  </si>
  <si>
    <t>SMXG1901Mb2</t>
    <phoneticPr fontId="14" type="noConversion"/>
  </si>
  <si>
    <t>SMXG1902Mb1</t>
    <phoneticPr fontId="14" type="noConversion"/>
  </si>
  <si>
    <t>HYZMCX20190304</t>
    <phoneticPr fontId="14" type="noConversion"/>
  </si>
  <si>
    <t>HYZMCX20190304</t>
    <phoneticPr fontId="10" type="noConversion"/>
  </si>
  <si>
    <t>中锰（湖北）科技发展有限公司</t>
    <phoneticPr fontId="10" type="noConversion"/>
  </si>
  <si>
    <t>SMZY1903Mn1</t>
    <phoneticPr fontId="14" type="noConversion"/>
  </si>
  <si>
    <t>SMZY1903Mn1</t>
    <phoneticPr fontId="14" type="noConversion"/>
  </si>
  <si>
    <t>锰片</t>
    <phoneticPr fontId="14" type="noConversion"/>
  </si>
  <si>
    <t>惠冶</t>
    <phoneticPr fontId="14" type="noConversion"/>
  </si>
  <si>
    <t>自提</t>
    <phoneticPr fontId="14" type="noConversion"/>
  </si>
  <si>
    <t>SMZY1903Mn1</t>
    <phoneticPr fontId="10" type="noConversion"/>
  </si>
  <si>
    <t>中冶京诚（湘潭）重工设备有限公司</t>
    <phoneticPr fontId="10" type="noConversion"/>
  </si>
  <si>
    <t>现金价，合同签订10天内付款。供方负责送货到湘潭仓库，运费由供方承担</t>
    <phoneticPr fontId="10" type="noConversion"/>
  </si>
  <si>
    <t>SMA20190226-1</t>
    <phoneticPr fontId="14" type="noConversion"/>
  </si>
  <si>
    <t>SMA20190201-1</t>
    <phoneticPr fontId="10" type="noConversion"/>
  </si>
  <si>
    <t>锰片</t>
    <phoneticPr fontId="10" type="noConversion"/>
  </si>
  <si>
    <t>SMA20190102-2</t>
    <phoneticPr fontId="10" type="noConversion"/>
  </si>
  <si>
    <t>SMA20190117-1</t>
    <phoneticPr fontId="14" type="noConversion"/>
  </si>
  <si>
    <t>SMHSKJ20190227</t>
    <phoneticPr fontId="14" type="noConversion"/>
  </si>
  <si>
    <t>SMXG1903Mb1</t>
    <phoneticPr fontId="10" type="noConversion"/>
  </si>
  <si>
    <t>SMHSKJ20190227</t>
    <phoneticPr fontId="14" type="noConversion"/>
  </si>
  <si>
    <t>SMXG1903Mb1</t>
    <phoneticPr fontId="14" type="noConversion"/>
  </si>
  <si>
    <t>SMXG1904Mb1</t>
    <phoneticPr fontId="14" type="noConversion"/>
  </si>
  <si>
    <t>SMXG1903Mb1</t>
    <phoneticPr fontId="14" type="noConversion"/>
  </si>
  <si>
    <t>SMHSKJ20190227</t>
    <phoneticPr fontId="10" type="noConversion"/>
  </si>
  <si>
    <t>锰球</t>
    <phoneticPr fontId="10" type="noConversion"/>
  </si>
  <si>
    <t>HYZMCX20190304</t>
    <phoneticPr fontId="14" type="noConversion"/>
  </si>
  <si>
    <t>中锰</t>
    <phoneticPr fontId="14" type="noConversion"/>
  </si>
  <si>
    <t>惠冶</t>
    <phoneticPr fontId="14" type="noConversion"/>
  </si>
  <si>
    <t>HYZMCX20190403</t>
    <phoneticPr fontId="14" type="noConversion"/>
  </si>
  <si>
    <t>HYZMCX20190403</t>
    <phoneticPr fontId="10" type="noConversion"/>
  </si>
  <si>
    <t>锰片</t>
    <phoneticPr fontId="10" type="noConversion"/>
  </si>
  <si>
    <t>中锰（湖北）科技发展有限公司</t>
    <phoneticPr fontId="10" type="noConversion"/>
  </si>
  <si>
    <t>SMA20190404-1</t>
    <phoneticPr fontId="14" type="noConversion"/>
  </si>
  <si>
    <t>SMXG1903Mb1</t>
    <phoneticPr fontId="10" type="noConversion"/>
  </si>
  <si>
    <t>SMXG1903Mb1</t>
    <phoneticPr fontId="14" type="noConversion"/>
  </si>
  <si>
    <t>SMA20190201-1</t>
    <phoneticPr fontId="10" type="noConversion"/>
  </si>
  <si>
    <t>锰片</t>
    <phoneticPr fontId="10" type="noConversion"/>
  </si>
  <si>
    <t>SMA20190117-1</t>
    <phoneticPr fontId="10" type="noConversion"/>
  </si>
  <si>
    <t>华锟上海付款</t>
    <phoneticPr fontId="10" type="noConversion"/>
  </si>
  <si>
    <t>SMA20190404-1</t>
    <phoneticPr fontId="10" type="noConversion"/>
  </si>
  <si>
    <t>SMA20190419-2</t>
    <phoneticPr fontId="14" type="noConversion"/>
  </si>
  <si>
    <t>承兑结算，按湘钢5 月招标价（暂拟8000 元/吨）让利2%结算。</t>
    <phoneticPr fontId="10" type="noConversion"/>
  </si>
  <si>
    <t>SMA20190419-1</t>
    <phoneticPr fontId="14" type="noConversion"/>
  </si>
  <si>
    <t>湖南华弘金属制品有限公司</t>
    <phoneticPr fontId="10" type="noConversion"/>
  </si>
  <si>
    <t>现金价，款到发货。供方负责送货到湘潭仓库，运费由供方承担</t>
    <phoneticPr fontId="10" type="noConversion"/>
  </si>
  <si>
    <t>SMA20190226-1</t>
    <phoneticPr fontId="10" type="noConversion"/>
  </si>
  <si>
    <t>SMA20190419-2</t>
    <phoneticPr fontId="10" type="noConversion"/>
  </si>
  <si>
    <t>硅锰</t>
    <phoneticPr fontId="10" type="noConversion"/>
  </si>
  <si>
    <t>SMHSKJ20190404</t>
    <phoneticPr fontId="14" type="noConversion"/>
  </si>
  <si>
    <t>SMKYY20190416</t>
    <phoneticPr fontId="14" type="noConversion"/>
  </si>
  <si>
    <t>SMA20190404-1</t>
    <phoneticPr fontId="14" type="noConversion"/>
  </si>
  <si>
    <t>SMXG1904Mb1</t>
    <phoneticPr fontId="14" type="noConversion"/>
  </si>
  <si>
    <t>SMHSKJ20190227</t>
    <phoneticPr fontId="10" type="noConversion"/>
  </si>
  <si>
    <t>SMXG1904Mb1</t>
    <phoneticPr fontId="10" type="noConversion"/>
  </si>
  <si>
    <t>4月锰球1</t>
    <phoneticPr fontId="10" type="noConversion"/>
  </si>
  <si>
    <t>SMXG1904Mb1</t>
    <phoneticPr fontId="14" type="noConversion"/>
  </si>
  <si>
    <t>SMHSKJ20190404</t>
    <phoneticPr fontId="14" type="noConversion"/>
  </si>
  <si>
    <t>SMA20190404-1</t>
    <phoneticPr fontId="14" type="noConversion"/>
  </si>
  <si>
    <t>SMXG1903Mb1</t>
    <phoneticPr fontId="10" type="noConversion"/>
  </si>
  <si>
    <t>到厂承兑价，合同签订后付全款</t>
    <phoneticPr fontId="14" type="noConversion"/>
  </si>
  <si>
    <t>SMA20190428-1</t>
    <phoneticPr fontId="14" type="noConversion"/>
  </si>
  <si>
    <t>HYZMCX20190304</t>
    <phoneticPr fontId="14" type="noConversion"/>
  </si>
  <si>
    <t>中锰（湖北）科技发展有限公司</t>
    <phoneticPr fontId="14" type="noConversion"/>
  </si>
  <si>
    <t>惠冶收票</t>
    <phoneticPr fontId="14" type="noConversion"/>
  </si>
  <si>
    <t>SMA20190419-1</t>
    <phoneticPr fontId="14" type="noConversion"/>
  </si>
  <si>
    <t>SMKYY20190416</t>
    <phoneticPr fontId="14" type="noConversion"/>
  </si>
  <si>
    <t>武钢</t>
    <phoneticPr fontId="14" type="noConversion"/>
  </si>
  <si>
    <t>HYZMCX20190508</t>
    <phoneticPr fontId="14" type="noConversion"/>
  </si>
  <si>
    <t>HYZMCX20190508</t>
    <phoneticPr fontId="10" type="noConversion"/>
  </si>
  <si>
    <t>锰片</t>
    <phoneticPr fontId="10" type="noConversion"/>
  </si>
  <si>
    <t>SMA20190226-1</t>
    <phoneticPr fontId="10" type="noConversion"/>
  </si>
  <si>
    <t>SMHSKJ20190404</t>
    <phoneticPr fontId="10" type="noConversion"/>
  </si>
  <si>
    <t>锰球</t>
    <phoneticPr fontId="10" type="noConversion"/>
  </si>
  <si>
    <t>SMHSKJ20190428</t>
    <phoneticPr fontId="10" type="noConversion"/>
  </si>
  <si>
    <t>SMKYY20190416</t>
    <phoneticPr fontId="10" type="noConversion"/>
  </si>
  <si>
    <t>SMKYY20190416</t>
    <phoneticPr fontId="14" type="noConversion"/>
  </si>
  <si>
    <t>SMXG1905Mb1</t>
    <phoneticPr fontId="14" type="noConversion"/>
  </si>
  <si>
    <t>SMXG1905Ms1</t>
    <phoneticPr fontId="14" type="noConversion"/>
  </si>
  <si>
    <t>刘杰</t>
    <phoneticPr fontId="14" type="noConversion"/>
  </si>
  <si>
    <t>HYZMCX20190403</t>
    <phoneticPr fontId="14" type="noConversion"/>
  </si>
  <si>
    <t>SMHSKJ20190428</t>
    <phoneticPr fontId="14" type="noConversion"/>
  </si>
  <si>
    <t>SMXG1905Mb2</t>
    <phoneticPr fontId="14" type="noConversion"/>
  </si>
  <si>
    <t>SMXG1905Mb1</t>
    <phoneticPr fontId="14" type="noConversion"/>
  </si>
  <si>
    <t>SMXG1905Mb1</t>
    <phoneticPr fontId="10" type="noConversion"/>
  </si>
  <si>
    <t>SMA20190428-1</t>
    <phoneticPr fontId="14" type="noConversion"/>
  </si>
  <si>
    <t>SMA20190516-1</t>
    <phoneticPr fontId="14" type="noConversion"/>
  </si>
  <si>
    <t>SMA20190516-2</t>
    <phoneticPr fontId="14" type="noConversion"/>
  </si>
  <si>
    <t>SMKYY20190516</t>
    <phoneticPr fontId="14" type="noConversion"/>
  </si>
  <si>
    <t>送武钢到厂现金价，合同签订后付全款</t>
    <phoneticPr fontId="14" type="noConversion"/>
  </si>
  <si>
    <t>SMHSKJ20190428</t>
    <phoneticPr fontId="14" type="noConversion"/>
  </si>
  <si>
    <t>鸿丰</t>
    <phoneticPr fontId="14" type="noConversion"/>
  </si>
  <si>
    <t>SMA20190419-2</t>
    <phoneticPr fontId="10" type="noConversion"/>
  </si>
  <si>
    <t>硅锰</t>
    <phoneticPr fontId="10" type="noConversion"/>
  </si>
  <si>
    <t>SMHSKJ20190516</t>
    <phoneticPr fontId="14" type="noConversion"/>
  </si>
  <si>
    <t>SMXG1905Mb2</t>
    <phoneticPr fontId="10" type="noConversion"/>
  </si>
  <si>
    <t>5月锰球2</t>
    <phoneticPr fontId="10" type="noConversion"/>
  </si>
  <si>
    <t>SMXG1905Mb2</t>
    <phoneticPr fontId="14" type="noConversion"/>
  </si>
  <si>
    <t>SMA20190516-1</t>
    <phoneticPr fontId="14" type="noConversion"/>
  </si>
  <si>
    <t>HYZMCX20190403</t>
    <phoneticPr fontId="14" type="noConversion"/>
  </si>
  <si>
    <t>SMHSKJ20190516</t>
    <phoneticPr fontId="14" type="noConversion"/>
  </si>
  <si>
    <t>SMA20190428-1</t>
    <phoneticPr fontId="14" type="noConversion"/>
  </si>
  <si>
    <t>现金价.合同签订10天内付款。供方负责送货到湘潭仓库，运费由供方承担</t>
    <phoneticPr fontId="10" type="noConversion"/>
  </si>
  <si>
    <t>SMHSKJ20190428</t>
    <phoneticPr fontId="10" type="noConversion"/>
  </si>
  <si>
    <t>锰球</t>
    <phoneticPr fontId="10" type="noConversion"/>
  </si>
  <si>
    <t>华锟上海收款</t>
    <phoneticPr fontId="10" type="noConversion"/>
  </si>
  <si>
    <t>SMA20190516-2</t>
    <phoneticPr fontId="14" type="noConversion"/>
  </si>
  <si>
    <t>SMXG1905Ms1</t>
    <phoneticPr fontId="14" type="noConversion"/>
  </si>
  <si>
    <t>硅锰</t>
    <phoneticPr fontId="14" type="noConversion"/>
  </si>
  <si>
    <t>5月硅锰1</t>
    <phoneticPr fontId="10" type="noConversion"/>
  </si>
  <si>
    <t>SMXG1905Ms1</t>
    <phoneticPr fontId="10" type="noConversion"/>
  </si>
  <si>
    <t>SMHSKJ20190516</t>
    <phoneticPr fontId="14" type="noConversion"/>
  </si>
  <si>
    <t>SMA20190428-1</t>
    <phoneticPr fontId="10" type="noConversion"/>
  </si>
  <si>
    <t>锰片</t>
    <phoneticPr fontId="10" type="noConversion"/>
  </si>
  <si>
    <t>华锟上海付款</t>
    <phoneticPr fontId="10" type="noConversion"/>
  </si>
  <si>
    <t>湖南新泰鸿丰铁合金有限公司</t>
    <phoneticPr fontId="14" type="noConversion"/>
  </si>
  <si>
    <t>SMA20190419-1</t>
    <phoneticPr fontId="14" type="noConversion"/>
  </si>
  <si>
    <t>湖南华弘金属制品有限公司</t>
    <phoneticPr fontId="14" type="noConversion"/>
  </si>
  <si>
    <t>SMXG1904Mb1</t>
    <phoneticPr fontId="10" type="noConversion"/>
  </si>
  <si>
    <t>SMXG1905Mb1</t>
    <phoneticPr fontId="10" type="noConversion"/>
  </si>
  <si>
    <t>SMXG1905Ms1</t>
    <phoneticPr fontId="10" type="noConversion"/>
  </si>
  <si>
    <t>硅锰</t>
    <phoneticPr fontId="10" type="noConversion"/>
  </si>
  <si>
    <t>SMXG1905Mb2</t>
    <phoneticPr fontId="10" type="noConversion"/>
  </si>
  <si>
    <t>HYZMCX20190603</t>
    <phoneticPr fontId="14" type="noConversion"/>
  </si>
  <si>
    <t>HYZMCX20190508</t>
    <phoneticPr fontId="14" type="noConversion"/>
  </si>
  <si>
    <t>SMA20190419-1</t>
    <phoneticPr fontId="10" type="noConversion"/>
  </si>
  <si>
    <t>SMA20190516-2</t>
    <phoneticPr fontId="10" type="noConversion"/>
  </si>
  <si>
    <t>SMKYY20190516</t>
    <phoneticPr fontId="10" type="noConversion"/>
  </si>
  <si>
    <t>SMXG1905Mb2</t>
    <phoneticPr fontId="14" type="noConversion"/>
  </si>
  <si>
    <t>SMXG1905Mb2</t>
    <phoneticPr fontId="10" type="noConversion"/>
  </si>
  <si>
    <t>SMA20190516-2</t>
    <phoneticPr fontId="14" type="noConversion"/>
  </si>
  <si>
    <t>SMKYY20190516</t>
    <phoneticPr fontId="14" type="noConversion"/>
  </si>
  <si>
    <t>SMXG1906Ms1</t>
    <phoneticPr fontId="14" type="noConversion"/>
  </si>
  <si>
    <t>SMA20190610-1</t>
    <phoneticPr fontId="14" type="noConversion"/>
  </si>
  <si>
    <t>承兑结算，按湘钢6 月招标价（7570元/吨）让利2%结算。</t>
    <phoneticPr fontId="10" type="noConversion"/>
  </si>
  <si>
    <t>SMKYY20190610</t>
    <phoneticPr fontId="10" type="noConversion"/>
  </si>
  <si>
    <t>SMXG1906Mb1</t>
    <phoneticPr fontId="10" type="noConversion"/>
  </si>
  <si>
    <t>SMXG1906Mb1</t>
    <phoneticPr fontId="14" type="noConversion"/>
  </si>
  <si>
    <t>SMA20190611-1</t>
    <phoneticPr fontId="14" type="noConversion"/>
  </si>
  <si>
    <t>SMKYY20190610</t>
    <phoneticPr fontId="14" type="noConversion"/>
  </si>
  <si>
    <t>SMXG1906Mb1</t>
    <phoneticPr fontId="14" type="noConversion"/>
  </si>
  <si>
    <t>SMA20190611-1</t>
    <phoneticPr fontId="10" type="noConversion"/>
  </si>
  <si>
    <t>HYZMCX20190603</t>
    <phoneticPr fontId="10" type="noConversion"/>
  </si>
  <si>
    <t>SMA20190610-1</t>
    <phoneticPr fontId="10" type="noConversion"/>
  </si>
  <si>
    <t>硅锰</t>
    <phoneticPr fontId="10" type="noConversion"/>
  </si>
  <si>
    <t>SMA20190610-1</t>
    <phoneticPr fontId="14" type="noConversion"/>
  </si>
  <si>
    <t>SMXG1907Mb1</t>
    <phoneticPr fontId="14" type="noConversion"/>
  </si>
  <si>
    <t>HYZMCX20190627</t>
    <phoneticPr fontId="14" type="noConversion"/>
  </si>
  <si>
    <t>HYZMCX20190627</t>
    <phoneticPr fontId="10" type="noConversion"/>
  </si>
  <si>
    <t>SMA20190611-1</t>
    <phoneticPr fontId="14" type="noConversion"/>
  </si>
  <si>
    <t>HYZMCX20190508</t>
    <phoneticPr fontId="14" type="noConversion"/>
  </si>
  <si>
    <t>HYZMCX20190603</t>
    <phoneticPr fontId="14" type="noConversion"/>
  </si>
  <si>
    <t>SMA20190610-1</t>
    <phoneticPr fontId="10" type="noConversion"/>
  </si>
  <si>
    <t>SMA20190610-1</t>
    <phoneticPr fontId="14" type="noConversion"/>
  </si>
  <si>
    <t>SMKYY20190610</t>
    <phoneticPr fontId="14" type="noConversion"/>
  </si>
  <si>
    <t>SMXG1906Ms1</t>
    <phoneticPr fontId="14" type="noConversion"/>
  </si>
  <si>
    <t>SMXG1906Ms1</t>
    <phoneticPr fontId="10" type="noConversion"/>
  </si>
  <si>
    <t>SMHSKJ20190516</t>
    <phoneticPr fontId="10" type="noConversion"/>
  </si>
  <si>
    <t>SMA20190701-1</t>
    <phoneticPr fontId="14" type="noConversion"/>
  </si>
  <si>
    <t>SMKYY20190701</t>
    <phoneticPr fontId="14" type="noConversion"/>
  </si>
  <si>
    <t>SMXG1905Mb2</t>
    <phoneticPr fontId="10" type="noConversion"/>
  </si>
  <si>
    <t>SMXG1906Ms1</t>
    <phoneticPr fontId="10" type="noConversion"/>
  </si>
  <si>
    <t>现金价13650</t>
    <phoneticPr fontId="14" type="noConversion"/>
  </si>
  <si>
    <t>7月锰球1</t>
    <phoneticPr fontId="10" type="noConversion"/>
  </si>
  <si>
    <t>SMXG1907Mb1</t>
    <phoneticPr fontId="10" type="noConversion"/>
  </si>
  <si>
    <t>SMXG1907Mb1</t>
    <phoneticPr fontId="14" type="noConversion"/>
  </si>
  <si>
    <t>湖南华杉科技发展有限公司</t>
    <phoneticPr fontId="10" type="noConversion"/>
  </si>
  <si>
    <t>SMHSKJ20190516</t>
    <phoneticPr fontId="10" type="noConversion"/>
  </si>
  <si>
    <t>SMA20190704-1</t>
    <phoneticPr fontId="14" type="noConversion"/>
  </si>
  <si>
    <t>SMA20190704-2</t>
    <phoneticPr fontId="14" type="noConversion"/>
  </si>
  <si>
    <t>SMA20190704-2</t>
    <phoneticPr fontId="14" type="noConversion"/>
  </si>
  <si>
    <t>SMA20190428-1</t>
    <phoneticPr fontId="10" type="noConversion"/>
  </si>
  <si>
    <t>长沙矿冶研究院有限责任公司</t>
    <phoneticPr fontId="10" type="noConversion"/>
  </si>
  <si>
    <t>SMA20190404-1</t>
    <phoneticPr fontId="10" type="noConversion"/>
  </si>
  <si>
    <t>SMA20190610-1</t>
    <phoneticPr fontId="10" type="noConversion"/>
  </si>
  <si>
    <t>SMA20190710-1</t>
    <phoneticPr fontId="14" type="noConversion"/>
  </si>
  <si>
    <t>SMA20190710-1</t>
    <phoneticPr fontId="10" type="noConversion"/>
  </si>
  <si>
    <t>SMA20190516-1</t>
    <phoneticPr fontId="10" type="noConversion"/>
  </si>
  <si>
    <t>SMA20190701-1</t>
    <phoneticPr fontId="14" type="noConversion"/>
  </si>
  <si>
    <t>SMKYY20190701</t>
  </si>
  <si>
    <t>SMKYY20190701</t>
    <phoneticPr fontId="14" type="noConversion"/>
  </si>
  <si>
    <t>SMXG1907Ms1</t>
    <phoneticPr fontId="14" type="noConversion"/>
  </si>
  <si>
    <t>SMXG1907Ms1</t>
    <phoneticPr fontId="14" type="noConversion"/>
  </si>
  <si>
    <t>SMXG1906Ms1</t>
  </si>
  <si>
    <t>SMXG1906Mb1</t>
  </si>
  <si>
    <t>SMXG1907Mb1</t>
  </si>
  <si>
    <t>SMA20190722-1</t>
    <phoneticPr fontId="14" type="noConversion"/>
  </si>
  <si>
    <t>SMKYY20190722</t>
    <phoneticPr fontId="14" type="noConversion"/>
  </si>
  <si>
    <t>SMKYY20190701</t>
    <phoneticPr fontId="10" type="noConversion"/>
  </si>
  <si>
    <t>SMA20190701-1</t>
    <phoneticPr fontId="10" type="noConversion"/>
  </si>
  <si>
    <t>SMXG1907Ms1</t>
    <phoneticPr fontId="14" type="noConversion"/>
  </si>
  <si>
    <t>SMXG1907Mb1</t>
    <phoneticPr fontId="14" type="noConversion"/>
  </si>
  <si>
    <t>惠冶</t>
    <phoneticPr fontId="10" type="noConversion"/>
  </si>
  <si>
    <t>工厂盘点数据475.264吨，其中锰桃380吨</t>
    <phoneticPr fontId="10" type="noConversion"/>
  </si>
  <si>
    <t>调整月底库存数据</t>
    <phoneticPr fontId="10" type="noConversion"/>
  </si>
  <si>
    <t>SMA20190704-1</t>
    <phoneticPr fontId="14" type="noConversion"/>
  </si>
  <si>
    <t>锰片</t>
    <phoneticPr fontId="14" type="noConversion"/>
  </si>
  <si>
    <t>SMA20190704-2</t>
    <phoneticPr fontId="14" type="noConversion"/>
  </si>
  <si>
    <t>SMA20190710-1</t>
    <phoneticPr fontId="14" type="noConversion"/>
  </si>
  <si>
    <t>SMXG1907Mb1</t>
    <phoneticPr fontId="14" type="noConversion"/>
  </si>
  <si>
    <t>其他家14200</t>
    <phoneticPr fontId="14" type="noConversion"/>
  </si>
  <si>
    <t>SMA20190610-1</t>
    <phoneticPr fontId="14" type="noConversion"/>
  </si>
  <si>
    <t>SMA20190610-1</t>
    <phoneticPr fontId="10" type="noConversion"/>
  </si>
  <si>
    <t>硅锰</t>
    <phoneticPr fontId="10" type="noConversion"/>
  </si>
  <si>
    <t>华锟上海付款</t>
    <phoneticPr fontId="10" type="noConversion"/>
  </si>
  <si>
    <t>SMA20190710-1</t>
    <phoneticPr fontId="10" type="noConversion"/>
  </si>
  <si>
    <t>SMA20190710-1</t>
    <phoneticPr fontId="14" type="noConversion"/>
  </si>
  <si>
    <t>SMXG1907Ms1</t>
    <phoneticPr fontId="14" type="noConversion"/>
  </si>
  <si>
    <t>SMKYY20190801</t>
    <phoneticPr fontId="14" type="noConversion"/>
  </si>
  <si>
    <t>SMXG1908Mb1</t>
    <phoneticPr fontId="14" type="noConversion"/>
  </si>
  <si>
    <t>SMA20190704-2</t>
    <phoneticPr fontId="14" type="noConversion"/>
  </si>
  <si>
    <t>SMA20190704-2</t>
    <phoneticPr fontId="10" type="noConversion"/>
  </si>
  <si>
    <t>锰片</t>
    <phoneticPr fontId="10" type="noConversion"/>
  </si>
  <si>
    <t>HYZMCX20190812</t>
    <phoneticPr fontId="10" type="noConversion"/>
  </si>
  <si>
    <t>中锰（湖北）科技发展有限公司</t>
    <phoneticPr fontId="10" type="noConversion"/>
  </si>
  <si>
    <t>中锰（湖北）科技发展有限公司</t>
    <phoneticPr fontId="10" type="noConversion"/>
  </si>
  <si>
    <t>HYZMCX20190627</t>
    <phoneticPr fontId="14" type="noConversion"/>
  </si>
  <si>
    <t>HYZMCX20190627</t>
    <phoneticPr fontId="14" type="noConversion"/>
  </si>
  <si>
    <t>锰片</t>
    <phoneticPr fontId="14" type="noConversion"/>
  </si>
  <si>
    <t>HYZMCX20190603</t>
    <phoneticPr fontId="14" type="noConversion"/>
  </si>
  <si>
    <t>HYZMCX20190603</t>
    <phoneticPr fontId="10" type="noConversion"/>
  </si>
  <si>
    <t>惠冶收款</t>
    <phoneticPr fontId="10" type="noConversion"/>
  </si>
  <si>
    <t>HYZMCX20190627</t>
    <phoneticPr fontId="10" type="noConversion"/>
  </si>
  <si>
    <t>承兑结算，按湘钢8 月招标价（7850元/吨）减100结算。</t>
    <phoneticPr fontId="10" type="noConversion"/>
  </si>
  <si>
    <t>承兑结算，按湘钢7 月招标价（7930元/吨）让利2%结算。</t>
    <phoneticPr fontId="10" type="noConversion"/>
  </si>
  <si>
    <t>SMA20190808-1</t>
    <phoneticPr fontId="14" type="noConversion"/>
  </si>
  <si>
    <t>SMA20190808-1</t>
    <phoneticPr fontId="10" type="noConversion"/>
  </si>
  <si>
    <t>SMXG1907Mb1</t>
    <phoneticPr fontId="14" type="noConversion"/>
  </si>
  <si>
    <t>SMXG1908Ms1</t>
    <phoneticPr fontId="14" type="noConversion"/>
  </si>
  <si>
    <t>SMKYY20190722</t>
    <phoneticPr fontId="14" type="noConversion"/>
  </si>
  <si>
    <t>SMA20190704-2</t>
    <phoneticPr fontId="10" type="noConversion"/>
  </si>
  <si>
    <t>SMKYY20190801</t>
    <phoneticPr fontId="14" type="noConversion"/>
  </si>
  <si>
    <t>SMKYY20190801</t>
    <phoneticPr fontId="10" type="noConversion"/>
  </si>
  <si>
    <t>SMA20190801-1</t>
    <phoneticPr fontId="14" type="noConversion"/>
  </si>
  <si>
    <t>SMA20190801-1</t>
    <phoneticPr fontId="10" type="noConversion"/>
  </si>
  <si>
    <t>SMA20190801-1</t>
    <phoneticPr fontId="14" type="noConversion"/>
  </si>
  <si>
    <t>SMKYY20190801</t>
    <phoneticPr fontId="14" type="noConversion"/>
  </si>
  <si>
    <t>SMA20190722-1</t>
    <phoneticPr fontId="10" type="noConversion"/>
  </si>
  <si>
    <t>SMKYY20190722</t>
    <phoneticPr fontId="14" type="noConversion"/>
  </si>
  <si>
    <t>SMKYY20190722</t>
    <phoneticPr fontId="10" type="noConversion"/>
  </si>
  <si>
    <t>SMHSKJ20190813</t>
    <phoneticPr fontId="14" type="noConversion"/>
  </si>
  <si>
    <t>现金价12230</t>
    <phoneticPr fontId="14" type="noConversion"/>
  </si>
  <si>
    <t>SMA20190808-2</t>
    <phoneticPr fontId="14" type="noConversion"/>
  </si>
  <si>
    <t>承兑结算，按湘钢8 月招标价（7850元/吨）减200结算。</t>
    <phoneticPr fontId="10" type="noConversion"/>
  </si>
  <si>
    <t>SMA20190813-1</t>
    <phoneticPr fontId="14" type="noConversion"/>
  </si>
  <si>
    <t>现金价.合同签订10天内付款。供方负责送货到湘潭仓库，运费由供方承担</t>
    <phoneticPr fontId="10" type="noConversion"/>
  </si>
  <si>
    <t>SMA20190722-1</t>
    <phoneticPr fontId="14" type="noConversion"/>
  </si>
  <si>
    <t>SMA20190801-1</t>
    <phoneticPr fontId="14" type="noConversion"/>
  </si>
  <si>
    <t>SMXG1907Mb1</t>
    <phoneticPr fontId="10" type="noConversion"/>
  </si>
  <si>
    <t>锰球</t>
    <phoneticPr fontId="10" type="noConversion"/>
  </si>
  <si>
    <t>华锟上海收款</t>
    <phoneticPr fontId="10" type="noConversion"/>
  </si>
  <si>
    <t>SMXG1907Ms1</t>
    <phoneticPr fontId="10" type="noConversion"/>
  </si>
  <si>
    <t>硅锰</t>
    <phoneticPr fontId="10" type="noConversion"/>
  </si>
  <si>
    <t>SMXG1908Mb1</t>
    <phoneticPr fontId="14" type="noConversion"/>
  </si>
  <si>
    <t>SMA20190710-1</t>
    <phoneticPr fontId="10" type="noConversion"/>
  </si>
  <si>
    <t>SMA20190808-2</t>
    <phoneticPr fontId="10" type="noConversion"/>
  </si>
  <si>
    <t>大新</t>
    <phoneticPr fontId="14" type="noConversion"/>
  </si>
  <si>
    <t>8月锰球1</t>
    <phoneticPr fontId="10" type="noConversion"/>
  </si>
  <si>
    <t>SMXG1908Mb1</t>
    <phoneticPr fontId="14" type="noConversion"/>
  </si>
  <si>
    <t>SMA20190808-1</t>
    <phoneticPr fontId="14" type="noConversion"/>
  </si>
  <si>
    <t>SMA20190808-2</t>
    <phoneticPr fontId="14" type="noConversion"/>
  </si>
  <si>
    <t>SMA20190516-1</t>
    <phoneticPr fontId="10" type="noConversion"/>
  </si>
  <si>
    <t>锰片</t>
    <phoneticPr fontId="10" type="noConversion"/>
  </si>
  <si>
    <t>SMA20190813-1</t>
    <phoneticPr fontId="14" type="noConversion"/>
  </si>
  <si>
    <t>SMHSKJ20190813</t>
    <phoneticPr fontId="14" type="noConversion"/>
  </si>
  <si>
    <t>锰球</t>
    <phoneticPr fontId="14" type="noConversion"/>
  </si>
  <si>
    <t>SMXG1907Ms1</t>
    <phoneticPr fontId="10" type="noConversion"/>
  </si>
  <si>
    <t>SMXG1908Mb1</t>
    <phoneticPr fontId="10" type="noConversion"/>
  </si>
  <si>
    <t>硅锰</t>
    <phoneticPr fontId="10" type="noConversion"/>
  </si>
  <si>
    <t>锰球</t>
    <phoneticPr fontId="10" type="noConversion"/>
  </si>
  <si>
    <t>SMXG1908Mb1</t>
    <phoneticPr fontId="14" type="noConversion"/>
  </si>
  <si>
    <t>SMA20190808-1</t>
    <phoneticPr fontId="10" type="noConversion"/>
  </si>
  <si>
    <t>SMA20190704-1</t>
    <phoneticPr fontId="10" type="noConversion"/>
  </si>
  <si>
    <t>8月硅锰1</t>
    <phoneticPr fontId="10" type="noConversion"/>
  </si>
  <si>
    <t>SMXG1908Ms1</t>
    <phoneticPr fontId="10" type="noConversion"/>
  </si>
  <si>
    <t>SMXG1908Mb1</t>
    <phoneticPr fontId="10" type="noConversion"/>
  </si>
  <si>
    <t>8月锰球1</t>
    <phoneticPr fontId="10" type="noConversion"/>
  </si>
  <si>
    <t>SMHSKJ20190906</t>
    <phoneticPr fontId="14" type="noConversion"/>
  </si>
  <si>
    <t>承兑价</t>
    <phoneticPr fontId="14" type="noConversion"/>
  </si>
  <si>
    <t>SMXG1909Mb1</t>
    <phoneticPr fontId="14" type="noConversion"/>
  </si>
  <si>
    <t>SMXG1908Mb1</t>
    <phoneticPr fontId="14" type="noConversion"/>
  </si>
  <si>
    <t>锰球</t>
    <phoneticPr fontId="14" type="noConversion"/>
  </si>
  <si>
    <t>湖南华菱湘潭钢铁有限公司</t>
    <phoneticPr fontId="14" type="noConversion"/>
  </si>
  <si>
    <t>华锟上海开票</t>
    <phoneticPr fontId="14" type="noConversion"/>
  </si>
  <si>
    <t>SMA20190909-1</t>
    <phoneticPr fontId="14" type="noConversion"/>
  </si>
  <si>
    <t>刘杰</t>
    <phoneticPr fontId="14" type="noConversion"/>
  </si>
  <si>
    <t>硅锰</t>
    <phoneticPr fontId="10" type="noConversion"/>
  </si>
  <si>
    <t>湖南新泰鸿丰铁合金有限公司</t>
    <phoneticPr fontId="10" type="noConversion"/>
  </si>
  <si>
    <t>华锟签订合同</t>
    <phoneticPr fontId="10" type="noConversion"/>
  </si>
  <si>
    <t>承兑价.合同签订10天内付款。供方负责送货到湘潭仓库，运费由供方承担</t>
    <phoneticPr fontId="10" type="noConversion"/>
  </si>
  <si>
    <t>承兑结算，按湘钢9 月招标价（7620元/吨）减2%结算。</t>
    <phoneticPr fontId="10" type="noConversion"/>
  </si>
  <si>
    <t>广西新振锰业集团有限公司</t>
    <phoneticPr fontId="10" type="noConversion"/>
  </si>
  <si>
    <t>SMA20190808-2</t>
    <phoneticPr fontId="10" type="noConversion"/>
  </si>
  <si>
    <t>HYZMCX20190812</t>
    <phoneticPr fontId="14" type="noConversion"/>
  </si>
  <si>
    <t>HYZMCX20190812</t>
    <phoneticPr fontId="10" type="noConversion"/>
  </si>
  <si>
    <t>HYZMCX20190906</t>
    <phoneticPr fontId="10" type="noConversion"/>
  </si>
  <si>
    <t>锰片</t>
    <phoneticPr fontId="10" type="noConversion"/>
  </si>
  <si>
    <t>惠冶付款</t>
    <phoneticPr fontId="10" type="noConversion"/>
  </si>
  <si>
    <t>惠冶收款</t>
    <phoneticPr fontId="10" type="noConversion"/>
  </si>
  <si>
    <t>HYZMCX20190812</t>
    <phoneticPr fontId="14" type="noConversion"/>
  </si>
  <si>
    <t>SMA20190808-1</t>
    <phoneticPr fontId="10" type="noConversion"/>
  </si>
  <si>
    <t>SMA20190906-1</t>
    <phoneticPr fontId="10" type="noConversion"/>
  </si>
  <si>
    <t>SMKYY20190910</t>
    <phoneticPr fontId="14" type="noConversion"/>
  </si>
  <si>
    <t>SMA20190909-2</t>
    <phoneticPr fontId="14" type="noConversion"/>
  </si>
  <si>
    <t>SMA20190808-2</t>
    <phoneticPr fontId="14" type="noConversion"/>
  </si>
  <si>
    <t>HYZMCX20190906</t>
    <phoneticPr fontId="14" type="noConversion"/>
  </si>
  <si>
    <t>HYZMCX20190906</t>
    <phoneticPr fontId="10" type="noConversion"/>
  </si>
  <si>
    <t>SMA20190906-1</t>
    <phoneticPr fontId="14" type="noConversion"/>
  </si>
  <si>
    <t>SMA20190906-1</t>
    <phoneticPr fontId="10" type="noConversion"/>
  </si>
  <si>
    <t>SMKYY20190905</t>
    <phoneticPr fontId="14" type="noConversion"/>
  </si>
  <si>
    <t>SMKYY20190905</t>
    <phoneticPr fontId="10" type="noConversion"/>
  </si>
  <si>
    <t>锰球</t>
    <phoneticPr fontId="10" type="noConversion"/>
  </si>
  <si>
    <t>SMHSKJ20190813</t>
    <phoneticPr fontId="10" type="noConversion"/>
  </si>
  <si>
    <t>SMXG1909Ms1</t>
    <phoneticPr fontId="14" type="noConversion"/>
  </si>
  <si>
    <t>铁合金-现款</t>
    <phoneticPr fontId="10" type="noConversion"/>
  </si>
  <si>
    <t>SMXG1908Mb1</t>
    <phoneticPr fontId="14" type="noConversion"/>
  </si>
  <si>
    <t>SMXG1908Mb1</t>
    <phoneticPr fontId="10" type="noConversion"/>
  </si>
  <si>
    <t>SMXG1908Ms1</t>
    <phoneticPr fontId="10" type="noConversion"/>
  </si>
  <si>
    <t>SMHSKJ20190813</t>
    <phoneticPr fontId="14" type="noConversion"/>
  </si>
  <si>
    <t>SMHSKJ20190813</t>
    <phoneticPr fontId="14" type="noConversion"/>
  </si>
  <si>
    <t>SMKYY20190905</t>
    <phoneticPr fontId="14" type="noConversion"/>
  </si>
  <si>
    <t>SMA20190704-1</t>
    <phoneticPr fontId="14" type="noConversion"/>
  </si>
  <si>
    <t>SMA20190704-1</t>
    <phoneticPr fontId="10" type="noConversion"/>
  </si>
  <si>
    <t>SMA20190813-1</t>
    <phoneticPr fontId="10" type="noConversion"/>
  </si>
  <si>
    <t>SMA20190906-2</t>
    <phoneticPr fontId="14" type="noConversion"/>
  </si>
  <si>
    <t>SMA20190906-2</t>
    <phoneticPr fontId="10" type="noConversion"/>
  </si>
  <si>
    <t>锰片</t>
    <phoneticPr fontId="10" type="noConversion"/>
  </si>
  <si>
    <t>SMA20190906-2</t>
    <phoneticPr fontId="14" type="noConversion"/>
  </si>
  <si>
    <t>SMXG1909Mb1</t>
    <phoneticPr fontId="10" type="noConversion"/>
  </si>
  <si>
    <t>SMXG1909Mb1</t>
    <phoneticPr fontId="14" type="noConversion"/>
  </si>
  <si>
    <t>SMXG1908Ms1</t>
    <phoneticPr fontId="10" type="noConversion"/>
  </si>
  <si>
    <t>SMKYY20190910</t>
    <phoneticPr fontId="14" type="noConversion"/>
  </si>
  <si>
    <t>SMA20190909-2</t>
    <phoneticPr fontId="14" type="noConversion"/>
  </si>
  <si>
    <t>SMA20190909-1</t>
    <phoneticPr fontId="14" type="noConversion"/>
  </si>
  <si>
    <t>SMHSKJ20190906</t>
    <phoneticPr fontId="14" type="noConversion"/>
  </si>
  <si>
    <t>SMHSKJ20190813</t>
    <phoneticPr fontId="10" type="noConversion"/>
  </si>
  <si>
    <t>SMA20190813-1</t>
    <phoneticPr fontId="10" type="noConversion"/>
  </si>
  <si>
    <t>SMXG1909Mb1</t>
    <phoneticPr fontId="14" type="noConversion"/>
  </si>
  <si>
    <t>HYZMCX20190812</t>
    <phoneticPr fontId="14" type="noConversion"/>
  </si>
  <si>
    <t>SMA20190926-1</t>
    <phoneticPr fontId="14" type="noConversion"/>
  </si>
  <si>
    <t>现款价，11月5日前发货</t>
    <phoneticPr fontId="10" type="noConversion"/>
  </si>
  <si>
    <t>SMXG1909Ms1</t>
    <phoneticPr fontId="10" type="noConversion"/>
  </si>
  <si>
    <t>9月硅锰1</t>
    <phoneticPr fontId="10" type="noConversion"/>
  </si>
  <si>
    <t>SMXG1909Ms1</t>
    <phoneticPr fontId="14" type="noConversion"/>
  </si>
  <si>
    <t>SMXG1908Ms1</t>
    <phoneticPr fontId="10" type="noConversion"/>
  </si>
  <si>
    <t>SMXG1909Mb1</t>
    <phoneticPr fontId="10" type="noConversion"/>
  </si>
  <si>
    <t>SMKYY20190910</t>
    <phoneticPr fontId="10" type="noConversion"/>
  </si>
  <si>
    <t>SMA20190909-2</t>
    <phoneticPr fontId="10" type="noConversion"/>
  </si>
  <si>
    <t>SMXG1910Mb1</t>
    <phoneticPr fontId="14" type="noConversion"/>
  </si>
  <si>
    <t>SMXG1910Mb1</t>
    <phoneticPr fontId="14" type="noConversion"/>
  </si>
  <si>
    <t>SMA20190906-1</t>
    <phoneticPr fontId="14" type="noConversion"/>
  </si>
  <si>
    <t>硅锰</t>
    <phoneticPr fontId="14" type="noConversion"/>
  </si>
  <si>
    <t>SMA20190930-1</t>
    <phoneticPr fontId="14" type="noConversion"/>
  </si>
  <si>
    <t>现款价.合同签订10天内付款。供方负责送货到湘潭仓库，运费由供方承担</t>
    <phoneticPr fontId="10" type="noConversion"/>
  </si>
  <si>
    <t>SMA20190906-2</t>
    <phoneticPr fontId="14" type="noConversion"/>
  </si>
  <si>
    <t>SMA20190926-1</t>
    <phoneticPr fontId="10" type="noConversion"/>
  </si>
  <si>
    <t>SMXG1909Mb1</t>
    <phoneticPr fontId="14" type="noConversion"/>
  </si>
  <si>
    <t>SMA20190909-2</t>
    <phoneticPr fontId="10" type="noConversion"/>
  </si>
  <si>
    <t>SMXG1910Ms1</t>
    <phoneticPr fontId="14" type="noConversion"/>
  </si>
  <si>
    <t>SMA20191009-1</t>
    <phoneticPr fontId="14" type="noConversion"/>
  </si>
  <si>
    <t>承兑结算，按湘钢10月招标价（7200元/吨）减2%结算。</t>
    <phoneticPr fontId="10" type="noConversion"/>
  </si>
  <si>
    <t>HYZMCX20190906</t>
    <phoneticPr fontId="14" type="noConversion"/>
  </si>
  <si>
    <t>SMA20190906-1</t>
    <phoneticPr fontId="10" type="noConversion"/>
  </si>
  <si>
    <t>SMA20191009-1</t>
    <phoneticPr fontId="10" type="noConversion"/>
  </si>
  <si>
    <t>SMHSKJ20190906</t>
    <phoneticPr fontId="10" type="noConversion"/>
  </si>
  <si>
    <t>HYZMCX20191008</t>
  </si>
  <si>
    <t>HYZMCX20191008</t>
    <phoneticPr fontId="14" type="noConversion"/>
  </si>
  <si>
    <t>HYZMCX20191008</t>
    <phoneticPr fontId="10" type="noConversion"/>
  </si>
  <si>
    <t>SMA20190909-1</t>
    <phoneticPr fontId="14" type="noConversion"/>
  </si>
  <si>
    <t>SMXG1910Mb1</t>
    <phoneticPr fontId="14" type="noConversion"/>
  </si>
  <si>
    <t>SMXG1910Mb1</t>
    <phoneticPr fontId="10" type="noConversion"/>
  </si>
  <si>
    <t>SMKYY20190910</t>
    <phoneticPr fontId="14" type="noConversion"/>
  </si>
  <si>
    <t>SMA20190909-2</t>
    <phoneticPr fontId="14" type="noConversion"/>
  </si>
  <si>
    <t>SMA20190906-1</t>
    <phoneticPr fontId="14" type="noConversion"/>
  </si>
  <si>
    <t>HYZMCX20190906</t>
    <phoneticPr fontId="14" type="noConversion"/>
  </si>
  <si>
    <t>SMXG1909Ms1</t>
    <phoneticPr fontId="10" type="noConversion"/>
  </si>
  <si>
    <t>SMXG1910Mb1</t>
    <phoneticPr fontId="10" type="noConversion"/>
  </si>
  <si>
    <t>SMA20191009-1</t>
    <phoneticPr fontId="14" type="noConversion"/>
  </si>
  <si>
    <t>硅锰</t>
    <phoneticPr fontId="14" type="noConversion"/>
  </si>
  <si>
    <t>SMXG1910Ms1</t>
    <phoneticPr fontId="14" type="noConversion"/>
  </si>
  <si>
    <t>SMXG1911Mb1</t>
    <phoneticPr fontId="14" type="noConversion"/>
  </si>
  <si>
    <t>SMXG1911Mb1</t>
    <phoneticPr fontId="14" type="noConversion"/>
  </si>
  <si>
    <t>SMXG1910Ms1</t>
    <phoneticPr fontId="14" type="noConversion"/>
  </si>
  <si>
    <t>SMXG1910Mb1</t>
    <phoneticPr fontId="10" type="noConversion"/>
  </si>
  <si>
    <t>SMA20191009-1</t>
    <phoneticPr fontId="10" type="noConversion"/>
  </si>
  <si>
    <t>SMA20190909-1</t>
    <phoneticPr fontId="10" type="noConversion"/>
  </si>
  <si>
    <t>10月硅锰1</t>
    <phoneticPr fontId="10" type="noConversion"/>
  </si>
  <si>
    <t>SMXG1910Ms1</t>
    <phoneticPr fontId="10" type="noConversion"/>
  </si>
  <si>
    <t>SMXG1911Mb1</t>
    <phoneticPr fontId="10" type="noConversion"/>
  </si>
  <si>
    <t>工厂盘点315.1949吨，其中锰片311.1949吨，锰桃4吨。</t>
    <phoneticPr fontId="10" type="noConversion"/>
  </si>
  <si>
    <t>工厂盘点398.5849吨，其中锰片61.5849吨，锰桃337吨。相差325吨，华杉131.83吨未发，湘钢191.75未发。131.83+191.75=323.58吨</t>
    <phoneticPr fontId="10" type="noConversion"/>
  </si>
  <si>
    <t>SMA20191101-1</t>
    <phoneticPr fontId="14" type="noConversion"/>
  </si>
  <si>
    <t>HYZMCX20191108</t>
    <phoneticPr fontId="14" type="noConversion"/>
  </si>
  <si>
    <t>HYZMCX20191008</t>
    <phoneticPr fontId="10" type="noConversion"/>
  </si>
  <si>
    <t>锰片</t>
    <phoneticPr fontId="10" type="noConversion"/>
  </si>
  <si>
    <t>HYZMCX20191108</t>
    <phoneticPr fontId="10" type="noConversion"/>
  </si>
  <si>
    <t>SMXG1911Mb1</t>
    <phoneticPr fontId="14" type="noConversion"/>
  </si>
  <si>
    <t>SMHSKJ20190906</t>
    <phoneticPr fontId="10" type="noConversion"/>
  </si>
  <si>
    <t>SMA20191113-1</t>
    <phoneticPr fontId="14" type="noConversion"/>
  </si>
  <si>
    <t>SMA20191009-1</t>
    <phoneticPr fontId="14" type="noConversion"/>
  </si>
  <si>
    <t>SMA20191009-1</t>
    <phoneticPr fontId="10" type="noConversion"/>
  </si>
  <si>
    <t>硅锰</t>
    <phoneticPr fontId="10" type="noConversion"/>
  </si>
  <si>
    <t>SMA20191113-1</t>
    <phoneticPr fontId="10" type="noConversion"/>
  </si>
  <si>
    <t>HYZMCX20191108</t>
    <phoneticPr fontId="10" type="noConversion"/>
  </si>
  <si>
    <t>锰片</t>
    <phoneticPr fontId="10" type="noConversion"/>
  </si>
  <si>
    <t>SMA20190926-1</t>
    <phoneticPr fontId="14" type="noConversion"/>
  </si>
  <si>
    <t>承兑结算，按湘钢11月招标价（5930元/吨）减2%结算。</t>
    <phoneticPr fontId="10" type="noConversion"/>
  </si>
  <si>
    <t>SMA20191113-1</t>
    <phoneticPr fontId="14" type="noConversion"/>
  </si>
  <si>
    <t>SMXG1911Ms1</t>
    <phoneticPr fontId="14" type="noConversion"/>
  </si>
  <si>
    <t>SMXG1911Mb1</t>
    <phoneticPr fontId="10" type="noConversion"/>
  </si>
  <si>
    <t>锰球</t>
    <phoneticPr fontId="10" type="noConversion"/>
  </si>
  <si>
    <t>SMA20190909-1</t>
    <phoneticPr fontId="10" type="noConversion"/>
  </si>
  <si>
    <t>SMA20191101-1</t>
    <phoneticPr fontId="10" type="noConversion"/>
  </si>
  <si>
    <t>锰片</t>
    <phoneticPr fontId="10" type="noConversion"/>
  </si>
  <si>
    <t>SMA20190930-1</t>
    <phoneticPr fontId="14" type="noConversion"/>
  </si>
  <si>
    <t>SMA20190926-1</t>
    <phoneticPr fontId="14" type="noConversion"/>
  </si>
  <si>
    <t>HYZMCX20191008</t>
    <phoneticPr fontId="14" type="noConversion"/>
  </si>
  <si>
    <t>11月硅锰1</t>
    <phoneticPr fontId="10" type="noConversion"/>
  </si>
  <si>
    <t>SMXG1911Ms1</t>
    <phoneticPr fontId="10" type="noConversion"/>
  </si>
  <si>
    <t>SMXG1911Ms1</t>
    <phoneticPr fontId="14" type="noConversion"/>
  </si>
  <si>
    <t>SMA20191101-1</t>
    <phoneticPr fontId="14" type="noConversion"/>
  </si>
  <si>
    <t>HYZMCX20191209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</si>
</sst>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5">
    <numFmt numFmtId="43" formatCode="_ * #,##0.00_ ;_ * \-#,##0.00_ ;_ * &quot;-&quot;??_ ;_ @_ "/>
    <numFmt numFmtId="26" formatCode="\$#,##0.00_);[Red]\(\$#,##0.00\)"/>
    <numFmt numFmtId="176" formatCode="0.0000_);[Red]\(0.0000\)"/>
    <numFmt numFmtId="177" formatCode="0.00_);[Red]\(0.00\)"/>
    <numFmt numFmtId="178" formatCode="\$#,##0.00;\-\$#,##0.00"/>
    <numFmt numFmtId="179" formatCode="_ [$￥-804]* #,##0.00_ ;_ [$￥-804]* \-#,##0.00_ ;_ [$￥-804]* &quot;-&quot;??_ ;_ @_ "/>
    <numFmt numFmtId="180" formatCode="_ * #,##0.000_ ;_ * \-#,##0.000_ ;_ * &quot;-&quot;??_ ;_ @_ "/>
    <numFmt numFmtId="181" formatCode="#,##0.00_ "/>
    <numFmt numFmtId="182" formatCode="_-\$* #,##0.00_ ;_-\$* \-#,##0.00\ ;_-\$* &quot;-&quot;??_ ;_-@_ "/>
    <numFmt numFmtId="183" formatCode="#,##0.000_ "/>
    <numFmt numFmtId="184" formatCode="0.00_ "/>
    <numFmt numFmtId="185" formatCode="0.000_);[Red]\(0.000\)"/>
    <numFmt numFmtId="186" formatCode="_ * #,##0.0000_ ;_ * \-#,##0.0000_ ;_ * &quot;-&quot;????_ ;_ @_ "/>
    <numFmt numFmtId="187" formatCode="_ * #,##0.0000_ ;_ * \-#,##0.0000_ ;_ * &quot;-&quot;??_ ;_ @_ "/>
    <numFmt numFmtId="188" formatCode="_ &quot;￥&quot;* #,##0.00_ ;_ &quot;￥&quot;* \-#,##0.00_ ;_ &quot;￥&quot;* &quot;-&quot;??_ ;_ @_ "/>
  </numFmts>
  <fonts count="5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0"/>
      <color indexed="8"/>
      <name val="Arial Unicode MS"/>
      <family val="2"/>
      <charset val="134"/>
    </font>
    <font>
      <sz val="10"/>
      <name val="Arial Unicode MS"/>
      <family val="2"/>
      <charset val="134"/>
    </font>
    <font>
      <sz val="11"/>
      <name val="Arial Unicode MS"/>
      <family val="2"/>
      <charset val="134"/>
    </font>
    <font>
      <sz val="11"/>
      <color indexed="8"/>
      <name val="Arial Unicode MS"/>
      <family val="2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Arial Unicode MS"/>
      <family val="2"/>
      <charset val="134"/>
    </font>
    <font>
      <sz val="11"/>
      <color theme="1"/>
      <name val="宋体"/>
      <family val="2"/>
      <charset val="134"/>
      <scheme val="minor"/>
    </font>
    <font>
      <sz val="10"/>
      <color indexed="8"/>
      <name val="Arial Narrow"/>
      <family val="2"/>
    </font>
    <font>
      <sz val="9"/>
      <name val="宋体"/>
      <family val="3"/>
      <charset val="134"/>
    </font>
    <font>
      <sz val="11"/>
      <color theme="1"/>
      <name val="宋体"/>
      <family val="2"/>
      <charset val="134"/>
    </font>
    <font>
      <sz val="11"/>
      <color indexed="8"/>
      <name val="Arial Narrow"/>
      <family val="2"/>
    </font>
    <font>
      <sz val="11"/>
      <color theme="1"/>
      <name val="Arial Narrow"/>
      <family val="2"/>
    </font>
    <font>
      <sz val="11"/>
      <color indexed="8"/>
      <name val="Calibri"/>
      <family val="2"/>
    </font>
    <font>
      <sz val="10"/>
      <color theme="1"/>
      <name val="Arial Unicode MS"/>
      <family val="2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i/>
      <sz val="10"/>
      <name val="Arial Unicode MS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sz val="11"/>
      <name val="Arial Unicode MS"/>
      <family val="2"/>
      <charset val="134"/>
    </font>
    <font>
      <b/>
      <sz val="11"/>
      <color indexed="8"/>
      <name val="Arial Unicode MS"/>
      <family val="2"/>
      <charset val="134"/>
    </font>
    <font>
      <b/>
      <sz val="11"/>
      <color theme="1"/>
      <name val="Calibri"/>
      <family val="2"/>
    </font>
    <font>
      <b/>
      <sz val="10"/>
      <color indexed="8"/>
      <name val="Calibri"/>
      <family val="2"/>
    </font>
    <font>
      <b/>
      <sz val="10"/>
      <name val="Calibri"/>
      <family val="2"/>
    </font>
    <font>
      <b/>
      <sz val="11"/>
      <color indexed="8"/>
      <name val="Calibri"/>
      <family val="2"/>
    </font>
    <font>
      <b/>
      <sz val="10"/>
      <color indexed="8"/>
      <name val="Arial Unicode MS"/>
      <family val="2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0"/>
      <color rgb="FFFF0000"/>
      <name val="Arial Unicode MS"/>
      <family val="2"/>
      <charset val="134"/>
    </font>
    <font>
      <sz val="11"/>
      <name val="Calibri"/>
      <family val="2"/>
    </font>
    <font>
      <sz val="10"/>
      <color rgb="FFFF0000"/>
      <name val="Arial Narrow"/>
      <family val="2"/>
    </font>
    <font>
      <sz val="11"/>
      <color rgb="FFFF0000"/>
      <name val="Calibri"/>
      <family val="2"/>
    </font>
    <font>
      <sz val="10"/>
      <name val="Arial Narrow"/>
      <family val="2"/>
    </font>
    <font>
      <sz val="11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0"/>
      <color rgb="FFFF0000"/>
      <name val="Arial Unicode MS"/>
      <family val="2"/>
      <charset val="134"/>
    </font>
    <font>
      <b/>
      <sz val="10"/>
      <color rgb="FFFF0000"/>
      <name val="宋体"/>
      <family val="3"/>
      <charset val="134"/>
    </font>
    <font>
      <sz val="11"/>
      <color theme="1"/>
      <name val="华文宋体"/>
      <family val="3"/>
      <charset val="134"/>
    </font>
    <font>
      <sz val="9"/>
      <name val="宋体"/>
      <family val="3"/>
      <charset val="134"/>
    </font>
    <font>
      <sz val="6"/>
      <name val="ＭＳ Ｐゴシック"/>
      <family val="3"/>
      <charset val="128"/>
    </font>
    <font>
      <sz val="10"/>
      <color theme="0" tint="-0.499984740745262"/>
      <name val="Arial Unicode MS"/>
      <family val="2"/>
      <charset val="134"/>
    </font>
    <font>
      <sz val="11"/>
      <color theme="0" tint="-0.499984740745262"/>
      <name val="Arial Unicode MS"/>
      <family val="2"/>
      <charset val="134"/>
    </font>
    <font>
      <sz val="11"/>
      <color theme="0" tint="-0.499984740745262"/>
      <name val="宋体"/>
      <family val="2"/>
      <charset val="134"/>
      <scheme val="minor"/>
    </font>
    <font>
      <u/>
      <sz val="10"/>
      <color indexed="12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0"/>
      <name val="宋体"/>
      <family val="3"/>
      <charset val="134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7">
    <xf numFmtId="179" fontId="0" fillId="0" borderId="0">
      <alignment vertical="center"/>
    </xf>
    <xf numFmtId="179" fontId="1" fillId="0" borderId="0">
      <alignment vertical="center"/>
    </xf>
    <xf numFmtId="43" fontId="8" fillId="0" borderId="0" applyFont="0" applyFill="0" applyBorder="0" applyAlignment="0" applyProtection="0"/>
    <xf numFmtId="179" fontId="9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179" fontId="9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9" fontId="9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9" fontId="9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9" fontId="9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179" fontId="9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9" fontId="9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9" fontId="9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9" fontId="9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9" fontId="9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9" fontId="9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9" fontId="9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9" fontId="9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9" fontId="9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9" fontId="9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9" fontId="9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9" fontId="9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9" fontId="9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9" fontId="9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9" fontId="9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9" fontId="9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9" fontId="9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9" fontId="9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9" fontId="9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9" fontId="9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9" fontId="9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9" fontId="9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9" fontId="9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9" fontId="9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9" fontId="9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9" fontId="9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9" fontId="9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179" fontId="9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9" fontId="9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9" fontId="9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9" fontId="9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9" fontId="9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9" fontId="9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9" fontId="9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9" fontId="9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9" fontId="9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9" fontId="9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179" fontId="9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179" fontId="9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9" fontId="9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9" fontId="9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9" fontId="9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179" fontId="9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9" fontId="9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179" fontId="9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179" fontId="9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9" fontId="9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9" fontId="9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9" fontId="9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9" fontId="9" fillId="0" borderId="0">
      <alignment vertical="center"/>
    </xf>
    <xf numFmtId="179" fontId="3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9" fontId="9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179" fontId="9" fillId="0" borderId="0">
      <alignment vertical="center"/>
    </xf>
    <xf numFmtId="179" fontId="3" fillId="0" borderId="0">
      <alignment vertical="center"/>
    </xf>
    <xf numFmtId="179" fontId="9" fillId="0" borderId="0">
      <alignment vertical="center"/>
    </xf>
    <xf numFmtId="179" fontId="9" fillId="0" borderId="0">
      <alignment vertical="center"/>
    </xf>
    <xf numFmtId="179" fontId="3" fillId="0" borderId="0">
      <alignment vertical="center"/>
    </xf>
    <xf numFmtId="179" fontId="9" fillId="0" borderId="0">
      <alignment vertical="center"/>
    </xf>
    <xf numFmtId="179" fontId="3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9" fontId="9" fillId="0" borderId="0">
      <alignment vertical="center"/>
    </xf>
    <xf numFmtId="179" fontId="9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9" fontId="3" fillId="0" borderId="0">
      <alignment vertical="center"/>
    </xf>
    <xf numFmtId="179" fontId="9" fillId="0" borderId="0">
      <alignment vertical="center"/>
    </xf>
    <xf numFmtId="179" fontId="9" fillId="0" borderId="0">
      <alignment vertical="center"/>
    </xf>
    <xf numFmtId="179" fontId="3" fillId="0" borderId="0">
      <alignment vertical="center"/>
    </xf>
    <xf numFmtId="179" fontId="1" fillId="0" borderId="0">
      <alignment vertical="center"/>
    </xf>
    <xf numFmtId="179" fontId="3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9" fontId="1" fillId="0" borderId="0">
      <alignment vertical="center"/>
    </xf>
    <xf numFmtId="179" fontId="3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179" fontId="3" fillId="0" borderId="0">
      <alignment vertical="center"/>
    </xf>
    <xf numFmtId="179" fontId="1" fillId="0" borderId="0">
      <alignment vertical="center"/>
    </xf>
    <xf numFmtId="179" fontId="9" fillId="0" borderId="0">
      <alignment vertical="center"/>
    </xf>
    <xf numFmtId="179" fontId="3" fillId="0" borderId="0">
      <alignment vertical="center"/>
    </xf>
    <xf numFmtId="179" fontId="1" fillId="0" borderId="0">
      <alignment vertical="center"/>
    </xf>
    <xf numFmtId="179" fontId="3" fillId="0" borderId="0">
      <alignment vertical="center"/>
    </xf>
    <xf numFmtId="179" fontId="9" fillId="0" borderId="0">
      <alignment vertical="center"/>
    </xf>
    <xf numFmtId="179" fontId="3" fillId="0" borderId="0">
      <alignment vertical="center"/>
    </xf>
    <xf numFmtId="179" fontId="9" fillId="0" borderId="0">
      <alignment vertical="center"/>
    </xf>
    <xf numFmtId="179" fontId="3" fillId="0" borderId="0">
      <alignment vertical="center"/>
    </xf>
    <xf numFmtId="179" fontId="9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9" fontId="9" fillId="0" borderId="0">
      <alignment vertical="center"/>
    </xf>
    <xf numFmtId="179" fontId="3" fillId="0" borderId="0">
      <alignment vertical="center"/>
    </xf>
    <xf numFmtId="179" fontId="9" fillId="0" borderId="0">
      <alignment vertical="center"/>
    </xf>
    <xf numFmtId="179" fontId="9" fillId="0" borderId="0">
      <alignment vertical="center"/>
    </xf>
    <xf numFmtId="179" fontId="3" fillId="0" borderId="0">
      <alignment vertical="center"/>
    </xf>
    <xf numFmtId="179" fontId="9" fillId="0" borderId="0">
      <alignment vertical="center"/>
    </xf>
    <xf numFmtId="179" fontId="3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2" fillId="20" borderId="0" applyNumberFormat="0" applyBorder="0" applyAlignment="0" applyProtection="0">
      <alignment vertical="center"/>
    </xf>
    <xf numFmtId="188" fontId="3" fillId="0" borderId="0" applyFont="0" applyFill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0" borderId="0">
      <alignment vertical="center"/>
    </xf>
  </cellStyleXfs>
  <cellXfs count="569">
    <xf numFmtId="179" fontId="0" fillId="0" borderId="0" xfId="0">
      <alignment vertical="center"/>
    </xf>
    <xf numFmtId="43" fontId="4" fillId="2" borderId="0" xfId="6" applyFont="1" applyFill="1">
      <alignment vertical="center"/>
    </xf>
    <xf numFmtId="43" fontId="5" fillId="2" borderId="0" xfId="6" applyFont="1" applyFill="1">
      <alignment vertical="center"/>
    </xf>
    <xf numFmtId="176" fontId="4" fillId="2" borderId="0" xfId="6" applyNumberFormat="1" applyFont="1" applyFill="1">
      <alignment vertical="center"/>
    </xf>
    <xf numFmtId="14" fontId="7" fillId="2" borderId="0" xfId="6" applyNumberFormat="1" applyFont="1" applyFill="1" applyAlignment="1">
      <alignment horizontal="center" vertical="center"/>
    </xf>
    <xf numFmtId="179" fontId="6" fillId="2" borderId="0" xfId="1" applyFont="1" applyFill="1">
      <alignment vertical="center"/>
    </xf>
    <xf numFmtId="179" fontId="5" fillId="2" borderId="1" xfId="1" applyFont="1" applyFill="1" applyBorder="1">
      <alignment vertical="center"/>
    </xf>
    <xf numFmtId="14" fontId="5" fillId="2" borderId="1" xfId="1" applyNumberFormat="1" applyFont="1" applyFill="1" applyBorder="1">
      <alignment vertical="center"/>
    </xf>
    <xf numFmtId="14" fontId="4" fillId="2" borderId="1" xfId="1" applyNumberFormat="1" applyFont="1" applyFill="1" applyBorder="1">
      <alignment vertical="center"/>
    </xf>
    <xf numFmtId="176" fontId="5" fillId="2" borderId="1" xfId="1" applyNumberFormat="1" applyFont="1" applyFill="1" applyBorder="1">
      <alignment vertical="center"/>
    </xf>
    <xf numFmtId="177" fontId="5" fillId="2" borderId="1" xfId="1" applyNumberFormat="1" applyFont="1" applyFill="1" applyBorder="1">
      <alignment vertical="center"/>
    </xf>
    <xf numFmtId="43" fontId="5" fillId="2" borderId="1" xfId="6" applyFont="1" applyFill="1" applyBorder="1">
      <alignment vertical="center"/>
    </xf>
    <xf numFmtId="179" fontId="5" fillId="2" borderId="1" xfId="1" applyFont="1" applyFill="1" applyBorder="1" applyAlignment="1">
      <alignment vertical="center" wrapText="1"/>
    </xf>
    <xf numFmtId="179" fontId="5" fillId="2" borderId="1" xfId="1" applyFont="1" applyFill="1" applyBorder="1" applyAlignment="1">
      <alignment horizontal="left" vertical="center"/>
    </xf>
    <xf numFmtId="43" fontId="4" fillId="3" borderId="1" xfId="159" applyFont="1" applyFill="1" applyBorder="1">
      <alignment vertical="center"/>
    </xf>
    <xf numFmtId="179" fontId="4" fillId="3" borderId="1" xfId="157" applyFont="1" applyFill="1" applyBorder="1">
      <alignment vertical="center"/>
    </xf>
    <xf numFmtId="179" fontId="4" fillId="0" borderId="0" xfId="165" applyFont="1">
      <alignment vertical="center"/>
    </xf>
    <xf numFmtId="179" fontId="4" fillId="2" borderId="0" xfId="0" applyFont="1" applyFill="1">
      <alignment vertical="center"/>
    </xf>
    <xf numFmtId="179" fontId="5" fillId="2" borderId="0" xfId="1" applyFont="1" applyFill="1">
      <alignment vertical="center"/>
    </xf>
    <xf numFmtId="179" fontId="5" fillId="0" borderId="0" xfId="0" applyFont="1">
      <alignment vertical="center"/>
    </xf>
    <xf numFmtId="14" fontId="5" fillId="0" borderId="0" xfId="0" applyNumberFormat="1" applyFont="1">
      <alignment vertical="center"/>
    </xf>
    <xf numFmtId="180" fontId="5" fillId="0" borderId="0" xfId="17" applyNumberFormat="1" applyFont="1" applyAlignment="1">
      <alignment horizontal="center" vertical="center"/>
    </xf>
    <xf numFmtId="179" fontId="4" fillId="2" borderId="0" xfId="0" applyFont="1" applyFill="1" applyAlignment="1">
      <alignment horizontal="left" vertical="center"/>
    </xf>
    <xf numFmtId="179" fontId="4" fillId="3" borderId="0" xfId="0" applyFont="1" applyFill="1">
      <alignment vertical="center"/>
    </xf>
    <xf numFmtId="179" fontId="17" fillId="0" borderId="0" xfId="0" applyFont="1">
      <alignment vertical="center"/>
    </xf>
    <xf numFmtId="43" fontId="17" fillId="0" borderId="0" xfId="185" applyFont="1">
      <alignment vertical="center"/>
    </xf>
    <xf numFmtId="179" fontId="16" fillId="3" borderId="0" xfId="0" applyFont="1" applyFill="1" applyAlignment="1">
      <alignment horizontal="left" vertical="center"/>
    </xf>
    <xf numFmtId="179" fontId="16" fillId="3" borderId="0" xfId="0" applyFont="1" applyFill="1">
      <alignment vertical="center"/>
    </xf>
    <xf numFmtId="14" fontId="16" fillId="3" borderId="0" xfId="0" applyNumberFormat="1" applyFont="1" applyFill="1">
      <alignment vertical="center"/>
    </xf>
    <xf numFmtId="176" fontId="16" fillId="3" borderId="0" xfId="0" applyNumberFormat="1" applyFont="1" applyFill="1">
      <alignment vertical="center"/>
    </xf>
    <xf numFmtId="43" fontId="16" fillId="3" borderId="0" xfId="185" applyFont="1" applyFill="1">
      <alignment vertical="center"/>
    </xf>
    <xf numFmtId="181" fontId="16" fillId="3" borderId="0" xfId="0" applyNumberFormat="1" applyFont="1" applyFill="1">
      <alignment vertical="center"/>
    </xf>
    <xf numFmtId="179" fontId="5" fillId="2" borderId="0" xfId="0" applyFont="1" applyFill="1">
      <alignment vertical="center"/>
    </xf>
    <xf numFmtId="179" fontId="4" fillId="0" borderId="0" xfId="0" applyFont="1">
      <alignment vertical="center"/>
    </xf>
    <xf numFmtId="14" fontId="13" fillId="2" borderId="0" xfId="0" applyNumberFormat="1" applyFont="1" applyFill="1">
      <alignment vertical="center"/>
    </xf>
    <xf numFmtId="176" fontId="18" fillId="0" borderId="0" xfId="0" applyNumberFormat="1" applyFont="1">
      <alignment vertical="center"/>
    </xf>
    <xf numFmtId="181" fontId="18" fillId="0" borderId="0" xfId="0" applyNumberFormat="1" applyFont="1">
      <alignment vertical="center"/>
    </xf>
    <xf numFmtId="179" fontId="2" fillId="0" borderId="0" xfId="0" applyFont="1">
      <alignment vertical="center"/>
    </xf>
    <xf numFmtId="179" fontId="18" fillId="0" borderId="0" xfId="0" applyFont="1">
      <alignment vertical="center"/>
    </xf>
    <xf numFmtId="179" fontId="4" fillId="3" borderId="0" xfId="0" applyFont="1" applyFill="1" applyAlignment="1">
      <alignment horizontal="left" vertical="center"/>
    </xf>
    <xf numFmtId="58" fontId="4" fillId="3" borderId="0" xfId="0" applyNumberFormat="1" applyFont="1" applyFill="1">
      <alignment vertical="center"/>
    </xf>
    <xf numFmtId="26" fontId="4" fillId="3" borderId="0" xfId="0" applyNumberFormat="1" applyFont="1" applyFill="1">
      <alignment vertical="center"/>
    </xf>
    <xf numFmtId="179" fontId="5" fillId="2" borderId="0" xfId="1" applyFont="1" applyFill="1" applyAlignment="1">
      <alignment horizontal="left" vertical="center"/>
    </xf>
    <xf numFmtId="58" fontId="19" fillId="0" borderId="0" xfId="0" applyNumberFormat="1" applyFont="1">
      <alignment vertical="center"/>
    </xf>
    <xf numFmtId="43" fontId="19" fillId="0" borderId="0" xfId="185" applyFont="1">
      <alignment vertical="center"/>
    </xf>
    <xf numFmtId="179" fontId="19" fillId="0" borderId="0" xfId="0" applyFont="1">
      <alignment vertical="center"/>
    </xf>
    <xf numFmtId="14" fontId="5" fillId="2" borderId="0" xfId="0" applyNumberFormat="1" applyFont="1" applyFill="1">
      <alignment vertical="center"/>
    </xf>
    <xf numFmtId="180" fontId="5" fillId="2" borderId="0" xfId="17" applyNumberFormat="1" applyFont="1" applyFill="1" applyAlignment="1">
      <alignment horizontal="center" vertical="center"/>
    </xf>
    <xf numFmtId="179" fontId="21" fillId="2" borderId="0" xfId="0" applyFont="1" applyFill="1">
      <alignment vertical="center"/>
    </xf>
    <xf numFmtId="179" fontId="4" fillId="2" borderId="0" xfId="165" applyFont="1" applyFill="1" applyAlignment="1">
      <alignment horizontal="left" vertical="center"/>
    </xf>
    <xf numFmtId="180" fontId="5" fillId="5" borderId="0" xfId="17" applyNumberFormat="1" applyFont="1" applyFill="1" applyAlignment="1">
      <alignment horizontal="center" vertical="center"/>
    </xf>
    <xf numFmtId="179" fontId="4" fillId="2" borderId="1" xfId="0" applyFont="1" applyFill="1" applyBorder="1" applyAlignment="1">
      <alignment horizontal="left" vertical="center"/>
    </xf>
    <xf numFmtId="179" fontId="4" fillId="0" borderId="1" xfId="0" applyFont="1" applyBorder="1">
      <alignment vertical="center"/>
    </xf>
    <xf numFmtId="179" fontId="4" fillId="0" borderId="1" xfId="165" applyFont="1" applyBorder="1">
      <alignment vertical="center"/>
    </xf>
    <xf numFmtId="179" fontId="4" fillId="2" borderId="1" xfId="165" applyFont="1" applyFill="1" applyBorder="1" applyAlignment="1">
      <alignment horizontal="left" vertical="center"/>
    </xf>
    <xf numFmtId="179" fontId="0" fillId="0" borderId="1" xfId="0" applyBorder="1">
      <alignment vertical="center"/>
    </xf>
    <xf numFmtId="179" fontId="0" fillId="2" borderId="0" xfId="0" applyFill="1">
      <alignment vertical="center"/>
    </xf>
    <xf numFmtId="179" fontId="4" fillId="2" borderId="1" xfId="165" applyFont="1" applyFill="1" applyBorder="1">
      <alignment vertical="center"/>
    </xf>
    <xf numFmtId="176" fontId="4" fillId="2" borderId="1" xfId="17" applyNumberFormat="1" applyFont="1" applyFill="1" applyBorder="1" applyAlignment="1">
      <alignment horizontal="right" vertical="center"/>
    </xf>
    <xf numFmtId="179" fontId="4" fillId="2" borderId="1" xfId="0" applyFont="1" applyFill="1" applyBorder="1">
      <alignment vertical="center"/>
    </xf>
    <xf numFmtId="176" fontId="4" fillId="0" borderId="1" xfId="17" applyNumberFormat="1" applyFont="1" applyBorder="1" applyAlignment="1">
      <alignment horizontal="right" vertical="center"/>
    </xf>
    <xf numFmtId="179" fontId="4" fillId="2" borderId="1" xfId="157" applyFont="1" applyFill="1" applyBorder="1">
      <alignment vertical="center"/>
    </xf>
    <xf numFmtId="43" fontId="4" fillId="2" borderId="1" xfId="159" applyFont="1" applyFill="1" applyBorder="1">
      <alignment vertical="center"/>
    </xf>
    <xf numFmtId="179" fontId="5" fillId="4" borderId="1" xfId="1" applyFont="1" applyFill="1" applyBorder="1">
      <alignment vertical="center"/>
    </xf>
    <xf numFmtId="14" fontId="5" fillId="4" borderId="1" xfId="1" applyNumberFormat="1" applyFont="1" applyFill="1" applyBorder="1">
      <alignment vertical="center"/>
    </xf>
    <xf numFmtId="176" fontId="5" fillId="4" borderId="1" xfId="1" applyNumberFormat="1" applyFont="1" applyFill="1" applyBorder="1">
      <alignment vertical="center"/>
    </xf>
    <xf numFmtId="179" fontId="4" fillId="4" borderId="1" xfId="157" applyFont="1" applyFill="1" applyBorder="1">
      <alignment vertical="center"/>
    </xf>
    <xf numFmtId="43" fontId="4" fillId="4" borderId="1" xfId="159" applyFont="1" applyFill="1" applyBorder="1">
      <alignment vertical="center"/>
    </xf>
    <xf numFmtId="176" fontId="18" fillId="2" borderId="0" xfId="0" applyNumberFormat="1" applyFont="1" applyFill="1">
      <alignment vertical="center"/>
    </xf>
    <xf numFmtId="181" fontId="18" fillId="2" borderId="0" xfId="0" applyNumberFormat="1" applyFont="1" applyFill="1">
      <alignment vertical="center"/>
    </xf>
    <xf numFmtId="181" fontId="18" fillId="4" borderId="0" xfId="0" applyNumberFormat="1" applyFont="1" applyFill="1">
      <alignment vertical="center"/>
    </xf>
    <xf numFmtId="179" fontId="6" fillId="2" borderId="1" xfId="0" applyFont="1" applyFill="1" applyBorder="1" applyAlignment="1">
      <alignment vertical="center" wrapText="1"/>
    </xf>
    <xf numFmtId="179" fontId="6" fillId="6" borderId="1" xfId="0" applyFont="1" applyFill="1" applyBorder="1" applyAlignment="1">
      <alignment vertical="center" wrapText="1"/>
    </xf>
    <xf numFmtId="183" fontId="6" fillId="6" borderId="1" xfId="0" applyNumberFormat="1" applyFont="1" applyFill="1" applyBorder="1" applyAlignment="1">
      <alignment vertical="center" wrapText="1"/>
    </xf>
    <xf numFmtId="43" fontId="6" fillId="6" borderId="1" xfId="8" applyFont="1" applyFill="1" applyBorder="1" applyAlignment="1">
      <alignment vertical="center" wrapText="1"/>
    </xf>
    <xf numFmtId="179" fontId="7" fillId="0" borderId="1" xfId="0" applyFont="1" applyBorder="1">
      <alignment vertical="center"/>
    </xf>
    <xf numFmtId="179" fontId="7" fillId="0" borderId="0" xfId="0" applyFont="1">
      <alignment vertical="center"/>
    </xf>
    <xf numFmtId="58" fontId="7" fillId="6" borderId="1" xfId="0" applyNumberFormat="1" applyFont="1" applyFill="1" applyBorder="1">
      <alignment vertical="center"/>
    </xf>
    <xf numFmtId="58" fontId="7" fillId="0" borderId="1" xfId="0" applyNumberFormat="1" applyFont="1" applyBorder="1">
      <alignment vertical="center"/>
    </xf>
    <xf numFmtId="179" fontId="6" fillId="6" borderId="1" xfId="0" applyFont="1" applyFill="1" applyBorder="1">
      <alignment vertical="center"/>
    </xf>
    <xf numFmtId="183" fontId="6" fillId="6" borderId="1" xfId="0" applyNumberFormat="1" applyFont="1" applyFill="1" applyBorder="1">
      <alignment vertical="center"/>
    </xf>
    <xf numFmtId="43" fontId="7" fillId="0" borderId="1" xfId="8" applyFont="1" applyBorder="1">
      <alignment vertical="center"/>
    </xf>
    <xf numFmtId="43" fontId="28" fillId="0" borderId="1" xfId="8" applyFont="1" applyBorder="1">
      <alignment vertical="center"/>
    </xf>
    <xf numFmtId="179" fontId="7" fillId="6" borderId="1" xfId="0" applyFont="1" applyFill="1" applyBorder="1">
      <alignment vertical="center"/>
    </xf>
    <xf numFmtId="184" fontId="7" fillId="0" borderId="1" xfId="0" applyNumberFormat="1" applyFont="1" applyBorder="1">
      <alignment vertical="center"/>
    </xf>
    <xf numFmtId="43" fontId="7" fillId="6" borderId="1" xfId="8" applyFont="1" applyFill="1" applyBorder="1">
      <alignment vertical="center"/>
    </xf>
    <xf numFmtId="179" fontId="7" fillId="0" borderId="1" xfId="0" applyFont="1" applyBorder="1" applyAlignment="1">
      <alignment horizontal="center" vertical="center"/>
    </xf>
    <xf numFmtId="26" fontId="5" fillId="2" borderId="1" xfId="1" applyNumberFormat="1" applyFont="1" applyFill="1" applyBorder="1">
      <alignment vertical="center"/>
    </xf>
    <xf numFmtId="26" fontId="5" fillId="2" borderId="1" xfId="6" applyNumberFormat="1" applyFont="1" applyFill="1" applyBorder="1">
      <alignment vertical="center"/>
    </xf>
    <xf numFmtId="43" fontId="24" fillId="0" borderId="1" xfId="185" applyFont="1" applyBorder="1">
      <alignment vertical="center"/>
    </xf>
    <xf numFmtId="43" fontId="5" fillId="2" borderId="0" xfId="185" applyFont="1" applyFill="1">
      <alignment vertical="center"/>
    </xf>
    <xf numFmtId="26" fontId="5" fillId="2" borderId="0" xfId="6" applyNumberFormat="1" applyFont="1" applyFill="1">
      <alignment vertical="center"/>
    </xf>
    <xf numFmtId="179" fontId="4" fillId="3" borderId="1" xfId="168" applyFont="1" applyFill="1" applyBorder="1" applyAlignment="1">
      <alignment horizontal="left" vertical="center" shrinkToFit="1"/>
    </xf>
    <xf numFmtId="179" fontId="4" fillId="3" borderId="1" xfId="168" applyFont="1" applyFill="1" applyBorder="1" applyAlignment="1">
      <alignment horizontal="center" vertical="center" shrinkToFit="1"/>
    </xf>
    <xf numFmtId="176" fontId="4" fillId="3" borderId="1" xfId="162" applyNumberFormat="1" applyFont="1" applyFill="1" applyBorder="1" applyAlignment="1">
      <alignment horizontal="center" vertical="center" shrinkToFit="1"/>
    </xf>
    <xf numFmtId="43" fontId="4" fillId="3" borderId="1" xfId="162" applyFont="1" applyFill="1" applyBorder="1" applyAlignment="1">
      <alignment horizontal="center" vertical="center" shrinkToFit="1"/>
    </xf>
    <xf numFmtId="178" fontId="4" fillId="3" borderId="0" xfId="162" applyNumberFormat="1" applyFont="1" applyFill="1" applyAlignment="1">
      <alignment horizontal="right" vertical="center" shrinkToFit="1"/>
    </xf>
    <xf numFmtId="43" fontId="4" fillId="3" borderId="0" xfId="162" applyFont="1" applyFill="1" applyAlignment="1">
      <alignment vertical="center" shrinkToFit="1"/>
    </xf>
    <xf numFmtId="179" fontId="4" fillId="3" borderId="0" xfId="168" applyFont="1" applyFill="1" applyAlignment="1">
      <alignment horizontal="center" vertical="center" shrinkToFit="1"/>
    </xf>
    <xf numFmtId="14" fontId="4" fillId="3" borderId="0" xfId="168" applyNumberFormat="1" applyFont="1" applyFill="1" applyAlignment="1">
      <alignment horizontal="center" vertical="center" shrinkToFit="1"/>
    </xf>
    <xf numFmtId="179" fontId="0" fillId="3" borderId="0" xfId="0" applyFill="1" applyAlignment="1">
      <alignment vertical="center" shrinkToFit="1"/>
    </xf>
    <xf numFmtId="179" fontId="0" fillId="0" borderId="0" xfId="0" applyAlignment="1">
      <alignment vertical="center" shrinkToFit="1"/>
    </xf>
    <xf numFmtId="179" fontId="4" fillId="2" borderId="1" xfId="0" applyFont="1" applyFill="1" applyBorder="1" applyAlignment="1">
      <alignment horizontal="left" vertical="center" shrinkToFit="1"/>
    </xf>
    <xf numFmtId="179" fontId="4" fillId="0" borderId="1" xfId="0" applyFont="1" applyBorder="1" applyAlignment="1">
      <alignment vertical="center" shrinkToFit="1"/>
    </xf>
    <xf numFmtId="176" fontId="4" fillId="0" borderId="1" xfId="17" applyNumberFormat="1" applyFont="1" applyBorder="1" applyAlignment="1">
      <alignment horizontal="right" vertical="center" shrinkToFit="1"/>
    </xf>
    <xf numFmtId="43" fontId="4" fillId="0" borderId="1" xfId="17" applyFont="1" applyBorder="1" applyAlignment="1">
      <alignment horizontal="right" vertical="center" shrinkToFit="1"/>
    </xf>
    <xf numFmtId="176" fontId="4" fillId="0" borderId="1" xfId="163" applyNumberFormat="1" applyFont="1" applyBorder="1" applyAlignment="1">
      <alignment horizontal="right" vertical="center" shrinkToFit="1"/>
    </xf>
    <xf numFmtId="176" fontId="4" fillId="2" borderId="1" xfId="17" applyNumberFormat="1" applyFont="1" applyFill="1" applyBorder="1" applyAlignment="1">
      <alignment horizontal="right" vertical="center" shrinkToFit="1"/>
    </xf>
    <xf numFmtId="43" fontId="4" fillId="2" borderId="1" xfId="163" applyFont="1" applyFill="1" applyBorder="1" applyAlignment="1">
      <alignment vertical="center" shrinkToFit="1"/>
    </xf>
    <xf numFmtId="43" fontId="4" fillId="2" borderId="1" xfId="17" applyFont="1" applyFill="1" applyBorder="1" applyAlignment="1">
      <alignment vertical="center" shrinkToFit="1"/>
    </xf>
    <xf numFmtId="43" fontId="4" fillId="0" borderId="1" xfId="17" applyFont="1" applyBorder="1" applyAlignment="1">
      <alignment vertical="center" shrinkToFit="1"/>
    </xf>
    <xf numFmtId="43" fontId="4" fillId="0" borderId="0" xfId="17" applyFont="1" applyAlignment="1">
      <alignment vertical="center" shrinkToFit="1"/>
    </xf>
    <xf numFmtId="179" fontId="4" fillId="0" borderId="0" xfId="0" applyFont="1" applyAlignment="1">
      <alignment vertical="center" shrinkToFit="1"/>
    </xf>
    <xf numFmtId="14" fontId="4" fillId="0" borderId="0" xfId="0" applyNumberFormat="1" applyFont="1" applyAlignment="1">
      <alignment vertical="center" shrinkToFit="1"/>
    </xf>
    <xf numFmtId="179" fontId="4" fillId="2" borderId="1" xfId="0" applyFont="1" applyFill="1" applyBorder="1" applyAlignment="1">
      <alignment vertical="center" shrinkToFit="1"/>
    </xf>
    <xf numFmtId="58" fontId="4" fillId="2" borderId="1" xfId="0" applyNumberFormat="1" applyFont="1" applyFill="1" applyBorder="1" applyAlignment="1">
      <alignment horizontal="left" vertical="center" shrinkToFit="1"/>
    </xf>
    <xf numFmtId="43" fontId="4" fillId="2" borderId="1" xfId="17" applyFont="1" applyFill="1" applyBorder="1" applyAlignment="1">
      <alignment horizontal="right" vertical="center" shrinkToFit="1"/>
    </xf>
    <xf numFmtId="179" fontId="4" fillId="0" borderId="1" xfId="0" applyFont="1" applyBorder="1" applyAlignment="1">
      <alignment horizontal="right" vertical="center" shrinkToFit="1"/>
    </xf>
    <xf numFmtId="179" fontId="4" fillId="0" borderId="1" xfId="165" applyFont="1" applyBorder="1" applyAlignment="1">
      <alignment vertical="center" shrinkToFit="1"/>
    </xf>
    <xf numFmtId="182" fontId="4" fillId="2" borderId="1" xfId="0" applyNumberFormat="1" applyFont="1" applyFill="1" applyBorder="1" applyAlignment="1">
      <alignment horizontal="right" vertical="center" shrinkToFit="1"/>
    </xf>
    <xf numFmtId="179" fontId="4" fillId="4" borderId="1" xfId="165" applyFont="1" applyFill="1" applyBorder="1" applyAlignment="1">
      <alignment horizontal="left" vertical="center" shrinkToFit="1"/>
    </xf>
    <xf numFmtId="179" fontId="4" fillId="2" borderId="1" xfId="165" applyFont="1" applyFill="1" applyBorder="1" applyAlignment="1">
      <alignment vertical="center" shrinkToFit="1"/>
    </xf>
    <xf numFmtId="179" fontId="4" fillId="2" borderId="1" xfId="165" applyFont="1" applyFill="1" applyBorder="1" applyAlignment="1">
      <alignment horizontal="right" vertical="center" shrinkToFit="1"/>
    </xf>
    <xf numFmtId="179" fontId="1" fillId="0" borderId="0" xfId="165" applyAlignment="1">
      <alignment vertical="center" shrinkToFit="1"/>
    </xf>
    <xf numFmtId="179" fontId="4" fillId="4" borderId="1" xfId="0" applyFont="1" applyFill="1" applyBorder="1" applyAlignment="1">
      <alignment horizontal="left" vertical="center" shrinkToFit="1"/>
    </xf>
    <xf numFmtId="179" fontId="0" fillId="4" borderId="0" xfId="0" applyFill="1" applyAlignment="1">
      <alignment vertical="center" shrinkToFit="1"/>
    </xf>
    <xf numFmtId="176" fontId="4" fillId="2" borderId="1" xfId="163" applyNumberFormat="1" applyFont="1" applyFill="1" applyBorder="1" applyAlignment="1">
      <alignment horizontal="right" vertical="center" shrinkToFit="1"/>
    </xf>
    <xf numFmtId="179" fontId="0" fillId="2" borderId="0" xfId="0" applyFill="1" applyAlignment="1">
      <alignment vertical="center" shrinkToFit="1"/>
    </xf>
    <xf numFmtId="179" fontId="4" fillId="0" borderId="1" xfId="165" applyFont="1" applyBorder="1" applyAlignment="1">
      <alignment horizontal="right" vertical="center" shrinkToFit="1"/>
    </xf>
    <xf numFmtId="43" fontId="4" fillId="0" borderId="1" xfId="163" applyFont="1" applyBorder="1" applyAlignment="1">
      <alignment vertical="center" shrinkToFit="1"/>
    </xf>
    <xf numFmtId="182" fontId="4" fillId="0" borderId="1" xfId="0" applyNumberFormat="1" applyFont="1" applyBorder="1" applyAlignment="1">
      <alignment horizontal="right" vertical="center" shrinkToFit="1"/>
    </xf>
    <xf numFmtId="179" fontId="4" fillId="0" borderId="1" xfId="0" applyFont="1" applyBorder="1" applyAlignment="1">
      <alignment horizontal="left" vertical="center"/>
    </xf>
    <xf numFmtId="14" fontId="24" fillId="0" borderId="1" xfId="0" applyNumberFormat="1" applyFont="1" applyBorder="1" applyAlignment="1">
      <alignment horizontal="left" vertical="center"/>
    </xf>
    <xf numFmtId="176" fontId="18" fillId="0" borderId="1" xfId="0" applyNumberFormat="1" applyFont="1" applyBorder="1">
      <alignment vertical="center"/>
    </xf>
    <xf numFmtId="179" fontId="23" fillId="0" borderId="0" xfId="0" applyFont="1">
      <alignment vertical="center"/>
    </xf>
    <xf numFmtId="179" fontId="24" fillId="0" borderId="0" xfId="0" applyFont="1">
      <alignment vertical="center"/>
    </xf>
    <xf numFmtId="179" fontId="4" fillId="0" borderId="0" xfId="0" applyFont="1" applyAlignment="1">
      <alignment horizontal="left" vertical="center"/>
    </xf>
    <xf numFmtId="14" fontId="13" fillId="0" borderId="0" xfId="0" applyNumberFormat="1" applyFont="1">
      <alignment vertical="center"/>
    </xf>
    <xf numFmtId="49" fontId="5" fillId="2" borderId="0" xfId="0" applyNumberFormat="1" applyFont="1" applyFill="1">
      <alignment vertical="center"/>
    </xf>
    <xf numFmtId="58" fontId="7" fillId="2" borderId="1" xfId="0" applyNumberFormat="1" applyFont="1" applyFill="1" applyBorder="1">
      <alignment vertical="center"/>
    </xf>
    <xf numFmtId="14" fontId="27" fillId="2" borderId="1" xfId="0" applyNumberFormat="1" applyFont="1" applyFill="1" applyBorder="1" applyAlignment="1">
      <alignment horizontal="left" vertical="center"/>
    </xf>
    <xf numFmtId="43" fontId="18" fillId="0" borderId="0" xfId="185" applyFont="1">
      <alignment vertical="center"/>
    </xf>
    <xf numFmtId="179" fontId="4" fillId="0" borderId="1" xfId="0" applyFont="1" applyBorder="1" applyAlignment="1">
      <alignment horizontal="left" vertical="center" shrinkToFit="1"/>
    </xf>
    <xf numFmtId="26" fontId="19" fillId="0" borderId="0" xfId="0" applyNumberFormat="1" applyFont="1">
      <alignment vertical="center"/>
    </xf>
    <xf numFmtId="179" fontId="4" fillId="5" borderId="1" xfId="0" applyFont="1" applyFill="1" applyBorder="1" applyAlignment="1">
      <alignment horizontal="left" vertical="center" shrinkToFit="1"/>
    </xf>
    <xf numFmtId="179" fontId="4" fillId="2" borderId="0" xfId="0" applyFont="1" applyFill="1" applyAlignment="1">
      <alignment horizontal="left" vertical="center" shrinkToFit="1"/>
    </xf>
    <xf numFmtId="179" fontId="0" fillId="0" borderId="0" xfId="0" applyAlignment="1">
      <alignment vertical="center" wrapText="1"/>
    </xf>
    <xf numFmtId="49" fontId="5" fillId="2" borderId="0" xfId="0" applyNumberFormat="1" applyFont="1" applyFill="1" applyAlignment="1">
      <alignment vertical="center" wrapText="1"/>
    </xf>
    <xf numFmtId="176" fontId="18" fillId="5" borderId="0" xfId="0" applyNumberFormat="1" applyFont="1" applyFill="1">
      <alignment vertical="center"/>
    </xf>
    <xf numFmtId="14" fontId="19" fillId="0" borderId="0" xfId="0" applyNumberFormat="1" applyFont="1">
      <alignment vertical="center"/>
    </xf>
    <xf numFmtId="179" fontId="36" fillId="0" borderId="0" xfId="0" applyFont="1">
      <alignment vertical="center"/>
    </xf>
    <xf numFmtId="179" fontId="5" fillId="2" borderId="0" xfId="0" applyFont="1" applyFill="1" applyAlignment="1">
      <alignment horizontal="left" vertical="center"/>
    </xf>
    <xf numFmtId="179" fontId="5" fillId="2" borderId="0" xfId="165" applyFont="1" applyFill="1" applyAlignment="1">
      <alignment horizontal="left" vertical="center"/>
    </xf>
    <xf numFmtId="179" fontId="36" fillId="2" borderId="0" xfId="0" applyFont="1" applyFill="1">
      <alignment vertical="center"/>
    </xf>
    <xf numFmtId="58" fontId="35" fillId="2" borderId="0" xfId="0" applyNumberFormat="1" applyFont="1" applyFill="1" applyAlignment="1">
      <alignment horizontal="justify" vertical="center" wrapText="1"/>
    </xf>
    <xf numFmtId="179" fontId="35" fillId="2" borderId="0" xfId="0" applyFont="1" applyFill="1" applyAlignment="1">
      <alignment horizontal="center" vertical="center" wrapText="1"/>
    </xf>
    <xf numFmtId="179" fontId="35" fillId="2" borderId="0" xfId="0" applyFont="1" applyFill="1" applyAlignment="1">
      <alignment horizontal="justify" vertical="center" wrapText="1"/>
    </xf>
    <xf numFmtId="179" fontId="5" fillId="2" borderId="0" xfId="0" applyFont="1" applyFill="1" applyAlignment="1">
      <alignment horizontal="left" vertical="center" shrinkToFit="1"/>
    </xf>
    <xf numFmtId="58" fontId="34" fillId="0" borderId="0" xfId="0" applyNumberFormat="1" applyFont="1" applyAlignment="1">
      <alignment horizontal="justify" vertical="center" wrapText="1"/>
    </xf>
    <xf numFmtId="179" fontId="34" fillId="0" borderId="0" xfId="0" applyFont="1" applyAlignment="1">
      <alignment horizontal="center" vertical="center" wrapText="1"/>
    </xf>
    <xf numFmtId="179" fontId="34" fillId="0" borderId="0" xfId="0" applyFont="1" applyAlignment="1">
      <alignment horizontal="justify" vertical="center" wrapText="1"/>
    </xf>
    <xf numFmtId="43" fontId="4" fillId="0" borderId="1" xfId="185" applyFont="1" applyBorder="1" applyAlignment="1">
      <alignment horizontal="right" vertical="center" shrinkToFit="1"/>
    </xf>
    <xf numFmtId="179" fontId="4" fillId="9" borderId="1" xfId="0" applyFont="1" applyFill="1" applyBorder="1" applyAlignment="1">
      <alignment vertical="center" shrinkToFit="1"/>
    </xf>
    <xf numFmtId="176" fontId="4" fillId="9" borderId="1" xfId="17" applyNumberFormat="1" applyFont="1" applyFill="1" applyBorder="1" applyAlignment="1">
      <alignment horizontal="right" vertical="center" shrinkToFit="1"/>
    </xf>
    <xf numFmtId="176" fontId="4" fillId="9" borderId="1" xfId="163" applyNumberFormat="1" applyFont="1" applyFill="1" applyBorder="1" applyAlignment="1">
      <alignment horizontal="right" vertical="center" shrinkToFit="1"/>
    </xf>
    <xf numFmtId="43" fontId="4" fillId="9" borderId="1" xfId="163" applyFont="1" applyFill="1" applyBorder="1" applyAlignment="1">
      <alignment vertical="center" shrinkToFit="1"/>
    </xf>
    <xf numFmtId="43" fontId="4" fillId="9" borderId="1" xfId="17" applyFont="1" applyFill="1" applyBorder="1" applyAlignment="1">
      <alignment vertical="center" shrinkToFit="1"/>
    </xf>
    <xf numFmtId="179" fontId="2" fillId="2" borderId="0" xfId="0" applyFont="1" applyFill="1">
      <alignment vertical="center"/>
    </xf>
    <xf numFmtId="179" fontId="18" fillId="2" borderId="0" xfId="0" applyFont="1" applyFill="1">
      <alignment vertical="center"/>
    </xf>
    <xf numFmtId="179" fontId="4" fillId="2" borderId="0" xfId="0" applyFont="1" applyFill="1" applyAlignment="1">
      <alignment vertical="center" shrinkToFit="1"/>
    </xf>
    <xf numFmtId="185" fontId="18" fillId="2" borderId="0" xfId="0" applyNumberFormat="1" applyFont="1" applyFill="1">
      <alignment vertical="center"/>
    </xf>
    <xf numFmtId="14" fontId="27" fillId="8" borderId="1" xfId="0" applyNumberFormat="1" applyFont="1" applyFill="1" applyBorder="1">
      <alignment vertical="center"/>
    </xf>
    <xf numFmtId="181" fontId="18" fillId="9" borderId="0" xfId="0" applyNumberFormat="1" applyFont="1" applyFill="1">
      <alignment vertical="center"/>
    </xf>
    <xf numFmtId="176" fontId="18" fillId="9" borderId="0" xfId="0" applyNumberFormat="1" applyFont="1" applyFill="1">
      <alignment vertical="center"/>
    </xf>
    <xf numFmtId="43" fontId="18" fillId="2" borderId="0" xfId="185" applyFont="1" applyFill="1">
      <alignment vertical="center"/>
    </xf>
    <xf numFmtId="43" fontId="18" fillId="9" borderId="0" xfId="185" applyFont="1" applyFill="1">
      <alignment vertical="center"/>
    </xf>
    <xf numFmtId="179" fontId="5" fillId="2" borderId="0" xfId="0" quotePrefix="1" applyFont="1" applyFill="1">
      <alignment vertical="center"/>
    </xf>
    <xf numFmtId="179" fontId="19" fillId="2" borderId="0" xfId="0" applyFont="1" applyFill="1">
      <alignment vertical="center"/>
    </xf>
    <xf numFmtId="14" fontId="19" fillId="2" borderId="0" xfId="0" applyNumberFormat="1" applyFont="1" applyFill="1">
      <alignment vertical="center"/>
    </xf>
    <xf numFmtId="26" fontId="19" fillId="2" borderId="0" xfId="0" applyNumberFormat="1" applyFont="1" applyFill="1">
      <alignment vertical="center"/>
    </xf>
    <xf numFmtId="179" fontId="37" fillId="2" borderId="0" xfId="0" applyFont="1" applyFill="1" applyAlignment="1">
      <alignment horizontal="left" vertical="center" shrinkToFit="1"/>
    </xf>
    <xf numFmtId="179" fontId="37" fillId="2" borderId="0" xfId="0" applyFont="1" applyFill="1" applyAlignment="1">
      <alignment vertical="center" shrinkToFit="1"/>
    </xf>
    <xf numFmtId="14" fontId="39" fillId="2" borderId="0" xfId="0" applyNumberFormat="1" applyFont="1" applyFill="1">
      <alignment vertical="center"/>
    </xf>
    <xf numFmtId="43" fontId="40" fillId="2" borderId="0" xfId="185" applyFont="1" applyFill="1">
      <alignment vertical="center"/>
    </xf>
    <xf numFmtId="179" fontId="4" fillId="4" borderId="1" xfId="0" applyFont="1" applyFill="1" applyBorder="1" applyAlignment="1">
      <alignment vertical="center" shrinkToFit="1"/>
    </xf>
    <xf numFmtId="179" fontId="4" fillId="4" borderId="1" xfId="165" applyFont="1" applyFill="1" applyBorder="1" applyAlignment="1">
      <alignment vertical="center" shrinkToFit="1"/>
    </xf>
    <xf numFmtId="176" fontId="4" fillId="4" borderId="1" xfId="17" applyNumberFormat="1" applyFont="1" applyFill="1" applyBorder="1" applyAlignment="1">
      <alignment horizontal="right" vertical="center" shrinkToFit="1"/>
    </xf>
    <xf numFmtId="179" fontId="4" fillId="4" borderId="1" xfId="0" applyFont="1" applyFill="1" applyBorder="1" applyAlignment="1">
      <alignment horizontal="right" vertical="center" shrinkToFit="1"/>
    </xf>
    <xf numFmtId="176" fontId="4" fillId="4" borderId="1" xfId="163" applyNumberFormat="1" applyFont="1" applyFill="1" applyBorder="1" applyAlignment="1">
      <alignment horizontal="right" vertical="center" shrinkToFit="1"/>
    </xf>
    <xf numFmtId="43" fontId="4" fillId="4" borderId="1" xfId="163" applyFont="1" applyFill="1" applyBorder="1" applyAlignment="1">
      <alignment vertical="center" shrinkToFit="1"/>
    </xf>
    <xf numFmtId="43" fontId="4" fillId="4" borderId="1" xfId="17" applyFont="1" applyFill="1" applyBorder="1" applyAlignment="1">
      <alignment vertical="center" shrinkToFit="1"/>
    </xf>
    <xf numFmtId="176" fontId="18" fillId="4" borderId="0" xfId="0" applyNumberFormat="1" applyFont="1" applyFill="1">
      <alignment vertical="center"/>
    </xf>
    <xf numFmtId="179" fontId="5" fillId="11" borderId="1" xfId="0" applyFont="1" applyFill="1" applyBorder="1">
      <alignment vertical="center"/>
    </xf>
    <xf numFmtId="179" fontId="4" fillId="11" borderId="1" xfId="0" applyFont="1" applyFill="1" applyBorder="1" applyAlignment="1">
      <alignment horizontal="left" vertical="center"/>
    </xf>
    <xf numFmtId="176" fontId="18" fillId="11" borderId="1" xfId="0" applyNumberFormat="1" applyFont="1" applyFill="1" applyBorder="1">
      <alignment vertical="center"/>
    </xf>
    <xf numFmtId="176" fontId="19" fillId="11" borderId="1" xfId="0" applyNumberFormat="1" applyFont="1" applyFill="1" applyBorder="1" applyAlignment="1">
      <alignment horizontal="right" vertical="center"/>
    </xf>
    <xf numFmtId="179" fontId="20" fillId="0" borderId="1" xfId="0" applyFont="1" applyBorder="1">
      <alignment vertical="center"/>
    </xf>
    <xf numFmtId="43" fontId="18" fillId="0" borderId="1" xfId="185" applyFont="1" applyBorder="1">
      <alignment vertical="center"/>
    </xf>
    <xf numFmtId="179" fontId="18" fillId="0" borderId="1" xfId="168" applyFont="1" applyBorder="1" applyAlignment="1">
      <alignment horizontal="left" vertical="center"/>
    </xf>
    <xf numFmtId="179" fontId="18" fillId="0" borderId="1" xfId="168" applyFont="1" applyBorder="1" applyAlignment="1">
      <alignment horizontal="center" vertical="center"/>
    </xf>
    <xf numFmtId="43" fontId="18" fillId="0" borderId="1" xfId="185" applyFont="1" applyBorder="1" applyAlignment="1">
      <alignment horizontal="left" vertical="center"/>
    </xf>
    <xf numFmtId="179" fontId="25" fillId="0" borderId="1" xfId="165" applyFont="1" applyBorder="1" applyAlignment="1">
      <alignment horizontal="left" vertical="center"/>
    </xf>
    <xf numFmtId="179" fontId="26" fillId="0" borderId="1" xfId="0" applyFont="1" applyBorder="1">
      <alignment vertical="center"/>
    </xf>
    <xf numFmtId="176" fontId="25" fillId="0" borderId="1" xfId="17" applyNumberFormat="1" applyFont="1" applyBorder="1" applyAlignment="1">
      <alignment horizontal="right" vertical="center"/>
    </xf>
    <xf numFmtId="179" fontId="25" fillId="0" borderId="1" xfId="0" applyFont="1" applyBorder="1" applyAlignment="1">
      <alignment horizontal="left" vertical="center"/>
    </xf>
    <xf numFmtId="179" fontId="25" fillId="0" borderId="1" xfId="0" applyFont="1" applyBorder="1">
      <alignment vertical="center"/>
    </xf>
    <xf numFmtId="14" fontId="29" fillId="0" borderId="1" xfId="0" applyNumberFormat="1" applyFont="1" applyBorder="1" applyAlignment="1">
      <alignment horizontal="left" vertical="center"/>
    </xf>
    <xf numFmtId="179" fontId="30" fillId="0" borderId="1" xfId="165" applyFont="1" applyBorder="1" applyAlignment="1">
      <alignment horizontal="left" vertical="center"/>
    </xf>
    <xf numFmtId="179" fontId="31" fillId="0" borderId="1" xfId="0" applyFont="1" applyBorder="1">
      <alignment vertical="center"/>
    </xf>
    <xf numFmtId="176" fontId="32" fillId="0" borderId="1" xfId="0" applyNumberFormat="1" applyFont="1" applyBorder="1">
      <alignment vertical="center"/>
    </xf>
    <xf numFmtId="176" fontId="30" fillId="0" borderId="1" xfId="17" applyNumberFormat="1" applyFont="1" applyBorder="1" applyAlignment="1">
      <alignment horizontal="right" vertical="center"/>
    </xf>
    <xf numFmtId="43" fontId="29" fillId="0" borderId="1" xfId="185" applyFont="1" applyBorder="1">
      <alignment vertical="center"/>
    </xf>
    <xf numFmtId="181" fontId="18" fillId="0" borderId="1" xfId="0" applyNumberFormat="1" applyFont="1" applyBorder="1">
      <alignment vertical="center"/>
    </xf>
    <xf numFmtId="179" fontId="24" fillId="0" borderId="1" xfId="0" applyFont="1" applyBorder="1">
      <alignment vertical="center"/>
    </xf>
    <xf numFmtId="179" fontId="29" fillId="0" borderId="1" xfId="0" applyFont="1" applyBorder="1">
      <alignment vertical="center"/>
    </xf>
    <xf numFmtId="179" fontId="33" fillId="0" borderId="1" xfId="0" applyFont="1" applyBorder="1" applyAlignment="1">
      <alignment horizontal="left" vertical="center"/>
    </xf>
    <xf numFmtId="179" fontId="33" fillId="0" borderId="1" xfId="0" applyFont="1" applyBorder="1">
      <alignment vertical="center"/>
    </xf>
    <xf numFmtId="176" fontId="33" fillId="0" borderId="1" xfId="17" applyNumberFormat="1" applyFont="1" applyBorder="1" applyAlignment="1">
      <alignment horizontal="right" vertical="center"/>
    </xf>
    <xf numFmtId="179" fontId="5" fillId="0" borderId="1" xfId="0" applyFont="1" applyBorder="1" applyAlignment="1">
      <alignment horizontal="left" vertical="center"/>
    </xf>
    <xf numFmtId="179" fontId="5" fillId="0" borderId="1" xfId="0" applyFont="1" applyBorder="1">
      <alignment vertical="center"/>
    </xf>
    <xf numFmtId="176" fontId="38" fillId="0" borderId="1" xfId="0" applyNumberFormat="1" applyFont="1" applyBorder="1">
      <alignment vertical="center"/>
    </xf>
    <xf numFmtId="176" fontId="37" fillId="0" borderId="1" xfId="17" applyNumberFormat="1" applyFont="1" applyBorder="1" applyAlignment="1">
      <alignment horizontal="right" vertical="center"/>
    </xf>
    <xf numFmtId="14" fontId="5" fillId="0" borderId="1" xfId="0" applyNumberFormat="1" applyFont="1" applyBorder="1" applyAlignment="1">
      <alignment horizontal="left" vertical="center"/>
    </xf>
    <xf numFmtId="179" fontId="19" fillId="0" borderId="1" xfId="0" applyFont="1" applyBorder="1">
      <alignment vertical="center"/>
    </xf>
    <xf numFmtId="176" fontId="19" fillId="0" borderId="1" xfId="0" applyNumberFormat="1" applyFont="1" applyBorder="1" applyAlignment="1">
      <alignment horizontal="right" vertical="center"/>
    </xf>
    <xf numFmtId="176" fontId="5" fillId="0" borderId="1" xfId="0" applyNumberFormat="1" applyFont="1" applyBorder="1">
      <alignment vertical="center"/>
    </xf>
    <xf numFmtId="43" fontId="5" fillId="0" borderId="1" xfId="17" applyFont="1" applyBorder="1">
      <alignment vertical="center"/>
    </xf>
    <xf numFmtId="179" fontId="24" fillId="0" borderId="0" xfId="0" applyFont="1" applyAlignment="1">
      <alignment horizontal="left" vertical="center"/>
    </xf>
    <xf numFmtId="43" fontId="24" fillId="0" borderId="0" xfId="185" applyFont="1">
      <alignment vertical="center"/>
    </xf>
    <xf numFmtId="179" fontId="40" fillId="2" borderId="0" xfId="0" applyFont="1" applyFill="1">
      <alignment vertical="center"/>
    </xf>
    <xf numFmtId="176" fontId="18" fillId="7" borderId="0" xfId="0" applyNumberFormat="1" applyFont="1" applyFill="1">
      <alignment vertical="center"/>
    </xf>
    <xf numFmtId="176" fontId="18" fillId="12" borderId="0" xfId="0" applyNumberFormat="1" applyFont="1" applyFill="1">
      <alignment vertical="center"/>
    </xf>
    <xf numFmtId="176" fontId="18" fillId="11" borderId="0" xfId="0" applyNumberFormat="1" applyFont="1" applyFill="1">
      <alignment vertical="center"/>
    </xf>
    <xf numFmtId="179" fontId="4" fillId="9" borderId="1" xfId="0" applyFont="1" applyFill="1" applyBorder="1" applyAlignment="1">
      <alignment horizontal="right" vertical="center" shrinkToFit="1"/>
    </xf>
    <xf numFmtId="179" fontId="34" fillId="2" borderId="0" xfId="0" applyFont="1" applyFill="1" applyAlignment="1">
      <alignment horizontal="center" vertical="center" wrapText="1"/>
    </xf>
    <xf numFmtId="179" fontId="0" fillId="2" borderId="0" xfId="0" applyFill="1" applyAlignment="1">
      <alignment horizontal="center" vertical="center" wrapText="1"/>
    </xf>
    <xf numFmtId="14" fontId="5" fillId="2" borderId="4" xfId="1" applyNumberFormat="1" applyFont="1" applyFill="1" applyBorder="1">
      <alignment vertical="center"/>
    </xf>
    <xf numFmtId="179" fontId="5" fillId="2" borderId="0" xfId="0" applyFont="1" applyFill="1" applyAlignment="1">
      <alignment vertical="center" shrinkToFit="1"/>
    </xf>
    <xf numFmtId="14" fontId="41" fillId="2" borderId="0" xfId="0" applyNumberFormat="1" applyFont="1" applyFill="1">
      <alignment vertical="center"/>
    </xf>
    <xf numFmtId="176" fontId="38" fillId="2" borderId="0" xfId="0" applyNumberFormat="1" applyFont="1" applyFill="1">
      <alignment vertical="center"/>
    </xf>
    <xf numFmtId="181" fontId="38" fillId="2" borderId="0" xfId="0" applyNumberFormat="1" applyFont="1" applyFill="1">
      <alignment vertical="center"/>
    </xf>
    <xf numFmtId="179" fontId="42" fillId="0" borderId="0" xfId="0" applyFont="1">
      <alignment vertical="center"/>
    </xf>
    <xf numFmtId="179" fontId="4" fillId="2" borderId="1" xfId="0" applyFont="1" applyFill="1" applyBorder="1" applyAlignment="1">
      <alignment horizontal="right" vertical="center" shrinkToFit="1"/>
    </xf>
    <xf numFmtId="179" fontId="7" fillId="0" borderId="0" xfId="0" applyFont="1" applyAlignment="1">
      <alignment horizontal="left" vertical="center"/>
    </xf>
    <xf numFmtId="14" fontId="7" fillId="0" borderId="0" xfId="0" applyNumberFormat="1" applyFont="1">
      <alignment vertical="center"/>
    </xf>
    <xf numFmtId="176" fontId="7" fillId="0" borderId="0" xfId="0" applyNumberFormat="1" applyFont="1">
      <alignment vertical="center"/>
    </xf>
    <xf numFmtId="43" fontId="7" fillId="0" borderId="0" xfId="185" applyFont="1">
      <alignment vertical="center"/>
    </xf>
    <xf numFmtId="181" fontId="7" fillId="0" borderId="0" xfId="0" applyNumberFormat="1" applyFont="1">
      <alignment vertical="center"/>
    </xf>
    <xf numFmtId="43" fontId="16" fillId="0" borderId="0" xfId="185" applyFont="1">
      <alignment vertical="center"/>
    </xf>
    <xf numFmtId="179" fontId="16" fillId="0" borderId="0" xfId="0" applyFont="1">
      <alignment vertical="center"/>
    </xf>
    <xf numFmtId="43" fontId="5" fillId="0" borderId="1" xfId="0" applyNumberFormat="1" applyFont="1" applyBorder="1">
      <alignment vertical="center"/>
    </xf>
    <xf numFmtId="179" fontId="20" fillId="0" borderId="0" xfId="0" applyFont="1">
      <alignment vertical="center"/>
    </xf>
    <xf numFmtId="14" fontId="20" fillId="0" borderId="0" xfId="0" applyNumberFormat="1" applyFont="1">
      <alignment vertical="center"/>
    </xf>
    <xf numFmtId="185" fontId="18" fillId="0" borderId="1" xfId="0" applyNumberFormat="1" applyFont="1" applyBorder="1">
      <alignment vertical="center"/>
    </xf>
    <xf numFmtId="176" fontId="5" fillId="11" borderId="1" xfId="0" applyNumberFormat="1" applyFont="1" applyFill="1" applyBorder="1">
      <alignment vertical="center"/>
    </xf>
    <xf numFmtId="179" fontId="4" fillId="11" borderId="1" xfId="0" applyFont="1" applyFill="1" applyBorder="1" applyAlignment="1">
      <alignment horizontal="left" vertical="center" shrinkToFit="1"/>
    </xf>
    <xf numFmtId="179" fontId="20" fillId="11" borderId="1" xfId="0" applyFont="1" applyFill="1" applyBorder="1">
      <alignment vertical="center"/>
    </xf>
    <xf numFmtId="179" fontId="20" fillId="11" borderId="0" xfId="0" applyFont="1" applyFill="1">
      <alignment vertical="center"/>
    </xf>
    <xf numFmtId="179" fontId="4" fillId="10" borderId="1" xfId="0" applyFont="1" applyFill="1" applyBorder="1" applyAlignment="1">
      <alignment horizontal="left" vertical="center" shrinkToFit="1"/>
    </xf>
    <xf numFmtId="179" fontId="4" fillId="10" borderId="1" xfId="0" applyFont="1" applyFill="1" applyBorder="1" applyAlignment="1">
      <alignment vertical="center" shrinkToFit="1"/>
    </xf>
    <xf numFmtId="179" fontId="4" fillId="10" borderId="1" xfId="165" applyFont="1" applyFill="1" applyBorder="1" applyAlignment="1">
      <alignment vertical="center" shrinkToFit="1"/>
    </xf>
    <xf numFmtId="176" fontId="4" fillId="10" borderId="1" xfId="17" applyNumberFormat="1" applyFont="1" applyFill="1" applyBorder="1" applyAlignment="1">
      <alignment horizontal="right" vertical="center" shrinkToFit="1"/>
    </xf>
    <xf numFmtId="179" fontId="4" fillId="10" borderId="1" xfId="0" applyFont="1" applyFill="1" applyBorder="1" applyAlignment="1">
      <alignment horizontal="right" vertical="center" shrinkToFit="1"/>
    </xf>
    <xf numFmtId="176" fontId="4" fillId="10" borderId="1" xfId="163" applyNumberFormat="1" applyFont="1" applyFill="1" applyBorder="1" applyAlignment="1">
      <alignment horizontal="right" vertical="center" shrinkToFit="1"/>
    </xf>
    <xf numFmtId="43" fontId="4" fillId="10" borderId="1" xfId="163" applyFont="1" applyFill="1" applyBorder="1" applyAlignment="1">
      <alignment vertical="center" shrinkToFit="1"/>
    </xf>
    <xf numFmtId="43" fontId="4" fillId="10" borderId="1" xfId="17" applyFont="1" applyFill="1" applyBorder="1" applyAlignment="1">
      <alignment vertical="center" shrinkToFit="1"/>
    </xf>
    <xf numFmtId="179" fontId="0" fillId="10" borderId="0" xfId="0" applyFill="1" applyAlignment="1">
      <alignment vertical="center" shrinkToFit="1"/>
    </xf>
    <xf numFmtId="179" fontId="5" fillId="2" borderId="0" xfId="0" quotePrefix="1" applyFont="1" applyFill="1" applyAlignment="1">
      <alignment vertical="center" wrapText="1"/>
    </xf>
    <xf numFmtId="176" fontId="4" fillId="2" borderId="1" xfId="157" applyNumberFormat="1" applyFont="1" applyFill="1" applyBorder="1">
      <alignment vertical="center"/>
    </xf>
    <xf numFmtId="43" fontId="4" fillId="2" borderId="1" xfId="185" applyFont="1" applyFill="1" applyBorder="1">
      <alignment vertical="center"/>
    </xf>
    <xf numFmtId="179" fontId="1" fillId="2" borderId="1" xfId="157" applyFill="1" applyBorder="1">
      <alignment vertical="center"/>
    </xf>
    <xf numFmtId="14" fontId="7" fillId="2" borderId="1" xfId="157" applyNumberFormat="1" applyFont="1" applyFill="1" applyBorder="1">
      <alignment vertical="center"/>
    </xf>
    <xf numFmtId="179" fontId="0" fillId="2" borderId="1" xfId="0" applyFill="1" applyBorder="1">
      <alignment vertical="center"/>
    </xf>
    <xf numFmtId="179" fontId="5" fillId="2" borderId="2" xfId="1" applyFont="1" applyFill="1" applyBorder="1" applyAlignment="1">
      <alignment horizontal="left" vertical="center"/>
    </xf>
    <xf numFmtId="179" fontId="5" fillId="2" borderId="2" xfId="1" applyFont="1" applyFill="1" applyBorder="1">
      <alignment vertical="center"/>
    </xf>
    <xf numFmtId="14" fontId="5" fillId="2" borderId="2" xfId="1" applyNumberFormat="1" applyFont="1" applyFill="1" applyBorder="1">
      <alignment vertical="center"/>
    </xf>
    <xf numFmtId="14" fontId="4" fillId="2" borderId="2" xfId="1" applyNumberFormat="1" applyFont="1" applyFill="1" applyBorder="1">
      <alignment vertical="center"/>
    </xf>
    <xf numFmtId="176" fontId="5" fillId="2" borderId="2" xfId="1" applyNumberFormat="1" applyFont="1" applyFill="1" applyBorder="1">
      <alignment vertical="center"/>
    </xf>
    <xf numFmtId="177" fontId="5" fillId="2" borderId="2" xfId="1" applyNumberFormat="1" applyFont="1" applyFill="1" applyBorder="1">
      <alignment vertical="center"/>
    </xf>
    <xf numFmtId="176" fontId="5" fillId="2" borderId="0" xfId="1" applyNumberFormat="1" applyFont="1" applyFill="1">
      <alignment vertical="center"/>
    </xf>
    <xf numFmtId="176" fontId="5" fillId="2" borderId="0" xfId="6" applyNumberFormat="1" applyFont="1" applyFill="1">
      <alignment vertical="center"/>
    </xf>
    <xf numFmtId="176" fontId="37" fillId="2" borderId="0" xfId="6" applyNumberFormat="1" applyFont="1" applyFill="1">
      <alignment vertical="center"/>
    </xf>
    <xf numFmtId="43" fontId="37" fillId="2" borderId="0" xfId="6" applyFont="1" applyFill="1">
      <alignment vertical="center"/>
    </xf>
    <xf numFmtId="43" fontId="0" fillId="2" borderId="0" xfId="185" applyFont="1" applyFill="1">
      <alignment vertical="center"/>
    </xf>
    <xf numFmtId="14" fontId="13" fillId="4" borderId="0" xfId="0" applyNumberFormat="1" applyFont="1" applyFill="1">
      <alignment vertical="center"/>
    </xf>
    <xf numFmtId="179" fontId="37" fillId="2" borderId="0" xfId="1" applyFont="1" applyFill="1" applyAlignment="1">
      <alignment horizontal="left" vertical="center"/>
    </xf>
    <xf numFmtId="179" fontId="37" fillId="2" borderId="0" xfId="0" applyFont="1" applyFill="1" applyAlignment="1">
      <alignment horizontal="left" vertical="center"/>
    </xf>
    <xf numFmtId="14" fontId="37" fillId="2" borderId="0" xfId="0" applyNumberFormat="1" applyFont="1" applyFill="1">
      <alignment vertical="center"/>
    </xf>
    <xf numFmtId="180" fontId="37" fillId="2" borderId="0" xfId="17" applyNumberFormat="1" applyFont="1" applyFill="1" applyAlignment="1">
      <alignment horizontal="center" vertical="center"/>
    </xf>
    <xf numFmtId="179" fontId="37" fillId="2" borderId="0" xfId="0" applyFont="1" applyFill="1">
      <alignment vertical="center"/>
    </xf>
    <xf numFmtId="179" fontId="37" fillId="2" borderId="0" xfId="0" quotePrefix="1" applyFont="1" applyFill="1" applyAlignment="1">
      <alignment vertical="center" wrapText="1"/>
    </xf>
    <xf numFmtId="179" fontId="5" fillId="9" borderId="0" xfId="0" quotePrefix="1" applyFont="1" applyFill="1">
      <alignment vertical="center"/>
    </xf>
    <xf numFmtId="14" fontId="5" fillId="3" borderId="0" xfId="0" applyNumberFormat="1" applyFont="1" applyFill="1">
      <alignment vertical="center"/>
    </xf>
    <xf numFmtId="180" fontId="5" fillId="3" borderId="0" xfId="17" applyNumberFormat="1" applyFont="1" applyFill="1" applyAlignment="1">
      <alignment horizontal="center" vertical="center"/>
    </xf>
    <xf numFmtId="179" fontId="5" fillId="3" borderId="0" xfId="0" applyFont="1" applyFill="1">
      <alignment vertical="center"/>
    </xf>
    <xf numFmtId="179" fontId="5" fillId="3" borderId="0" xfId="0" quotePrefix="1" applyFont="1" applyFill="1" applyAlignment="1">
      <alignment vertical="center" wrapText="1"/>
    </xf>
    <xf numFmtId="179" fontId="2" fillId="4" borderId="0" xfId="0" applyFont="1" applyFill="1">
      <alignment vertical="center"/>
    </xf>
    <xf numFmtId="179" fontId="18" fillId="4" borderId="0" xfId="0" applyFont="1" applyFill="1">
      <alignment vertical="center"/>
    </xf>
    <xf numFmtId="179" fontId="4" fillId="0" borderId="3" xfId="0" applyFont="1" applyBorder="1" applyAlignment="1">
      <alignment vertical="center" shrinkToFit="1"/>
    </xf>
    <xf numFmtId="43" fontId="18" fillId="4" borderId="1" xfId="185" applyFont="1" applyFill="1" applyBorder="1">
      <alignment vertical="center"/>
    </xf>
    <xf numFmtId="181" fontId="18" fillId="4" borderId="1" xfId="0" applyNumberFormat="1" applyFont="1" applyFill="1" applyBorder="1">
      <alignment vertical="center"/>
    </xf>
    <xf numFmtId="43" fontId="40" fillId="4" borderId="1" xfId="185" applyFont="1" applyFill="1" applyBorder="1">
      <alignment vertical="center"/>
    </xf>
    <xf numFmtId="14" fontId="37" fillId="0" borderId="1" xfId="0" applyNumberFormat="1" applyFont="1" applyBorder="1" applyAlignment="1">
      <alignment horizontal="left" vertical="center"/>
    </xf>
    <xf numFmtId="179" fontId="37" fillId="0" borderId="1" xfId="0" applyFont="1" applyBorder="1" applyAlignment="1">
      <alignment vertical="center" shrinkToFit="1"/>
    </xf>
    <xf numFmtId="179" fontId="37" fillId="0" borderId="1" xfId="0" applyFont="1" applyBorder="1" applyAlignment="1">
      <alignment horizontal="left" vertical="center" shrinkToFit="1"/>
    </xf>
    <xf numFmtId="176" fontId="40" fillId="0" borderId="1" xfId="0" applyNumberFormat="1" applyFont="1" applyBorder="1">
      <alignment vertical="center"/>
    </xf>
    <xf numFmtId="179" fontId="43" fillId="0" borderId="1" xfId="0" applyFont="1" applyBorder="1">
      <alignment vertical="center"/>
    </xf>
    <xf numFmtId="43" fontId="19" fillId="4" borderId="1" xfId="185" applyFont="1" applyFill="1" applyBorder="1" applyAlignment="1">
      <alignment horizontal="right" vertical="center"/>
    </xf>
    <xf numFmtId="43" fontId="5" fillId="4" borderId="1" xfId="185" applyFont="1" applyFill="1" applyBorder="1" applyAlignment="1">
      <alignment horizontal="right" vertical="center"/>
    </xf>
    <xf numFmtId="176" fontId="5" fillId="4" borderId="1" xfId="0" applyNumberFormat="1" applyFont="1" applyFill="1" applyBorder="1" applyAlignment="1">
      <alignment horizontal="right" vertical="center"/>
    </xf>
    <xf numFmtId="181" fontId="38" fillId="4" borderId="1" xfId="0" applyNumberFormat="1" applyFont="1" applyFill="1" applyBorder="1">
      <alignment vertical="center"/>
    </xf>
    <xf numFmtId="176" fontId="19" fillId="4" borderId="1" xfId="0" applyNumberFormat="1" applyFont="1" applyFill="1" applyBorder="1" applyAlignment="1">
      <alignment horizontal="right" vertical="center"/>
    </xf>
    <xf numFmtId="176" fontId="18" fillId="4" borderId="1" xfId="0" applyNumberFormat="1" applyFont="1" applyFill="1" applyBorder="1">
      <alignment vertical="center"/>
    </xf>
    <xf numFmtId="179" fontId="4" fillId="5" borderId="1" xfId="0" applyFont="1" applyFill="1" applyBorder="1" applyAlignment="1">
      <alignment vertical="center" shrinkToFit="1"/>
    </xf>
    <xf numFmtId="176" fontId="18" fillId="5" borderId="1" xfId="0" applyNumberFormat="1" applyFont="1" applyFill="1" applyBorder="1">
      <alignment vertical="center"/>
    </xf>
    <xf numFmtId="179" fontId="20" fillId="5" borderId="1" xfId="0" applyFont="1" applyFill="1" applyBorder="1">
      <alignment vertical="center"/>
    </xf>
    <xf numFmtId="43" fontId="18" fillId="5" borderId="1" xfId="185" applyFont="1" applyFill="1" applyBorder="1">
      <alignment vertical="center"/>
    </xf>
    <xf numFmtId="179" fontId="19" fillId="5" borderId="1" xfId="0" applyFont="1" applyFill="1" applyBorder="1">
      <alignment vertical="center"/>
    </xf>
    <xf numFmtId="179" fontId="4" fillId="5" borderId="1" xfId="0" applyFont="1" applyFill="1" applyBorder="1" applyAlignment="1">
      <alignment horizontal="left" vertical="center"/>
    </xf>
    <xf numFmtId="179" fontId="5" fillId="5" borderId="1" xfId="0" applyFont="1" applyFill="1" applyBorder="1">
      <alignment vertical="center"/>
    </xf>
    <xf numFmtId="176" fontId="19" fillId="5" borderId="1" xfId="0" applyNumberFormat="1" applyFont="1" applyFill="1" applyBorder="1" applyAlignment="1">
      <alignment horizontal="right" vertical="center"/>
    </xf>
    <xf numFmtId="176" fontId="5" fillId="5" borderId="1" xfId="0" applyNumberFormat="1" applyFont="1" applyFill="1" applyBorder="1">
      <alignment vertical="center"/>
    </xf>
    <xf numFmtId="43" fontId="19" fillId="5" borderId="1" xfId="185" applyFont="1" applyFill="1" applyBorder="1" applyAlignment="1">
      <alignment horizontal="right" vertical="center"/>
    </xf>
    <xf numFmtId="14" fontId="44" fillId="4" borderId="1" xfId="1" applyNumberFormat="1" applyFont="1" applyFill="1" applyBorder="1">
      <alignment vertical="center"/>
    </xf>
    <xf numFmtId="179" fontId="44" fillId="4" borderId="1" xfId="1" applyFont="1" applyFill="1" applyBorder="1">
      <alignment vertical="center"/>
    </xf>
    <xf numFmtId="176" fontId="44" fillId="4" borderId="1" xfId="1" applyNumberFormat="1" applyFont="1" applyFill="1" applyBorder="1">
      <alignment vertical="center"/>
    </xf>
    <xf numFmtId="43" fontId="4" fillId="2" borderId="1" xfId="185" applyFont="1" applyFill="1" applyBorder="1" applyAlignment="1">
      <alignment horizontal="right" vertical="center" shrinkToFit="1"/>
    </xf>
    <xf numFmtId="43" fontId="37" fillId="0" borderId="1" xfId="17" applyFont="1" applyBorder="1">
      <alignment vertical="center"/>
    </xf>
    <xf numFmtId="43" fontId="37" fillId="5" borderId="1" xfId="17" applyFont="1" applyFill="1" applyBorder="1">
      <alignment vertical="center"/>
    </xf>
    <xf numFmtId="179" fontId="43" fillId="4" borderId="1" xfId="0" applyFont="1" applyFill="1" applyBorder="1">
      <alignment vertical="center"/>
    </xf>
    <xf numFmtId="179" fontId="43" fillId="5" borderId="1" xfId="0" applyFont="1" applyFill="1" applyBorder="1">
      <alignment vertical="center"/>
    </xf>
    <xf numFmtId="43" fontId="40" fillId="0" borderId="0" xfId="185" applyFont="1">
      <alignment vertical="center"/>
    </xf>
    <xf numFmtId="43" fontId="44" fillId="0" borderId="1" xfId="0" applyNumberFormat="1" applyFont="1" applyBorder="1">
      <alignment vertical="center"/>
    </xf>
    <xf numFmtId="179" fontId="44" fillId="0" borderId="3" xfId="0" applyFont="1" applyBorder="1" applyAlignment="1">
      <alignment vertical="center" shrinkToFit="1"/>
    </xf>
    <xf numFmtId="179" fontId="4" fillId="4" borderId="0" xfId="0" applyFont="1" applyFill="1" applyAlignment="1">
      <alignment horizontal="left" vertical="center"/>
    </xf>
    <xf numFmtId="179" fontId="4" fillId="4" borderId="0" xfId="0" applyFont="1" applyFill="1">
      <alignment vertical="center"/>
    </xf>
    <xf numFmtId="179" fontId="4" fillId="4" borderId="0" xfId="165" applyFont="1" applyFill="1">
      <alignment vertical="center"/>
    </xf>
    <xf numFmtId="177" fontId="5" fillId="4" borderId="1" xfId="1" applyNumberFormat="1" applyFont="1" applyFill="1" applyBorder="1">
      <alignment vertical="center"/>
    </xf>
    <xf numFmtId="179" fontId="5" fillId="10" borderId="1" xfId="1" applyFont="1" applyFill="1" applyBorder="1" applyAlignment="1">
      <alignment horizontal="left" vertical="center"/>
    </xf>
    <xf numFmtId="179" fontId="5" fillId="10" borderId="1" xfId="1" applyFont="1" applyFill="1" applyBorder="1">
      <alignment vertical="center"/>
    </xf>
    <xf numFmtId="14" fontId="5" fillId="10" borderId="1" xfId="1" applyNumberFormat="1" applyFont="1" applyFill="1" applyBorder="1">
      <alignment vertical="center"/>
    </xf>
    <xf numFmtId="176" fontId="5" fillId="10" borderId="1" xfId="1" applyNumberFormat="1" applyFont="1" applyFill="1" applyBorder="1">
      <alignment vertical="center"/>
    </xf>
    <xf numFmtId="179" fontId="0" fillId="10" borderId="0" xfId="0" applyFill="1">
      <alignment vertical="center"/>
    </xf>
    <xf numFmtId="176" fontId="11" fillId="10" borderId="1" xfId="1" applyNumberFormat="1" applyFont="1" applyFill="1" applyBorder="1">
      <alignment vertical="center"/>
    </xf>
    <xf numFmtId="179" fontId="11" fillId="10" borderId="1" xfId="1" applyFont="1" applyFill="1" applyBorder="1">
      <alignment vertical="center"/>
    </xf>
    <xf numFmtId="43" fontId="4" fillId="4" borderId="0" xfId="17" applyFont="1" applyFill="1" applyAlignment="1">
      <alignment vertical="center" shrinkToFit="1"/>
    </xf>
    <xf numFmtId="179" fontId="4" fillId="4" borderId="0" xfId="0" applyFont="1" applyFill="1" applyAlignment="1">
      <alignment vertical="center" shrinkToFit="1"/>
    </xf>
    <xf numFmtId="14" fontId="4" fillId="4" borderId="0" xfId="0" applyNumberFormat="1" applyFont="1" applyFill="1" applyAlignment="1">
      <alignment vertical="center" shrinkToFit="1"/>
    </xf>
    <xf numFmtId="179" fontId="6" fillId="2" borderId="1" xfId="0" applyFont="1" applyFill="1" applyBorder="1">
      <alignment vertical="center"/>
    </xf>
    <xf numFmtId="183" fontId="6" fillId="2" borderId="1" xfId="0" applyNumberFormat="1" applyFont="1" applyFill="1" applyBorder="1">
      <alignment vertical="center"/>
    </xf>
    <xf numFmtId="43" fontId="7" fillId="2" borderId="1" xfId="8" applyFont="1" applyFill="1" applyBorder="1">
      <alignment vertical="center"/>
    </xf>
    <xf numFmtId="43" fontId="28" fillId="2" borderId="1" xfId="8" applyFont="1" applyFill="1" applyBorder="1">
      <alignment vertical="center"/>
    </xf>
    <xf numFmtId="184" fontId="7" fillId="2" borderId="1" xfId="0" applyNumberFormat="1" applyFont="1" applyFill="1" applyBorder="1">
      <alignment vertical="center"/>
    </xf>
    <xf numFmtId="179" fontId="7" fillId="2" borderId="1" xfId="0" applyFont="1" applyFill="1" applyBorder="1">
      <alignment vertical="center"/>
    </xf>
    <xf numFmtId="179" fontId="7" fillId="2" borderId="1" xfId="0" applyFont="1" applyFill="1" applyBorder="1" applyAlignment="1">
      <alignment horizontal="center" vertical="center"/>
    </xf>
    <xf numFmtId="179" fontId="7" fillId="2" borderId="0" xfId="0" applyFont="1" applyFill="1">
      <alignment vertical="center"/>
    </xf>
    <xf numFmtId="179" fontId="4" fillId="2" borderId="0" xfId="165" applyFont="1" applyFill="1">
      <alignment vertical="center"/>
    </xf>
    <xf numFmtId="176" fontId="18" fillId="10" borderId="1" xfId="0" applyNumberFormat="1" applyFont="1" applyFill="1" applyBorder="1">
      <alignment vertical="center"/>
    </xf>
    <xf numFmtId="179" fontId="4" fillId="7" borderId="1" xfId="0" applyFont="1" applyFill="1" applyBorder="1" applyAlignment="1">
      <alignment horizontal="left" vertical="center" shrinkToFit="1"/>
    </xf>
    <xf numFmtId="176" fontId="18" fillId="7" borderId="1" xfId="0" applyNumberFormat="1" applyFont="1" applyFill="1" applyBorder="1">
      <alignment vertical="center"/>
    </xf>
    <xf numFmtId="179" fontId="20" fillId="7" borderId="1" xfId="0" applyFont="1" applyFill="1" applyBorder="1">
      <alignment vertical="center"/>
    </xf>
    <xf numFmtId="176" fontId="5" fillId="9" borderId="1" xfId="1" applyNumberFormat="1" applyFont="1" applyFill="1" applyBorder="1">
      <alignment vertical="center"/>
    </xf>
    <xf numFmtId="43" fontId="24" fillId="0" borderId="0" xfId="0" applyNumberFormat="1" applyFont="1">
      <alignment vertical="center"/>
    </xf>
    <xf numFmtId="179" fontId="45" fillId="0" borderId="0" xfId="0" applyFont="1">
      <alignment vertical="center"/>
    </xf>
    <xf numFmtId="43" fontId="37" fillId="3" borderId="1" xfId="17" applyFont="1" applyFill="1" applyBorder="1">
      <alignment vertical="center"/>
    </xf>
    <xf numFmtId="14" fontId="44" fillId="13" borderId="1" xfId="0" applyNumberFormat="1" applyFont="1" applyFill="1" applyBorder="1" applyAlignment="1">
      <alignment horizontal="left" vertical="center"/>
    </xf>
    <xf numFmtId="179" fontId="44" fillId="13" borderId="1" xfId="0" applyFont="1" applyFill="1" applyBorder="1">
      <alignment vertical="center"/>
    </xf>
    <xf numFmtId="176" fontId="44" fillId="13" borderId="1" xfId="0" applyNumberFormat="1" applyFont="1" applyFill="1" applyBorder="1" applyAlignment="1">
      <alignment horizontal="right" vertical="center"/>
    </xf>
    <xf numFmtId="176" fontId="44" fillId="13" borderId="1" xfId="0" applyNumberFormat="1" applyFont="1" applyFill="1" applyBorder="1">
      <alignment vertical="center"/>
    </xf>
    <xf numFmtId="43" fontId="44" fillId="13" borderId="1" xfId="17" applyFont="1" applyFill="1" applyBorder="1">
      <alignment vertical="center"/>
    </xf>
    <xf numFmtId="43" fontId="44" fillId="13" borderId="1" xfId="0" applyNumberFormat="1" applyFont="1" applyFill="1" applyBorder="1">
      <alignment vertical="center"/>
    </xf>
    <xf numFmtId="179" fontId="45" fillId="13" borderId="0" xfId="0" applyFont="1" applyFill="1">
      <alignment vertical="center"/>
    </xf>
    <xf numFmtId="179" fontId="43" fillId="3" borderId="1" xfId="0" applyFont="1" applyFill="1" applyBorder="1">
      <alignment vertical="center"/>
    </xf>
    <xf numFmtId="179" fontId="20" fillId="3" borderId="1" xfId="0" applyFont="1" applyFill="1" applyBorder="1">
      <alignment vertical="center"/>
    </xf>
    <xf numFmtId="43" fontId="46" fillId="2" borderId="0" xfId="185" applyFont="1" applyFill="1">
      <alignment vertical="center"/>
    </xf>
    <xf numFmtId="43" fontId="46" fillId="0" borderId="0" xfId="185" applyFont="1">
      <alignment vertical="center"/>
    </xf>
    <xf numFmtId="43" fontId="46" fillId="10" borderId="0" xfId="185" applyFont="1" applyFill="1">
      <alignment vertical="center"/>
    </xf>
    <xf numFmtId="179" fontId="5" fillId="14" borderId="1" xfId="1" applyFont="1" applyFill="1" applyBorder="1" applyAlignment="1">
      <alignment horizontal="left" vertical="center"/>
    </xf>
    <xf numFmtId="179" fontId="5" fillId="14" borderId="1" xfId="1" applyFont="1" applyFill="1" applyBorder="1">
      <alignment vertical="center"/>
    </xf>
    <xf numFmtId="14" fontId="5" fillId="14" borderId="1" xfId="1" applyNumberFormat="1" applyFont="1" applyFill="1" applyBorder="1">
      <alignment vertical="center"/>
    </xf>
    <xf numFmtId="176" fontId="5" fillId="14" borderId="1" xfId="1" applyNumberFormat="1" applyFont="1" applyFill="1" applyBorder="1">
      <alignment vertical="center"/>
    </xf>
    <xf numFmtId="177" fontId="5" fillId="14" borderId="1" xfId="1" applyNumberFormat="1" applyFont="1" applyFill="1" applyBorder="1">
      <alignment vertical="center"/>
    </xf>
    <xf numFmtId="179" fontId="4" fillId="14" borderId="1" xfId="0" applyFont="1" applyFill="1" applyBorder="1" applyAlignment="1">
      <alignment horizontal="left" vertical="center" shrinkToFit="1"/>
    </xf>
    <xf numFmtId="179" fontId="4" fillId="14" borderId="1" xfId="0" applyFont="1" applyFill="1" applyBorder="1" applyAlignment="1">
      <alignment vertical="center" shrinkToFit="1"/>
    </xf>
    <xf numFmtId="179" fontId="4" fillId="14" borderId="1" xfId="165" applyFont="1" applyFill="1" applyBorder="1" applyAlignment="1">
      <alignment vertical="center" shrinkToFit="1"/>
    </xf>
    <xf numFmtId="176" fontId="4" fillId="14" borderId="1" xfId="17" applyNumberFormat="1" applyFont="1" applyFill="1" applyBorder="1" applyAlignment="1">
      <alignment horizontal="right" vertical="center" shrinkToFit="1"/>
    </xf>
    <xf numFmtId="179" fontId="4" fillId="0" borderId="0" xfId="0" applyFont="1" applyAlignment="1">
      <alignment horizontal="left" vertical="center" shrinkToFit="1"/>
    </xf>
    <xf numFmtId="43" fontId="38" fillId="0" borderId="1" xfId="185" applyFont="1" applyBorder="1">
      <alignment vertical="center"/>
    </xf>
    <xf numFmtId="14" fontId="38" fillId="0" borderId="1" xfId="0" applyNumberFormat="1" applyFont="1" applyBorder="1" applyAlignment="1">
      <alignment horizontal="left" vertical="center"/>
    </xf>
    <xf numFmtId="176" fontId="5" fillId="0" borderId="1" xfId="17" applyNumberFormat="1" applyFont="1" applyBorder="1" applyAlignment="1">
      <alignment horizontal="right" vertical="center"/>
    </xf>
    <xf numFmtId="179" fontId="23" fillId="0" borderId="1" xfId="0" applyFont="1" applyBorder="1">
      <alignment vertical="center"/>
    </xf>
    <xf numFmtId="179" fontId="5" fillId="0" borderId="1" xfId="1" applyFont="1" applyBorder="1" applyAlignment="1">
      <alignment horizontal="left" vertical="center"/>
    </xf>
    <xf numFmtId="179" fontId="5" fillId="0" borderId="1" xfId="1" applyFont="1" applyBorder="1">
      <alignment vertical="center"/>
    </xf>
    <xf numFmtId="179" fontId="5" fillId="0" borderId="0" xfId="1" applyFont="1">
      <alignment vertical="center"/>
    </xf>
    <xf numFmtId="179" fontId="5" fillId="0" borderId="0" xfId="1" applyFont="1" applyAlignment="1">
      <alignment horizontal="left" vertical="center"/>
    </xf>
    <xf numFmtId="179" fontId="24" fillId="10" borderId="1" xfId="0" applyFont="1" applyFill="1" applyBorder="1">
      <alignment vertical="center"/>
    </xf>
    <xf numFmtId="43" fontId="24" fillId="10" borderId="1" xfId="185" applyFont="1" applyFill="1" applyBorder="1">
      <alignment vertical="center"/>
    </xf>
    <xf numFmtId="177" fontId="5" fillId="10" borderId="1" xfId="1" applyNumberFormat="1" applyFont="1" applyFill="1" applyBorder="1">
      <alignment vertical="center"/>
    </xf>
    <xf numFmtId="186" fontId="0" fillId="0" borderId="0" xfId="185" applyNumberFormat="1" applyFont="1">
      <alignment vertical="center"/>
    </xf>
    <xf numFmtId="179" fontId="5" fillId="4" borderId="0" xfId="1" applyFont="1" applyFill="1" applyAlignment="1">
      <alignment horizontal="left" vertical="center"/>
    </xf>
    <xf numFmtId="14" fontId="5" fillId="4" borderId="0" xfId="0" applyNumberFormat="1" applyFont="1" applyFill="1">
      <alignment vertical="center"/>
    </xf>
    <xf numFmtId="180" fontId="5" fillId="4" borderId="0" xfId="17" applyNumberFormat="1" applyFont="1" applyFill="1" applyAlignment="1">
      <alignment horizontal="center" vertical="center"/>
    </xf>
    <xf numFmtId="179" fontId="5" fillId="4" borderId="0" xfId="0" applyFont="1" applyFill="1">
      <alignment vertical="center"/>
    </xf>
    <xf numFmtId="179" fontId="5" fillId="2" borderId="1" xfId="1" applyFont="1" applyFill="1" applyBorder="1" applyAlignment="1">
      <alignment horizontal="left" vertical="center" wrapText="1"/>
    </xf>
    <xf numFmtId="179" fontId="20" fillId="2" borderId="1" xfId="0" applyFont="1" applyFill="1" applyBorder="1">
      <alignment vertical="center"/>
    </xf>
    <xf numFmtId="43" fontId="18" fillId="2" borderId="0" xfId="121" applyFont="1" applyFill="1">
      <alignment vertical="center"/>
    </xf>
    <xf numFmtId="179" fontId="5" fillId="4" borderId="1" xfId="1" applyFont="1" applyFill="1" applyBorder="1" applyAlignment="1">
      <alignment horizontal="left" vertical="center"/>
    </xf>
    <xf numFmtId="14" fontId="4" fillId="4" borderId="1" xfId="1" applyNumberFormat="1" applyFont="1" applyFill="1" applyBorder="1">
      <alignment vertical="center"/>
    </xf>
    <xf numFmtId="43" fontId="5" fillId="4" borderId="1" xfId="6" applyFont="1" applyFill="1" applyBorder="1">
      <alignment vertical="center"/>
    </xf>
    <xf numFmtId="179" fontId="5" fillId="4" borderId="1" xfId="1" applyFont="1" applyFill="1" applyBorder="1" applyAlignment="1">
      <alignment vertical="center" wrapText="1"/>
    </xf>
    <xf numFmtId="176" fontId="4" fillId="4" borderId="0" xfId="6" applyNumberFormat="1" applyFont="1" applyFill="1">
      <alignment vertical="center"/>
    </xf>
    <xf numFmtId="43" fontId="4" fillId="4" borderId="0" xfId="6" applyFont="1" applyFill="1">
      <alignment vertical="center"/>
    </xf>
    <xf numFmtId="43" fontId="5" fillId="4" borderId="0" xfId="6" applyFont="1" applyFill="1">
      <alignment vertical="center"/>
    </xf>
    <xf numFmtId="43" fontId="5" fillId="4" borderId="0" xfId="185" applyFont="1" applyFill="1">
      <alignment vertical="center"/>
    </xf>
    <xf numFmtId="179" fontId="6" fillId="4" borderId="0" xfId="1" applyFont="1" applyFill="1">
      <alignment vertical="center"/>
    </xf>
    <xf numFmtId="14" fontId="7" fillId="4" borderId="0" xfId="6" applyNumberFormat="1" applyFont="1" applyFill="1" applyAlignment="1">
      <alignment horizontal="center" vertical="center"/>
    </xf>
    <xf numFmtId="179" fontId="0" fillId="4" borderId="0" xfId="0" applyFill="1">
      <alignment vertical="center"/>
    </xf>
    <xf numFmtId="179" fontId="5" fillId="9" borderId="1" xfId="1" applyFont="1" applyFill="1" applyBorder="1" applyAlignment="1">
      <alignment horizontal="left" vertical="center"/>
    </xf>
    <xf numFmtId="179" fontId="5" fillId="9" borderId="1" xfId="1" applyFont="1" applyFill="1" applyBorder="1">
      <alignment vertical="center"/>
    </xf>
    <xf numFmtId="14" fontId="5" fillId="9" borderId="1" xfId="1" applyNumberFormat="1" applyFont="1" applyFill="1" applyBorder="1">
      <alignment vertical="center"/>
    </xf>
    <xf numFmtId="14" fontId="4" fillId="9" borderId="1" xfId="1" applyNumberFormat="1" applyFont="1" applyFill="1" applyBorder="1">
      <alignment vertical="center"/>
    </xf>
    <xf numFmtId="177" fontId="5" fillId="9" borderId="1" xfId="1" applyNumberFormat="1" applyFont="1" applyFill="1" applyBorder="1">
      <alignment vertical="center"/>
    </xf>
    <xf numFmtId="43" fontId="5" fillId="9" borderId="1" xfId="6" applyFont="1" applyFill="1" applyBorder="1">
      <alignment vertical="center"/>
    </xf>
    <xf numFmtId="179" fontId="5" fillId="9" borderId="1" xfId="1" applyFont="1" applyFill="1" applyBorder="1" applyAlignment="1">
      <alignment vertical="center" wrapText="1"/>
    </xf>
    <xf numFmtId="176" fontId="4" fillId="9" borderId="0" xfId="6" applyNumberFormat="1" applyFont="1" applyFill="1">
      <alignment vertical="center"/>
    </xf>
    <xf numFmtId="43" fontId="4" fillId="9" borderId="0" xfId="6" applyFont="1" applyFill="1">
      <alignment vertical="center"/>
    </xf>
    <xf numFmtId="43" fontId="5" fillId="9" borderId="0" xfId="6" applyFont="1" applyFill="1">
      <alignment vertical="center"/>
    </xf>
    <xf numFmtId="43" fontId="5" fillId="9" borderId="0" xfId="185" applyFont="1" applyFill="1">
      <alignment vertical="center"/>
    </xf>
    <xf numFmtId="179" fontId="6" fillId="9" borderId="0" xfId="1" applyFont="1" applyFill="1">
      <alignment vertical="center"/>
    </xf>
    <xf numFmtId="14" fontId="7" fillId="9" borderId="0" xfId="6" applyNumberFormat="1" applyFont="1" applyFill="1" applyAlignment="1">
      <alignment horizontal="center" vertical="center"/>
    </xf>
    <xf numFmtId="179" fontId="0" fillId="9" borderId="0" xfId="0" applyFill="1">
      <alignment vertical="center"/>
    </xf>
    <xf numFmtId="14" fontId="5" fillId="0" borderId="1" xfId="1" applyNumberFormat="1" applyFont="1" applyBorder="1">
      <alignment vertical="center"/>
    </xf>
    <xf numFmtId="14" fontId="4" fillId="0" borderId="1" xfId="1" applyNumberFormat="1" applyFont="1" applyBorder="1">
      <alignment vertical="center"/>
    </xf>
    <xf numFmtId="176" fontId="5" fillId="0" borderId="1" xfId="1" applyNumberFormat="1" applyFont="1" applyBorder="1">
      <alignment vertical="center"/>
    </xf>
    <xf numFmtId="177" fontId="5" fillId="0" borderId="1" xfId="1" applyNumberFormat="1" applyFont="1" applyBorder="1">
      <alignment vertical="center"/>
    </xf>
    <xf numFmtId="43" fontId="5" fillId="0" borderId="1" xfId="6" applyFont="1" applyBorder="1">
      <alignment vertical="center"/>
    </xf>
    <xf numFmtId="179" fontId="5" fillId="0" borderId="1" xfId="1" applyFont="1" applyBorder="1" applyAlignment="1">
      <alignment vertical="center" wrapText="1"/>
    </xf>
    <xf numFmtId="176" fontId="4" fillId="0" borderId="0" xfId="6" applyNumberFormat="1" applyFont="1">
      <alignment vertical="center"/>
    </xf>
    <xf numFmtId="43" fontId="4" fillId="0" borderId="0" xfId="6" applyFont="1">
      <alignment vertical="center"/>
    </xf>
    <xf numFmtId="43" fontId="5" fillId="0" borderId="0" xfId="6" applyFont="1">
      <alignment vertical="center"/>
    </xf>
    <xf numFmtId="43" fontId="5" fillId="0" borderId="0" xfId="185" applyFont="1">
      <alignment vertical="center"/>
    </xf>
    <xf numFmtId="179" fontId="6" fillId="0" borderId="0" xfId="1" applyFont="1">
      <alignment vertical="center"/>
    </xf>
    <xf numFmtId="14" fontId="7" fillId="0" borderId="0" xfId="6" applyNumberFormat="1" applyFont="1" applyAlignment="1">
      <alignment horizontal="center" vertical="center"/>
    </xf>
    <xf numFmtId="181" fontId="18" fillId="2" borderId="1" xfId="0" applyNumberFormat="1" applyFont="1" applyFill="1" applyBorder="1">
      <alignment vertical="center"/>
    </xf>
    <xf numFmtId="176" fontId="18" fillId="2" borderId="1" xfId="0" applyNumberFormat="1" applyFont="1" applyFill="1" applyBorder="1">
      <alignment vertical="center"/>
    </xf>
    <xf numFmtId="187" fontId="4" fillId="11" borderId="1" xfId="17" applyNumberFormat="1" applyFont="1" applyFill="1" applyBorder="1" applyAlignment="1">
      <alignment vertical="center" shrinkToFit="1"/>
    </xf>
    <xf numFmtId="187" fontId="4" fillId="15" borderId="1" xfId="17" applyNumberFormat="1" applyFont="1" applyFill="1" applyBorder="1" applyAlignment="1">
      <alignment vertical="center" shrinkToFit="1"/>
    </xf>
    <xf numFmtId="187" fontId="4" fillId="16" borderId="1" xfId="17" applyNumberFormat="1" applyFont="1" applyFill="1" applyBorder="1" applyAlignment="1">
      <alignment vertical="center" shrinkToFit="1"/>
    </xf>
    <xf numFmtId="176" fontId="4" fillId="11" borderId="0" xfId="6" applyNumberFormat="1" applyFont="1" applyFill="1">
      <alignment vertical="center"/>
    </xf>
    <xf numFmtId="176" fontId="4" fillId="16" borderId="0" xfId="6" applyNumberFormat="1" applyFont="1" applyFill="1">
      <alignment vertical="center"/>
    </xf>
    <xf numFmtId="176" fontId="4" fillId="15" borderId="0" xfId="6" applyNumberFormat="1" applyFont="1" applyFill="1">
      <alignment vertical="center"/>
    </xf>
    <xf numFmtId="187" fontId="4" fillId="0" borderId="1" xfId="17" applyNumberFormat="1" applyFont="1" applyBorder="1" applyAlignment="1">
      <alignment vertical="center" shrinkToFit="1"/>
    </xf>
    <xf numFmtId="187" fontId="5" fillId="2" borderId="0" xfId="17" applyNumberFormat="1" applyFont="1" applyFill="1" applyAlignment="1">
      <alignment horizontal="center" vertical="center"/>
    </xf>
    <xf numFmtId="179" fontId="4" fillId="0" borderId="1" xfId="168" applyFont="1" applyBorder="1" applyAlignment="1">
      <alignment horizontal="center" vertical="center" shrinkToFit="1"/>
    </xf>
    <xf numFmtId="176" fontId="44" fillId="0" borderId="1" xfId="0" applyNumberFormat="1" applyFont="1" applyBorder="1" applyAlignment="1">
      <alignment horizontal="right" vertical="center"/>
    </xf>
    <xf numFmtId="43" fontId="19" fillId="0" borderId="1" xfId="185" applyFont="1" applyBorder="1" applyAlignment="1">
      <alignment horizontal="right" vertical="center"/>
    </xf>
    <xf numFmtId="43" fontId="5" fillId="0" borderId="1" xfId="185" applyFont="1" applyBorder="1" applyAlignment="1">
      <alignment horizontal="right" vertical="center"/>
    </xf>
    <xf numFmtId="176" fontId="5" fillId="0" borderId="1" xfId="0" applyNumberFormat="1" applyFont="1" applyBorder="1" applyAlignment="1">
      <alignment horizontal="right" vertical="center"/>
    </xf>
    <xf numFmtId="181" fontId="38" fillId="0" borderId="1" xfId="0" applyNumberFormat="1" applyFont="1" applyBorder="1">
      <alignment vertical="center"/>
    </xf>
    <xf numFmtId="43" fontId="40" fillId="0" borderId="1" xfId="185" applyFont="1" applyBorder="1">
      <alignment vertical="center"/>
    </xf>
    <xf numFmtId="43" fontId="4" fillId="0" borderId="0" xfId="185" applyFont="1">
      <alignment vertical="center"/>
    </xf>
    <xf numFmtId="43" fontId="18" fillId="2" borderId="0" xfId="0" applyNumberFormat="1" applyFont="1" applyFill="1">
      <alignment vertical="center"/>
    </xf>
    <xf numFmtId="180" fontId="18" fillId="2" borderId="0" xfId="0" applyNumberFormat="1" applyFont="1" applyFill="1">
      <alignment vertical="center"/>
    </xf>
    <xf numFmtId="187" fontId="18" fillId="2" borderId="0" xfId="0" applyNumberFormat="1" applyFont="1" applyFill="1">
      <alignment vertical="center"/>
    </xf>
    <xf numFmtId="179" fontId="4" fillId="11" borderId="1" xfId="0" applyFont="1" applyFill="1" applyBorder="1" applyAlignment="1">
      <alignment vertical="center" shrinkToFit="1"/>
    </xf>
    <xf numFmtId="179" fontId="0" fillId="0" borderId="2" xfId="0" applyBorder="1">
      <alignment vertical="center"/>
    </xf>
    <xf numFmtId="14" fontId="5" fillId="4" borderId="2" xfId="1" applyNumberFormat="1" applyFont="1" applyFill="1" applyBorder="1">
      <alignment vertical="center"/>
    </xf>
    <xf numFmtId="176" fontId="5" fillId="4" borderId="2" xfId="1" applyNumberFormat="1" applyFont="1" applyFill="1" applyBorder="1">
      <alignment vertical="center"/>
    </xf>
    <xf numFmtId="177" fontId="5" fillId="4" borderId="2" xfId="1" applyNumberFormat="1" applyFont="1" applyFill="1" applyBorder="1">
      <alignment vertical="center"/>
    </xf>
    <xf numFmtId="179" fontId="5" fillId="0" borderId="2" xfId="1" applyFont="1" applyBorder="1">
      <alignment vertical="center"/>
    </xf>
    <xf numFmtId="176" fontId="5" fillId="0" borderId="0" xfId="1" applyNumberFormat="1" applyFont="1">
      <alignment vertical="center"/>
    </xf>
    <xf numFmtId="179" fontId="49" fillId="2" borderId="1" xfId="1" applyFont="1" applyFill="1" applyBorder="1" applyAlignment="1">
      <alignment horizontal="left" vertical="center"/>
    </xf>
    <xf numFmtId="179" fontId="49" fillId="2" borderId="1" xfId="1" applyFont="1" applyFill="1" applyBorder="1">
      <alignment vertical="center"/>
    </xf>
    <xf numFmtId="14" fontId="49" fillId="2" borderId="1" xfId="1" applyNumberFormat="1" applyFont="1" applyFill="1" applyBorder="1">
      <alignment vertical="center"/>
    </xf>
    <xf numFmtId="176" fontId="49" fillId="2" borderId="1" xfId="1" applyNumberFormat="1" applyFont="1" applyFill="1" applyBorder="1">
      <alignment vertical="center"/>
    </xf>
    <xf numFmtId="177" fontId="49" fillId="2" borderId="1" xfId="1" applyNumberFormat="1" applyFont="1" applyFill="1" applyBorder="1">
      <alignment vertical="center"/>
    </xf>
    <xf numFmtId="43" fontId="49" fillId="2" borderId="1" xfId="6" applyFont="1" applyFill="1" applyBorder="1">
      <alignment vertical="center"/>
    </xf>
    <xf numFmtId="179" fontId="49" fillId="2" borderId="1" xfId="1" applyFont="1" applyFill="1" applyBorder="1" applyAlignment="1">
      <alignment vertical="center" wrapText="1"/>
    </xf>
    <xf numFmtId="176" fontId="49" fillId="2" borderId="0" xfId="6" applyNumberFormat="1" applyFont="1" applyFill="1">
      <alignment vertical="center"/>
    </xf>
    <xf numFmtId="43" fontId="49" fillId="2" borderId="0" xfId="6" applyFont="1" applyFill="1">
      <alignment vertical="center"/>
    </xf>
    <xf numFmtId="43" fontId="49" fillId="2" borderId="0" xfId="185" applyFont="1" applyFill="1">
      <alignment vertical="center"/>
    </xf>
    <xf numFmtId="179" fontId="50" fillId="2" borderId="0" xfId="1" applyFont="1" applyFill="1">
      <alignment vertical="center"/>
    </xf>
    <xf numFmtId="14" fontId="50" fillId="2" borderId="0" xfId="6" applyNumberFormat="1" applyFont="1" applyFill="1" applyAlignment="1">
      <alignment horizontal="center" vertical="center"/>
    </xf>
    <xf numFmtId="179" fontId="51" fillId="2" borderId="0" xfId="0" applyFont="1" applyFill="1">
      <alignment vertical="center"/>
    </xf>
    <xf numFmtId="179" fontId="0" fillId="10" borderId="1" xfId="0" applyFill="1" applyBorder="1">
      <alignment vertical="center"/>
    </xf>
    <xf numFmtId="43" fontId="4" fillId="0" borderId="0" xfId="185" applyFont="1" applyAlignment="1">
      <alignment horizontal="right" vertical="center" shrinkToFit="1"/>
    </xf>
    <xf numFmtId="176" fontId="4" fillId="2" borderId="0" xfId="163" applyNumberFormat="1" applyFont="1" applyFill="1" applyAlignment="1">
      <alignment horizontal="right" vertical="center" shrinkToFit="1"/>
    </xf>
    <xf numFmtId="179" fontId="0" fillId="0" borderId="1" xfId="0" applyBorder="1" applyAlignment="1">
      <alignment vertical="center" shrinkToFit="1"/>
    </xf>
    <xf numFmtId="179" fontId="0" fillId="4" borderId="1" xfId="0" applyFill="1" applyBorder="1" applyAlignment="1">
      <alignment vertical="center" shrinkToFit="1"/>
    </xf>
    <xf numFmtId="176" fontId="4" fillId="4" borderId="0" xfId="163" applyNumberFormat="1" applyFont="1" applyFill="1" applyAlignment="1">
      <alignment horizontal="right" vertical="center" shrinkToFit="1"/>
    </xf>
    <xf numFmtId="176" fontId="4" fillId="0" borderId="0" xfId="163" applyNumberFormat="1" applyFont="1" applyAlignment="1">
      <alignment horizontal="right" vertical="center" shrinkToFit="1"/>
    </xf>
    <xf numFmtId="179" fontId="5" fillId="2" borderId="0" xfId="1" applyFont="1" applyFill="1" applyAlignment="1" applyProtection="1">
      <alignment horizontal="left" vertical="center"/>
    </xf>
    <xf numFmtId="179" fontId="5" fillId="2" borderId="0" xfId="0" applyFont="1" applyFill="1" applyProtection="1">
      <alignment vertical="center"/>
    </xf>
    <xf numFmtId="14" fontId="5" fillId="2" borderId="0" xfId="0" applyNumberFormat="1" applyFont="1" applyFill="1" applyProtection="1">
      <alignment vertical="center"/>
    </xf>
    <xf numFmtId="187" fontId="5" fillId="2" borderId="0" xfId="17" applyNumberFormat="1" applyFont="1" applyFill="1" applyAlignment="1" applyProtection="1">
      <alignment horizontal="center" vertical="center"/>
    </xf>
    <xf numFmtId="179" fontId="36" fillId="2" borderId="0" xfId="0" applyFont="1" applyFill="1" applyProtection="1">
      <alignment vertical="center"/>
    </xf>
    <xf numFmtId="179" fontId="4" fillId="0" borderId="1" xfId="0" applyFont="1" applyFill="1" applyBorder="1" applyAlignment="1">
      <alignment horizontal="left" vertical="center" shrinkToFit="1"/>
    </xf>
    <xf numFmtId="176" fontId="5" fillId="22" borderId="1" xfId="1" applyNumberFormat="1" applyFont="1" applyFill="1" applyBorder="1">
      <alignment vertical="center"/>
    </xf>
    <xf numFmtId="176" fontId="4" fillId="0" borderId="1" xfId="17" applyNumberFormat="1" applyFont="1" applyFill="1" applyBorder="1" applyAlignment="1">
      <alignment horizontal="right" vertical="center" shrinkToFit="1"/>
    </xf>
    <xf numFmtId="176" fontId="5" fillId="12" borderId="1" xfId="1" applyNumberFormat="1" applyFont="1" applyFill="1" applyBorder="1">
      <alignment vertical="center"/>
    </xf>
    <xf numFmtId="176" fontId="5" fillId="23" borderId="1" xfId="1" applyNumberFormat="1" applyFont="1" applyFill="1" applyBorder="1">
      <alignment vertical="center"/>
    </xf>
    <xf numFmtId="176" fontId="4" fillId="0" borderId="1" xfId="163" applyNumberFormat="1" applyFont="1" applyFill="1" applyBorder="1" applyAlignment="1">
      <alignment horizontal="right" vertical="center" shrinkToFit="1"/>
    </xf>
    <xf numFmtId="176" fontId="4" fillId="7" borderId="1" xfId="163" applyNumberFormat="1" applyFont="1" applyFill="1" applyBorder="1" applyAlignment="1">
      <alignment horizontal="right" vertical="center" shrinkToFit="1"/>
    </xf>
    <xf numFmtId="176" fontId="5" fillId="8" borderId="1" xfId="1" applyNumberFormat="1" applyFont="1" applyFill="1" applyBorder="1">
      <alignment vertical="center"/>
    </xf>
    <xf numFmtId="176" fontId="5" fillId="0" borderId="1" xfId="1" applyNumberFormat="1" applyFont="1" applyFill="1" applyBorder="1">
      <alignment vertical="center"/>
    </xf>
    <xf numFmtId="177" fontId="5" fillId="0" borderId="1" xfId="1" applyNumberFormat="1" applyFont="1" applyFill="1" applyBorder="1">
      <alignment vertical="center"/>
    </xf>
    <xf numFmtId="179" fontId="5" fillId="2" borderId="7" xfId="1" applyFont="1" applyFill="1" applyBorder="1">
      <alignment vertical="center"/>
    </xf>
    <xf numFmtId="179" fontId="5" fillId="4" borderId="7" xfId="1" applyFont="1" applyFill="1" applyBorder="1">
      <alignment vertical="center"/>
    </xf>
    <xf numFmtId="177" fontId="5" fillId="0" borderId="9" xfId="1" applyNumberFormat="1" applyFont="1" applyFill="1" applyBorder="1">
      <alignment vertical="center"/>
    </xf>
    <xf numFmtId="177" fontId="5" fillId="4" borderId="9" xfId="1" applyNumberFormat="1" applyFont="1" applyFill="1" applyBorder="1">
      <alignment vertical="center"/>
    </xf>
    <xf numFmtId="176" fontId="5" fillId="0" borderId="5" xfId="1" applyNumberFormat="1" applyFont="1" applyFill="1" applyBorder="1">
      <alignment vertical="center"/>
    </xf>
    <xf numFmtId="176" fontId="11" fillId="10" borderId="10" xfId="1" applyNumberFormat="1" applyFont="1" applyFill="1" applyBorder="1">
      <alignment vertical="center"/>
    </xf>
    <xf numFmtId="176" fontId="11" fillId="10" borderId="11" xfId="1" applyNumberFormat="1" applyFont="1" applyFill="1" applyBorder="1">
      <alignment vertical="center"/>
    </xf>
    <xf numFmtId="176" fontId="11" fillId="10" borderId="12" xfId="1" applyNumberFormat="1" applyFont="1" applyFill="1" applyBorder="1">
      <alignment vertical="center"/>
    </xf>
    <xf numFmtId="14" fontId="4" fillId="2" borderId="1" xfId="157" applyNumberFormat="1" applyFont="1" applyFill="1" applyBorder="1">
      <alignment vertical="center"/>
    </xf>
    <xf numFmtId="14" fontId="0" fillId="2" borderId="0" xfId="0" applyNumberFormat="1" applyFill="1">
      <alignment vertical="center"/>
    </xf>
    <xf numFmtId="14" fontId="4" fillId="3" borderId="1" xfId="168" applyNumberFormat="1" applyFont="1" applyFill="1" applyBorder="1" applyAlignment="1">
      <alignment horizontal="left" vertical="center" shrinkToFit="1"/>
    </xf>
    <xf numFmtId="14" fontId="4" fillId="2" borderId="1" xfId="0" applyNumberFormat="1" applyFont="1" applyFill="1" applyBorder="1" applyAlignment="1">
      <alignment horizontal="left" vertical="center" shrinkToFit="1"/>
    </xf>
    <xf numFmtId="14" fontId="4" fillId="0" borderId="1" xfId="0" applyNumberFormat="1" applyFont="1" applyBorder="1" applyAlignment="1">
      <alignment horizontal="left" vertical="center" shrinkToFit="1"/>
    </xf>
    <xf numFmtId="14" fontId="4" fillId="2" borderId="1" xfId="165" applyNumberFormat="1" applyFont="1" applyFill="1" applyBorder="1" applyAlignment="1">
      <alignment horizontal="left" vertical="center" shrinkToFit="1"/>
    </xf>
    <xf numFmtId="14" fontId="4" fillId="4" borderId="1" xfId="0" applyNumberFormat="1" applyFont="1" applyFill="1" applyBorder="1" applyAlignment="1">
      <alignment horizontal="left" vertical="center" shrinkToFit="1"/>
    </xf>
    <xf numFmtId="14" fontId="4" fillId="10" borderId="1" xfId="0" applyNumberFormat="1" applyFont="1" applyFill="1" applyBorder="1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14" fontId="4" fillId="9" borderId="1" xfId="0" applyNumberFormat="1" applyFont="1" applyFill="1" applyBorder="1" applyAlignment="1">
      <alignment horizontal="left" vertical="center" shrinkToFit="1"/>
    </xf>
    <xf numFmtId="179" fontId="5" fillId="11" borderId="1" xfId="1" applyFont="1" applyFill="1" applyBorder="1" applyAlignment="1">
      <alignment horizontal="left" vertical="center"/>
    </xf>
    <xf numFmtId="179" fontId="5" fillId="11" borderId="1" xfId="1" applyFont="1" applyFill="1" applyBorder="1">
      <alignment vertical="center"/>
    </xf>
    <xf numFmtId="14" fontId="5" fillId="11" borderId="1" xfId="1" applyNumberFormat="1" applyFont="1" applyFill="1" applyBorder="1">
      <alignment vertical="center"/>
    </xf>
    <xf numFmtId="14" fontId="4" fillId="11" borderId="1" xfId="1" applyNumberFormat="1" applyFont="1" applyFill="1" applyBorder="1">
      <alignment vertical="center"/>
    </xf>
    <xf numFmtId="176" fontId="5" fillId="11" borderId="1" xfId="1" applyNumberFormat="1" applyFont="1" applyFill="1" applyBorder="1">
      <alignment vertical="center"/>
    </xf>
    <xf numFmtId="177" fontId="5" fillId="11" borderId="1" xfId="1" applyNumberFormat="1" applyFont="1" applyFill="1" applyBorder="1">
      <alignment vertical="center"/>
    </xf>
    <xf numFmtId="43" fontId="5" fillId="11" borderId="1" xfId="6" applyFont="1" applyFill="1" applyBorder="1">
      <alignment vertical="center"/>
    </xf>
    <xf numFmtId="179" fontId="5" fillId="11" borderId="1" xfId="1" applyFont="1" applyFill="1" applyBorder="1" applyAlignment="1">
      <alignment vertical="center" wrapText="1"/>
    </xf>
    <xf numFmtId="43" fontId="4" fillId="11" borderId="0" xfId="6" applyFont="1" applyFill="1">
      <alignment vertical="center"/>
    </xf>
    <xf numFmtId="43" fontId="5" fillId="11" borderId="0" xfId="6" applyFont="1" applyFill="1">
      <alignment vertical="center"/>
    </xf>
    <xf numFmtId="43" fontId="5" fillId="11" borderId="0" xfId="185" applyFont="1" applyFill="1">
      <alignment vertical="center"/>
    </xf>
    <xf numFmtId="179" fontId="6" fillId="11" borderId="0" xfId="1" applyFont="1" applyFill="1">
      <alignment vertical="center"/>
    </xf>
    <xf numFmtId="14" fontId="7" fillId="11" borderId="0" xfId="6" applyNumberFormat="1" applyFont="1" applyFill="1" applyAlignment="1">
      <alignment horizontal="center" vertical="center"/>
    </xf>
    <xf numFmtId="179" fontId="0" fillId="11" borderId="0" xfId="0" applyFill="1">
      <alignment vertical="center"/>
    </xf>
    <xf numFmtId="179" fontId="5" fillId="0" borderId="1" xfId="1" applyFont="1" applyFill="1" applyBorder="1" applyAlignment="1">
      <alignment horizontal="left" vertical="center"/>
    </xf>
    <xf numFmtId="179" fontId="5" fillId="0" borderId="1" xfId="1" applyFont="1" applyFill="1" applyBorder="1">
      <alignment vertical="center"/>
    </xf>
    <xf numFmtId="14" fontId="5" fillId="0" borderId="1" xfId="1" applyNumberFormat="1" applyFont="1" applyFill="1" applyBorder="1">
      <alignment vertical="center"/>
    </xf>
    <xf numFmtId="176" fontId="4" fillId="2" borderId="1" xfId="6" applyNumberFormat="1" applyFont="1" applyFill="1" applyBorder="1">
      <alignment vertical="center"/>
    </xf>
    <xf numFmtId="14" fontId="4" fillId="11" borderId="1" xfId="0" applyNumberFormat="1" applyFont="1" applyFill="1" applyBorder="1" applyAlignment="1">
      <alignment horizontal="left" vertical="center" shrinkToFit="1"/>
    </xf>
    <xf numFmtId="176" fontId="4" fillId="11" borderId="1" xfId="17" applyNumberFormat="1" applyFont="1" applyFill="1" applyBorder="1" applyAlignment="1">
      <alignment horizontal="right" vertical="center" shrinkToFit="1"/>
    </xf>
    <xf numFmtId="179" fontId="4" fillId="11" borderId="1" xfId="0" applyFont="1" applyFill="1" applyBorder="1" applyAlignment="1">
      <alignment horizontal="right" vertical="center" shrinkToFit="1"/>
    </xf>
    <xf numFmtId="176" fontId="4" fillId="11" borderId="1" xfId="163" applyNumberFormat="1" applyFont="1" applyFill="1" applyBorder="1" applyAlignment="1">
      <alignment horizontal="right" vertical="center" shrinkToFit="1"/>
    </xf>
    <xf numFmtId="43" fontId="4" fillId="11" borderId="1" xfId="17" applyFont="1" applyFill="1" applyBorder="1" applyAlignment="1">
      <alignment vertical="center" shrinkToFit="1"/>
    </xf>
    <xf numFmtId="43" fontId="4" fillId="11" borderId="0" xfId="17" applyFont="1" applyFill="1" applyAlignment="1">
      <alignment vertical="center" shrinkToFit="1"/>
    </xf>
    <xf numFmtId="179" fontId="4" fillId="11" borderId="0" xfId="0" applyFont="1" applyFill="1" applyAlignment="1">
      <alignment vertical="center" shrinkToFit="1"/>
    </xf>
    <xf numFmtId="14" fontId="4" fillId="11" borderId="0" xfId="0" applyNumberFormat="1" applyFont="1" applyFill="1" applyAlignment="1">
      <alignment vertical="center" shrinkToFit="1"/>
    </xf>
    <xf numFmtId="179" fontId="0" fillId="11" borderId="0" xfId="0" applyFill="1" applyAlignment="1">
      <alignment vertical="center" shrinkToFit="1"/>
    </xf>
    <xf numFmtId="179" fontId="4" fillId="0" borderId="1" xfId="0" applyFont="1" applyFill="1" applyBorder="1" applyAlignment="1">
      <alignment vertical="center" shrinkToFit="1"/>
    </xf>
    <xf numFmtId="43" fontId="4" fillId="0" borderId="1" xfId="17" applyFont="1" applyFill="1" applyBorder="1" applyAlignment="1">
      <alignment vertical="center" shrinkToFit="1"/>
    </xf>
    <xf numFmtId="176" fontId="11" fillId="0" borderId="1" xfId="1" applyNumberFormat="1" applyFont="1" applyFill="1" applyBorder="1">
      <alignment vertical="center"/>
    </xf>
    <xf numFmtId="176" fontId="11" fillId="4" borderId="2" xfId="1" applyNumberFormat="1" applyFont="1" applyFill="1" applyBorder="1">
      <alignment vertical="center"/>
    </xf>
    <xf numFmtId="43" fontId="33" fillId="0" borderId="1" xfId="17" applyFont="1" applyFill="1" applyBorder="1" applyAlignment="1">
      <alignment vertical="center" shrinkToFit="1"/>
    </xf>
    <xf numFmtId="176" fontId="33" fillId="0" borderId="1" xfId="6" applyNumberFormat="1" applyFont="1" applyFill="1" applyBorder="1">
      <alignment vertical="center"/>
    </xf>
    <xf numFmtId="176" fontId="33" fillId="2" borderId="1" xfId="6" applyNumberFormat="1" applyFont="1" applyFill="1" applyBorder="1">
      <alignment vertical="center"/>
    </xf>
    <xf numFmtId="43" fontId="33" fillId="4" borderId="1" xfId="17" applyFont="1" applyFill="1" applyBorder="1" applyAlignment="1">
      <alignment vertical="center" shrinkToFit="1"/>
    </xf>
    <xf numFmtId="43" fontId="33" fillId="2" borderId="1" xfId="17" applyFont="1" applyFill="1" applyBorder="1" applyAlignment="1">
      <alignment vertical="center" shrinkToFit="1"/>
    </xf>
    <xf numFmtId="179" fontId="4" fillId="0" borderId="3" xfId="0" applyFont="1" applyBorder="1" applyAlignment="1">
      <alignment horizontal="left" vertical="center" shrinkToFit="1"/>
    </xf>
    <xf numFmtId="179" fontId="4" fillId="0" borderId="0" xfId="0" applyFont="1" applyAlignment="1">
      <alignment horizontal="left" vertical="center" shrinkToFit="1"/>
    </xf>
    <xf numFmtId="179" fontId="5" fillId="2" borderId="5" xfId="1" applyFont="1" applyFill="1" applyBorder="1" applyAlignment="1">
      <alignment horizontal="center" vertical="center"/>
    </xf>
    <xf numFmtId="179" fontId="5" fillId="2" borderId="2" xfId="1" applyFont="1" applyFill="1" applyBorder="1" applyAlignment="1">
      <alignment horizontal="center" vertical="center"/>
    </xf>
    <xf numFmtId="14" fontId="5" fillId="2" borderId="5" xfId="1" applyNumberFormat="1" applyFont="1" applyFill="1" applyBorder="1" applyAlignment="1">
      <alignment horizontal="center" vertical="center"/>
    </xf>
    <xf numFmtId="14" fontId="5" fillId="2" borderId="2" xfId="1" applyNumberFormat="1" applyFont="1" applyFill="1" applyBorder="1" applyAlignment="1">
      <alignment horizontal="center" vertical="center"/>
    </xf>
    <xf numFmtId="179" fontId="5" fillId="2" borderId="6" xfId="1" applyFont="1" applyFill="1" applyBorder="1" applyAlignment="1">
      <alignment horizontal="center" vertical="center"/>
    </xf>
    <xf numFmtId="177" fontId="5" fillId="0" borderId="5" xfId="1" applyNumberFormat="1" applyFont="1" applyFill="1" applyBorder="1" applyAlignment="1">
      <alignment horizontal="center" vertical="center"/>
    </xf>
    <xf numFmtId="177" fontId="5" fillId="0" borderId="8" xfId="1" applyNumberFormat="1" applyFont="1" applyFill="1" applyBorder="1" applyAlignment="1">
      <alignment horizontal="center" vertical="center"/>
    </xf>
  </cellXfs>
  <cellStyles count="197">
    <cellStyle name="20% - 着色 1 2" xfId="195" xr:uid="{00000000-0005-0000-0000-000000000000}"/>
    <cellStyle name="20% - 着色 3 2" xfId="187" xr:uid="{00000000-0005-0000-0000-000001000000}"/>
    <cellStyle name="20% - 着色 6 2" xfId="193" xr:uid="{00000000-0005-0000-0000-000002000000}"/>
    <cellStyle name="Comma_summary" xfId="2" xr:uid="{00000000-0005-0000-0000-000003000000}"/>
    <cellStyle name="百分比 2" xfId="192" xr:uid="{00000000-0005-0000-0000-000004000000}"/>
    <cellStyle name="差 2" xfId="189" xr:uid="{00000000-0005-0000-0000-000005000000}"/>
    <cellStyle name="常规" xfId="0" builtinId="0"/>
    <cellStyle name="常规 10" xfId="3" xr:uid="{00000000-0005-0000-0000-000007000000}"/>
    <cellStyle name="常规 11" xfId="139" xr:uid="{00000000-0005-0000-0000-000008000000}"/>
    <cellStyle name="常规 12" xfId="165" xr:uid="{00000000-0005-0000-0000-000009000000}"/>
    <cellStyle name="常规 13" xfId="168" xr:uid="{00000000-0005-0000-0000-00000A000000}"/>
    <cellStyle name="常规 14" xfId="160" xr:uid="{00000000-0005-0000-0000-00000B000000}"/>
    <cellStyle name="常规 15" xfId="186" xr:uid="{00000000-0005-0000-0000-00000C000000}"/>
    <cellStyle name="常规 16" xfId="27" xr:uid="{00000000-0005-0000-0000-00000D000000}"/>
    <cellStyle name="常规 17" xfId="29" xr:uid="{00000000-0005-0000-0000-00000E000000}"/>
    <cellStyle name="常规 18" xfId="31" xr:uid="{00000000-0005-0000-0000-00000F000000}"/>
    <cellStyle name="常规 19" xfId="33" xr:uid="{00000000-0005-0000-0000-000010000000}"/>
    <cellStyle name="常规 2" xfId="1" xr:uid="{00000000-0005-0000-0000-000011000000}"/>
    <cellStyle name="常规 2 10" xfId="164" xr:uid="{00000000-0005-0000-0000-000012000000}"/>
    <cellStyle name="常规 2 11" xfId="169" xr:uid="{00000000-0005-0000-0000-000013000000}"/>
    <cellStyle name="常规 2 12" xfId="175" xr:uid="{00000000-0005-0000-0000-000014000000}"/>
    <cellStyle name="常规 2 13" xfId="196" xr:uid="{00000000-0005-0000-0000-000015000000}"/>
    <cellStyle name="常规 2 2" xfId="4" xr:uid="{00000000-0005-0000-0000-000016000000}"/>
    <cellStyle name="常规 2 2 2" xfId="133" xr:uid="{00000000-0005-0000-0000-000017000000}"/>
    <cellStyle name="常规 2 2 2 2" xfId="134" xr:uid="{00000000-0005-0000-0000-000018000000}"/>
    <cellStyle name="常规 2 2 2 2 2" xfId="155" xr:uid="{00000000-0005-0000-0000-000019000000}"/>
    <cellStyle name="常规 2 2 2 2 2 2" xfId="156" xr:uid="{00000000-0005-0000-0000-00001A000000}"/>
    <cellStyle name="常规 2 2 2 2 2 3" xfId="171" xr:uid="{00000000-0005-0000-0000-00001B000000}"/>
    <cellStyle name="常规 2 2 2 2 2 4" xfId="179" xr:uid="{00000000-0005-0000-0000-00001C000000}"/>
    <cellStyle name="常规 2 2 2 2 2 5" xfId="182" xr:uid="{00000000-0005-0000-0000-00001D000000}"/>
    <cellStyle name="常规 2 2 2 2 2 6" xfId="184" xr:uid="{00000000-0005-0000-0000-00001E000000}"/>
    <cellStyle name="常规 2 2 2 2 3" xfId="143" xr:uid="{00000000-0005-0000-0000-00001F000000}"/>
    <cellStyle name="常规 2 2 2 2 4" xfId="153" xr:uid="{00000000-0005-0000-0000-000020000000}"/>
    <cellStyle name="常规 2 2 2 2 5" xfId="170" xr:uid="{00000000-0005-0000-0000-000021000000}"/>
    <cellStyle name="常规 2 2 2 2 6" xfId="178" xr:uid="{00000000-0005-0000-0000-000022000000}"/>
    <cellStyle name="常规 2 2 2 2 7" xfId="181" xr:uid="{00000000-0005-0000-0000-000023000000}"/>
    <cellStyle name="常规 2 2 2 2 8" xfId="183" xr:uid="{00000000-0005-0000-0000-000024000000}"/>
    <cellStyle name="常规 2 2 2 3" xfId="144" xr:uid="{00000000-0005-0000-0000-000025000000}"/>
    <cellStyle name="常规 2 2 2 4" xfId="151" xr:uid="{00000000-0005-0000-0000-000026000000}"/>
    <cellStyle name="常规 2 2 2 5" xfId="167" xr:uid="{00000000-0005-0000-0000-000027000000}"/>
    <cellStyle name="常规 2 2 2 6" xfId="173" xr:uid="{00000000-0005-0000-0000-000028000000}"/>
    <cellStyle name="常规 2 2 2 7" xfId="176" xr:uid="{00000000-0005-0000-0000-000029000000}"/>
    <cellStyle name="常规 2 2 2 8" xfId="161" xr:uid="{00000000-0005-0000-0000-00002A000000}"/>
    <cellStyle name="常规 2 2 3" xfId="145" xr:uid="{00000000-0005-0000-0000-00002B000000}"/>
    <cellStyle name="常规 2 2 4" xfId="147" xr:uid="{00000000-0005-0000-0000-00002C000000}"/>
    <cellStyle name="常规 2 2 5" xfId="148" xr:uid="{00000000-0005-0000-0000-00002D000000}"/>
    <cellStyle name="常规 2 2 6" xfId="166" xr:uid="{00000000-0005-0000-0000-00002E000000}"/>
    <cellStyle name="常规 2 2 7" xfId="172" xr:uid="{00000000-0005-0000-0000-00002F000000}"/>
    <cellStyle name="常规 2 2 8" xfId="174" xr:uid="{00000000-0005-0000-0000-000030000000}"/>
    <cellStyle name="常规 2 2 9" xfId="180" xr:uid="{00000000-0005-0000-0000-000031000000}"/>
    <cellStyle name="常规 2 3" xfId="137" xr:uid="{00000000-0005-0000-0000-000032000000}"/>
    <cellStyle name="常规 2 4" xfId="140" xr:uid="{00000000-0005-0000-0000-000033000000}"/>
    <cellStyle name="常规 2 5" xfId="138" xr:uid="{00000000-0005-0000-0000-000034000000}"/>
    <cellStyle name="常规 2 6" xfId="142" xr:uid="{00000000-0005-0000-0000-000035000000}"/>
    <cellStyle name="常规 2 7" xfId="154" xr:uid="{00000000-0005-0000-0000-000036000000}"/>
    <cellStyle name="常规 2 8" xfId="150" xr:uid="{00000000-0005-0000-0000-000037000000}"/>
    <cellStyle name="常规 2 9" xfId="158" xr:uid="{00000000-0005-0000-0000-000038000000}"/>
    <cellStyle name="常规 20" xfId="35" xr:uid="{00000000-0005-0000-0000-000039000000}"/>
    <cellStyle name="常规 21" xfId="37" xr:uid="{00000000-0005-0000-0000-00003A000000}"/>
    <cellStyle name="常规 22" xfId="39" xr:uid="{00000000-0005-0000-0000-00003B000000}"/>
    <cellStyle name="常规 23" xfId="41" xr:uid="{00000000-0005-0000-0000-00003C000000}"/>
    <cellStyle name="常规 24" xfId="43" xr:uid="{00000000-0005-0000-0000-00003D000000}"/>
    <cellStyle name="常规 25" xfId="45" xr:uid="{00000000-0005-0000-0000-00003E000000}"/>
    <cellStyle name="常规 26" xfId="47" xr:uid="{00000000-0005-0000-0000-00003F000000}"/>
    <cellStyle name="常规 27" xfId="49" xr:uid="{00000000-0005-0000-0000-000040000000}"/>
    <cellStyle name="常规 28" xfId="51" xr:uid="{00000000-0005-0000-0000-000041000000}"/>
    <cellStyle name="常规 29" xfId="53" xr:uid="{00000000-0005-0000-0000-000042000000}"/>
    <cellStyle name="常规 3" xfId="9" xr:uid="{00000000-0005-0000-0000-000043000000}"/>
    <cellStyle name="常规 30" xfId="55" xr:uid="{00000000-0005-0000-0000-000044000000}"/>
    <cellStyle name="常规 31" xfId="57" xr:uid="{00000000-0005-0000-0000-000045000000}"/>
    <cellStyle name="常规 32" xfId="59" xr:uid="{00000000-0005-0000-0000-000046000000}"/>
    <cellStyle name="常规 33" xfId="61" xr:uid="{00000000-0005-0000-0000-000047000000}"/>
    <cellStyle name="常规 34" xfId="63" xr:uid="{00000000-0005-0000-0000-000048000000}"/>
    <cellStyle name="常规 35" xfId="65" xr:uid="{00000000-0005-0000-0000-000049000000}"/>
    <cellStyle name="常规 36" xfId="67" xr:uid="{00000000-0005-0000-0000-00004A000000}"/>
    <cellStyle name="常规 37" xfId="69" xr:uid="{00000000-0005-0000-0000-00004B000000}"/>
    <cellStyle name="常规 38" xfId="71" xr:uid="{00000000-0005-0000-0000-00004C000000}"/>
    <cellStyle name="常规 39" xfId="73" xr:uid="{00000000-0005-0000-0000-00004D000000}"/>
    <cellStyle name="常规 4" xfId="5" xr:uid="{00000000-0005-0000-0000-00004E000000}"/>
    <cellStyle name="常规 40" xfId="75" xr:uid="{00000000-0005-0000-0000-00004F000000}"/>
    <cellStyle name="常规 41" xfId="77" xr:uid="{00000000-0005-0000-0000-000050000000}"/>
    <cellStyle name="常规 42" xfId="79" xr:uid="{00000000-0005-0000-0000-000051000000}"/>
    <cellStyle name="常规 43" xfId="82" xr:uid="{00000000-0005-0000-0000-000052000000}"/>
    <cellStyle name="常规 44" xfId="84" xr:uid="{00000000-0005-0000-0000-000053000000}"/>
    <cellStyle name="常规 45" xfId="86" xr:uid="{00000000-0005-0000-0000-000054000000}"/>
    <cellStyle name="常规 46" xfId="88" xr:uid="{00000000-0005-0000-0000-000055000000}"/>
    <cellStyle name="常规 47" xfId="90" xr:uid="{00000000-0005-0000-0000-000056000000}"/>
    <cellStyle name="常规 48" xfId="92" xr:uid="{00000000-0005-0000-0000-000057000000}"/>
    <cellStyle name="常规 49" xfId="94" xr:uid="{00000000-0005-0000-0000-000058000000}"/>
    <cellStyle name="常规 5" xfId="11" xr:uid="{00000000-0005-0000-0000-000059000000}"/>
    <cellStyle name="常规 50" xfId="96" xr:uid="{00000000-0005-0000-0000-00005A000000}"/>
    <cellStyle name="常规 51" xfId="98" xr:uid="{00000000-0005-0000-0000-00005B000000}"/>
    <cellStyle name="常规 52" xfId="100" xr:uid="{00000000-0005-0000-0000-00005C000000}"/>
    <cellStyle name="常规 54" xfId="103" xr:uid="{00000000-0005-0000-0000-00005D000000}"/>
    <cellStyle name="常规 56" xfId="106" xr:uid="{00000000-0005-0000-0000-00005E000000}"/>
    <cellStyle name="常规 57" xfId="108" xr:uid="{00000000-0005-0000-0000-00005F000000}"/>
    <cellStyle name="常规 58" xfId="110" xr:uid="{00000000-0005-0000-0000-000060000000}"/>
    <cellStyle name="常规 59" xfId="112" xr:uid="{00000000-0005-0000-0000-000061000000}"/>
    <cellStyle name="常规 6" xfId="13" xr:uid="{00000000-0005-0000-0000-000062000000}"/>
    <cellStyle name="常规 60" xfId="115" xr:uid="{00000000-0005-0000-0000-000063000000}"/>
    <cellStyle name="常规 61" xfId="117" xr:uid="{00000000-0005-0000-0000-000064000000}"/>
    <cellStyle name="常规 62" xfId="120" xr:uid="{00000000-0005-0000-0000-000065000000}"/>
    <cellStyle name="常规 64" xfId="125" xr:uid="{00000000-0005-0000-0000-000066000000}"/>
    <cellStyle name="常规 65" xfId="127" xr:uid="{00000000-0005-0000-0000-000067000000}"/>
    <cellStyle name="常规 66" xfId="129" xr:uid="{00000000-0005-0000-0000-000068000000}"/>
    <cellStyle name="常规 67" xfId="131" xr:uid="{00000000-0005-0000-0000-000069000000}"/>
    <cellStyle name="常规 7" xfId="15" xr:uid="{00000000-0005-0000-0000-00006A000000}"/>
    <cellStyle name="常规 8" xfId="157" xr:uid="{00000000-0005-0000-0000-00006B000000}"/>
    <cellStyle name="常规 8 2" xfId="136" xr:uid="{00000000-0005-0000-0000-00006C000000}"/>
    <cellStyle name="常规 9" xfId="141" xr:uid="{00000000-0005-0000-0000-00006D000000}"/>
    <cellStyle name="超链接 2" xfId="191" xr:uid="{00000000-0005-0000-0000-00006E000000}"/>
    <cellStyle name="货币 2" xfId="188" xr:uid="{00000000-0005-0000-0000-00006F000000}"/>
    <cellStyle name="千位分隔" xfId="185" builtinId="3"/>
    <cellStyle name="千位分隔 11" xfId="17" xr:uid="{00000000-0005-0000-0000-000071000000}"/>
    <cellStyle name="千位分隔 13" xfId="20" xr:uid="{00000000-0005-0000-0000-000072000000}"/>
    <cellStyle name="千位分隔 14" xfId="22" xr:uid="{00000000-0005-0000-0000-000073000000}"/>
    <cellStyle name="千位分隔 2" xfId="6" xr:uid="{00000000-0005-0000-0000-000074000000}"/>
    <cellStyle name="千位分隔 3" xfId="7" xr:uid="{00000000-0005-0000-0000-000075000000}"/>
    <cellStyle name="千位分隔 3 10" xfId="24" xr:uid="{00000000-0005-0000-0000-000076000000}"/>
    <cellStyle name="千位分隔 3 11" xfId="25" xr:uid="{00000000-0005-0000-0000-000077000000}"/>
    <cellStyle name="千位分隔 3 12" xfId="26" xr:uid="{00000000-0005-0000-0000-000078000000}"/>
    <cellStyle name="千位分隔 3 13" xfId="28" xr:uid="{00000000-0005-0000-0000-000079000000}"/>
    <cellStyle name="千位分隔 3 14" xfId="30" xr:uid="{00000000-0005-0000-0000-00007A000000}"/>
    <cellStyle name="千位分隔 3 15" xfId="32" xr:uid="{00000000-0005-0000-0000-00007B000000}"/>
    <cellStyle name="千位分隔 3 16" xfId="34" xr:uid="{00000000-0005-0000-0000-00007C000000}"/>
    <cellStyle name="千位分隔 3 17" xfId="36" xr:uid="{00000000-0005-0000-0000-00007D000000}"/>
    <cellStyle name="千位分隔 3 18" xfId="38" xr:uid="{00000000-0005-0000-0000-00007E000000}"/>
    <cellStyle name="千位分隔 3 19" xfId="40" xr:uid="{00000000-0005-0000-0000-00007F000000}"/>
    <cellStyle name="千位分隔 3 2" xfId="10" xr:uid="{00000000-0005-0000-0000-000080000000}"/>
    <cellStyle name="千位分隔 3 20" xfId="42" xr:uid="{00000000-0005-0000-0000-000081000000}"/>
    <cellStyle name="千位分隔 3 21" xfId="44" xr:uid="{00000000-0005-0000-0000-000082000000}"/>
    <cellStyle name="千位分隔 3 22" xfId="46" xr:uid="{00000000-0005-0000-0000-000083000000}"/>
    <cellStyle name="千位分隔 3 23" xfId="48" xr:uid="{00000000-0005-0000-0000-000084000000}"/>
    <cellStyle name="千位分隔 3 24" xfId="50" xr:uid="{00000000-0005-0000-0000-000085000000}"/>
    <cellStyle name="千位分隔 3 25" xfId="52" xr:uid="{00000000-0005-0000-0000-000086000000}"/>
    <cellStyle name="千位分隔 3 26" xfId="54" xr:uid="{00000000-0005-0000-0000-000087000000}"/>
    <cellStyle name="千位分隔 3 27" xfId="56" xr:uid="{00000000-0005-0000-0000-000088000000}"/>
    <cellStyle name="千位分隔 3 28" xfId="58" xr:uid="{00000000-0005-0000-0000-000089000000}"/>
    <cellStyle name="千位分隔 3 29" xfId="60" xr:uid="{00000000-0005-0000-0000-00008A000000}"/>
    <cellStyle name="千位分隔 3 3" xfId="12" xr:uid="{00000000-0005-0000-0000-00008B000000}"/>
    <cellStyle name="千位分隔 3 30" xfId="62" xr:uid="{00000000-0005-0000-0000-00008C000000}"/>
    <cellStyle name="千位分隔 3 31" xfId="64" xr:uid="{00000000-0005-0000-0000-00008D000000}"/>
    <cellStyle name="千位分隔 3 32" xfId="66" xr:uid="{00000000-0005-0000-0000-00008E000000}"/>
    <cellStyle name="千位分隔 3 33" xfId="68" xr:uid="{00000000-0005-0000-0000-00008F000000}"/>
    <cellStyle name="千位分隔 3 34" xfId="70" xr:uid="{00000000-0005-0000-0000-000090000000}"/>
    <cellStyle name="千位分隔 3 35" xfId="72" xr:uid="{00000000-0005-0000-0000-000091000000}"/>
    <cellStyle name="千位分隔 3 36" xfId="74" xr:uid="{00000000-0005-0000-0000-000092000000}"/>
    <cellStyle name="千位分隔 3 37" xfId="76" xr:uid="{00000000-0005-0000-0000-000093000000}"/>
    <cellStyle name="千位分隔 3 38" xfId="78" xr:uid="{00000000-0005-0000-0000-000094000000}"/>
    <cellStyle name="千位分隔 3 39" xfId="81" xr:uid="{00000000-0005-0000-0000-000095000000}"/>
    <cellStyle name="千位分隔 3 4" xfId="14" xr:uid="{00000000-0005-0000-0000-000096000000}"/>
    <cellStyle name="千位分隔 3 40" xfId="83" xr:uid="{00000000-0005-0000-0000-000097000000}"/>
    <cellStyle name="千位分隔 3 41" xfId="85" xr:uid="{00000000-0005-0000-0000-000098000000}"/>
    <cellStyle name="千位分隔 3 42" xfId="87" xr:uid="{00000000-0005-0000-0000-000099000000}"/>
    <cellStyle name="千位分隔 3 43" xfId="89" xr:uid="{00000000-0005-0000-0000-00009A000000}"/>
    <cellStyle name="千位分隔 3 44" xfId="91" xr:uid="{00000000-0005-0000-0000-00009B000000}"/>
    <cellStyle name="千位分隔 3 45" xfId="93" xr:uid="{00000000-0005-0000-0000-00009C000000}"/>
    <cellStyle name="千位分隔 3 46" xfId="95" xr:uid="{00000000-0005-0000-0000-00009D000000}"/>
    <cellStyle name="千位分隔 3 47" xfId="97" xr:uid="{00000000-0005-0000-0000-00009E000000}"/>
    <cellStyle name="千位分隔 3 48" xfId="99" xr:uid="{00000000-0005-0000-0000-00009F000000}"/>
    <cellStyle name="千位分隔 3 49" xfId="101" xr:uid="{00000000-0005-0000-0000-0000A0000000}"/>
    <cellStyle name="千位分隔 3 5" xfId="16" xr:uid="{00000000-0005-0000-0000-0000A1000000}"/>
    <cellStyle name="千位分隔 3 50" xfId="102" xr:uid="{00000000-0005-0000-0000-0000A2000000}"/>
    <cellStyle name="千位分隔 3 51" xfId="104" xr:uid="{00000000-0005-0000-0000-0000A3000000}"/>
    <cellStyle name="千位分隔 3 52" xfId="105" xr:uid="{00000000-0005-0000-0000-0000A4000000}"/>
    <cellStyle name="千位分隔 3 53" xfId="107" xr:uid="{00000000-0005-0000-0000-0000A5000000}"/>
    <cellStyle name="千位分隔 3 54" xfId="109" xr:uid="{00000000-0005-0000-0000-0000A6000000}"/>
    <cellStyle name="千位分隔 3 55" xfId="111" xr:uid="{00000000-0005-0000-0000-0000A7000000}"/>
    <cellStyle name="千位分隔 3 56" xfId="114" xr:uid="{00000000-0005-0000-0000-0000A8000000}"/>
    <cellStyle name="千位分隔 3 57" xfId="116" xr:uid="{00000000-0005-0000-0000-0000A9000000}"/>
    <cellStyle name="千位分隔 3 58" xfId="119" xr:uid="{00000000-0005-0000-0000-0000AA000000}"/>
    <cellStyle name="千位分隔 3 59" xfId="122" xr:uid="{00000000-0005-0000-0000-0000AB000000}"/>
    <cellStyle name="千位分隔 3 6" xfId="18" xr:uid="{00000000-0005-0000-0000-0000AC000000}"/>
    <cellStyle name="千位分隔 3 60" xfId="124" xr:uid="{00000000-0005-0000-0000-0000AD000000}"/>
    <cellStyle name="千位分隔 3 61" xfId="126" xr:uid="{00000000-0005-0000-0000-0000AE000000}"/>
    <cellStyle name="千位分隔 3 62" xfId="128" xr:uid="{00000000-0005-0000-0000-0000AF000000}"/>
    <cellStyle name="千位分隔 3 63" xfId="130" xr:uid="{00000000-0005-0000-0000-0000B0000000}"/>
    <cellStyle name="千位分隔 3 64" xfId="132" xr:uid="{00000000-0005-0000-0000-0000B1000000}"/>
    <cellStyle name="千位分隔 3 65" xfId="135" xr:uid="{00000000-0005-0000-0000-0000B2000000}"/>
    <cellStyle name="千位分隔 3 66" xfId="146" xr:uid="{00000000-0005-0000-0000-0000B3000000}"/>
    <cellStyle name="千位分隔 3 67" xfId="149" xr:uid="{00000000-0005-0000-0000-0000B4000000}"/>
    <cellStyle name="千位分隔 3 68" xfId="152" xr:uid="{00000000-0005-0000-0000-0000B5000000}"/>
    <cellStyle name="千位分隔 3 7" xfId="19" xr:uid="{00000000-0005-0000-0000-0000B6000000}"/>
    <cellStyle name="千位分隔 3 8" xfId="21" xr:uid="{00000000-0005-0000-0000-0000B7000000}"/>
    <cellStyle name="千位分隔 3 9" xfId="23" xr:uid="{00000000-0005-0000-0000-0000B8000000}"/>
    <cellStyle name="千位分隔 4" xfId="8" xr:uid="{00000000-0005-0000-0000-0000B9000000}"/>
    <cellStyle name="千位分隔 44" xfId="80" xr:uid="{00000000-0005-0000-0000-0000BA000000}"/>
    <cellStyle name="千位分隔 5" xfId="159" xr:uid="{00000000-0005-0000-0000-0000BB000000}"/>
    <cellStyle name="千位分隔 6" xfId="163" xr:uid="{00000000-0005-0000-0000-0000BC000000}"/>
    <cellStyle name="千位分隔 61" xfId="113" xr:uid="{00000000-0005-0000-0000-0000BD000000}"/>
    <cellStyle name="千位分隔 63" xfId="118" xr:uid="{00000000-0005-0000-0000-0000BE000000}"/>
    <cellStyle name="千位分隔 64" xfId="121" xr:uid="{00000000-0005-0000-0000-0000BF000000}"/>
    <cellStyle name="千位分隔 65" xfId="123" xr:uid="{00000000-0005-0000-0000-0000C0000000}"/>
    <cellStyle name="千位分隔 7" xfId="162" xr:uid="{00000000-0005-0000-0000-0000C1000000}"/>
    <cellStyle name="千位分隔 8" xfId="177" xr:uid="{00000000-0005-0000-0000-0000C2000000}"/>
    <cellStyle name="千位分隔 9" xfId="190" xr:uid="{00000000-0005-0000-0000-0000C3000000}"/>
    <cellStyle name="适中 2" xfId="194" xr:uid="{00000000-0005-0000-0000-0000C4000000}"/>
  </cellStyles>
  <dxfs count="111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fgColor rgb="FF9999FF"/>
          <bgColor rgb="FF000000"/>
        </patternFill>
      </fill>
    </dxf>
  </dxfs>
  <tableStyles count="1" defaultTableStyle="TableStyleMedium9" defaultPivotStyle="PivotStyleLight16">
    <tableStyle name="MySqlDefault" pivot="0" table="0" count="0" xr9:uid="{00000000-0011-0000-FFFF-FFFF00000000}"/>
  </tableStyles>
  <colors>
    <mruColors>
      <color rgb="FF00FF00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X1048527"/>
  <sheetViews>
    <sheetView tabSelected="1" workbookViewId="0">
      <pane ySplit="1" topLeftCell="A348" activePane="bottomLeft" state="frozen"/>
      <selection pane="bottomLeft" activeCell="A318" sqref="A318:Q355"/>
    </sheetView>
  </sheetViews>
  <sheetFormatPr defaultRowHeight="35.1" customHeight="1"/>
  <cols>
    <col min="1" max="1" width="15.25" style="101" customWidth="1"/>
    <col min="2" max="2" width="6.75" style="101" customWidth="1"/>
    <col min="3" max="3" width="6.875" style="101" customWidth="1"/>
    <col min="4" max="4" width="8.25" style="522" customWidth="1"/>
    <col min="5" max="5" width="30.875" style="101" customWidth="1"/>
    <col min="6" max="6" width="10.625" style="101" customWidth="1"/>
    <col min="7" max="7" width="12.875" style="101" customWidth="1"/>
    <col min="8" max="8" width="10.875" style="101" customWidth="1"/>
    <col min="9" max="9" width="14.5" style="101" customWidth="1"/>
    <col min="10" max="10" width="14.875" style="101" customWidth="1"/>
    <col min="11" max="11" width="10.875" style="101" customWidth="1"/>
    <col min="12" max="12" width="11.125" style="101" customWidth="1"/>
    <col min="13" max="13" width="10.75" style="101" customWidth="1"/>
    <col min="14" max="14" width="9.375" style="101" customWidth="1"/>
    <col min="15" max="15" width="12" style="101" customWidth="1"/>
    <col min="16" max="16" width="10.875" style="101" customWidth="1"/>
    <col min="17" max="17" width="14.875" style="101" customWidth="1"/>
    <col min="18" max="18" width="19.375" style="101" customWidth="1"/>
    <col min="19" max="16384" width="9" style="101"/>
  </cols>
  <sheetData>
    <row r="1" spans="1:24" ht="35.1" customHeight="1">
      <c r="A1" s="92" t="s">
        <v>11</v>
      </c>
      <c r="B1" s="93" t="s">
        <v>12</v>
      </c>
      <c r="C1" s="93" t="s">
        <v>13</v>
      </c>
      <c r="D1" s="516" t="s">
        <v>3948</v>
      </c>
      <c r="E1" s="93" t="s">
        <v>15</v>
      </c>
      <c r="F1" s="94" t="s">
        <v>17</v>
      </c>
      <c r="G1" s="94" t="s">
        <v>18</v>
      </c>
      <c r="H1" s="94" t="s">
        <v>29</v>
      </c>
      <c r="I1" s="93" t="s">
        <v>19</v>
      </c>
      <c r="J1" s="93" t="s">
        <v>20</v>
      </c>
      <c r="K1" s="94" t="s">
        <v>30</v>
      </c>
      <c r="L1" s="94" t="s">
        <v>31</v>
      </c>
      <c r="M1" s="95" t="s">
        <v>32</v>
      </c>
      <c r="N1" s="94" t="s">
        <v>33</v>
      </c>
      <c r="O1" s="93" t="s">
        <v>34</v>
      </c>
      <c r="P1" s="453" t="s">
        <v>35</v>
      </c>
      <c r="Q1" s="93" t="s">
        <v>36</v>
      </c>
      <c r="R1" s="96" t="s">
        <v>37</v>
      </c>
      <c r="S1" s="97" t="s">
        <v>38</v>
      </c>
      <c r="T1" s="97" t="s">
        <v>39</v>
      </c>
      <c r="U1" s="98" t="s">
        <v>40</v>
      </c>
      <c r="V1" s="98"/>
      <c r="W1" s="99" t="s">
        <v>27</v>
      </c>
      <c r="X1" s="100"/>
    </row>
    <row r="2" spans="1:24" ht="35.1" hidden="1" customHeight="1">
      <c r="A2" s="144" t="s">
        <v>1217</v>
      </c>
      <c r="B2" s="114" t="s">
        <v>147</v>
      </c>
      <c r="C2" s="114" t="s">
        <v>82</v>
      </c>
      <c r="D2" s="517">
        <v>42552</v>
      </c>
      <c r="E2" s="118" t="s">
        <v>168</v>
      </c>
      <c r="F2" s="107">
        <v>150</v>
      </c>
      <c r="G2" s="107">
        <f>H2/1.0092</f>
        <v>10741.181133571145</v>
      </c>
      <c r="H2" s="107">
        <v>10840</v>
      </c>
      <c r="I2" s="117">
        <f t="shared" ref="I2:I33" si="0">F2*G2</f>
        <v>1611177.1700356717</v>
      </c>
      <c r="J2" s="114" t="s">
        <v>149</v>
      </c>
      <c r="K2" s="106">
        <f>SUMIF(收发货!A:A,销售合同!A:A,收发货!D:D)</f>
        <v>143</v>
      </c>
      <c r="L2" s="107">
        <f>SUMIF(收开票!A:A,销售合同!A:A,收开票!E:E)</f>
        <v>142.893</v>
      </c>
      <c r="M2" s="108">
        <f>SUMIF(收开票!A:A,销售合同!A:A,收开票!F:F)</f>
        <v>1534839.6</v>
      </c>
      <c r="N2" s="109">
        <f>SUMIF(收开票!A:A,销售合同!A:A,收开票!H:H)</f>
        <v>142.893</v>
      </c>
      <c r="O2" s="109">
        <f>SUMIF(收开票!A:A,销售合同!A:A,收开票!I:I)</f>
        <v>1534839.6</v>
      </c>
      <c r="P2" s="110">
        <f>SUMIF(收付款!A:A,销售合同!A:A,收付款!E:E)</f>
        <v>1534839.6</v>
      </c>
      <c r="Q2" s="110">
        <f>O2-P2</f>
        <v>0</v>
      </c>
      <c r="R2" s="111">
        <v>0</v>
      </c>
      <c r="S2" s="111"/>
      <c r="T2" s="112"/>
      <c r="U2" s="112"/>
      <c r="V2" s="113">
        <v>42289</v>
      </c>
      <c r="W2" s="112"/>
      <c r="X2" s="112"/>
    </row>
    <row r="3" spans="1:24" ht="35.1" hidden="1" customHeight="1">
      <c r="A3" s="144" t="s">
        <v>1218</v>
      </c>
      <c r="B3" s="114" t="s">
        <v>147</v>
      </c>
      <c r="C3" s="114" t="s">
        <v>148</v>
      </c>
      <c r="D3" s="517">
        <v>42552</v>
      </c>
      <c r="E3" s="118" t="s">
        <v>168</v>
      </c>
      <c r="F3" s="107">
        <v>80</v>
      </c>
      <c r="G3" s="107">
        <v>7124.4550138723735</v>
      </c>
      <c r="H3" s="107">
        <v>7190</v>
      </c>
      <c r="I3" s="117">
        <f t="shared" si="0"/>
        <v>569956.40110978985</v>
      </c>
      <c r="J3" s="114" t="s">
        <v>149</v>
      </c>
      <c r="K3" s="106">
        <f>SUMIF(收发货!A:A,销售合同!A:A,收发货!D:D)</f>
        <v>78.13</v>
      </c>
      <c r="L3" s="107">
        <f>SUMIF(收开票!A:A,销售合同!A:A,收开票!E:E)</f>
        <v>78.185000000000002</v>
      </c>
      <c r="M3" s="108">
        <f>SUMIF(收开票!A:A,销售合同!A:A,收开票!F:F)</f>
        <v>557025.52</v>
      </c>
      <c r="N3" s="109">
        <f>SUMIF(收开票!A:A,销售合同!A:A,收开票!H:H)</f>
        <v>78.185000000000002</v>
      </c>
      <c r="O3" s="109">
        <f>SUMIF(收开票!A:A,销售合同!A:A,收开票!I:I)</f>
        <v>557025.52</v>
      </c>
      <c r="P3" s="110">
        <f>SUMIF(收付款!A:A,销售合同!A:A,收付款!E:E)</f>
        <v>557025.52</v>
      </c>
      <c r="Q3" s="110">
        <f>O3-P3</f>
        <v>0</v>
      </c>
    </row>
    <row r="4" spans="1:24" ht="35.1" hidden="1" customHeight="1">
      <c r="A4" s="144" t="s">
        <v>1221</v>
      </c>
      <c r="B4" s="114" t="s">
        <v>147</v>
      </c>
      <c r="C4" s="114" t="s">
        <v>240</v>
      </c>
      <c r="D4" s="517">
        <v>42555</v>
      </c>
      <c r="E4" s="103" t="s">
        <v>75</v>
      </c>
      <c r="F4" s="107">
        <v>37</v>
      </c>
      <c r="G4" s="107">
        <v>10080</v>
      </c>
      <c r="H4" s="107"/>
      <c r="I4" s="117">
        <f t="shared" si="0"/>
        <v>372960</v>
      </c>
      <c r="J4" s="118" t="s">
        <v>1222</v>
      </c>
      <c r="K4" s="106">
        <f>SUMIF(收发货!A:A,销售合同!A:A,收发货!D:D)</f>
        <v>37</v>
      </c>
      <c r="L4" s="107">
        <f>SUMIF(收开票!A:A,销售合同!A:A,收开票!E:E)</f>
        <v>37</v>
      </c>
      <c r="M4" s="108">
        <f>SUMIF(收开票!A:A,销售合同!A:A,收开票!F:F)</f>
        <v>372960</v>
      </c>
      <c r="N4" s="109">
        <f>SUMIF(收开票!A:A,销售合同!A:A,收开票!H:H)</f>
        <v>37</v>
      </c>
      <c r="O4" s="109">
        <f>SUMIF(收开票!A:A,销售合同!A:A,收开票!I:I)</f>
        <v>372960</v>
      </c>
      <c r="P4" s="110">
        <f>SUMIF(收付款!A:A,销售合同!A:A,收付款!E:E)</f>
        <v>372960</v>
      </c>
      <c r="Q4" s="109"/>
      <c r="R4" s="111">
        <f>SUMIF(收付款!A:A,销售合同!A:A,收付款!I:I)</f>
        <v>0</v>
      </c>
    </row>
    <row r="5" spans="1:24" ht="35.1" hidden="1" customHeight="1">
      <c r="A5" s="144" t="s">
        <v>1308</v>
      </c>
      <c r="B5" s="103" t="s">
        <v>127</v>
      </c>
      <c r="C5" s="103" t="s">
        <v>240</v>
      </c>
      <c r="D5" s="517">
        <v>42552</v>
      </c>
      <c r="E5" s="114" t="s">
        <v>474</v>
      </c>
      <c r="F5" s="104">
        <v>200</v>
      </c>
      <c r="G5" s="104">
        <v>1517.51</v>
      </c>
      <c r="H5" s="104"/>
      <c r="I5" s="117">
        <f t="shared" si="0"/>
        <v>303502</v>
      </c>
      <c r="J5" s="103" t="s">
        <v>988</v>
      </c>
      <c r="K5" s="106">
        <f>SUMIF(收发货!A:A,销售合同!A:A,收发货!D:D)</f>
        <v>200</v>
      </c>
      <c r="L5" s="107">
        <f>SUMIF(收开票!A:A,销售合同!A:A,收开票!E:E)</f>
        <v>200</v>
      </c>
      <c r="M5" s="108">
        <f>SUMIF(收开票!A:A,销售合同!A:A,收开票!F:F)</f>
        <v>303502</v>
      </c>
      <c r="N5" s="109">
        <f>SUMIF(收开票!A:A,销售合同!A:A,收开票!H:H)</f>
        <v>200</v>
      </c>
      <c r="O5" s="109">
        <f>SUMIF(收开票!A:A,销售合同!A:A,收开票!I:I)</f>
        <v>303502</v>
      </c>
      <c r="P5" s="110">
        <f>SUMIF(收付款!A:A,销售合同!A:A,收付款!E:E)</f>
        <v>303485.2</v>
      </c>
      <c r="Q5" s="110">
        <f t="shared" ref="Q5:Q14" si="1">O5-P5</f>
        <v>16.799999999988358</v>
      </c>
      <c r="R5" s="111">
        <f>SUMIF(收付款!A:A,销售合同!A:A,收付款!I:I)</f>
        <v>0</v>
      </c>
      <c r="S5" s="111">
        <f>SUMIF(收付款!A:A,销售合同!A:A,收付款!J:J)</f>
        <v>0</v>
      </c>
      <c r="T5" s="112"/>
      <c r="U5" s="112"/>
      <c r="V5" s="113"/>
      <c r="W5" s="112"/>
      <c r="X5" s="112"/>
    </row>
    <row r="6" spans="1:24" ht="35.1" hidden="1" customHeight="1">
      <c r="A6" s="144" t="s">
        <v>1399</v>
      </c>
      <c r="B6" s="114" t="s">
        <v>485</v>
      </c>
      <c r="C6" s="103" t="s">
        <v>93</v>
      </c>
      <c r="D6" s="517">
        <v>42569</v>
      </c>
      <c r="E6" s="103" t="s">
        <v>321</v>
      </c>
      <c r="F6" s="107">
        <v>5000</v>
      </c>
      <c r="G6" s="107">
        <f>H6/1.0092</f>
        <v>530.12286959968287</v>
      </c>
      <c r="H6" s="107">
        <v>535</v>
      </c>
      <c r="I6" s="117">
        <f t="shared" si="0"/>
        <v>2650614.3479984142</v>
      </c>
      <c r="J6" s="114" t="s">
        <v>149</v>
      </c>
      <c r="K6" s="106">
        <f>SUMIF(收发货!A:A,销售合同!A:A,收发货!D:D)</f>
        <v>5400</v>
      </c>
      <c r="L6" s="107">
        <f>SUMIF(收开票!A:A,销售合同!A:A,收开票!E:E)</f>
        <v>4737.3696999999993</v>
      </c>
      <c r="M6" s="108">
        <f>SUMIF(收开票!A:A,销售合同!A:A,收开票!F:F)</f>
        <v>2522935.4916012678</v>
      </c>
      <c r="N6" s="109">
        <f>SUMIF(收开票!A:A,销售合同!A:A,收开票!H:H)</f>
        <v>4737.3696999999993</v>
      </c>
      <c r="O6" s="109">
        <f>SUMIF(收开票!A:A,销售合同!A:A,收开票!I:I)</f>
        <v>2522935.4916012678</v>
      </c>
      <c r="P6" s="110">
        <f>SUMIF(收付款!A:A,销售合同!A:A,收付款!E:E)</f>
        <v>2522935.4916012678</v>
      </c>
      <c r="Q6" s="110">
        <f t="shared" si="1"/>
        <v>0</v>
      </c>
      <c r="R6" s="485"/>
    </row>
    <row r="7" spans="1:24" ht="35.1" hidden="1" customHeight="1">
      <c r="A7" s="144" t="s">
        <v>1569</v>
      </c>
      <c r="B7" s="162" t="s">
        <v>485</v>
      </c>
      <c r="C7" s="162" t="s">
        <v>1380</v>
      </c>
      <c r="D7" s="523">
        <v>42569</v>
      </c>
      <c r="E7" s="162" t="s">
        <v>144</v>
      </c>
      <c r="F7" s="163">
        <v>23000</v>
      </c>
      <c r="G7" s="163">
        <v>555</v>
      </c>
      <c r="H7" s="163"/>
      <c r="I7" s="233">
        <f t="shared" si="0"/>
        <v>12765000</v>
      </c>
      <c r="J7" s="162" t="s">
        <v>149</v>
      </c>
      <c r="K7" s="164">
        <f>SUMIF(收发货!A:A,销售合同!A:A,收发货!D:D)</f>
        <v>22550</v>
      </c>
      <c r="L7" s="163">
        <f>SUMIF(收开票!A:A,销售合同!A:A,收开票!E:E)</f>
        <v>20308.004300000001</v>
      </c>
      <c r="M7" s="165">
        <f>SUMIF(收开票!A:A,销售合同!A:A,收开票!F:F)</f>
        <v>11198023.609999999</v>
      </c>
      <c r="N7" s="166">
        <f>SUMIF(收开票!A:A,销售合同!A:A,收开票!H:H)</f>
        <v>20308.004300000001</v>
      </c>
      <c r="O7" s="166">
        <f>SUMIF(收开票!A:A,销售合同!A:A,收开票!I:I)</f>
        <v>11198023.609999999</v>
      </c>
      <c r="P7" s="166">
        <f>SUMIF(收付款!A:A,销售合同!A:A,收付款!E:E)</f>
        <v>11198023.609999999</v>
      </c>
      <c r="Q7" s="109">
        <f t="shared" si="1"/>
        <v>0</v>
      </c>
      <c r="R7" s="485"/>
    </row>
    <row r="8" spans="1:24" ht="35.1" hidden="1" customHeight="1">
      <c r="A8" s="144" t="s">
        <v>1435</v>
      </c>
      <c r="B8" s="114" t="s">
        <v>147</v>
      </c>
      <c r="C8" s="114" t="s">
        <v>60</v>
      </c>
      <c r="D8" s="517">
        <v>42570</v>
      </c>
      <c r="E8" s="118" t="s">
        <v>168</v>
      </c>
      <c r="F8" s="107">
        <v>200</v>
      </c>
      <c r="G8" s="107">
        <f>H8/1.0092</f>
        <v>5251.6845025762977</v>
      </c>
      <c r="H8" s="107">
        <v>5300</v>
      </c>
      <c r="I8" s="117">
        <f t="shared" si="0"/>
        <v>1050336.9005152595</v>
      </c>
      <c r="J8" s="114" t="s">
        <v>432</v>
      </c>
      <c r="K8" s="106">
        <f>SUMIF(收发货!A:A,销售合同!A:A,收发货!D:D)</f>
        <v>188</v>
      </c>
      <c r="L8" s="107">
        <f>SUMIF(收开票!A:A,销售合同!A:A,收开票!E:E)</f>
        <v>189.12200000000001</v>
      </c>
      <c r="M8" s="108">
        <f>SUMIF(收开票!A:A,销售合同!A:A,收开票!F:F)</f>
        <v>993209.6</v>
      </c>
      <c r="N8" s="109">
        <f>SUMIF(收开票!A:A,销售合同!A:A,收开票!H:H)</f>
        <v>189.12200000000001</v>
      </c>
      <c r="O8" s="109">
        <f>SUMIF(收开票!A:A,销售合同!A:A,收开票!I:I)</f>
        <v>993209.6</v>
      </c>
      <c r="P8" s="110">
        <f>SUMIF(收付款!A:A,销售合同!A:A,收付款!E:E)</f>
        <v>993209.6</v>
      </c>
      <c r="Q8" s="110">
        <f t="shared" si="1"/>
        <v>0</v>
      </c>
      <c r="R8" s="490"/>
    </row>
    <row r="9" spans="1:24" ht="35.1" hidden="1" customHeight="1">
      <c r="A9" s="144" t="s">
        <v>1458</v>
      </c>
      <c r="B9" s="114" t="s">
        <v>272</v>
      </c>
      <c r="C9" s="114" t="s">
        <v>736</v>
      </c>
      <c r="D9" s="517">
        <v>42552</v>
      </c>
      <c r="E9" s="118" t="s">
        <v>740</v>
      </c>
      <c r="F9" s="107">
        <v>1000</v>
      </c>
      <c r="G9" s="107">
        <v>107</v>
      </c>
      <c r="H9" s="107">
        <v>122</v>
      </c>
      <c r="I9" s="117">
        <f t="shared" si="0"/>
        <v>107000</v>
      </c>
      <c r="J9" s="118" t="s">
        <v>741</v>
      </c>
      <c r="K9" s="106">
        <f>SUMIF(收发货!A:A,销售合同!A:A,收发货!D:D)</f>
        <v>1000</v>
      </c>
      <c r="L9" s="107">
        <f>SUMIF(收开票!A:A,销售合同!A:A,收开票!E:E)</f>
        <v>1000</v>
      </c>
      <c r="M9" s="108">
        <f>SUMIF(收开票!A:A,销售合同!A:A,收开票!F:F)</f>
        <v>107000</v>
      </c>
      <c r="N9" s="109">
        <f>SUMIF(收开票!A:A,销售合同!A:A,收开票!H:H)</f>
        <v>1000</v>
      </c>
      <c r="O9" s="109">
        <f>SUMIF(收开票!A:A,销售合同!A:A,收开票!I:I)</f>
        <v>107000</v>
      </c>
      <c r="P9" s="110">
        <f>SUMIF(收付款!A:A,销售合同!A:A,收付款!E:E)</f>
        <v>106966.6</v>
      </c>
      <c r="Q9" s="110">
        <f t="shared" si="1"/>
        <v>33.399999999994179</v>
      </c>
      <c r="R9" s="111">
        <f>SUMIF(收付款!A:A,销售合同!A:A,收付款!I:I)</f>
        <v>0</v>
      </c>
      <c r="S9" s="111">
        <f>SUMIF(收付款!A:A,销售合同!A:A,收付款!J:J)</f>
        <v>218703.45</v>
      </c>
    </row>
    <row r="10" spans="1:24" ht="35.1" hidden="1" customHeight="1">
      <c r="A10" s="144" t="s">
        <v>1457</v>
      </c>
      <c r="B10" s="114" t="s">
        <v>272</v>
      </c>
      <c r="C10" s="114" t="s">
        <v>736</v>
      </c>
      <c r="D10" s="517">
        <v>42552</v>
      </c>
      <c r="E10" s="118" t="s">
        <v>740</v>
      </c>
      <c r="F10" s="107">
        <v>1000</v>
      </c>
      <c r="G10" s="107">
        <v>107</v>
      </c>
      <c r="H10" s="107">
        <v>122</v>
      </c>
      <c r="I10" s="117">
        <f t="shared" si="0"/>
        <v>107000</v>
      </c>
      <c r="J10" s="118" t="s">
        <v>741</v>
      </c>
      <c r="K10" s="106">
        <f>SUMIF(收发货!A:A,销售合同!A:A,收发货!D:D)</f>
        <v>1000</v>
      </c>
      <c r="L10" s="107">
        <f>SUMIF(收开票!A:A,销售合同!A:A,收开票!E:E)</f>
        <v>1000</v>
      </c>
      <c r="M10" s="108">
        <f>SUMIF(收开票!A:A,销售合同!A:A,收开票!F:F)</f>
        <v>107000</v>
      </c>
      <c r="N10" s="109">
        <f>SUMIF(收开票!A:A,销售合同!A:A,收开票!H:H)</f>
        <v>1000</v>
      </c>
      <c r="O10" s="109">
        <f>SUMIF(收开票!A:A,销售合同!A:A,收开票!I:I)</f>
        <v>107000</v>
      </c>
      <c r="P10" s="110">
        <f>SUMIF(收付款!A:A,销售合同!A:A,收付款!E:E)</f>
        <v>106966.6</v>
      </c>
      <c r="Q10" s="110">
        <f t="shared" si="1"/>
        <v>33.399999999994179</v>
      </c>
      <c r="R10" s="111">
        <f>SUMIF(收付款!A:A,销售合同!A:A,收付款!I:I)</f>
        <v>0</v>
      </c>
      <c r="S10" s="111">
        <f>SUMIF(收付款!A:A,销售合同!A:A,收付款!J:J)</f>
        <v>218348.45</v>
      </c>
    </row>
    <row r="11" spans="1:24" ht="35.1" hidden="1" customHeight="1">
      <c r="A11" s="102" t="s">
        <v>72</v>
      </c>
      <c r="B11" s="102" t="s">
        <v>147</v>
      </c>
      <c r="C11" s="103" t="s">
        <v>60</v>
      </c>
      <c r="D11" s="518">
        <v>42342</v>
      </c>
      <c r="E11" s="103" t="s">
        <v>144</v>
      </c>
      <c r="F11" s="104">
        <v>1200</v>
      </c>
      <c r="G11" s="104">
        <v>4500</v>
      </c>
      <c r="H11" s="104"/>
      <c r="I11" s="105">
        <f t="shared" si="0"/>
        <v>5400000</v>
      </c>
      <c r="J11" s="103" t="s">
        <v>152</v>
      </c>
      <c r="K11" s="106">
        <f>SUMIF(收发货!A:A,销售合同!A:A,收发货!D:D)</f>
        <v>1040</v>
      </c>
      <c r="L11" s="107">
        <f>SUMIF(收开票!A:A,销售合同!A:A,收开票!E:E)</f>
        <v>1254.9032</v>
      </c>
      <c r="M11" s="108">
        <f>SUMIF(收开票!A:A,销售合同!A:A,收开票!F:F)</f>
        <v>5639641.8700000001</v>
      </c>
      <c r="N11" s="109">
        <f>SUMIF(收开票!A:A,销售合同!A:A,收开票!H:H)</f>
        <v>1254.9032</v>
      </c>
      <c r="O11" s="109">
        <f>SUMIF(收开票!A:A,销售合同!A:A,收开票!I:I)</f>
        <v>5639641.8700000001</v>
      </c>
      <c r="P11" s="110">
        <f>SUMIF(收付款!A:A,销售合同!A:A,收付款!E:E)</f>
        <v>5639641.8700000001</v>
      </c>
      <c r="Q11" s="109">
        <f t="shared" si="1"/>
        <v>0</v>
      </c>
      <c r="R11" s="111"/>
      <c r="S11" s="111"/>
      <c r="T11" s="112"/>
      <c r="U11" s="112"/>
      <c r="V11" s="113"/>
      <c r="W11" s="112"/>
      <c r="X11" s="112"/>
    </row>
    <row r="12" spans="1:24" ht="35.1" hidden="1" customHeight="1">
      <c r="A12" s="102" t="s">
        <v>65</v>
      </c>
      <c r="B12" s="114" t="s">
        <v>147</v>
      </c>
      <c r="C12" s="114" t="s">
        <v>60</v>
      </c>
      <c r="D12" s="517">
        <v>42345</v>
      </c>
      <c r="E12" s="114" t="s">
        <v>83</v>
      </c>
      <c r="F12" s="107">
        <v>180</v>
      </c>
      <c r="G12" s="107">
        <v>4250</v>
      </c>
      <c r="H12" s="107"/>
      <c r="I12" s="116">
        <f t="shared" si="0"/>
        <v>765000</v>
      </c>
      <c r="J12" s="114" t="s">
        <v>149</v>
      </c>
      <c r="K12" s="106">
        <f>SUMIF(收发货!A:A,销售合同!A:A,收发货!D:D)</f>
        <v>180</v>
      </c>
      <c r="L12" s="107">
        <f>SUMIF(收开票!A:A,销售合同!A:A,收开票!E:E)</f>
        <v>180.6978</v>
      </c>
      <c r="M12" s="108">
        <f>SUMIF(收开票!A:A,销售合同!A:A,收开票!F:F)</f>
        <v>797692.02</v>
      </c>
      <c r="N12" s="109">
        <f>SUMIF(收开票!A:A,销售合同!A:A,收开票!H:H)</f>
        <v>180.6978</v>
      </c>
      <c r="O12" s="109">
        <f>SUMIF(收开票!A:A,销售合同!A:A,收开票!I:I)</f>
        <v>797692.02</v>
      </c>
      <c r="P12" s="110">
        <f>SUMIF(收付款!A:A,销售合同!A:A,收付款!E:E)</f>
        <v>797692.02</v>
      </c>
      <c r="Q12" s="109">
        <f t="shared" si="1"/>
        <v>0</v>
      </c>
      <c r="R12" s="111"/>
      <c r="S12" s="111"/>
      <c r="T12" s="112"/>
      <c r="U12" s="112"/>
      <c r="V12" s="113"/>
      <c r="W12" s="112"/>
      <c r="X12" s="112"/>
    </row>
    <row r="13" spans="1:24" ht="35.1" hidden="1" customHeight="1">
      <c r="A13" s="102" t="s">
        <v>150</v>
      </c>
      <c r="B13" s="114" t="s">
        <v>147</v>
      </c>
      <c r="C13" s="114" t="s">
        <v>148</v>
      </c>
      <c r="D13" s="517">
        <v>42345</v>
      </c>
      <c r="E13" s="114" t="s">
        <v>83</v>
      </c>
      <c r="F13" s="107">
        <v>120</v>
      </c>
      <c r="G13" s="107">
        <v>6200</v>
      </c>
      <c r="H13" s="107"/>
      <c r="I13" s="116">
        <f t="shared" si="0"/>
        <v>744000</v>
      </c>
      <c r="J13" s="114" t="s">
        <v>149</v>
      </c>
      <c r="K13" s="106">
        <f>SUMIF(收发货!A:A,销售合同!A:A,收发货!D:D)</f>
        <v>114.99</v>
      </c>
      <c r="L13" s="107">
        <f>SUMIF(收开票!A:A,销售合同!A:A,收开票!E:E)</f>
        <v>115.116</v>
      </c>
      <c r="M13" s="108">
        <f>SUMIF(收开票!A:A,销售合同!A:A,收开票!F:F)</f>
        <v>713719.2</v>
      </c>
      <c r="N13" s="109">
        <f>SUMIF(收开票!A:A,销售合同!A:A,收开票!H:H)</f>
        <v>115.116</v>
      </c>
      <c r="O13" s="109">
        <f>SUMIF(收开票!A:A,销售合同!A:A,收开票!I:I)</f>
        <v>713719.2</v>
      </c>
      <c r="P13" s="110">
        <f>SUMIF(收付款!A:A,销售合同!A:A,收付款!E:E)</f>
        <v>713719.2</v>
      </c>
      <c r="Q13" s="109">
        <f t="shared" si="1"/>
        <v>0</v>
      </c>
      <c r="R13" s="111"/>
      <c r="S13" s="111"/>
      <c r="T13" s="112"/>
      <c r="U13" s="112"/>
      <c r="V13" s="113"/>
      <c r="W13" s="112"/>
      <c r="X13" s="112"/>
    </row>
    <row r="14" spans="1:24" ht="35.1" hidden="1" customHeight="1">
      <c r="A14" s="102" t="s">
        <v>151</v>
      </c>
      <c r="B14" s="114" t="s">
        <v>147</v>
      </c>
      <c r="C14" s="114" t="s">
        <v>82</v>
      </c>
      <c r="D14" s="517">
        <v>42349</v>
      </c>
      <c r="E14" s="114" t="s">
        <v>3317</v>
      </c>
      <c r="F14" s="107">
        <v>200</v>
      </c>
      <c r="G14" s="107">
        <v>10200</v>
      </c>
      <c r="H14" s="107"/>
      <c r="I14" s="116">
        <f t="shared" si="0"/>
        <v>2040000</v>
      </c>
      <c r="J14" s="114" t="s">
        <v>149</v>
      </c>
      <c r="K14" s="106">
        <f>SUMIF(收发货!A:A,销售合同!A:A,收发货!D:D)</f>
        <v>190</v>
      </c>
      <c r="L14" s="107">
        <f>SUMIF(收开票!A:A,销售合同!A:A,收开票!E:E)</f>
        <v>190.06800000000001</v>
      </c>
      <c r="M14" s="108">
        <f>SUMIF(收开票!A:A,销售合同!A:A,收开票!F:F)</f>
        <v>1938693.6</v>
      </c>
      <c r="N14" s="109">
        <f>SUMIF(收开票!A:A,销售合同!A:A,收开票!H:H)</f>
        <v>190.06800000000001</v>
      </c>
      <c r="O14" s="109">
        <f>SUMIF(收开票!A:A,销售合同!A:A,收开票!I:I)</f>
        <v>1938693.6</v>
      </c>
      <c r="P14" s="110">
        <f>SUMIF(收付款!A:A,销售合同!A:A,收付款!E:E)</f>
        <v>1938693.6</v>
      </c>
      <c r="Q14" s="109">
        <f t="shared" si="1"/>
        <v>0</v>
      </c>
      <c r="R14" s="111">
        <v>0</v>
      </c>
      <c r="S14" s="111"/>
      <c r="T14" s="112"/>
      <c r="U14" s="112"/>
      <c r="V14" s="113">
        <v>42289</v>
      </c>
      <c r="W14" s="112"/>
      <c r="X14" s="112"/>
    </row>
    <row r="15" spans="1:24" ht="35.1" hidden="1" customHeight="1">
      <c r="A15" s="102" t="s">
        <v>138</v>
      </c>
      <c r="B15" s="103" t="s">
        <v>127</v>
      </c>
      <c r="C15" s="103" t="s">
        <v>103</v>
      </c>
      <c r="D15" s="517">
        <v>42342</v>
      </c>
      <c r="E15" s="103" t="s">
        <v>139</v>
      </c>
      <c r="F15" s="104">
        <v>40</v>
      </c>
      <c r="G15" s="104">
        <v>10350</v>
      </c>
      <c r="H15" s="104"/>
      <c r="I15" s="117">
        <f t="shared" si="0"/>
        <v>414000</v>
      </c>
      <c r="J15" s="103" t="s">
        <v>153</v>
      </c>
      <c r="K15" s="106">
        <f>SUMIF(收发货!A:A,销售合同!A:A,收发货!D:D)</f>
        <v>40</v>
      </c>
      <c r="L15" s="107">
        <f>SUMIF(收开票!A:A,销售合同!A:A,收开票!E:E)</f>
        <v>39.972000000000001</v>
      </c>
      <c r="M15" s="108">
        <f>SUMIF(收开票!A:A,销售合同!A:A,收开票!F:F)</f>
        <v>413710.2</v>
      </c>
      <c r="N15" s="109">
        <f>SUMIF(收开票!A:A,销售合同!A:A,收开票!H:H)</f>
        <v>39.972000000000001</v>
      </c>
      <c r="O15" s="109">
        <f>SUMIF(收开票!A:A,销售合同!A:A,收开票!I:I)</f>
        <v>413710.2</v>
      </c>
      <c r="P15" s="110">
        <f>SUMIF(收付款!A:A,销售合同!A:A,收付款!E:E)</f>
        <v>413710.2</v>
      </c>
      <c r="Q15" s="110"/>
      <c r="R15" s="111"/>
      <c r="S15" s="111"/>
      <c r="T15" s="112"/>
      <c r="U15" s="112"/>
      <c r="V15" s="113"/>
      <c r="W15" s="112"/>
      <c r="X15" s="112"/>
    </row>
    <row r="16" spans="1:24" ht="35.1" hidden="1" customHeight="1">
      <c r="A16" s="102" t="s">
        <v>136</v>
      </c>
      <c r="B16" s="103" t="s">
        <v>127</v>
      </c>
      <c r="C16" s="103" t="s">
        <v>103</v>
      </c>
      <c r="D16" s="517">
        <v>42356</v>
      </c>
      <c r="E16" s="103" t="s">
        <v>139</v>
      </c>
      <c r="F16" s="104">
        <v>40</v>
      </c>
      <c r="G16" s="104">
        <v>10590</v>
      </c>
      <c r="H16" s="104">
        <v>10250</v>
      </c>
      <c r="I16" s="117">
        <f t="shared" si="0"/>
        <v>423600</v>
      </c>
      <c r="J16" s="103" t="s">
        <v>154</v>
      </c>
      <c r="K16" s="106">
        <f>SUMIF(收发货!A:A,销售合同!A:A,收发货!D:D)</f>
        <v>40</v>
      </c>
      <c r="L16" s="107">
        <f>SUMIF(收开票!A:A,销售合同!A:A,收开票!E:E)</f>
        <v>39.951999999999998</v>
      </c>
      <c r="M16" s="108">
        <f>SUMIF(收开票!A:A,销售合同!A:A,收开票!F:F)</f>
        <v>423091.68</v>
      </c>
      <c r="N16" s="109">
        <f>SUMIF(收开票!A:A,销售合同!A:A,收开票!H:H)</f>
        <v>39.951999999999998</v>
      </c>
      <c r="O16" s="109">
        <f>SUMIF(收开票!A:A,销售合同!A:A,收开票!I:I)</f>
        <v>423091.68</v>
      </c>
      <c r="P16" s="110">
        <f>SUMIF(收付款!A:A,销售合同!A:A,收付款!E:E)</f>
        <v>423091.68</v>
      </c>
      <c r="Q16" s="110"/>
      <c r="R16" s="111"/>
      <c r="S16" s="111"/>
      <c r="T16" s="112"/>
      <c r="U16" s="112"/>
      <c r="V16" s="113"/>
      <c r="W16" s="112"/>
      <c r="X16" s="112"/>
    </row>
    <row r="17" spans="1:24" ht="35.1" hidden="1" customHeight="1">
      <c r="A17" s="102" t="s">
        <v>301</v>
      </c>
      <c r="B17" s="103" t="s">
        <v>147</v>
      </c>
      <c r="C17" s="103" t="s">
        <v>430</v>
      </c>
      <c r="D17" s="517">
        <v>42373</v>
      </c>
      <c r="E17" s="103" t="s">
        <v>321</v>
      </c>
      <c r="F17" s="104">
        <v>1500</v>
      </c>
      <c r="G17" s="104">
        <v>4508.5200000000004</v>
      </c>
      <c r="H17" s="104">
        <v>4550</v>
      </c>
      <c r="I17" s="117">
        <f t="shared" si="0"/>
        <v>6762780.0000000009</v>
      </c>
      <c r="J17" s="103" t="s">
        <v>480</v>
      </c>
      <c r="K17" s="106">
        <f>SUMIF(收发货!A:A,销售合同!A:A,收发货!D:D)</f>
        <v>1110</v>
      </c>
      <c r="L17" s="107">
        <f>SUMIF(收开票!A:A,销售合同!A:A,收开票!E:E)</f>
        <v>1128.5029999999999</v>
      </c>
      <c r="M17" s="108">
        <f>SUMIF(收开票!A:A,销售合同!A:A,收开票!F:F)</f>
        <v>5087880.1500000004</v>
      </c>
      <c r="N17" s="109">
        <f>SUMIF(收开票!A:A,销售合同!A:A,收开票!H:H)</f>
        <v>1128.5029999999999</v>
      </c>
      <c r="O17" s="109">
        <f>SUMIF(收开票!A:A,销售合同!A:A,收开票!I:I)</f>
        <v>5087880.1500000004</v>
      </c>
      <c r="P17" s="110">
        <f>SUMIF(收付款!A:A,销售合同!A:A,收付款!E:E)</f>
        <v>5087880.1500000004</v>
      </c>
      <c r="Q17" s="110">
        <f t="shared" ref="Q17:Q22" si="2">O17-P17</f>
        <v>0</v>
      </c>
      <c r="R17" s="111"/>
      <c r="S17" s="111"/>
      <c r="T17" s="112"/>
      <c r="U17" s="112"/>
      <c r="V17" s="113"/>
      <c r="W17" s="112"/>
      <c r="X17" s="112"/>
    </row>
    <row r="18" spans="1:24" ht="35.1" hidden="1" customHeight="1">
      <c r="A18" s="102" t="s">
        <v>182</v>
      </c>
      <c r="B18" s="103" t="s">
        <v>147</v>
      </c>
      <c r="C18" s="103" t="s">
        <v>430</v>
      </c>
      <c r="D18" s="517">
        <v>42376</v>
      </c>
      <c r="E18" s="103" t="s">
        <v>321</v>
      </c>
      <c r="F18" s="104">
        <v>1300</v>
      </c>
      <c r="G18" s="104">
        <v>4458.9799999999996</v>
      </c>
      <c r="H18" s="104">
        <v>4500</v>
      </c>
      <c r="I18" s="117">
        <f t="shared" si="0"/>
        <v>5796673.9999999991</v>
      </c>
      <c r="J18" s="103" t="s">
        <v>481</v>
      </c>
      <c r="K18" s="106">
        <f>SUMIF(收发货!A:A,销售合同!A:A,收发货!D:D)</f>
        <v>1610.28</v>
      </c>
      <c r="L18" s="107">
        <f>SUMIF(收开票!A:A,销售合同!A:A,收开票!E:E)</f>
        <v>1626.47</v>
      </c>
      <c r="M18" s="108">
        <f>SUMIF(收开票!A:A,销售合同!A:A,收开票!F:F)</f>
        <v>7243571.1699999999</v>
      </c>
      <c r="N18" s="109">
        <f>SUMIF(收开票!A:A,销售合同!A:A,收开票!H:H)</f>
        <v>1626.47</v>
      </c>
      <c r="O18" s="109">
        <f>SUMIF(收开票!A:A,销售合同!A:A,收开票!I:I)</f>
        <v>7243571.1699999999</v>
      </c>
      <c r="P18" s="110">
        <f>SUMIF(收付款!A:A,销售合同!A:A,收付款!E:E)</f>
        <v>7243571.1652794285</v>
      </c>
      <c r="Q18" s="110">
        <f t="shared" si="2"/>
        <v>4.7205714508891106E-3</v>
      </c>
      <c r="R18" s="111"/>
      <c r="S18" s="111"/>
      <c r="T18" s="112"/>
      <c r="U18" s="112"/>
      <c r="V18" s="113"/>
      <c r="W18" s="112"/>
      <c r="X18" s="112"/>
    </row>
    <row r="19" spans="1:24" ht="35.1" hidden="1" customHeight="1">
      <c r="A19" s="102" t="s">
        <v>163</v>
      </c>
      <c r="B19" s="103" t="s">
        <v>147</v>
      </c>
      <c r="C19" s="103" t="s">
        <v>85</v>
      </c>
      <c r="D19" s="517">
        <v>42382</v>
      </c>
      <c r="E19" s="103" t="s">
        <v>321</v>
      </c>
      <c r="F19" s="104">
        <v>120</v>
      </c>
      <c r="G19" s="104">
        <v>6292.11</v>
      </c>
      <c r="H19" s="104">
        <v>6350</v>
      </c>
      <c r="I19" s="117">
        <f t="shared" si="0"/>
        <v>755053.2</v>
      </c>
      <c r="J19" s="103" t="s">
        <v>149</v>
      </c>
      <c r="K19" s="106">
        <f>SUMIF(收发货!A:A,销售合同!A:A,收发货!D:D)</f>
        <v>126</v>
      </c>
      <c r="L19" s="107">
        <f>SUMIF(收开票!A:A,销售合同!A:A,收开票!E:E)</f>
        <v>126.22</v>
      </c>
      <c r="M19" s="108">
        <f>SUMIF(收开票!A:A,销售合同!A:A,收开票!F:F)</f>
        <v>794177.86</v>
      </c>
      <c r="N19" s="109">
        <f>SUMIF(收开票!A:A,销售合同!A:A,收开票!H:H)</f>
        <v>126.22</v>
      </c>
      <c r="O19" s="109">
        <f>SUMIF(收开票!A:A,销售合同!A:A,收开票!I:I)</f>
        <v>794177.86</v>
      </c>
      <c r="P19" s="110">
        <f>SUMIF(收付款!A:A,销售合同!A:A,收付款!E:E)</f>
        <v>794177.86</v>
      </c>
      <c r="Q19" s="110">
        <f t="shared" si="2"/>
        <v>0</v>
      </c>
      <c r="R19" s="111"/>
      <c r="S19" s="111"/>
      <c r="T19" s="112"/>
      <c r="U19" s="112"/>
      <c r="V19" s="113"/>
      <c r="W19" s="112"/>
      <c r="X19" s="112"/>
    </row>
    <row r="20" spans="1:24" ht="35.1" hidden="1" customHeight="1">
      <c r="A20" s="102" t="s">
        <v>169</v>
      </c>
      <c r="B20" s="103" t="s">
        <v>147</v>
      </c>
      <c r="C20" s="103" t="s">
        <v>82</v>
      </c>
      <c r="D20" s="517">
        <v>42382</v>
      </c>
      <c r="E20" s="103" t="s">
        <v>321</v>
      </c>
      <c r="F20" s="104">
        <v>100</v>
      </c>
      <c r="G20" s="104">
        <v>10156.56</v>
      </c>
      <c r="H20" s="104">
        <v>10250</v>
      </c>
      <c r="I20" s="117">
        <f t="shared" si="0"/>
        <v>1015656</v>
      </c>
      <c r="J20" s="103" t="s">
        <v>149</v>
      </c>
      <c r="K20" s="106">
        <f>SUMIF(收发货!A:A,销售合同!A:A,收发货!D:D)</f>
        <v>95</v>
      </c>
      <c r="L20" s="107">
        <f>SUMIF(收开票!A:A,销售合同!A:A,收开票!E:E)</f>
        <v>95.11</v>
      </c>
      <c r="M20" s="108">
        <f>SUMIF(收开票!A:A,销售合同!A:A,收开票!F:F)</f>
        <v>965980.23</v>
      </c>
      <c r="N20" s="109">
        <f>SUMIF(收开票!A:A,销售合同!A:A,收开票!H:H)</f>
        <v>95.11</v>
      </c>
      <c r="O20" s="109">
        <f>SUMIF(收开票!A:A,销售合同!A:A,收开票!I:I)</f>
        <v>965980.23</v>
      </c>
      <c r="P20" s="110">
        <f>SUMIF(收付款!A:A,销售合同!A:A,收付款!E:E)</f>
        <v>965980.23</v>
      </c>
      <c r="Q20" s="110">
        <f t="shared" si="2"/>
        <v>0</v>
      </c>
      <c r="R20" s="111">
        <v>0</v>
      </c>
      <c r="S20" s="111"/>
      <c r="T20" s="112"/>
      <c r="U20" s="112"/>
      <c r="V20" s="113">
        <v>42289</v>
      </c>
      <c r="W20" s="112"/>
      <c r="X20" s="112"/>
    </row>
    <row r="21" spans="1:24" ht="35.1" hidden="1" customHeight="1">
      <c r="A21" s="102" t="s">
        <v>228</v>
      </c>
      <c r="B21" s="103" t="s">
        <v>485</v>
      </c>
      <c r="C21" s="103" t="s">
        <v>93</v>
      </c>
      <c r="D21" s="517">
        <v>42388</v>
      </c>
      <c r="E21" s="103" t="s">
        <v>321</v>
      </c>
      <c r="F21" s="104">
        <v>5000</v>
      </c>
      <c r="G21" s="104">
        <v>440.99</v>
      </c>
      <c r="H21" s="104"/>
      <c r="I21" s="117">
        <f t="shared" si="0"/>
        <v>2204950</v>
      </c>
      <c r="J21" s="103" t="s">
        <v>152</v>
      </c>
      <c r="K21" s="106">
        <f>SUMIF(收发货!A:A,销售合同!A:A,收发货!D:D)</f>
        <v>4750</v>
      </c>
      <c r="L21" s="107">
        <f>SUMIF(收开票!A:A,销售合同!A:A,收开票!E:E)</f>
        <v>4212.7957999999999</v>
      </c>
      <c r="M21" s="108">
        <f>SUMIF(收开票!A:A,销售合同!A:A,收开票!F:F)</f>
        <v>1766067.1896353548</v>
      </c>
      <c r="N21" s="109">
        <f>SUMIF(收开票!A:A,销售合同!A:A,收开票!H:H)</f>
        <v>4212.7957999999999</v>
      </c>
      <c r="O21" s="109">
        <f>SUMIF(收开票!A:A,销售合同!A:A,收开票!I:I)</f>
        <v>1766067.1896353548</v>
      </c>
      <c r="P21" s="110">
        <f>SUMIF(收付款!A:A,销售合同!A:A,收付款!E:E)</f>
        <v>1766067.19</v>
      </c>
      <c r="Q21" s="110">
        <f t="shared" si="2"/>
        <v>-3.6464515142142773E-4</v>
      </c>
      <c r="R21" s="111"/>
      <c r="S21" s="111"/>
      <c r="T21" s="112"/>
      <c r="U21" s="112"/>
      <c r="V21" s="113"/>
      <c r="W21" s="112"/>
      <c r="X21" s="112"/>
    </row>
    <row r="22" spans="1:24" ht="35.1" hidden="1" customHeight="1">
      <c r="A22" s="102" t="s">
        <v>232</v>
      </c>
      <c r="B22" s="103" t="s">
        <v>485</v>
      </c>
      <c r="C22" s="103" t="s">
        <v>230</v>
      </c>
      <c r="D22" s="517">
        <v>42388</v>
      </c>
      <c r="E22" s="103" t="s">
        <v>321</v>
      </c>
      <c r="F22" s="104">
        <v>10000</v>
      </c>
      <c r="G22" s="104">
        <v>490.49</v>
      </c>
      <c r="H22" s="104"/>
      <c r="I22" s="117">
        <f t="shared" si="0"/>
        <v>4904900</v>
      </c>
      <c r="J22" s="103" t="s">
        <v>152</v>
      </c>
      <c r="K22" s="106">
        <f>SUMIF(收发货!A:A,销售合同!A:A,收发货!D:D)</f>
        <v>9300</v>
      </c>
      <c r="L22" s="107">
        <f>SUMIF(收开票!A:A,销售合同!A:A,收开票!E:E)</f>
        <v>8973.7735999999986</v>
      </c>
      <c r="M22" s="108">
        <f>SUMIF(收开票!A:A,销售合同!A:A,收开票!F:F)</f>
        <v>4402919.6426952034</v>
      </c>
      <c r="N22" s="109">
        <f>SUMIF(收开票!A:A,销售合同!A:A,收开票!H:H)</f>
        <v>8973.7735999999986</v>
      </c>
      <c r="O22" s="109">
        <f>SUMIF(收开票!A:A,销售合同!A:A,收开票!I:I)</f>
        <v>4402919.6426952034</v>
      </c>
      <c r="P22" s="110">
        <f>SUMIF(收付款!A:A,销售合同!A:A,收付款!E:E)</f>
        <v>4402919.6399999997</v>
      </c>
      <c r="Q22" s="110">
        <f t="shared" si="2"/>
        <v>2.6952037587761879E-3</v>
      </c>
      <c r="R22" s="111"/>
      <c r="S22" s="111"/>
      <c r="T22" s="112"/>
      <c r="U22" s="112"/>
      <c r="V22" s="113"/>
      <c r="W22" s="112"/>
      <c r="X22" s="112"/>
    </row>
    <row r="23" spans="1:24" ht="35.1" hidden="1" customHeight="1">
      <c r="A23" s="102" t="s">
        <v>277</v>
      </c>
      <c r="B23" s="103" t="s">
        <v>147</v>
      </c>
      <c r="C23" s="103" t="s">
        <v>82</v>
      </c>
      <c r="D23" s="517">
        <v>42397</v>
      </c>
      <c r="E23" s="103" t="s">
        <v>278</v>
      </c>
      <c r="F23" s="104">
        <v>200</v>
      </c>
      <c r="G23" s="104">
        <v>10700</v>
      </c>
      <c r="H23" s="104"/>
      <c r="I23" s="117">
        <f t="shared" si="0"/>
        <v>2140000</v>
      </c>
      <c r="J23" s="103" t="s">
        <v>486</v>
      </c>
      <c r="K23" s="106">
        <f>SUMIF(收发货!A:A,销售合同!A:A,收发货!D:D)</f>
        <v>200</v>
      </c>
      <c r="L23" s="107">
        <f>SUMIF(收开票!A:A,销售合同!A:A,收开票!E:E)</f>
        <v>200</v>
      </c>
      <c r="M23" s="108">
        <f>SUMIF(收开票!A:A,销售合同!A:A,收开票!F:F)</f>
        <v>2140000</v>
      </c>
      <c r="N23" s="109">
        <f>SUMIF(收开票!A:A,销售合同!A:A,收开票!H:H)</f>
        <v>200</v>
      </c>
      <c r="O23" s="109">
        <f>SUMIF(收开票!A:A,销售合同!A:A,收开票!I:I)</f>
        <v>2140000</v>
      </c>
      <c r="P23" s="110">
        <f>SUMIF(收付款!A:A,销售合同!A:A,收付款!E:E)</f>
        <v>2140000</v>
      </c>
      <c r="Q23" s="110"/>
      <c r="R23" s="111"/>
      <c r="S23" s="111"/>
      <c r="T23" s="112"/>
      <c r="U23" s="112"/>
      <c r="V23" s="113"/>
      <c r="W23" s="112"/>
      <c r="X23" s="112"/>
    </row>
    <row r="24" spans="1:24" ht="35.1" hidden="1" customHeight="1">
      <c r="A24" s="102" t="s">
        <v>271</v>
      </c>
      <c r="B24" s="114" t="s">
        <v>272</v>
      </c>
      <c r="C24" s="114" t="s">
        <v>273</v>
      </c>
      <c r="D24" s="517">
        <v>42404</v>
      </c>
      <c r="E24" s="118" t="s">
        <v>274</v>
      </c>
      <c r="F24" s="107">
        <v>60</v>
      </c>
      <c r="G24" s="107">
        <v>1473.11</v>
      </c>
      <c r="H24" s="107">
        <v>1500</v>
      </c>
      <c r="I24" s="119">
        <f t="shared" si="0"/>
        <v>88386.599999999991</v>
      </c>
      <c r="J24" s="118" t="s">
        <v>275</v>
      </c>
      <c r="K24" s="106">
        <f>SUMIF(收发货!A:A,销售合同!A:A,收发货!D:D)</f>
        <v>60</v>
      </c>
      <c r="L24" s="107">
        <f>SUMIF(收开票!A:A,销售合同!A:A,收开票!E:E)</f>
        <v>60</v>
      </c>
      <c r="M24" s="108">
        <f>SUMIF(收开票!A:A,销售合同!A:A,收开票!F:F)</f>
        <v>88386.599999999991</v>
      </c>
      <c r="N24" s="109">
        <f>SUMIF(收开票!A:A,销售合同!A:A,收开票!H:H)</f>
        <v>60</v>
      </c>
      <c r="O24" s="109">
        <f>SUMIF(收开票!A:A,销售合同!A:A,收开票!I:I)</f>
        <v>88386.599999999991</v>
      </c>
      <c r="P24" s="110">
        <f>SUMIF(收付款!A:A,销售合同!A:A,收付款!E:E)</f>
        <v>88369.81</v>
      </c>
      <c r="Q24" s="110"/>
      <c r="R24" s="111">
        <f>SUMIF(收付款!A:A,销售合同!A:A,收付款!I:I)</f>
        <v>870</v>
      </c>
      <c r="S24" s="111">
        <f>SUMIF(收付款!A:A,销售合同!A:A,收付款!J:J)</f>
        <v>5880.6</v>
      </c>
    </row>
    <row r="25" spans="1:24" ht="35.1" hidden="1" customHeight="1">
      <c r="A25" s="120" t="s">
        <v>334</v>
      </c>
      <c r="B25" s="121" t="s">
        <v>0</v>
      </c>
      <c r="C25" s="121" t="s">
        <v>1</v>
      </c>
      <c r="D25" s="519">
        <v>42391</v>
      </c>
      <c r="E25" s="118" t="s">
        <v>168</v>
      </c>
      <c r="F25" s="107">
        <v>2100</v>
      </c>
      <c r="G25" s="107">
        <v>4756.25</v>
      </c>
      <c r="H25" s="107">
        <v>4850</v>
      </c>
      <c r="I25" s="122">
        <f t="shared" si="0"/>
        <v>9988125</v>
      </c>
      <c r="J25" s="118" t="s">
        <v>281</v>
      </c>
      <c r="K25" s="106">
        <f>SUMIF(收发货!A:A,销售合同!A:A,收发货!D:D)</f>
        <v>2002.3199999999997</v>
      </c>
      <c r="L25" s="107">
        <f>SUMIF(收开票!A:A,销售合同!A:A,收开票!E:E)</f>
        <v>2059.6507999999999</v>
      </c>
      <c r="M25" s="108">
        <f>SUMIF(收开票!A:A,销售合同!A:A,收开票!F:F)</f>
        <v>9636299.5541022588</v>
      </c>
      <c r="N25" s="109">
        <f>SUMIF(收开票!A:A,销售合同!A:A,收开票!H:H)</f>
        <v>2059.6507999999999</v>
      </c>
      <c r="O25" s="109">
        <f>SUMIF(收开票!A:A,销售合同!A:A,收开票!I:I)</f>
        <v>9636299.5541022588</v>
      </c>
      <c r="P25" s="110">
        <f>SUMIF(收付款!A:A,销售合同!A:A,收付款!E:E)</f>
        <v>9636299.5541022588</v>
      </c>
      <c r="Q25" s="110">
        <f t="shared" ref="Q25:Q49" si="3">O25-P25</f>
        <v>0</v>
      </c>
      <c r="R25" s="111"/>
      <c r="S25" s="111"/>
      <c r="T25" s="123"/>
      <c r="U25" s="123"/>
      <c r="V25" s="123"/>
      <c r="W25" s="123"/>
    </row>
    <row r="26" spans="1:24" s="127" customFormat="1" ht="35.1" hidden="1" customHeight="1">
      <c r="A26" s="120" t="s">
        <v>503</v>
      </c>
      <c r="B26" s="121" t="s">
        <v>0</v>
      </c>
      <c r="C26" s="121" t="s">
        <v>1</v>
      </c>
      <c r="D26" s="519">
        <v>42391</v>
      </c>
      <c r="E26" s="118" t="s">
        <v>168</v>
      </c>
      <c r="F26" s="107">
        <v>1400</v>
      </c>
      <c r="G26" s="107">
        <v>4756.25</v>
      </c>
      <c r="H26" s="107">
        <v>4850</v>
      </c>
      <c r="I26" s="122">
        <f t="shared" si="0"/>
        <v>6658750</v>
      </c>
      <c r="J26" s="118" t="s">
        <v>282</v>
      </c>
      <c r="K26" s="106">
        <f>SUMIF(收发货!A:A,销售合同!A:A,收发货!D:D)</f>
        <v>1415.1899999999998</v>
      </c>
      <c r="L26" s="107">
        <f>SUMIF(收开票!A:A,销售合同!A:A,收开票!E:E)</f>
        <v>1439.7546</v>
      </c>
      <c r="M26" s="108">
        <f>SUMIF(收开票!A:A,销售合同!A:A,收开票!F:F)</f>
        <v>6901046.1058263956</v>
      </c>
      <c r="N26" s="109">
        <f>SUMIF(收开票!A:A,销售合同!A:A,收开票!H:H)</f>
        <v>1439.7546</v>
      </c>
      <c r="O26" s="109">
        <f>SUMIF(收开票!A:A,销售合同!A:A,收开票!I:I)</f>
        <v>6901046.1058263956</v>
      </c>
      <c r="P26" s="110">
        <f>SUMIF(收付款!A:A,销售合同!A:A,收付款!E:E)</f>
        <v>6901046.1058263956</v>
      </c>
      <c r="Q26" s="110">
        <f t="shared" si="3"/>
        <v>0</v>
      </c>
      <c r="R26" s="111"/>
      <c r="S26" s="123"/>
      <c r="T26" s="123"/>
      <c r="U26" s="123"/>
      <c r="V26" s="123"/>
      <c r="W26" s="123"/>
      <c r="X26" s="101"/>
    </row>
    <row r="27" spans="1:24" s="127" customFormat="1" ht="35.1" hidden="1" customHeight="1">
      <c r="A27" s="102" t="s">
        <v>279</v>
      </c>
      <c r="B27" s="114" t="s">
        <v>147</v>
      </c>
      <c r="C27" s="114" t="s">
        <v>148</v>
      </c>
      <c r="D27" s="517">
        <v>42391</v>
      </c>
      <c r="E27" s="118" t="s">
        <v>168</v>
      </c>
      <c r="F27" s="107">
        <v>60</v>
      </c>
      <c r="G27" s="107">
        <v>6188.07</v>
      </c>
      <c r="H27" s="107">
        <v>6245</v>
      </c>
      <c r="I27" s="122">
        <f t="shared" si="0"/>
        <v>371284.19999999995</v>
      </c>
      <c r="J27" s="114" t="s">
        <v>149</v>
      </c>
      <c r="K27" s="106">
        <f>SUMIF(收发货!A:A,销售合同!A:A,收发货!D:D)</f>
        <v>60</v>
      </c>
      <c r="L27" s="107">
        <f>SUMIF(收开票!A:A,销售合同!A:A,收开票!E:E)</f>
        <v>59.984000000000002</v>
      </c>
      <c r="M27" s="108">
        <f>SUMIF(收开票!A:A,销售合同!A:A,收开票!F:F)</f>
        <v>371185.18</v>
      </c>
      <c r="N27" s="109">
        <f>SUMIF(收开票!A:A,销售合同!A:A,收开票!H:H)</f>
        <v>59.984000000000002</v>
      </c>
      <c r="O27" s="109">
        <f>SUMIF(收开票!A:A,销售合同!A:A,收开票!I:I)</f>
        <v>371185.18</v>
      </c>
      <c r="P27" s="110">
        <f>SUMIF(收付款!A:A,销售合同!A:A,收付款!E:E)</f>
        <v>371185.18</v>
      </c>
      <c r="Q27" s="110">
        <f t="shared" si="3"/>
        <v>0</v>
      </c>
      <c r="R27" s="111"/>
      <c r="S27" s="101"/>
      <c r="T27" s="101"/>
      <c r="U27" s="101"/>
      <c r="V27" s="101"/>
      <c r="W27" s="101"/>
      <c r="X27" s="101"/>
    </row>
    <row r="28" spans="1:24" ht="35.1" hidden="1" customHeight="1">
      <c r="A28" s="102" t="s">
        <v>283</v>
      </c>
      <c r="B28" s="114" t="s">
        <v>147</v>
      </c>
      <c r="C28" s="114" t="s">
        <v>82</v>
      </c>
      <c r="D28" s="517">
        <v>42382</v>
      </c>
      <c r="E28" s="118" t="s">
        <v>168</v>
      </c>
      <c r="F28" s="107">
        <v>80</v>
      </c>
      <c r="G28" s="107">
        <v>11286.17</v>
      </c>
      <c r="H28" s="107">
        <v>11390</v>
      </c>
      <c r="I28" s="122">
        <f t="shared" si="0"/>
        <v>902893.6</v>
      </c>
      <c r="J28" s="114" t="s">
        <v>149</v>
      </c>
      <c r="K28" s="106">
        <f>SUMIF(收发货!A:A,销售合同!A:A,收发货!D:D)</f>
        <v>80</v>
      </c>
      <c r="L28" s="107">
        <f>SUMIF(收开票!A:A,销售合同!A:A,收开票!E:E)</f>
        <v>79.995999999999995</v>
      </c>
      <c r="M28" s="108">
        <f>SUMIF(收开票!A:A,销售合同!A:A,收开票!F:F)</f>
        <v>902848.24</v>
      </c>
      <c r="N28" s="109">
        <f>SUMIF(收开票!A:A,销售合同!A:A,收开票!H:H)</f>
        <v>79.995999999999995</v>
      </c>
      <c r="O28" s="109">
        <f>SUMIF(收开票!A:A,销售合同!A:A,收开票!I:I)</f>
        <v>902848.24</v>
      </c>
      <c r="P28" s="110">
        <f>SUMIF(收付款!A:A,销售合同!A:A,收付款!E:E)</f>
        <v>902848.24</v>
      </c>
      <c r="Q28" s="110">
        <f t="shared" si="3"/>
        <v>0</v>
      </c>
      <c r="R28" s="111"/>
      <c r="S28" s="111"/>
      <c r="T28" s="112"/>
      <c r="U28" s="112"/>
      <c r="V28" s="113">
        <v>42289</v>
      </c>
      <c r="W28" s="112"/>
      <c r="X28" s="112"/>
    </row>
    <row r="29" spans="1:24" ht="35.1" hidden="1" customHeight="1">
      <c r="A29" s="102" t="s">
        <v>285</v>
      </c>
      <c r="B29" s="114" t="s">
        <v>217</v>
      </c>
      <c r="C29" s="114" t="s">
        <v>218</v>
      </c>
      <c r="D29" s="517">
        <v>42395</v>
      </c>
      <c r="E29" s="118" t="s">
        <v>168</v>
      </c>
      <c r="F29" s="107">
        <v>15000</v>
      </c>
      <c r="G29" s="107">
        <v>416.18</v>
      </c>
      <c r="H29" s="107"/>
      <c r="I29" s="122">
        <f t="shared" si="0"/>
        <v>6242700</v>
      </c>
      <c r="J29" s="118" t="s">
        <v>28</v>
      </c>
      <c r="K29" s="106">
        <f>SUMIF(收发货!A:A,销售合同!A:A,收发货!D:D)</f>
        <v>14446.96</v>
      </c>
      <c r="L29" s="107">
        <f>SUMIF(收开票!A:A,销售合同!A:A,收开票!E:E)</f>
        <v>13074.6909</v>
      </c>
      <c r="M29" s="108">
        <f>SUMIF(收开票!A:A,销售合同!A:A,收开票!F:F)</f>
        <v>5449260.3513446283</v>
      </c>
      <c r="N29" s="109">
        <f>SUMIF(收开票!A:A,销售合同!A:A,收开票!H:H)</f>
        <v>13074.6909</v>
      </c>
      <c r="O29" s="109">
        <f>SUMIF(收开票!A:A,销售合同!A:A,收开票!I:I)</f>
        <v>5449260.3513446283</v>
      </c>
      <c r="P29" s="110">
        <f>SUMIF(收付款!A:A,销售合同!A:A,收付款!E:E)</f>
        <v>5449260.3513446283</v>
      </c>
      <c r="Q29" s="110">
        <f t="shared" si="3"/>
        <v>0</v>
      </c>
      <c r="R29" s="111"/>
      <c r="S29" s="111"/>
      <c r="T29" s="112"/>
      <c r="U29" s="112"/>
    </row>
    <row r="30" spans="1:24" ht="35.1" hidden="1" customHeight="1">
      <c r="A30" s="124" t="s">
        <v>383</v>
      </c>
      <c r="B30" s="114" t="s">
        <v>217</v>
      </c>
      <c r="C30" s="114" t="s">
        <v>218</v>
      </c>
      <c r="D30" s="517">
        <v>42388</v>
      </c>
      <c r="E30" s="118" t="s">
        <v>168</v>
      </c>
      <c r="F30" s="107">
        <v>3000</v>
      </c>
      <c r="G30" s="107">
        <v>242.77</v>
      </c>
      <c r="H30" s="107"/>
      <c r="I30" s="122">
        <f t="shared" si="0"/>
        <v>728310</v>
      </c>
      <c r="J30" s="118" t="s">
        <v>28</v>
      </c>
      <c r="K30" s="106">
        <f>SUMIF(收发货!A:A,销售合同!A:A,收发货!D:D)</f>
        <v>2955.36</v>
      </c>
      <c r="L30" s="107">
        <f>SUMIF(收开票!A:A,销售合同!A:A,收开票!E:E)</f>
        <v>2367.0129999999999</v>
      </c>
      <c r="M30" s="108">
        <f>SUMIF(收开票!A:A,销售合同!A:A,收开票!F:F)</f>
        <v>541134.34</v>
      </c>
      <c r="N30" s="109">
        <f>SUMIF(收开票!A:A,销售合同!A:A,收开票!H:H)</f>
        <v>2367.0129999999999</v>
      </c>
      <c r="O30" s="109">
        <f>SUMIF(收开票!A:A,销售合同!A:A,收开票!I:I)</f>
        <v>541134.34</v>
      </c>
      <c r="P30" s="110">
        <f>SUMIF(收付款!A:A,销售合同!A:A,收付款!E:E)</f>
        <v>541134.34</v>
      </c>
      <c r="Q30" s="110">
        <f t="shared" si="3"/>
        <v>0</v>
      </c>
      <c r="R30" s="111"/>
      <c r="S30" s="111"/>
      <c r="T30" s="112"/>
      <c r="U30" s="112"/>
    </row>
    <row r="31" spans="1:24" ht="35.1" hidden="1" customHeight="1">
      <c r="A31" s="102" t="s">
        <v>452</v>
      </c>
      <c r="B31" s="114" t="s">
        <v>147</v>
      </c>
      <c r="C31" s="114" t="s">
        <v>430</v>
      </c>
      <c r="D31" s="517">
        <v>42431</v>
      </c>
      <c r="E31" s="118" t="s">
        <v>431</v>
      </c>
      <c r="F31" s="107">
        <v>1500</v>
      </c>
      <c r="G31" s="107">
        <v>5251.68</v>
      </c>
      <c r="H31" s="107">
        <v>5300</v>
      </c>
      <c r="I31" s="122">
        <f t="shared" si="0"/>
        <v>7877520</v>
      </c>
      <c r="J31" s="114" t="s">
        <v>432</v>
      </c>
      <c r="K31" s="106">
        <f>SUMIF(收发货!A:A,销售合同!A:A,收发货!D:D)</f>
        <v>1439.42</v>
      </c>
      <c r="L31" s="107">
        <f>SUMIF(收开票!A:A,销售合同!A:A,收开票!E:E)</f>
        <v>1450.8983999999998</v>
      </c>
      <c r="M31" s="108">
        <f>SUMIF(收开票!A:A,销售合同!A:A,收开票!F:F)</f>
        <v>7545392.7799999993</v>
      </c>
      <c r="N31" s="109">
        <f>SUMIF(收开票!A:A,销售合同!A:A,收开票!H:H)</f>
        <v>1450.8983999999998</v>
      </c>
      <c r="O31" s="109">
        <f>SUMIF(收开票!A:A,销售合同!A:A,收开票!I:I)</f>
        <v>7545392.7799999993</v>
      </c>
      <c r="P31" s="110">
        <f>SUMIF(收付款!A:A,销售合同!A:A,收付款!E:E)</f>
        <v>7545392.7799999993</v>
      </c>
      <c r="Q31" s="110">
        <f t="shared" si="3"/>
        <v>0</v>
      </c>
    </row>
    <row r="32" spans="1:24" ht="35.1" hidden="1" customHeight="1">
      <c r="A32" s="102" t="s">
        <v>453</v>
      </c>
      <c r="B32" s="114" t="s">
        <v>147</v>
      </c>
      <c r="C32" s="114" t="s">
        <v>430</v>
      </c>
      <c r="D32" s="517">
        <v>42431</v>
      </c>
      <c r="E32" s="103" t="s">
        <v>144</v>
      </c>
      <c r="F32" s="107">
        <v>1500</v>
      </c>
      <c r="G32" s="107">
        <v>5300</v>
      </c>
      <c r="H32" s="107"/>
      <c r="I32" s="122">
        <f t="shared" si="0"/>
        <v>7950000</v>
      </c>
      <c r="J32" s="118" t="s">
        <v>282</v>
      </c>
      <c r="K32" s="106">
        <f>SUMIF(收发货!A:A,销售合同!A:A,收发货!D:D)</f>
        <v>1430</v>
      </c>
      <c r="L32" s="107">
        <f>SUMIF(收开票!A:A,销售合同!A:A,收开票!E:E)</f>
        <v>1454.9848000000002</v>
      </c>
      <c r="M32" s="108">
        <f>SUMIF(收开票!A:A,销售合同!A:A,收开票!F:F)</f>
        <v>7711419.4399999995</v>
      </c>
      <c r="N32" s="109">
        <f>SUMIF(收开票!A:A,销售合同!A:A,收开票!H:H)</f>
        <v>1454.9848000000002</v>
      </c>
      <c r="O32" s="109">
        <f>SUMIF(收开票!A:A,销售合同!A:A,收开票!I:I)</f>
        <v>7711419.4399999995</v>
      </c>
      <c r="P32" s="110">
        <f>SUMIF(收付款!A:A,销售合同!A:A,收付款!E:E)</f>
        <v>7711419.4399999995</v>
      </c>
      <c r="Q32" s="109">
        <f t="shared" si="3"/>
        <v>0</v>
      </c>
    </row>
    <row r="33" spans="1:24" ht="35.1" hidden="1" customHeight="1">
      <c r="A33" s="102" t="s">
        <v>454</v>
      </c>
      <c r="B33" s="114" t="s">
        <v>147</v>
      </c>
      <c r="C33" s="114" t="s">
        <v>148</v>
      </c>
      <c r="D33" s="517">
        <v>42431</v>
      </c>
      <c r="E33" s="118" t="s">
        <v>168</v>
      </c>
      <c r="F33" s="107">
        <v>60</v>
      </c>
      <c r="G33" s="107">
        <v>6292.11</v>
      </c>
      <c r="H33" s="107">
        <v>6350</v>
      </c>
      <c r="I33" s="122">
        <f t="shared" si="0"/>
        <v>377526.6</v>
      </c>
      <c r="J33" s="114" t="s">
        <v>149</v>
      </c>
      <c r="K33" s="106">
        <f>SUMIF(收发货!A:A,销售合同!A:A,收发货!D:D)</f>
        <v>60</v>
      </c>
      <c r="L33" s="107">
        <f>SUMIF(收开票!A:A,销售合同!A:A,收开票!E:E)</f>
        <v>60.084000000000003</v>
      </c>
      <c r="M33" s="108">
        <f>SUMIF(收开票!A:A,销售合同!A:A,收开票!F:F)</f>
        <v>378055.29</v>
      </c>
      <c r="N33" s="109">
        <f>SUMIF(收开票!A:A,销售合同!A:A,收开票!H:H)</f>
        <v>60.084000000000003</v>
      </c>
      <c r="O33" s="109">
        <f>SUMIF(收开票!A:A,销售合同!A:A,收开票!I:I)</f>
        <v>378055.29</v>
      </c>
      <c r="P33" s="110">
        <f>SUMIF(收付款!A:A,销售合同!A:A,收付款!E:E)</f>
        <v>378055.29</v>
      </c>
      <c r="Q33" s="110">
        <f t="shared" si="3"/>
        <v>0</v>
      </c>
    </row>
    <row r="34" spans="1:24" s="127" customFormat="1" ht="35.1" hidden="1" customHeight="1">
      <c r="A34" s="102" t="s">
        <v>502</v>
      </c>
      <c r="B34" s="114" t="s">
        <v>147</v>
      </c>
      <c r="C34" s="114" t="s">
        <v>82</v>
      </c>
      <c r="D34" s="517">
        <v>42453</v>
      </c>
      <c r="E34" s="118" t="s">
        <v>168</v>
      </c>
      <c r="F34" s="107">
        <v>200</v>
      </c>
      <c r="G34" s="107">
        <v>10800.63</v>
      </c>
      <c r="H34" s="107">
        <v>10900</v>
      </c>
      <c r="I34" s="122">
        <f t="shared" ref="I34:I65" si="4">F34*G34</f>
        <v>2160126</v>
      </c>
      <c r="J34" s="114" t="s">
        <v>149</v>
      </c>
      <c r="K34" s="106">
        <f>SUMIF(收发货!A:A,销售合同!A:A,收发货!D:D)</f>
        <v>208</v>
      </c>
      <c r="L34" s="107">
        <f>SUMIF(收开票!A:A,销售合同!A:A,收开票!E:E)</f>
        <v>208.13499999999999</v>
      </c>
      <c r="M34" s="108">
        <f>SUMIF(收开票!A:A,销售合同!A:A,收开票!F:F)</f>
        <v>2247989.9900000002</v>
      </c>
      <c r="N34" s="109">
        <f>SUMIF(收开票!A:A,销售合同!A:A,收开票!H:H)</f>
        <v>208.13499999999999</v>
      </c>
      <c r="O34" s="109">
        <f>SUMIF(收开票!A:A,销售合同!A:A,收开票!I:I)</f>
        <v>2247989.9900000002</v>
      </c>
      <c r="P34" s="110">
        <f>SUMIF(收付款!A:A,销售合同!A:A,收付款!E:E)</f>
        <v>2247989.9900000002</v>
      </c>
      <c r="Q34" s="110">
        <f t="shared" si="3"/>
        <v>0</v>
      </c>
      <c r="R34" s="125"/>
      <c r="S34" s="111"/>
      <c r="T34" s="112"/>
      <c r="U34" s="112"/>
      <c r="V34" s="113">
        <v>42289</v>
      </c>
      <c r="W34" s="112"/>
      <c r="X34" s="112"/>
    </row>
    <row r="35" spans="1:24" ht="35.1" hidden="1" customHeight="1">
      <c r="A35" s="102" t="s">
        <v>587</v>
      </c>
      <c r="B35" s="114" t="s">
        <v>272</v>
      </c>
      <c r="C35" s="114" t="s">
        <v>194</v>
      </c>
      <c r="D35" s="517">
        <v>42457</v>
      </c>
      <c r="E35" s="121" t="s">
        <v>274</v>
      </c>
      <c r="F35" s="107">
        <v>60</v>
      </c>
      <c r="G35" s="107">
        <v>1519.98</v>
      </c>
      <c r="H35" s="107">
        <v>1486</v>
      </c>
      <c r="I35" s="122">
        <f t="shared" si="4"/>
        <v>91198.8</v>
      </c>
      <c r="J35" s="121" t="s">
        <v>583</v>
      </c>
      <c r="K35" s="126">
        <f>SUMIF(收发货!A:A,销售合同!A:A,收发货!D:D)</f>
        <v>60</v>
      </c>
      <c r="L35" s="107">
        <f>SUMIF(收开票!A:A,销售合同!A:A,收开票!E:E)</f>
        <v>60</v>
      </c>
      <c r="M35" s="108">
        <f>SUMIF(收开票!A:A,销售合同!A:A,收开票!F:F)</f>
        <v>91198.8</v>
      </c>
      <c r="N35" s="109">
        <f>SUMIF(收开票!A:A,销售合同!A:A,收开票!H:H)</f>
        <v>60</v>
      </c>
      <c r="O35" s="109">
        <f>SUMIF(收开票!A:A,销售合同!A:A,收开票!I:I)</f>
        <v>91198.8</v>
      </c>
      <c r="P35" s="110">
        <f>SUMIF(收付款!A:A,销售合同!A:A,收付款!E:E)</f>
        <v>91198.8</v>
      </c>
      <c r="Q35" s="110">
        <f t="shared" si="3"/>
        <v>0</v>
      </c>
      <c r="R35" s="111">
        <f>SUMIF(收付款!A:A,销售合同!A:A,收付款!I:I)</f>
        <v>870</v>
      </c>
      <c r="S35" s="111">
        <f>SUMIF(收付款!A:A,销售合同!A:A,收付款!J:J)</f>
        <v>4545.1899999999996</v>
      </c>
      <c r="W35" s="127"/>
      <c r="X35" s="127"/>
    </row>
    <row r="36" spans="1:24" ht="35.1" hidden="1" customHeight="1">
      <c r="A36" s="102" t="s">
        <v>812</v>
      </c>
      <c r="B36" s="114" t="s">
        <v>272</v>
      </c>
      <c r="C36" s="114" t="s">
        <v>194</v>
      </c>
      <c r="D36" s="517">
        <v>42457</v>
      </c>
      <c r="E36" s="121" t="s">
        <v>274</v>
      </c>
      <c r="F36" s="107">
        <v>140</v>
      </c>
      <c r="G36" s="107">
        <v>1519.98</v>
      </c>
      <c r="H36" s="107">
        <v>1486</v>
      </c>
      <c r="I36" s="122">
        <f t="shared" si="4"/>
        <v>212797.2</v>
      </c>
      <c r="J36" s="121" t="s">
        <v>584</v>
      </c>
      <c r="K36" s="126">
        <f>SUMIF(收发货!A:A,销售合同!A:A,收发货!D:D)</f>
        <v>140</v>
      </c>
      <c r="L36" s="107">
        <f>SUMIF(收开票!A:A,销售合同!A:A,收开票!E:E)</f>
        <v>140</v>
      </c>
      <c r="M36" s="108">
        <f>SUMIF(收开票!A:A,销售合同!A:A,收开票!F:F)</f>
        <v>212797.2</v>
      </c>
      <c r="N36" s="109">
        <f>SUMIF(收开票!A:A,销售合同!A:A,收开票!H:H)</f>
        <v>140</v>
      </c>
      <c r="O36" s="109">
        <f>SUMIF(收开票!A:A,销售合同!A:A,收开票!I:I)</f>
        <v>212797.2</v>
      </c>
      <c r="P36" s="110">
        <f>SUMIF(收付款!A:A,销售合同!A:A,收付款!E:E)</f>
        <v>212780.43000000002</v>
      </c>
      <c r="Q36" s="110">
        <f t="shared" si="3"/>
        <v>16.769999999989523</v>
      </c>
      <c r="R36" s="111">
        <f>SUMIF(收付款!A:A,销售合同!A:A,收付款!I:I)</f>
        <v>2550</v>
      </c>
      <c r="S36" s="111">
        <f>SUMIF(收付款!A:A,销售合同!A:A,收付款!J:J)</f>
        <v>14145.07</v>
      </c>
      <c r="W36" s="127"/>
      <c r="X36" s="127"/>
    </row>
    <row r="37" spans="1:24" ht="35.1" hidden="1" customHeight="1">
      <c r="A37" s="102" t="s">
        <v>544</v>
      </c>
      <c r="B37" s="114" t="s">
        <v>147</v>
      </c>
      <c r="C37" s="114" t="s">
        <v>430</v>
      </c>
      <c r="D37" s="517">
        <v>42459</v>
      </c>
      <c r="E37" s="118" t="s">
        <v>168</v>
      </c>
      <c r="F37" s="107">
        <v>1600</v>
      </c>
      <c r="G37" s="107">
        <v>5796.67</v>
      </c>
      <c r="H37" s="107">
        <v>5850</v>
      </c>
      <c r="I37" s="122">
        <f t="shared" si="4"/>
        <v>9274672</v>
      </c>
      <c r="J37" s="114" t="s">
        <v>432</v>
      </c>
      <c r="K37" s="106">
        <f>SUMIF(收发货!A:A,销售合同!A:A,收发货!D:D)</f>
        <v>1656.3599999999997</v>
      </c>
      <c r="L37" s="107">
        <f>SUMIF(收开票!A:A,销售合同!A:A,收开票!E:E)</f>
        <v>1696.482</v>
      </c>
      <c r="M37" s="108">
        <f>SUMIF(收开票!A:A,销售合同!A:A,收开票!F:F)</f>
        <v>9921848.6699999999</v>
      </c>
      <c r="N37" s="109">
        <f>SUMIF(收开票!A:A,销售合同!A:A,收开票!H:H)</f>
        <v>1696.482</v>
      </c>
      <c r="O37" s="109">
        <f>SUMIF(收开票!A:A,销售合同!A:A,收开票!I:I)</f>
        <v>9921848.6699999999</v>
      </c>
      <c r="P37" s="110">
        <f>SUMIF(收付款!A:A,销售合同!A:A,收付款!E:E)</f>
        <v>9921848.6699999999</v>
      </c>
      <c r="Q37" s="110">
        <f t="shared" si="3"/>
        <v>0</v>
      </c>
      <c r="R37" s="125"/>
    </row>
    <row r="38" spans="1:24" ht="35.1" hidden="1" customHeight="1">
      <c r="A38" s="102" t="s">
        <v>545</v>
      </c>
      <c r="B38" s="114" t="s">
        <v>147</v>
      </c>
      <c r="C38" s="114" t="s">
        <v>430</v>
      </c>
      <c r="D38" s="517">
        <v>42459</v>
      </c>
      <c r="E38" s="103" t="s">
        <v>144</v>
      </c>
      <c r="F38" s="107">
        <v>1500</v>
      </c>
      <c r="G38" s="107">
        <v>5850</v>
      </c>
      <c r="H38" s="107"/>
      <c r="I38" s="122">
        <f t="shared" si="4"/>
        <v>8775000</v>
      </c>
      <c r="J38" s="118" t="s">
        <v>282</v>
      </c>
      <c r="K38" s="106">
        <f>SUMIF(收发货!A:A,销售合同!A:A,收发货!D:D)</f>
        <v>1559.1000000000004</v>
      </c>
      <c r="L38" s="107">
        <f>SUMIF(收开票!A:A,销售合同!A:A,收开票!E:E)</f>
        <v>1568.9177999999999</v>
      </c>
      <c r="M38" s="108">
        <f>SUMIF(收开票!A:A,销售合同!A:A,收开票!F:F)</f>
        <v>9220640.1400000006</v>
      </c>
      <c r="N38" s="109">
        <f>SUMIF(收开票!A:A,销售合同!A:A,收开票!H:H)</f>
        <v>1568.9177999999999</v>
      </c>
      <c r="O38" s="109">
        <f>SUMIF(收开票!A:A,销售合同!A:A,收开票!I:I)</f>
        <v>9220640.1400000006</v>
      </c>
      <c r="P38" s="110">
        <f>SUMIF(收付款!A:A,销售合同!A:A,收付款!E:E)</f>
        <v>9220640.1400000006</v>
      </c>
      <c r="Q38" s="109">
        <f t="shared" si="3"/>
        <v>0</v>
      </c>
    </row>
    <row r="39" spans="1:24" ht="35.1" hidden="1" customHeight="1">
      <c r="A39" s="102" t="s">
        <v>571</v>
      </c>
      <c r="B39" s="103" t="s">
        <v>217</v>
      </c>
      <c r="C39" s="103" t="s">
        <v>218</v>
      </c>
      <c r="D39" s="518">
        <v>42430</v>
      </c>
      <c r="E39" s="118" t="s">
        <v>168</v>
      </c>
      <c r="F39" s="104">
        <v>3000</v>
      </c>
      <c r="G39" s="104">
        <v>252.72</v>
      </c>
      <c r="H39" s="104"/>
      <c r="I39" s="128">
        <f t="shared" si="4"/>
        <v>758160</v>
      </c>
      <c r="J39" s="118" t="s">
        <v>28</v>
      </c>
      <c r="K39" s="106">
        <f>SUMIF(收发货!A:A,销售合同!A:A,收发货!D:D)</f>
        <v>3001.28</v>
      </c>
      <c r="L39" s="104">
        <f>SUMIF(收开票!A:A,销售合同!A:A,收开票!E:E)</f>
        <v>2440.0149999999999</v>
      </c>
      <c r="M39" s="129">
        <f>SUMIF(收开票!A:A,销售合同!A:A,收开票!F:F)</f>
        <v>611454.42000000004</v>
      </c>
      <c r="N39" s="110">
        <f>SUMIF(收开票!A:A,销售合同!A:A,收开票!H:H)</f>
        <v>2440.0149999999999</v>
      </c>
      <c r="O39" s="110">
        <f>SUMIF(收开票!A:A,销售合同!A:A,收开票!I:I)</f>
        <v>611454.42000000004</v>
      </c>
      <c r="P39" s="110">
        <f>SUMIF(收付款!A:A,销售合同!A:A,收付款!E:E)</f>
        <v>611454.42000000004</v>
      </c>
      <c r="Q39" s="110">
        <f t="shared" si="3"/>
        <v>0</v>
      </c>
      <c r="S39" s="111"/>
      <c r="T39" s="112"/>
      <c r="U39" s="112"/>
    </row>
    <row r="40" spans="1:24" s="127" customFormat="1" ht="35.1" hidden="1" customHeight="1">
      <c r="A40" s="102" t="s">
        <v>652</v>
      </c>
      <c r="B40" s="114" t="s">
        <v>217</v>
      </c>
      <c r="C40" s="114" t="s">
        <v>218</v>
      </c>
      <c r="D40" s="517">
        <v>42430</v>
      </c>
      <c r="E40" s="118" t="s">
        <v>168</v>
      </c>
      <c r="F40" s="107">
        <v>10000</v>
      </c>
      <c r="G40" s="107">
        <v>440.99</v>
      </c>
      <c r="H40" s="107"/>
      <c r="I40" s="122">
        <f t="shared" si="4"/>
        <v>4409900</v>
      </c>
      <c r="J40" s="118" t="s">
        <v>28</v>
      </c>
      <c r="K40" s="106">
        <f>SUMIF(收发货!A:A,销售合同!A:A,收发货!D:D)</f>
        <v>9650</v>
      </c>
      <c r="L40" s="107">
        <f>SUMIF(收开票!A:A,销售合同!A:A,收开票!E:E)</f>
        <v>8454.9958000000006</v>
      </c>
      <c r="M40" s="108">
        <f>SUMIF(收开票!A:A,销售合同!A:A,收开票!F:F)</f>
        <v>3754664.06</v>
      </c>
      <c r="N40" s="109">
        <f>SUMIF(收开票!A:A,销售合同!A:A,收开票!H:H)</f>
        <v>8454.9958000000006</v>
      </c>
      <c r="O40" s="109">
        <f>SUMIF(收开票!A:A,销售合同!A:A,收开票!I:I)</f>
        <v>3754664.06</v>
      </c>
      <c r="P40" s="110">
        <f>SUMIF(收付款!A:A,销售合同!A:A,收付款!E:E)</f>
        <v>3754664.06</v>
      </c>
      <c r="Q40" s="110">
        <f t="shared" si="3"/>
        <v>0</v>
      </c>
      <c r="R40" s="101"/>
      <c r="S40" s="111"/>
      <c r="T40" s="112"/>
      <c r="U40" s="112"/>
      <c r="V40" s="101"/>
      <c r="W40" s="101"/>
      <c r="X40" s="101"/>
    </row>
    <row r="41" spans="1:24" ht="35.1" hidden="1" customHeight="1">
      <c r="A41" s="102" t="s">
        <v>620</v>
      </c>
      <c r="B41" s="114" t="s">
        <v>193</v>
      </c>
      <c r="C41" s="114" t="s">
        <v>603</v>
      </c>
      <c r="D41" s="517">
        <v>42473</v>
      </c>
      <c r="E41" s="118" t="s">
        <v>621</v>
      </c>
      <c r="F41" s="107">
        <v>20</v>
      </c>
      <c r="G41" s="107">
        <v>5700</v>
      </c>
      <c r="H41" s="107"/>
      <c r="I41" s="122">
        <f t="shared" si="4"/>
        <v>114000</v>
      </c>
      <c r="J41" s="118" t="s">
        <v>619</v>
      </c>
      <c r="K41" s="106">
        <f>SUMIF(收发货!A:A,销售合同!A:A,收发货!D:D)</f>
        <v>19.977</v>
      </c>
      <c r="L41" s="107">
        <f>SUMIF(收开票!A:A,销售合同!A:A,收开票!E:E)</f>
        <v>19.977</v>
      </c>
      <c r="M41" s="108">
        <f>SUMIF(收开票!A:A,销售合同!A:A,收开票!F:F)</f>
        <v>113868.9</v>
      </c>
      <c r="N41" s="109">
        <f>SUMIF(收开票!A:A,销售合同!A:A,收开票!H:H)</f>
        <v>19.977</v>
      </c>
      <c r="O41" s="109">
        <f>SUMIF(收开票!A:A,销售合同!A:A,收开票!I:I)</f>
        <v>113868.9</v>
      </c>
      <c r="P41" s="110">
        <f>SUMIF(收付款!A:A,销售合同!A:A,收付款!E:E)</f>
        <v>113868.9</v>
      </c>
      <c r="Q41" s="110">
        <f t="shared" si="3"/>
        <v>0</v>
      </c>
      <c r="R41" s="111"/>
      <c r="S41" s="111"/>
      <c r="T41" s="112"/>
      <c r="U41" s="112"/>
    </row>
    <row r="42" spans="1:24" ht="35.1" hidden="1" customHeight="1">
      <c r="A42" s="102" t="s">
        <v>1818</v>
      </c>
      <c r="B42" s="103" t="s">
        <v>485</v>
      </c>
      <c r="C42" s="103" t="s">
        <v>230</v>
      </c>
      <c r="D42" s="517">
        <v>42466</v>
      </c>
      <c r="E42" s="103" t="s">
        <v>321</v>
      </c>
      <c r="F42" s="104">
        <v>20000</v>
      </c>
      <c r="G42" s="104">
        <v>487.51</v>
      </c>
      <c r="H42" s="104"/>
      <c r="I42" s="117">
        <f t="shared" si="4"/>
        <v>9750200</v>
      </c>
      <c r="J42" s="103" t="s">
        <v>152</v>
      </c>
      <c r="K42" s="106">
        <f>SUMIF(收发货!A:A,销售合同!A:A,收发货!D:D)</f>
        <v>20000</v>
      </c>
      <c r="L42" s="107">
        <f>SUMIF(收开票!A:A,销售合同!A:A,收开票!E:E)</f>
        <v>19258.385999999999</v>
      </c>
      <c r="M42" s="108">
        <f>SUMIF(收开票!A:A,销售合同!A:A,收开票!F:F)</f>
        <v>9492811.7899999991</v>
      </c>
      <c r="N42" s="109">
        <f>SUMIF(收开票!A:A,销售合同!A:A,收开票!H:H)</f>
        <v>19258.385999999999</v>
      </c>
      <c r="O42" s="109">
        <f>SUMIF(收开票!A:A,销售合同!A:A,收开票!I:I)</f>
        <v>9492811.7899999991</v>
      </c>
      <c r="P42" s="110">
        <f>SUMIF(收付款!A:A,销售合同!A:A,收付款!E:E)</f>
        <v>9492811.7899999991</v>
      </c>
      <c r="Q42" s="110">
        <f t="shared" si="3"/>
        <v>0</v>
      </c>
      <c r="S42" s="111"/>
      <c r="T42" s="112"/>
      <c r="U42" s="112"/>
      <c r="V42" s="113"/>
      <c r="W42" s="112"/>
      <c r="X42" s="112"/>
    </row>
    <row r="43" spans="1:24" ht="35.1" hidden="1" customHeight="1">
      <c r="A43" s="102" t="s">
        <v>803</v>
      </c>
      <c r="B43" s="114" t="s">
        <v>147</v>
      </c>
      <c r="C43" s="114" t="s">
        <v>430</v>
      </c>
      <c r="D43" s="517">
        <v>42495</v>
      </c>
      <c r="E43" s="118" t="s">
        <v>168</v>
      </c>
      <c r="F43" s="107">
        <v>900</v>
      </c>
      <c r="G43" s="107">
        <f>H43/1.0092</f>
        <v>5301.2286959968287</v>
      </c>
      <c r="H43" s="107">
        <v>5350</v>
      </c>
      <c r="I43" s="122">
        <f t="shared" si="4"/>
        <v>4771105.8263971461</v>
      </c>
      <c r="J43" s="114" t="s">
        <v>432</v>
      </c>
      <c r="K43" s="106">
        <f>SUMIF(收发货!A:A,销售合同!A:A,收发货!D:D)</f>
        <v>902.54000000000008</v>
      </c>
      <c r="L43" s="107">
        <f>SUMIF(收开票!A:A,销售合同!A:A,收开票!E:E)</f>
        <v>915.43240000000003</v>
      </c>
      <c r="M43" s="108">
        <f>SUMIF(收开票!A:A,销售合同!A:A,收开票!F:F)</f>
        <v>4835870.99</v>
      </c>
      <c r="N43" s="109">
        <f>SUMIF(收开票!A:A,销售合同!A:A,收开票!H:H)</f>
        <v>915.43240000000003</v>
      </c>
      <c r="O43" s="109">
        <f>SUMIF(收开票!A:A,销售合同!A:A,收开票!I:I)</f>
        <v>4835870.99</v>
      </c>
      <c r="P43" s="110">
        <f>SUMIF(收付款!A:A,销售合同!A:A,收付款!E:E)</f>
        <v>4835870.99</v>
      </c>
      <c r="Q43" s="110">
        <f t="shared" si="3"/>
        <v>0</v>
      </c>
    </row>
    <row r="44" spans="1:24" ht="35.1" hidden="1" customHeight="1">
      <c r="A44" s="102" t="s">
        <v>730</v>
      </c>
      <c r="B44" s="103" t="s">
        <v>485</v>
      </c>
      <c r="C44" s="103" t="s">
        <v>93</v>
      </c>
      <c r="D44" s="517">
        <v>42461</v>
      </c>
      <c r="E44" s="103" t="s">
        <v>321</v>
      </c>
      <c r="F44" s="104">
        <v>5000</v>
      </c>
      <c r="G44" s="104">
        <v>554.89</v>
      </c>
      <c r="H44" s="104">
        <f>G44*1.0092</f>
        <v>559.99498800000003</v>
      </c>
      <c r="I44" s="117">
        <f t="shared" si="4"/>
        <v>2774450</v>
      </c>
      <c r="J44" s="103" t="s">
        <v>152</v>
      </c>
      <c r="K44" s="106">
        <f>SUMIF(收发货!A:A,销售合同!A:A,收发货!D:D)</f>
        <v>5350</v>
      </c>
      <c r="L44" s="107">
        <f>SUMIF(收开票!A:A,销售合同!A:A,收开票!E:E)</f>
        <v>4748.8580000000002</v>
      </c>
      <c r="M44" s="108">
        <f>SUMIF(收开票!A:A,销售合同!A:A,收开票!F:F)</f>
        <v>2636006.7400535084</v>
      </c>
      <c r="N44" s="109">
        <f>SUMIF(收开票!A:A,销售合同!A:A,收开票!H:H)</f>
        <v>4748.8580000000002</v>
      </c>
      <c r="O44" s="109">
        <f>SUMIF(收开票!A:A,销售合同!A:A,收开票!I:I)</f>
        <v>2636006.7400000002</v>
      </c>
      <c r="P44" s="110">
        <f>SUMIF(收付款!A:A,销售合同!A:A,收付款!E:E)</f>
        <v>2636006.7400000002</v>
      </c>
      <c r="Q44" s="110">
        <f t="shared" si="3"/>
        <v>0</v>
      </c>
      <c r="S44" s="111"/>
      <c r="T44" s="112"/>
      <c r="U44" s="112"/>
      <c r="V44" s="113"/>
      <c r="W44" s="112"/>
      <c r="X44" s="112"/>
    </row>
    <row r="45" spans="1:24" ht="35.1" hidden="1" customHeight="1">
      <c r="A45" s="102" t="s">
        <v>1456</v>
      </c>
      <c r="B45" s="114" t="s">
        <v>272</v>
      </c>
      <c r="C45" s="114" t="s">
        <v>736</v>
      </c>
      <c r="D45" s="517">
        <v>42480</v>
      </c>
      <c r="E45" s="118" t="s">
        <v>740</v>
      </c>
      <c r="F45" s="107">
        <v>100</v>
      </c>
      <c r="G45" s="107">
        <v>109</v>
      </c>
      <c r="H45" s="107">
        <v>109</v>
      </c>
      <c r="I45" s="119">
        <f t="shared" si="4"/>
        <v>10900</v>
      </c>
      <c r="J45" s="118" t="s">
        <v>741</v>
      </c>
      <c r="K45" s="106">
        <f>SUMIF(收发货!A:A,销售合同!A:A,收发货!D:D)</f>
        <v>100</v>
      </c>
      <c r="L45" s="107">
        <f>SUMIF(收开票!A:A,销售合同!A:A,收开票!E:E)</f>
        <v>100</v>
      </c>
      <c r="M45" s="108">
        <f>SUMIF(收开票!A:A,销售合同!A:A,收开票!F:F)</f>
        <v>10900</v>
      </c>
      <c r="N45" s="109">
        <f>SUMIF(收开票!A:A,销售合同!A:A,收开票!H:H)</f>
        <v>100</v>
      </c>
      <c r="O45" s="109">
        <f>SUMIF(收开票!A:A,销售合同!A:A,收开票!I:I)</f>
        <v>10900</v>
      </c>
      <c r="P45" s="110">
        <f>SUMIF(收付款!A:A,销售合同!A:A,收付款!E:E)</f>
        <v>10645.36</v>
      </c>
      <c r="Q45" s="110">
        <f t="shared" si="3"/>
        <v>254.63999999999942</v>
      </c>
      <c r="R45" s="111">
        <f>SUMIF(收付款!A:A,销售合同!A:A,收付款!I:I)</f>
        <v>8546.98</v>
      </c>
      <c r="S45" s="111">
        <f>SUMIF(收付款!A:A,销售合同!A:A,收付款!J:J)</f>
        <v>18828.55</v>
      </c>
    </row>
    <row r="46" spans="1:24" ht="35.1" hidden="1" customHeight="1">
      <c r="A46" s="102" t="s">
        <v>804</v>
      </c>
      <c r="B46" s="114" t="s">
        <v>147</v>
      </c>
      <c r="C46" s="114" t="s">
        <v>430</v>
      </c>
      <c r="D46" s="517">
        <v>42495</v>
      </c>
      <c r="E46" s="103" t="s">
        <v>144</v>
      </c>
      <c r="F46" s="107">
        <v>600</v>
      </c>
      <c r="G46" s="107">
        <v>5450</v>
      </c>
      <c r="H46" s="107"/>
      <c r="I46" s="122">
        <f t="shared" si="4"/>
        <v>3270000</v>
      </c>
      <c r="J46" s="118" t="s">
        <v>282</v>
      </c>
      <c r="K46" s="106">
        <f>SUMIF(收发货!A:A,销售合同!A:A,收发货!D:D)</f>
        <v>612.98</v>
      </c>
      <c r="L46" s="107">
        <f>SUMIF(收开票!A:A,销售合同!A:A,收开票!E:E)</f>
        <v>624.74980000000005</v>
      </c>
      <c r="M46" s="108">
        <f>SUMIF(收开票!A:A,销售合同!A:A,收开票!F:F)</f>
        <v>3404880.96</v>
      </c>
      <c r="N46" s="109">
        <f>SUMIF(收开票!A:A,销售合同!A:A,收开票!H:H)</f>
        <v>624.74980000000005</v>
      </c>
      <c r="O46" s="109">
        <f>SUMIF(收开票!A:A,销售合同!A:A,收开票!I:I)</f>
        <v>3404880.96</v>
      </c>
      <c r="P46" s="110">
        <f>SUMIF(收付款!A:A,销售合同!A:A,收付款!E:E)</f>
        <v>3404880.96</v>
      </c>
      <c r="Q46" s="109">
        <f t="shared" si="3"/>
        <v>0</v>
      </c>
    </row>
    <row r="47" spans="1:24" ht="35.1" hidden="1" customHeight="1">
      <c r="A47" s="102" t="s">
        <v>805</v>
      </c>
      <c r="B47" s="114" t="s">
        <v>147</v>
      </c>
      <c r="C47" s="114" t="s">
        <v>82</v>
      </c>
      <c r="D47" s="517">
        <v>42495</v>
      </c>
      <c r="E47" s="118" t="s">
        <v>168</v>
      </c>
      <c r="F47" s="107">
        <v>240</v>
      </c>
      <c r="G47" s="107">
        <f>H47/1.0092</f>
        <v>10652.001585414189</v>
      </c>
      <c r="H47" s="107">
        <v>10750</v>
      </c>
      <c r="I47" s="122">
        <f t="shared" si="4"/>
        <v>2556480.3804994053</v>
      </c>
      <c r="J47" s="114" t="s">
        <v>149</v>
      </c>
      <c r="K47" s="106">
        <f>SUMIF(收发货!A:A,销售合同!A:A,收发货!D:D)</f>
        <v>252</v>
      </c>
      <c r="L47" s="107">
        <f>SUMIF(收开票!A:A,销售合同!A:A,收开票!E:E)</f>
        <v>252.39709999999999</v>
      </c>
      <c r="M47" s="108">
        <f>SUMIF(收开票!A:A,销售合同!A:A,收开票!F:F)</f>
        <v>2688534.31</v>
      </c>
      <c r="N47" s="109">
        <f>SUMIF(收开票!A:A,销售合同!A:A,收开票!H:H)</f>
        <v>252.39709999999999</v>
      </c>
      <c r="O47" s="109">
        <f>SUMIF(收开票!A:A,销售合同!A:A,收开票!I:I)</f>
        <v>2688534.31</v>
      </c>
      <c r="P47" s="110">
        <f>SUMIF(收付款!A:A,销售合同!A:A,收付款!E:E)</f>
        <v>2688534.31</v>
      </c>
      <c r="Q47" s="110">
        <f t="shared" si="3"/>
        <v>0</v>
      </c>
      <c r="R47" s="111">
        <v>0</v>
      </c>
      <c r="S47" s="111"/>
      <c r="T47" s="112"/>
      <c r="U47" s="112"/>
      <c r="V47" s="113">
        <v>42289</v>
      </c>
      <c r="W47" s="112"/>
      <c r="X47" s="112"/>
    </row>
    <row r="48" spans="1:24" ht="35.1" hidden="1" customHeight="1">
      <c r="A48" s="102" t="s">
        <v>1086</v>
      </c>
      <c r="B48" s="103" t="s">
        <v>485</v>
      </c>
      <c r="C48" s="103" t="s">
        <v>93</v>
      </c>
      <c r="D48" s="517">
        <v>42491</v>
      </c>
      <c r="E48" s="103" t="s">
        <v>321</v>
      </c>
      <c r="F48" s="104">
        <v>10000</v>
      </c>
      <c r="G48" s="104">
        <v>584.62</v>
      </c>
      <c r="H48" s="104">
        <f>G48*1.0092</f>
        <v>589.99850400000003</v>
      </c>
      <c r="I48" s="117">
        <f t="shared" si="4"/>
        <v>5846200</v>
      </c>
      <c r="J48" s="103" t="s">
        <v>152</v>
      </c>
      <c r="K48" s="106">
        <f>SUMIF(收发货!A:A,销售合同!A:A,收发货!D:D)</f>
        <v>10800</v>
      </c>
      <c r="L48" s="107">
        <f>SUMIF(收开票!A:A,销售合同!A:A,收开票!E:E)</f>
        <v>9598.9039999999986</v>
      </c>
      <c r="M48" s="108">
        <f>SUMIF(收开票!A:A,销售合同!A:A,收开票!F:F)</f>
        <v>5511959.0099999998</v>
      </c>
      <c r="N48" s="109">
        <f>SUMIF(收开票!A:A,销售合同!A:A,收开票!H:H)</f>
        <v>9598.9039999999986</v>
      </c>
      <c r="O48" s="109">
        <f>SUMIF(收开票!A:A,销售合同!A:A,收开票!I:I)</f>
        <v>5511959.0099999998</v>
      </c>
      <c r="P48" s="110">
        <f>SUMIF(收付款!A:A,销售合同!A:A,收付款!E:E)</f>
        <v>5511959.0099999998</v>
      </c>
      <c r="Q48" s="110">
        <f t="shared" si="3"/>
        <v>0</v>
      </c>
      <c r="S48" s="111"/>
      <c r="T48" s="112"/>
      <c r="U48" s="112"/>
      <c r="V48" s="113"/>
      <c r="W48" s="112"/>
      <c r="X48" s="112"/>
    </row>
    <row r="49" spans="1:24" ht="35.1" hidden="1" customHeight="1">
      <c r="A49" s="102" t="s">
        <v>904</v>
      </c>
      <c r="B49" s="103" t="s">
        <v>485</v>
      </c>
      <c r="C49" s="103" t="s">
        <v>93</v>
      </c>
      <c r="D49" s="517">
        <v>42491</v>
      </c>
      <c r="E49" s="103" t="s">
        <v>321</v>
      </c>
      <c r="F49" s="104">
        <v>15000</v>
      </c>
      <c r="G49" s="104">
        <v>574.71</v>
      </c>
      <c r="H49" s="104">
        <f>G49*1.0092</f>
        <v>579.99733200000014</v>
      </c>
      <c r="I49" s="117">
        <f t="shared" si="4"/>
        <v>8620650</v>
      </c>
      <c r="J49" s="103" t="s">
        <v>152</v>
      </c>
      <c r="K49" s="106">
        <f>SUMIF(收发货!A:A,销售合同!A:A,收发货!D:D)</f>
        <v>15250</v>
      </c>
      <c r="L49" s="107">
        <f>SUMIF(收开票!A:A,销售合同!A:A,收开票!E:E)</f>
        <v>13599.192999999999</v>
      </c>
      <c r="M49" s="108">
        <f>SUMIF(收开票!A:A,销售合同!A:A,收开票!F:F)</f>
        <v>7044219.7699999996</v>
      </c>
      <c r="N49" s="109">
        <f>SUMIF(收开票!A:A,销售合同!A:A,收开票!H:H)</f>
        <v>13599.192999999999</v>
      </c>
      <c r="O49" s="109">
        <f>SUMIF(收开票!A:A,销售合同!A:A,收开票!I:I)</f>
        <v>7044219.7699999996</v>
      </c>
      <c r="P49" s="110">
        <f>SUMIF(收付款!A:A,销售合同!A:A,收付款!E:E)</f>
        <v>7044219.7700000005</v>
      </c>
      <c r="Q49" s="110">
        <f t="shared" si="3"/>
        <v>0</v>
      </c>
      <c r="S49" s="111"/>
      <c r="T49" s="112"/>
      <c r="U49" s="112"/>
      <c r="V49" s="113"/>
      <c r="W49" s="112"/>
      <c r="X49" s="112"/>
    </row>
    <row r="50" spans="1:24" s="127" customFormat="1" ht="35.1" hidden="1" customHeight="1">
      <c r="A50" s="102" t="s">
        <v>729</v>
      </c>
      <c r="B50" s="114" t="s">
        <v>272</v>
      </c>
      <c r="C50" s="114" t="s">
        <v>194</v>
      </c>
      <c r="D50" s="517">
        <v>42493</v>
      </c>
      <c r="E50" s="121" t="s">
        <v>274</v>
      </c>
      <c r="F50" s="107">
        <v>160</v>
      </c>
      <c r="G50" s="107">
        <v>1527.38</v>
      </c>
      <c r="H50" s="107">
        <v>1495</v>
      </c>
      <c r="I50" s="122">
        <f t="shared" si="4"/>
        <v>244380.80000000002</v>
      </c>
      <c r="J50" s="121" t="s">
        <v>583</v>
      </c>
      <c r="K50" s="126">
        <f>SUMIF(收发货!A:A,销售合同!A:A,收发货!D:D)</f>
        <v>160</v>
      </c>
      <c r="L50" s="107">
        <f>SUMIF(收开票!A:A,销售合同!A:A,收开票!E:E)</f>
        <v>160</v>
      </c>
      <c r="M50" s="108">
        <f>SUMIF(收开票!A:A,销售合同!A:A,收开票!F:F)</f>
        <v>244380.80000000002</v>
      </c>
      <c r="N50" s="109">
        <f>SUMIF(收开票!A:A,销售合同!A:A,收开票!H:H)</f>
        <v>160</v>
      </c>
      <c r="O50" s="109">
        <f>SUMIF(收开票!A:A,销售合同!A:A,收开票!I:I)</f>
        <v>244380.80000000002</v>
      </c>
      <c r="P50" s="110">
        <f>SUMIF(收付款!A:A,销售合同!A:A,收付款!E:E)</f>
        <v>244372.41</v>
      </c>
      <c r="Q50" s="110"/>
      <c r="R50" s="111">
        <f>SUMIF(收付款!A:A,销售合同!A:A,收付款!I:I)</f>
        <v>2030</v>
      </c>
      <c r="S50" s="111">
        <f>SUMIF(收付款!A:A,销售合同!A:A,收付款!J:J)</f>
        <v>8901</v>
      </c>
      <c r="T50" s="101"/>
      <c r="U50" s="101"/>
      <c r="V50" s="101"/>
    </row>
    <row r="51" spans="1:24" ht="35.1" hidden="1" customHeight="1">
      <c r="A51" s="102" t="s">
        <v>970</v>
      </c>
      <c r="B51" s="114" t="s">
        <v>272</v>
      </c>
      <c r="C51" s="114" t="s">
        <v>194</v>
      </c>
      <c r="D51" s="517">
        <v>42501</v>
      </c>
      <c r="E51" s="121" t="s">
        <v>274</v>
      </c>
      <c r="F51" s="107">
        <v>40</v>
      </c>
      <c r="G51" s="107">
        <v>1527.38</v>
      </c>
      <c r="H51" s="107">
        <v>1495</v>
      </c>
      <c r="I51" s="122">
        <f t="shared" si="4"/>
        <v>61095.200000000004</v>
      </c>
      <c r="J51" s="121" t="s">
        <v>856</v>
      </c>
      <c r="K51" s="126">
        <f>SUMIF(收发货!A:A,销售合同!A:A,收发货!D:D)</f>
        <v>40</v>
      </c>
      <c r="L51" s="107">
        <f>SUMIF(收开票!A:A,销售合同!A:A,收开票!E:E)</f>
        <v>40</v>
      </c>
      <c r="M51" s="108">
        <f>SUMIF(收开票!A:A,销售合同!A:A,收开票!F:F)</f>
        <v>61095.200000000004</v>
      </c>
      <c r="N51" s="109">
        <f>SUMIF(收开票!A:A,销售合同!A:A,收开票!H:H)</f>
        <v>40</v>
      </c>
      <c r="O51" s="109">
        <f>SUMIF(收开票!A:A,销售合同!A:A,收开票!I:I)</f>
        <v>61095.200000000004</v>
      </c>
      <c r="P51" s="110">
        <f>SUMIF(收付款!A:A,销售合同!A:A,收付款!E:E)</f>
        <v>61078.420000000006</v>
      </c>
      <c r="Q51" s="110">
        <f t="shared" ref="Q51:Q60" si="5">O51-P51</f>
        <v>16.779999999998836</v>
      </c>
      <c r="R51" s="111">
        <f>SUMIF(收付款!A:A,销售合同!A:A,收付款!I:I)</f>
        <v>0</v>
      </c>
      <c r="S51" s="111">
        <f>SUMIF(收付款!A:A,销售合同!A:A,收付款!J:J)</f>
        <v>0</v>
      </c>
      <c r="W51" s="127"/>
      <c r="X51" s="127"/>
    </row>
    <row r="52" spans="1:24" ht="35.1" hidden="1" customHeight="1">
      <c r="A52" s="102" t="s">
        <v>983</v>
      </c>
      <c r="B52" s="103" t="s">
        <v>127</v>
      </c>
      <c r="C52" s="103" t="s">
        <v>240</v>
      </c>
      <c r="D52" s="517">
        <v>42522</v>
      </c>
      <c r="E52" s="103" t="s">
        <v>474</v>
      </c>
      <c r="F52" s="104">
        <v>120</v>
      </c>
      <c r="G52" s="104">
        <v>1514.46</v>
      </c>
      <c r="H52" s="104">
        <v>1480</v>
      </c>
      <c r="I52" s="130">
        <f t="shared" si="4"/>
        <v>181735.2</v>
      </c>
      <c r="J52" s="103" t="s">
        <v>984</v>
      </c>
      <c r="K52" s="106">
        <f>SUMIF(收发货!A:A,销售合同!A:A,收发货!D:D)</f>
        <v>120</v>
      </c>
      <c r="L52" s="107">
        <f>SUMIF(收开票!A:A,销售合同!A:A,收开票!E:E)</f>
        <v>120</v>
      </c>
      <c r="M52" s="108">
        <f>SUMIF(收开票!A:A,销售合同!A:A,收开票!F:F)</f>
        <v>181735.2</v>
      </c>
      <c r="N52" s="109">
        <f>SUMIF(收开票!A:A,销售合同!A:A,收开票!H:H)</f>
        <v>120</v>
      </c>
      <c r="O52" s="109">
        <f>SUMIF(收开票!A:A,销售合同!A:A,收开票!I:I)</f>
        <v>181735.2</v>
      </c>
      <c r="P52" s="110">
        <f>SUMIF(收付款!A:A,销售合同!A:A,收付款!E:E)</f>
        <v>181718.40000000002</v>
      </c>
      <c r="Q52" s="110">
        <f t="shared" si="5"/>
        <v>16.799999999988358</v>
      </c>
      <c r="R52" s="111">
        <f>SUMIF(收付款!A:A,销售合同!A:A,收付款!I:I)</f>
        <v>1530</v>
      </c>
      <c r="S52" s="111">
        <f>SUMIF(收付款!A:A,销售合同!A:A,收付款!J:J)</f>
        <v>7054.92</v>
      </c>
      <c r="T52" s="112"/>
      <c r="U52" s="112"/>
      <c r="V52" s="113"/>
      <c r="W52" s="112"/>
      <c r="X52" s="112"/>
    </row>
    <row r="53" spans="1:24" ht="35.1" hidden="1" customHeight="1">
      <c r="A53" s="102" t="s">
        <v>985</v>
      </c>
      <c r="B53" s="103" t="s">
        <v>127</v>
      </c>
      <c r="C53" s="103" t="s">
        <v>240</v>
      </c>
      <c r="D53" s="517">
        <v>42522</v>
      </c>
      <c r="E53" s="103" t="s">
        <v>474</v>
      </c>
      <c r="F53" s="104">
        <v>40</v>
      </c>
      <c r="G53" s="104">
        <v>1505.18</v>
      </c>
      <c r="H53" s="104"/>
      <c r="I53" s="130">
        <f t="shared" si="4"/>
        <v>60207.200000000004</v>
      </c>
      <c r="J53" s="103" t="s">
        <v>986</v>
      </c>
      <c r="K53" s="106">
        <f>SUMIF(收发货!A:A,销售合同!A:A,收发货!D:D)</f>
        <v>40</v>
      </c>
      <c r="L53" s="107">
        <f>SUMIF(收开票!A:A,销售合同!A:A,收开票!E:E)</f>
        <v>40</v>
      </c>
      <c r="M53" s="108">
        <f>SUMIF(收开票!A:A,销售合同!A:A,收开票!F:F)</f>
        <v>60207.200000000004</v>
      </c>
      <c r="N53" s="109">
        <f>SUMIF(收开票!A:A,销售合同!A:A,收开票!H:H)</f>
        <v>40</v>
      </c>
      <c r="O53" s="109">
        <f>SUMIF(收开票!A:A,销售合同!A:A,收开票!I:I)</f>
        <v>60207.200000000004</v>
      </c>
      <c r="P53" s="110">
        <f>SUMIF(收付款!A:A,销售合同!A:A,收付款!E:E)</f>
        <v>60207.200000000004</v>
      </c>
      <c r="Q53" s="110">
        <f t="shared" si="5"/>
        <v>0</v>
      </c>
      <c r="R53" s="111">
        <f>SUMIF(收付款!A:A,销售合同!A:A,收付款!I:I)</f>
        <v>0</v>
      </c>
      <c r="S53" s="111">
        <f>SUMIF(收付款!A:A,销售合同!A:A,收付款!J:J)</f>
        <v>0</v>
      </c>
      <c r="T53" s="112"/>
      <c r="U53" s="112"/>
      <c r="V53" s="113"/>
      <c r="W53" s="112"/>
      <c r="X53" s="112"/>
    </row>
    <row r="54" spans="1:24" s="125" customFormat="1" ht="35.1" hidden="1" customHeight="1">
      <c r="A54" s="102" t="s">
        <v>987</v>
      </c>
      <c r="B54" s="103" t="s">
        <v>127</v>
      </c>
      <c r="C54" s="103" t="s">
        <v>240</v>
      </c>
      <c r="D54" s="517">
        <v>42522</v>
      </c>
      <c r="E54" s="103" t="s">
        <v>474</v>
      </c>
      <c r="F54" s="104">
        <v>60</v>
      </c>
      <c r="G54" s="104">
        <v>1505.18</v>
      </c>
      <c r="H54" s="104"/>
      <c r="I54" s="130">
        <f t="shared" si="4"/>
        <v>90310.8</v>
      </c>
      <c r="J54" s="103" t="s">
        <v>988</v>
      </c>
      <c r="K54" s="106">
        <f>SUMIF(收发货!A:A,销售合同!A:A,收发货!D:D)</f>
        <v>60</v>
      </c>
      <c r="L54" s="107">
        <f>SUMIF(收开票!A:A,销售合同!A:A,收开票!E:E)</f>
        <v>60</v>
      </c>
      <c r="M54" s="108">
        <f>SUMIF(收开票!A:A,销售合同!A:A,收开票!F:F)</f>
        <v>90310.8</v>
      </c>
      <c r="N54" s="109">
        <f>SUMIF(收开票!A:A,销售合同!A:A,收开票!H:H)</f>
        <v>60</v>
      </c>
      <c r="O54" s="109">
        <f>SUMIF(收开票!A:A,销售合同!A:A,收开票!I:I)</f>
        <v>90310.8</v>
      </c>
      <c r="P54" s="110">
        <f>SUMIF(收付款!A:A,销售合同!A:A,收付款!E:E)</f>
        <v>90310.8</v>
      </c>
      <c r="Q54" s="110">
        <f t="shared" si="5"/>
        <v>0</v>
      </c>
      <c r="R54" s="111">
        <f>SUMIF(收付款!A:A,销售合同!A:A,收付款!I:I)</f>
        <v>0</v>
      </c>
      <c r="S54" s="111">
        <f>SUMIF(收付款!A:A,销售合同!A:A,收付款!J:J)</f>
        <v>0</v>
      </c>
      <c r="T54" s="112"/>
      <c r="U54" s="112"/>
      <c r="V54" s="113"/>
      <c r="W54" s="112"/>
      <c r="X54" s="112"/>
    </row>
    <row r="55" spans="1:24" ht="35.1" hidden="1" customHeight="1">
      <c r="A55" s="102" t="s">
        <v>989</v>
      </c>
      <c r="B55" s="103" t="s">
        <v>127</v>
      </c>
      <c r="C55" s="103" t="s">
        <v>240</v>
      </c>
      <c r="D55" s="517">
        <v>42522</v>
      </c>
      <c r="E55" s="103" t="s">
        <v>474</v>
      </c>
      <c r="F55" s="104">
        <v>60</v>
      </c>
      <c r="G55" s="104">
        <v>1505.18</v>
      </c>
      <c r="H55" s="104"/>
      <c r="I55" s="130">
        <f t="shared" si="4"/>
        <v>90310.8</v>
      </c>
      <c r="J55" s="103" t="s">
        <v>990</v>
      </c>
      <c r="K55" s="106">
        <f>SUMIF(收发货!A:A,销售合同!A:A,收发货!D:D)</f>
        <v>60</v>
      </c>
      <c r="L55" s="107">
        <f>SUMIF(收开票!A:A,销售合同!A:A,收开票!E:E)</f>
        <v>60</v>
      </c>
      <c r="M55" s="108">
        <f>SUMIF(收开票!A:A,销售合同!A:A,收开票!F:F)</f>
        <v>90310.8</v>
      </c>
      <c r="N55" s="109">
        <f>SUMIF(收开票!A:A,销售合同!A:A,收开票!H:H)</f>
        <v>60</v>
      </c>
      <c r="O55" s="109">
        <f>SUMIF(收开票!A:A,销售合同!A:A,收开票!I:I)</f>
        <v>90310.8</v>
      </c>
      <c r="P55" s="110">
        <f>SUMIF(收付款!A:A,销售合同!A:A,收付款!E:E)</f>
        <v>90310.8</v>
      </c>
      <c r="Q55" s="110">
        <f t="shared" si="5"/>
        <v>0</v>
      </c>
      <c r="R55" s="111">
        <f>SUMIF(收付款!A:A,销售合同!A:A,收付款!I:I)</f>
        <v>0</v>
      </c>
      <c r="S55" s="111">
        <f>SUMIF(收付款!A:A,销售合同!A:A,收付款!J:J)</f>
        <v>0</v>
      </c>
      <c r="T55" s="112"/>
      <c r="U55" s="112"/>
      <c r="V55" s="113"/>
      <c r="W55" s="112"/>
      <c r="X55" s="112"/>
    </row>
    <row r="56" spans="1:24" s="125" customFormat="1" ht="35.1" hidden="1" customHeight="1">
      <c r="A56" s="102" t="s">
        <v>991</v>
      </c>
      <c r="B56" s="103" t="s">
        <v>127</v>
      </c>
      <c r="C56" s="103" t="s">
        <v>240</v>
      </c>
      <c r="D56" s="517">
        <v>42522</v>
      </c>
      <c r="E56" s="103" t="s">
        <v>474</v>
      </c>
      <c r="F56" s="104">
        <v>40</v>
      </c>
      <c r="G56" s="104">
        <v>1505.18</v>
      </c>
      <c r="H56" s="104"/>
      <c r="I56" s="130">
        <f t="shared" si="4"/>
        <v>60207.200000000004</v>
      </c>
      <c r="J56" s="103" t="s">
        <v>984</v>
      </c>
      <c r="K56" s="106">
        <f>SUMIF(收发货!A:A,销售合同!A:A,收发货!D:D)</f>
        <v>40</v>
      </c>
      <c r="L56" s="107">
        <f>SUMIF(收开票!A:A,销售合同!A:A,收开票!E:E)</f>
        <v>40</v>
      </c>
      <c r="M56" s="108">
        <f>SUMIF(收开票!A:A,销售合同!A:A,收开票!F:F)</f>
        <v>60207.200000000004</v>
      </c>
      <c r="N56" s="109">
        <f>SUMIF(收开票!A:A,销售合同!A:A,收开票!H:H)</f>
        <v>40</v>
      </c>
      <c r="O56" s="109">
        <f>SUMIF(收开票!A:A,销售合同!A:A,收开票!I:I)</f>
        <v>60207.200000000004</v>
      </c>
      <c r="P56" s="110">
        <f>SUMIF(收付款!A:A,销售合同!A:A,收付款!E:E)</f>
        <v>60173.599999999999</v>
      </c>
      <c r="Q56" s="110">
        <f t="shared" si="5"/>
        <v>33.600000000005821</v>
      </c>
      <c r="R56" s="111">
        <f>SUMIF(收付款!A:A,销售合同!A:A,收付款!I:I)</f>
        <v>0</v>
      </c>
      <c r="S56" s="111">
        <f>SUMIF(收付款!A:A,销售合同!A:A,收付款!J:J)</f>
        <v>0</v>
      </c>
      <c r="T56" s="112"/>
      <c r="U56" s="112"/>
      <c r="V56" s="113"/>
      <c r="W56" s="112"/>
      <c r="X56" s="112"/>
    </row>
    <row r="57" spans="1:24" ht="35.1" hidden="1" customHeight="1">
      <c r="A57" s="102" t="s">
        <v>1020</v>
      </c>
      <c r="B57" s="114" t="s">
        <v>147</v>
      </c>
      <c r="C57" s="114" t="s">
        <v>82</v>
      </c>
      <c r="D57" s="517">
        <v>42523</v>
      </c>
      <c r="E57" s="118" t="s">
        <v>168</v>
      </c>
      <c r="F57" s="107">
        <v>300</v>
      </c>
      <c r="G57" s="107">
        <f>H57/1.0092</f>
        <v>10602.457391993657</v>
      </c>
      <c r="H57" s="107">
        <v>10700</v>
      </c>
      <c r="I57" s="122">
        <f t="shared" si="4"/>
        <v>3180737.2175980974</v>
      </c>
      <c r="J57" s="114" t="s">
        <v>149</v>
      </c>
      <c r="K57" s="106">
        <f>SUMIF(收发货!A:A,销售合同!A:A,收发货!D:D)</f>
        <v>285</v>
      </c>
      <c r="L57" s="107">
        <f>SUMIF(收开票!A:A,销售合同!A:A,收开票!E:E)</f>
        <v>285.32810000000001</v>
      </c>
      <c r="M57" s="108">
        <f>SUMIF(收开票!A:A,销售合同!A:A,收开票!F:F)</f>
        <v>3027219.25</v>
      </c>
      <c r="N57" s="109">
        <f>SUMIF(收开票!A:A,销售合同!A:A,收开票!H:H)</f>
        <v>285.32810000000001</v>
      </c>
      <c r="O57" s="109">
        <f>SUMIF(收开票!A:A,销售合同!A:A,收开票!I:I)</f>
        <v>3027219.25</v>
      </c>
      <c r="P57" s="110">
        <f>SUMIF(收付款!A:A,销售合同!A:A,收付款!E:E)</f>
        <v>3027219.25</v>
      </c>
      <c r="Q57" s="110">
        <f t="shared" si="5"/>
        <v>0</v>
      </c>
      <c r="R57" s="111">
        <v>0</v>
      </c>
      <c r="S57" s="111"/>
      <c r="T57" s="112"/>
      <c r="U57" s="112"/>
      <c r="V57" s="113">
        <v>42289</v>
      </c>
      <c r="W57" s="112"/>
      <c r="X57" s="112"/>
    </row>
    <row r="58" spans="1:24" ht="35.1" hidden="1" customHeight="1">
      <c r="A58" s="102" t="s">
        <v>1021</v>
      </c>
      <c r="B58" s="114" t="s">
        <v>147</v>
      </c>
      <c r="C58" s="114" t="s">
        <v>148</v>
      </c>
      <c r="D58" s="517">
        <v>42523</v>
      </c>
      <c r="E58" s="118" t="s">
        <v>168</v>
      </c>
      <c r="F58" s="107">
        <v>80</v>
      </c>
      <c r="G58" s="107">
        <f>H58/1.0092</f>
        <v>7124.4550138723735</v>
      </c>
      <c r="H58" s="107">
        <v>7190</v>
      </c>
      <c r="I58" s="122">
        <f t="shared" si="4"/>
        <v>569956.40110978985</v>
      </c>
      <c r="J58" s="114" t="s">
        <v>149</v>
      </c>
      <c r="K58" s="106">
        <f>SUMIF(收发货!A:A,销售合同!A:A,收发货!D:D)</f>
        <v>80.2</v>
      </c>
      <c r="L58" s="107">
        <f>SUMIF(收开票!A:A,销售合同!A:A,收开票!E:E)</f>
        <v>80.442999999999998</v>
      </c>
      <c r="M58" s="108">
        <f>SUMIF(收开票!A:A,销售合同!A:A,收开票!F:F)</f>
        <v>573112.53</v>
      </c>
      <c r="N58" s="109">
        <f>SUMIF(收开票!A:A,销售合同!A:A,收开票!H:H)</f>
        <v>80.442999999999998</v>
      </c>
      <c r="O58" s="109">
        <f>SUMIF(收开票!A:A,销售合同!A:A,收开票!I:I)</f>
        <v>573112.53</v>
      </c>
      <c r="P58" s="110">
        <f>SUMIF(收付款!A:A,销售合同!A:A,收付款!E:E)</f>
        <v>573112.53</v>
      </c>
      <c r="Q58" s="110">
        <f t="shared" si="5"/>
        <v>0</v>
      </c>
    </row>
    <row r="59" spans="1:24" s="125" customFormat="1" ht="35.1" hidden="1" customHeight="1">
      <c r="A59" s="102" t="s">
        <v>1054</v>
      </c>
      <c r="B59" s="114" t="s">
        <v>147</v>
      </c>
      <c r="C59" s="114" t="s">
        <v>60</v>
      </c>
      <c r="D59" s="517">
        <v>42523</v>
      </c>
      <c r="E59" s="118" t="s">
        <v>168</v>
      </c>
      <c r="F59" s="107">
        <v>920</v>
      </c>
      <c r="G59" s="107">
        <f>H59/1.0092</f>
        <v>5003.963535473642</v>
      </c>
      <c r="H59" s="107">
        <v>5050</v>
      </c>
      <c r="I59" s="122">
        <f t="shared" si="4"/>
        <v>4603646.4526357502</v>
      </c>
      <c r="J59" s="114" t="s">
        <v>432</v>
      </c>
      <c r="K59" s="106">
        <f>SUMIF(收发货!A:A,销售合同!A:A,收发货!D:D)</f>
        <v>924.02</v>
      </c>
      <c r="L59" s="107">
        <f>SUMIF(收开票!A:A,销售合同!A:A,收开票!E:E)</f>
        <v>931.32899999999995</v>
      </c>
      <c r="M59" s="108">
        <f>SUMIF(收开票!A:A,销售合同!A:A,收开票!F:F)</f>
        <v>4641720.6500000004</v>
      </c>
      <c r="N59" s="109">
        <f>SUMIF(收开票!A:A,销售合同!A:A,收开票!H:H)</f>
        <v>931.32899999999995</v>
      </c>
      <c r="O59" s="109">
        <f>SUMIF(收开票!A:A,销售合同!A:A,收开票!I:I)</f>
        <v>4641720.6500000004</v>
      </c>
      <c r="P59" s="110">
        <f>SUMIF(收付款!A:A,销售合同!A:A,收付款!E:E)</f>
        <v>4641720.6500000004</v>
      </c>
      <c r="Q59" s="110">
        <f t="shared" si="5"/>
        <v>0</v>
      </c>
      <c r="R59" s="487"/>
      <c r="S59" s="101"/>
      <c r="T59" s="101"/>
      <c r="U59" s="101"/>
      <c r="V59" s="101"/>
      <c r="W59" s="101"/>
      <c r="X59" s="101"/>
    </row>
    <row r="60" spans="1:24" s="127" customFormat="1" ht="35.1" hidden="1" customHeight="1">
      <c r="A60" s="102" t="s">
        <v>1055</v>
      </c>
      <c r="B60" s="114" t="s">
        <v>147</v>
      </c>
      <c r="C60" s="114" t="s">
        <v>60</v>
      </c>
      <c r="D60" s="517">
        <v>42523</v>
      </c>
      <c r="E60" s="103" t="s">
        <v>144</v>
      </c>
      <c r="F60" s="107">
        <v>500</v>
      </c>
      <c r="G60" s="107">
        <v>5150</v>
      </c>
      <c r="H60" s="107"/>
      <c r="I60" s="122">
        <f t="shared" si="4"/>
        <v>2575000</v>
      </c>
      <c r="J60" s="118" t="s">
        <v>282</v>
      </c>
      <c r="K60" s="106">
        <f>SUMIF(收发货!A:A,销售合同!A:A,收发货!D:D)</f>
        <v>480</v>
      </c>
      <c r="L60" s="107">
        <f>SUMIF(收开票!A:A,销售合同!A:A,收开票!E:E)</f>
        <v>488.35750000000002</v>
      </c>
      <c r="M60" s="108">
        <f>SUMIF(收开票!A:A,销售合同!A:A,收开票!F:F)</f>
        <v>2515046.2799999998</v>
      </c>
      <c r="N60" s="109">
        <f>SUMIF(收开票!A:A,销售合同!A:A,收开票!H:H)</f>
        <v>488.35750000000002</v>
      </c>
      <c r="O60" s="109">
        <f>SUMIF(收开票!A:A,销售合同!A:A,收开票!I:I)</f>
        <v>2515046.2799999998</v>
      </c>
      <c r="P60" s="110">
        <f>SUMIF(收付款!A:A,销售合同!A:A,收付款!E:E)</f>
        <v>2515046.2799999998</v>
      </c>
      <c r="Q60" s="109">
        <f t="shared" si="5"/>
        <v>0</v>
      </c>
      <c r="R60" s="487"/>
      <c r="S60" s="101"/>
      <c r="T60" s="101"/>
      <c r="U60" s="101"/>
      <c r="V60" s="101"/>
      <c r="W60" s="101"/>
      <c r="X60" s="101"/>
    </row>
    <row r="61" spans="1:24" ht="35.1" hidden="1" customHeight="1">
      <c r="A61" s="102" t="s">
        <v>1190</v>
      </c>
      <c r="B61" s="114" t="s">
        <v>147</v>
      </c>
      <c r="C61" s="114" t="s">
        <v>82</v>
      </c>
      <c r="D61" s="517">
        <v>42533</v>
      </c>
      <c r="E61" s="103" t="s">
        <v>1064</v>
      </c>
      <c r="F61" s="107">
        <v>25</v>
      </c>
      <c r="G61" s="107">
        <v>10440</v>
      </c>
      <c r="H61" s="107"/>
      <c r="I61" s="122">
        <f t="shared" si="4"/>
        <v>261000</v>
      </c>
      <c r="J61" s="118" t="s">
        <v>1065</v>
      </c>
      <c r="K61" s="106">
        <f>SUMIF(收发货!A:A,销售合同!A:A,收发货!D:D)</f>
        <v>25</v>
      </c>
      <c r="L61" s="107">
        <f>SUMIF(收开票!A:A,销售合同!A:A,收开票!E:E)</f>
        <v>25</v>
      </c>
      <c r="M61" s="108">
        <f>SUMIF(收开票!A:A,销售合同!A:A,收开票!F:F)</f>
        <v>261000</v>
      </c>
      <c r="N61" s="109">
        <f>SUMIF(收开票!A:A,销售合同!A:A,收开票!H:H)</f>
        <v>25</v>
      </c>
      <c r="O61" s="109">
        <f>SUMIF(收开票!A:A,销售合同!A:A,收开票!I:I)</f>
        <v>261000</v>
      </c>
      <c r="P61" s="110">
        <f>SUMIF(收付款!A:A,销售合同!A:A,收付款!E:E)</f>
        <v>261000</v>
      </c>
      <c r="Q61" s="109"/>
    </row>
    <row r="62" spans="1:24" ht="35.1" hidden="1" customHeight="1">
      <c r="A62" s="102" t="s">
        <v>1141</v>
      </c>
      <c r="B62" s="103" t="s">
        <v>485</v>
      </c>
      <c r="C62" s="103" t="s">
        <v>93</v>
      </c>
      <c r="D62" s="517">
        <v>42522</v>
      </c>
      <c r="E62" s="103" t="s">
        <v>321</v>
      </c>
      <c r="F62" s="104">
        <v>5000</v>
      </c>
      <c r="G62" s="104">
        <f>520/1.0092</f>
        <v>515.25961157352356</v>
      </c>
      <c r="H62" s="104">
        <f>G62*1.0092</f>
        <v>520</v>
      </c>
      <c r="I62" s="117">
        <f t="shared" si="4"/>
        <v>2576298.0578676178</v>
      </c>
      <c r="J62" s="103" t="s">
        <v>152</v>
      </c>
      <c r="K62" s="106">
        <f>SUMIF(收发货!A:A,销售合同!A:A,收发货!D:D)</f>
        <v>3950</v>
      </c>
      <c r="L62" s="107">
        <f>SUMIF(收开票!A:A,销售合同!A:A,收开票!E:E)</f>
        <v>3533.0129999999999</v>
      </c>
      <c r="M62" s="108">
        <f>SUMIF(收开票!A:A,销售合同!A:A,收开票!F:F)</f>
        <v>1841359.77</v>
      </c>
      <c r="N62" s="109">
        <f>SUMIF(收开票!A:A,销售合同!A:A,收开票!H:H)</f>
        <v>3533.0129999999999</v>
      </c>
      <c r="O62" s="109">
        <f>SUMIF(收开票!A:A,销售合同!A:A,收开票!I:I)</f>
        <v>1841359.77</v>
      </c>
      <c r="P62" s="110">
        <f>SUMIF(收付款!A:A,销售合同!A:A,收付款!E:E)</f>
        <v>1841359.77</v>
      </c>
      <c r="Q62" s="110">
        <f t="shared" ref="Q62:Q85" si="6">O62-P62</f>
        <v>0</v>
      </c>
      <c r="S62" s="111"/>
      <c r="T62" s="112"/>
      <c r="U62" s="112"/>
      <c r="V62" s="113"/>
      <c r="W62" s="112"/>
      <c r="X62" s="112"/>
    </row>
    <row r="63" spans="1:24" ht="35.1" hidden="1" customHeight="1">
      <c r="A63" s="124" t="s">
        <v>1073</v>
      </c>
      <c r="B63" s="184" t="s">
        <v>485</v>
      </c>
      <c r="C63" s="184" t="s">
        <v>93</v>
      </c>
      <c r="D63" s="520">
        <v>42522</v>
      </c>
      <c r="E63" s="184" t="s">
        <v>5045</v>
      </c>
      <c r="F63" s="186">
        <v>10000</v>
      </c>
      <c r="G63" s="186">
        <f>540/1.0092</f>
        <v>535.07728894173601</v>
      </c>
      <c r="H63" s="186">
        <f>G63*1.0092</f>
        <v>540</v>
      </c>
      <c r="I63" s="187">
        <f t="shared" si="4"/>
        <v>5350772.8894173605</v>
      </c>
      <c r="J63" s="184" t="s">
        <v>152</v>
      </c>
      <c r="K63" s="188">
        <f>SUMIF(收发货!A:A,销售合同!A:A,收发货!D:D)</f>
        <v>10350</v>
      </c>
      <c r="L63" s="186">
        <f>SUMIF(收开票!A:A,销售合同!A:A,收开票!E:E)</f>
        <v>9300.518</v>
      </c>
      <c r="M63" s="189">
        <f>SUMIF(收开票!A:A,销售合同!A:A,收开票!F:F)</f>
        <v>4882325.9000000004</v>
      </c>
      <c r="N63" s="190">
        <f>SUMIF(收开票!A:A,销售合同!A:A,收开票!H:H)</f>
        <v>9300.518</v>
      </c>
      <c r="O63" s="190">
        <f>SUMIF(收开票!A:A,销售合同!A:A,收开票!I:I)</f>
        <v>4882325.9000000004</v>
      </c>
      <c r="P63" s="190">
        <f>SUMIF(收付款!A:A,销售合同!A:A,收付款!E:E)</f>
        <v>4882325.9000000004</v>
      </c>
      <c r="Q63" s="190">
        <f t="shared" si="6"/>
        <v>0</v>
      </c>
      <c r="R63" s="488"/>
      <c r="S63" s="345"/>
      <c r="T63" s="346"/>
      <c r="U63" s="346"/>
      <c r="V63" s="347"/>
      <c r="W63" s="346"/>
      <c r="X63" s="346"/>
    </row>
    <row r="64" spans="1:24" ht="35.1" hidden="1" customHeight="1">
      <c r="A64" s="102" t="s">
        <v>1109</v>
      </c>
      <c r="B64" s="114" t="s">
        <v>147</v>
      </c>
      <c r="C64" s="114" t="s">
        <v>82</v>
      </c>
      <c r="D64" s="517">
        <v>42538</v>
      </c>
      <c r="E64" s="118" t="s">
        <v>168</v>
      </c>
      <c r="F64" s="107">
        <v>200</v>
      </c>
      <c r="G64" s="107">
        <f>H64/1.0092</f>
        <v>10701.545778834719</v>
      </c>
      <c r="H64" s="107">
        <v>10800</v>
      </c>
      <c r="I64" s="122">
        <f t="shared" si="4"/>
        <v>2140309.1557669439</v>
      </c>
      <c r="J64" s="114" t="s">
        <v>149</v>
      </c>
      <c r="K64" s="106">
        <f>SUMIF(收发货!A:A,销售合同!A:A,收发货!D:D)</f>
        <v>209</v>
      </c>
      <c r="L64" s="107">
        <f>SUMIF(收开票!A:A,销售合同!A:A,收开票!E:E)</f>
        <v>208.92410000000001</v>
      </c>
      <c r="M64" s="108">
        <f>SUMIF(收开票!A:A,销售合同!A:A,收开票!F:F)</f>
        <v>2233159.2200000002</v>
      </c>
      <c r="N64" s="109">
        <f>SUMIF(收开票!A:A,销售合同!A:A,收开票!H:H)</f>
        <v>208.92410000000001</v>
      </c>
      <c r="O64" s="109">
        <f>SUMIF(收开票!A:A,销售合同!A:A,收开票!I:I)</f>
        <v>2233159.2200000002</v>
      </c>
      <c r="P64" s="110">
        <f>SUMIF(收付款!A:A,销售合同!A:A,收付款!E:E)</f>
        <v>2233159.2200000002</v>
      </c>
      <c r="Q64" s="110">
        <f t="shared" si="6"/>
        <v>0</v>
      </c>
      <c r="R64" s="110">
        <v>0</v>
      </c>
      <c r="S64" s="111"/>
      <c r="T64" s="112"/>
      <c r="U64" s="112"/>
      <c r="V64" s="113">
        <v>42289</v>
      </c>
      <c r="W64" s="112"/>
      <c r="X64" s="112"/>
    </row>
    <row r="65" spans="1:24" s="127" customFormat="1" ht="35.1" hidden="1" customHeight="1">
      <c r="A65" s="124" t="s">
        <v>1514</v>
      </c>
      <c r="B65" s="184" t="s">
        <v>485</v>
      </c>
      <c r="C65" s="184" t="s">
        <v>93</v>
      </c>
      <c r="D65" s="520">
        <v>42545</v>
      </c>
      <c r="E65" s="184" t="s">
        <v>321</v>
      </c>
      <c r="F65" s="186">
        <v>15000</v>
      </c>
      <c r="G65" s="186">
        <f>540/1.0092</f>
        <v>535.07728894173601</v>
      </c>
      <c r="H65" s="186">
        <f>G65*1.0092</f>
        <v>540</v>
      </c>
      <c r="I65" s="187">
        <f t="shared" si="4"/>
        <v>8026159.3341260403</v>
      </c>
      <c r="J65" s="184" t="s">
        <v>152</v>
      </c>
      <c r="K65" s="188">
        <f>SUMIF(收发货!A:A,销售合同!A:A,收发货!D:D)</f>
        <v>15450</v>
      </c>
      <c r="L65" s="186">
        <f>SUMIF(收开票!A:A,销售合同!A:A,收开票!E:E)</f>
        <v>13554.482</v>
      </c>
      <c r="M65" s="189">
        <f>SUMIF(收开票!A:A,销售合同!A:A,收开票!F:F)</f>
        <v>7270026.5099999998</v>
      </c>
      <c r="N65" s="190">
        <f>SUMIF(收开票!A:A,销售合同!A:A,收开票!H:H)</f>
        <v>13554.482</v>
      </c>
      <c r="O65" s="190">
        <f>SUMIF(收开票!A:A,销售合同!A:A,收开票!I:I)</f>
        <v>7270026.5099999998</v>
      </c>
      <c r="P65" s="190">
        <f>SUMIF(收付款!A:A,销售合同!A:A,收付款!E:E)</f>
        <v>7270026.5099999998</v>
      </c>
      <c r="Q65" s="190">
        <f t="shared" si="6"/>
        <v>0</v>
      </c>
      <c r="R65" s="488"/>
      <c r="S65" s="345"/>
      <c r="T65" s="346"/>
      <c r="U65" s="346"/>
      <c r="V65" s="347"/>
      <c r="W65" s="346"/>
      <c r="X65" s="346"/>
    </row>
    <row r="66" spans="1:24" ht="35.1" hidden="1" customHeight="1">
      <c r="A66" s="124" t="s">
        <v>1219</v>
      </c>
      <c r="B66" s="184" t="s">
        <v>147</v>
      </c>
      <c r="C66" s="184" t="s">
        <v>60</v>
      </c>
      <c r="D66" s="520">
        <v>42555</v>
      </c>
      <c r="E66" s="185" t="s">
        <v>168</v>
      </c>
      <c r="F66" s="186">
        <v>1900</v>
      </c>
      <c r="G66" s="186">
        <f>H66/1.0092</f>
        <v>4954.419342053111</v>
      </c>
      <c r="H66" s="186">
        <v>5000</v>
      </c>
      <c r="I66" s="187">
        <f t="shared" ref="I66:I97" si="7">F66*G66</f>
        <v>9413396.749900911</v>
      </c>
      <c r="J66" s="184" t="s">
        <v>432</v>
      </c>
      <c r="K66" s="188">
        <f>SUMIF(收发货!A:A,销售合同!A:A,收发货!D:D)</f>
        <v>1818.0800000000002</v>
      </c>
      <c r="L66" s="186">
        <f>SUMIF(收开票!A:A,销售合同!A:A,收开票!E:E)</f>
        <v>1840.3817999999999</v>
      </c>
      <c r="M66" s="189">
        <f>SUMIF(收开票!A:A,销售合同!A:A,收开票!F:F)</f>
        <v>9087785.8074435201</v>
      </c>
      <c r="N66" s="190">
        <f>SUMIF(收开票!A:A,销售合同!A:A,收开票!H:H)</f>
        <v>1840.3817999999999</v>
      </c>
      <c r="O66" s="190">
        <f>SUMIF(收开票!A:A,销售合同!A:A,收开票!I:I)</f>
        <v>9087785.8074435201</v>
      </c>
      <c r="P66" s="190">
        <f>SUMIF(收付款!A:A,销售合同!A:A,收付款!E:E)</f>
        <v>9087785.8074435201</v>
      </c>
      <c r="Q66" s="190">
        <f t="shared" si="6"/>
        <v>0</v>
      </c>
      <c r="R66" s="489"/>
      <c r="S66" s="125"/>
      <c r="T66" s="125"/>
      <c r="U66" s="125"/>
      <c r="V66" s="125"/>
      <c r="W66" s="125"/>
      <c r="X66" s="125"/>
    </row>
    <row r="67" spans="1:24" ht="35.1" hidden="1" customHeight="1">
      <c r="A67" s="102" t="s">
        <v>1220</v>
      </c>
      <c r="B67" s="114" t="s">
        <v>147</v>
      </c>
      <c r="C67" s="114" t="s">
        <v>60</v>
      </c>
      <c r="D67" s="517">
        <v>42555</v>
      </c>
      <c r="E67" s="114" t="s">
        <v>144</v>
      </c>
      <c r="F67" s="107">
        <v>2000</v>
      </c>
      <c r="G67" s="107">
        <v>5050</v>
      </c>
      <c r="H67" s="107"/>
      <c r="I67" s="242">
        <f t="shared" si="7"/>
        <v>10100000</v>
      </c>
      <c r="J67" s="121" t="s">
        <v>282</v>
      </c>
      <c r="K67" s="126">
        <f>SUMIF(收发货!A:A,销售合同!A:A,收发货!D:D)</f>
        <v>1617.84</v>
      </c>
      <c r="L67" s="107">
        <f>SUMIF(收开票!A:A,销售合同!A:A,收开票!E:E)</f>
        <v>1631.1675999999998</v>
      </c>
      <c r="M67" s="108">
        <f>SUMIF(收开票!A:A,销售合同!A:A,收开票!F:F)</f>
        <v>7921753.1800000006</v>
      </c>
      <c r="N67" s="109">
        <f>SUMIF(收开票!A:A,销售合同!A:A,收开票!H:H)</f>
        <v>1631.1675999999998</v>
      </c>
      <c r="O67" s="109">
        <f>SUMIF(收开票!A:A,销售合同!A:A,收开票!I:I)</f>
        <v>7921753.1800000006</v>
      </c>
      <c r="P67" s="109">
        <f>SUMIF(收付款!A:A,销售合同!A:A,收付款!E:E)</f>
        <v>7921753.1800000006</v>
      </c>
      <c r="Q67" s="109">
        <f t="shared" si="6"/>
        <v>0</v>
      </c>
      <c r="R67" s="486"/>
      <c r="S67" s="127"/>
      <c r="T67" s="127"/>
      <c r="U67" s="127"/>
      <c r="V67" s="127"/>
      <c r="W67" s="127"/>
      <c r="X67" s="127"/>
    </row>
    <row r="68" spans="1:24" s="266" customFormat="1" ht="35.1" hidden="1" customHeight="1">
      <c r="A68" s="258" t="s">
        <v>1496</v>
      </c>
      <c r="B68" s="259" t="s">
        <v>147</v>
      </c>
      <c r="C68" s="259" t="s">
        <v>60</v>
      </c>
      <c r="D68" s="521">
        <v>42583</v>
      </c>
      <c r="E68" s="260" t="s">
        <v>168</v>
      </c>
      <c r="F68" s="261">
        <v>900</v>
      </c>
      <c r="G68" s="261">
        <f>H68/1.0092</f>
        <v>6738.0103051922306</v>
      </c>
      <c r="H68" s="261">
        <v>6800</v>
      </c>
      <c r="I68" s="262">
        <f t="shared" si="7"/>
        <v>6064209.2746730074</v>
      </c>
      <c r="J68" s="259" t="s">
        <v>432</v>
      </c>
      <c r="K68" s="263">
        <f>SUMIF(收发货!A:A,销售合同!A:A,收发货!D:D)</f>
        <v>936</v>
      </c>
      <c r="L68" s="261">
        <f>SUMIF(收开票!A:A,销售合同!A:A,收开票!E:E)</f>
        <v>946.98099999999999</v>
      </c>
      <c r="M68" s="264">
        <f>SUMIF(收开票!A:A,销售合同!A:A,收开票!F:F)</f>
        <v>6378300.0523622669</v>
      </c>
      <c r="N68" s="265">
        <f>SUMIF(收开票!A:A,销售合同!A:A,收开票!H:H)</f>
        <v>946.98099999999999</v>
      </c>
      <c r="O68" s="265">
        <f>SUMIF(收开票!A:A,销售合同!A:A,收开票!I:I)</f>
        <v>6378300.0523622669</v>
      </c>
      <c r="P68" s="265">
        <f>SUMIF(收付款!A:A,销售合同!A:A,收付款!E:E)</f>
        <v>6378300.0523622669</v>
      </c>
      <c r="Q68" s="265">
        <f t="shared" si="6"/>
        <v>0</v>
      </c>
      <c r="R68" s="263"/>
    </row>
    <row r="69" spans="1:24" s="266" customFormat="1" ht="35.1" hidden="1" customHeight="1">
      <c r="A69" s="258" t="s">
        <v>1497</v>
      </c>
      <c r="B69" s="259" t="s">
        <v>147</v>
      </c>
      <c r="C69" s="259" t="s">
        <v>60</v>
      </c>
      <c r="D69" s="521">
        <v>42583</v>
      </c>
      <c r="E69" s="259" t="s">
        <v>144</v>
      </c>
      <c r="F69" s="261">
        <v>1500</v>
      </c>
      <c r="G69" s="261">
        <v>6800</v>
      </c>
      <c r="H69" s="261"/>
      <c r="I69" s="262">
        <f t="shared" si="7"/>
        <v>10200000</v>
      </c>
      <c r="J69" s="260" t="s">
        <v>282</v>
      </c>
      <c r="K69" s="263">
        <f>SUMIF(收发货!A:A,销售合同!A:A,收发货!D:D)</f>
        <v>1495.28</v>
      </c>
      <c r="L69" s="261">
        <f>SUMIF(收开票!A:A,销售合同!A:A,收开票!E:E)</f>
        <v>1511.6161</v>
      </c>
      <c r="M69" s="264">
        <f>SUMIF(收开票!A:A,销售合同!A:A,收开票!F:F)</f>
        <v>10279669.459999999</v>
      </c>
      <c r="N69" s="265">
        <f>SUMIF(收开票!A:A,销售合同!A:A,收开票!H:H)</f>
        <v>1511.6161</v>
      </c>
      <c r="O69" s="265">
        <f>SUMIF(收开票!A:A,销售合同!A:A,收开票!I:I)</f>
        <v>10279669.459999999</v>
      </c>
      <c r="P69" s="265">
        <f>SUMIF(收付款!A:A,销售合同!A:A,收付款!E:E)</f>
        <v>10279669.459999999</v>
      </c>
      <c r="Q69" s="109">
        <f t="shared" si="6"/>
        <v>0</v>
      </c>
      <c r="R69" s="263"/>
    </row>
    <row r="70" spans="1:24" ht="35.1" hidden="1" customHeight="1">
      <c r="A70" s="102" t="s">
        <v>1498</v>
      </c>
      <c r="B70" s="114" t="s">
        <v>147</v>
      </c>
      <c r="C70" s="114" t="s">
        <v>82</v>
      </c>
      <c r="D70" s="517">
        <v>42583</v>
      </c>
      <c r="E70" s="118" t="s">
        <v>168</v>
      </c>
      <c r="F70" s="107">
        <v>240</v>
      </c>
      <c r="G70" s="107">
        <f>H70/1.0092</f>
        <v>11078.081648830756</v>
      </c>
      <c r="H70" s="107">
        <v>11180</v>
      </c>
      <c r="I70" s="117">
        <f t="shared" si="7"/>
        <v>2658739.5957193812</v>
      </c>
      <c r="J70" s="114" t="s">
        <v>149</v>
      </c>
      <c r="K70" s="106">
        <f>SUMIF(收发货!A:A,销售合同!A:A,收发货!D:D)</f>
        <v>229</v>
      </c>
      <c r="L70" s="107">
        <f>SUMIF(收开票!A:A,销售合同!A:A,收开票!E:E)</f>
        <v>228.488</v>
      </c>
      <c r="M70" s="108">
        <f>SUMIF(收开票!A:A,销售合同!A:A,收开票!F:F)</f>
        <v>2531209.8320134757</v>
      </c>
      <c r="N70" s="109">
        <f>SUMIF(收开票!A:A,销售合同!A:A,收开票!H:H)</f>
        <v>228.488</v>
      </c>
      <c r="O70" s="109">
        <f>SUMIF(收开票!A:A,销售合同!A:A,收开票!I:I)</f>
        <v>2531209.8320134757</v>
      </c>
      <c r="P70" s="110">
        <f>SUMIF(收付款!A:A,销售合同!A:A,收付款!E:E)</f>
        <v>2531209.8320134757</v>
      </c>
      <c r="Q70" s="110">
        <f t="shared" si="6"/>
        <v>0</v>
      </c>
      <c r="R70" s="106"/>
      <c r="S70" s="111"/>
      <c r="T70" s="112"/>
      <c r="U70" s="112"/>
      <c r="V70" s="113">
        <v>42289</v>
      </c>
      <c r="W70" s="112"/>
      <c r="X70" s="112"/>
    </row>
    <row r="71" spans="1:24" ht="35.1" hidden="1" customHeight="1">
      <c r="A71" s="142" t="s">
        <v>1520</v>
      </c>
      <c r="B71" s="114" t="s">
        <v>272</v>
      </c>
      <c r="C71" s="114" t="s">
        <v>736</v>
      </c>
      <c r="D71" s="517">
        <v>42583</v>
      </c>
      <c r="E71" s="118" t="s">
        <v>740</v>
      </c>
      <c r="F71" s="107">
        <v>1000</v>
      </c>
      <c r="G71" s="107">
        <v>107</v>
      </c>
      <c r="H71" s="107">
        <v>122</v>
      </c>
      <c r="I71" s="117">
        <f t="shared" si="7"/>
        <v>107000</v>
      </c>
      <c r="J71" s="118" t="s">
        <v>741</v>
      </c>
      <c r="K71" s="106">
        <f>SUMIF(收发货!A:A,销售合同!A:A,收发货!D:D)</f>
        <v>1000</v>
      </c>
      <c r="L71" s="107">
        <f>SUMIF(收开票!A:A,销售合同!A:A,收开票!E:E)</f>
        <v>1000</v>
      </c>
      <c r="M71" s="108">
        <f>SUMIF(收开票!A:A,销售合同!A:A,收开票!F:F)</f>
        <v>107000</v>
      </c>
      <c r="N71" s="109">
        <f>SUMIF(收开票!A:A,销售合同!A:A,收开票!H:H)</f>
        <v>1000</v>
      </c>
      <c r="O71" s="109">
        <f>SUMIF(收开票!A:A,销售合同!A:A,收开票!I:I)</f>
        <v>107000</v>
      </c>
      <c r="P71" s="110">
        <f>SUMIF(收付款!A:A,销售合同!A:A,收付款!E:E)</f>
        <v>106966.6</v>
      </c>
      <c r="Q71" s="110">
        <f t="shared" si="6"/>
        <v>33.399999999994179</v>
      </c>
      <c r="R71" s="111">
        <f>SUMIF(收付款!A:A,销售合同!A:A,收付款!I:I)</f>
        <v>0</v>
      </c>
      <c r="S71" s="111">
        <f>SUMIF(收付款!A:A,销售合同!A:A,收付款!J:J)</f>
        <v>220197.45</v>
      </c>
    </row>
    <row r="72" spans="1:24" ht="35.1" hidden="1" customHeight="1">
      <c r="A72" s="142" t="s">
        <v>1521</v>
      </c>
      <c r="B72" s="114" t="s">
        <v>272</v>
      </c>
      <c r="C72" s="114" t="s">
        <v>736</v>
      </c>
      <c r="D72" s="517">
        <v>42583</v>
      </c>
      <c r="E72" s="118" t="s">
        <v>740</v>
      </c>
      <c r="F72" s="107">
        <v>1000</v>
      </c>
      <c r="G72" s="107">
        <v>107</v>
      </c>
      <c r="H72" s="107">
        <v>122</v>
      </c>
      <c r="I72" s="117">
        <f t="shared" si="7"/>
        <v>107000</v>
      </c>
      <c r="J72" s="118" t="s">
        <v>741</v>
      </c>
      <c r="K72" s="106">
        <f>SUMIF(收发货!A:A,销售合同!A:A,收发货!D:D)</f>
        <v>1000</v>
      </c>
      <c r="L72" s="107">
        <f>SUMIF(收开票!A:A,销售合同!A:A,收开票!E:E)</f>
        <v>1000</v>
      </c>
      <c r="M72" s="108">
        <f>SUMIF(收开票!A:A,销售合同!A:A,收开票!F:F)</f>
        <v>107000</v>
      </c>
      <c r="N72" s="109">
        <f>SUMIF(收开票!A:A,销售合同!A:A,收开票!H:H)</f>
        <v>1000</v>
      </c>
      <c r="O72" s="109">
        <f>SUMIF(收开票!A:A,销售合同!A:A,收开票!I:I)</f>
        <v>107000</v>
      </c>
      <c r="P72" s="110">
        <f>SUMIF(收付款!A:A,销售合同!A:A,收付款!E:E)</f>
        <v>106966.6</v>
      </c>
      <c r="Q72" s="110">
        <f t="shared" si="6"/>
        <v>33.399999999994179</v>
      </c>
      <c r="R72" s="111">
        <f>SUMIF(收付款!A:A,销售合同!A:A,收付款!I:I)</f>
        <v>41830</v>
      </c>
      <c r="S72" s="111">
        <f>SUMIF(收付款!A:A,销售合同!A:A,收付款!J:J)</f>
        <v>263352.45</v>
      </c>
    </row>
    <row r="73" spans="1:24" ht="35.1" hidden="1" customHeight="1">
      <c r="A73" s="102" t="s">
        <v>1594</v>
      </c>
      <c r="B73" s="114" t="s">
        <v>485</v>
      </c>
      <c r="C73" s="103" t="s">
        <v>93</v>
      </c>
      <c r="D73" s="517">
        <v>42586</v>
      </c>
      <c r="E73" s="103" t="s">
        <v>321</v>
      </c>
      <c r="F73" s="107">
        <v>5000</v>
      </c>
      <c r="G73" s="107">
        <f>H73/1.0092</f>
        <v>569.75822433610779</v>
      </c>
      <c r="H73" s="107">
        <v>575</v>
      </c>
      <c r="I73" s="117">
        <f t="shared" si="7"/>
        <v>2848791.1216805391</v>
      </c>
      <c r="J73" s="114" t="s">
        <v>149</v>
      </c>
      <c r="K73" s="106">
        <f>SUMIF(收发货!A:A,销售合同!A:A,收发货!D:D)</f>
        <v>5000</v>
      </c>
      <c r="L73" s="107">
        <f>SUMIF(收开票!A:A,销售合同!A:A,收开票!E:E)</f>
        <v>4386.7763999999997</v>
      </c>
      <c r="M73" s="108">
        <f>SUMIF(收开票!A:A,销售合同!A:A,收开票!F:F)</f>
        <v>2497756.3199889655</v>
      </c>
      <c r="N73" s="109">
        <f>SUMIF(收开票!A:A,销售合同!A:A,收开票!H:H)</f>
        <v>4386.7763999999997</v>
      </c>
      <c r="O73" s="109">
        <f>SUMIF(收开票!A:A,销售合同!A:A,收开票!I:I)</f>
        <v>2497756.3199889655</v>
      </c>
      <c r="P73" s="110">
        <f>SUMIF(收付款!A:A,销售合同!A:A,收付款!E:E)</f>
        <v>2497756.3199889655</v>
      </c>
      <c r="Q73" s="110">
        <f t="shared" si="6"/>
        <v>0</v>
      </c>
      <c r="R73" s="161"/>
    </row>
    <row r="74" spans="1:24" ht="35.1" hidden="1" customHeight="1">
      <c r="A74" s="102" t="s">
        <v>1595</v>
      </c>
      <c r="B74" s="114" t="s">
        <v>485</v>
      </c>
      <c r="C74" s="114" t="s">
        <v>1380</v>
      </c>
      <c r="D74" s="517">
        <v>42586</v>
      </c>
      <c r="E74" s="103" t="s">
        <v>144</v>
      </c>
      <c r="F74" s="107">
        <v>25000</v>
      </c>
      <c r="G74" s="107">
        <v>600</v>
      </c>
      <c r="H74" s="107"/>
      <c r="I74" s="117">
        <f t="shared" si="7"/>
        <v>15000000</v>
      </c>
      <c r="J74" s="114" t="s">
        <v>149</v>
      </c>
      <c r="K74" s="106">
        <f>SUMIF(收发货!A:A,销售合同!A:A,收发货!D:D)</f>
        <v>24100</v>
      </c>
      <c r="L74" s="109">
        <f>SUMIF(收开票!A:A,销售合同!A:A,收开票!E:E)</f>
        <v>21978.444100000001</v>
      </c>
      <c r="M74" s="109">
        <f>SUMIF(收开票!A:A,销售合同!A:A,收开票!F:F)</f>
        <v>12554262.370000001</v>
      </c>
      <c r="N74" s="109">
        <f>SUMIF(收开票!A:A,销售合同!A:A,收开票!H:H)</f>
        <v>21978.444100000001</v>
      </c>
      <c r="O74" s="109">
        <f>SUMIF(收开票!A:A,销售合同!A:A,收开票!I:I)</f>
        <v>12554262.370000001</v>
      </c>
      <c r="P74" s="110">
        <f>SUMIF(收付款!A:A,销售合同!A:A,收付款!E:E)</f>
        <v>12554262.370000001</v>
      </c>
      <c r="Q74" s="109">
        <f t="shared" si="6"/>
        <v>0</v>
      </c>
      <c r="R74" s="161"/>
    </row>
    <row r="75" spans="1:24" ht="35.1" hidden="1" customHeight="1">
      <c r="A75" s="102" t="s">
        <v>1543</v>
      </c>
      <c r="B75" s="114" t="s">
        <v>147</v>
      </c>
      <c r="C75" s="114" t="s">
        <v>85</v>
      </c>
      <c r="D75" s="517">
        <v>42583</v>
      </c>
      <c r="E75" s="118" t="s">
        <v>168</v>
      </c>
      <c r="F75" s="107">
        <v>80</v>
      </c>
      <c r="G75" s="107">
        <f>H75/1.0092</f>
        <v>7233.4522393975421</v>
      </c>
      <c r="H75" s="107">
        <v>7300</v>
      </c>
      <c r="I75" s="117">
        <f t="shared" si="7"/>
        <v>578676.17915180337</v>
      </c>
      <c r="J75" s="114" t="s">
        <v>149</v>
      </c>
      <c r="K75" s="106">
        <f>SUMIF(收发货!A:A,销售合同!A:A,收发货!D:D)</f>
        <v>80.539999999999992</v>
      </c>
      <c r="L75" s="107">
        <f>SUMIF(收开票!A:A,销售合同!A:A,收开票!E:E)</f>
        <v>80.661000000000001</v>
      </c>
      <c r="M75" s="108">
        <f>SUMIF(收开票!A:A,销售合同!A:A,收开票!F:F)</f>
        <v>583457.49108204513</v>
      </c>
      <c r="N75" s="109">
        <f>SUMIF(收开票!A:A,销售合同!A:A,收开票!H:H)</f>
        <v>80.661000000000001</v>
      </c>
      <c r="O75" s="109">
        <f>SUMIF(收开票!A:A,销售合同!A:A,收开票!I:I)</f>
        <v>583457.49108204513</v>
      </c>
      <c r="P75" s="110">
        <f>SUMIF(收付款!A:A,销售合同!A:A,收付款!E:E)</f>
        <v>583457.49108204513</v>
      </c>
      <c r="Q75" s="110">
        <f t="shared" si="6"/>
        <v>0</v>
      </c>
    </row>
    <row r="76" spans="1:24" s="266" customFormat="1" ht="35.1" hidden="1" customHeight="1">
      <c r="A76" s="258" t="s">
        <v>1740</v>
      </c>
      <c r="B76" s="259" t="s">
        <v>147</v>
      </c>
      <c r="C76" s="259" t="s">
        <v>60</v>
      </c>
      <c r="D76" s="521">
        <v>42583</v>
      </c>
      <c r="E76" s="259" t="s">
        <v>83</v>
      </c>
      <c r="F76" s="261">
        <v>600</v>
      </c>
      <c r="G76" s="261">
        <v>6800</v>
      </c>
      <c r="H76" s="261"/>
      <c r="I76" s="262">
        <f t="shared" si="7"/>
        <v>4080000</v>
      </c>
      <c r="J76" s="260" t="s">
        <v>1741</v>
      </c>
      <c r="K76" s="263">
        <f>SUMIF(收发货!A:A,销售合同!A:A,收发货!D:D)</f>
        <v>589.29</v>
      </c>
      <c r="L76" s="265">
        <f>SUMIF(收开票!A:A,销售合同!A:A,收开票!E:E)</f>
        <v>595.00970000000007</v>
      </c>
      <c r="M76" s="265">
        <f>SUMIF(收开票!A:A,销售合同!A:A,收开票!F:F)</f>
        <v>4012059.84</v>
      </c>
      <c r="N76" s="265">
        <f>SUMIF(收开票!A:A,销售合同!A:A,收开票!H:H)</f>
        <v>595.00970000000007</v>
      </c>
      <c r="O76" s="265">
        <f>SUMIF(收开票!A:A,销售合同!A:A,收开票!I:I)</f>
        <v>4012059.84</v>
      </c>
      <c r="P76" s="265">
        <f>SUMIF(收付款!A:A,销售合同!A:A,收付款!E:E)</f>
        <v>4012059.84</v>
      </c>
      <c r="Q76" s="109">
        <f t="shared" si="6"/>
        <v>0</v>
      </c>
    </row>
    <row r="77" spans="1:24" s="266" customFormat="1" ht="35.1" hidden="1" customHeight="1">
      <c r="A77" s="258" t="s">
        <v>1806</v>
      </c>
      <c r="B77" s="259" t="s">
        <v>147</v>
      </c>
      <c r="C77" s="259" t="s">
        <v>60</v>
      </c>
      <c r="D77" s="521">
        <v>42583</v>
      </c>
      <c r="E77" s="259" t="s">
        <v>144</v>
      </c>
      <c r="F77" s="261">
        <v>400</v>
      </c>
      <c r="G77" s="261">
        <v>6800</v>
      </c>
      <c r="H77" s="261"/>
      <c r="I77" s="262">
        <f t="shared" si="7"/>
        <v>2720000</v>
      </c>
      <c r="J77" s="260" t="s">
        <v>1742</v>
      </c>
      <c r="K77" s="263">
        <f>SUMIF(收发货!A:A,销售合同!A:A,收发货!D:D)</f>
        <v>484.38</v>
      </c>
      <c r="L77" s="265">
        <f>SUMIF(收开票!A:A,销售合同!A:A,收开票!E:E)</f>
        <v>463.54610000000002</v>
      </c>
      <c r="M77" s="265">
        <f>SUMIF(收开票!A:A,销售合同!A:A,收开票!F:F)</f>
        <v>3151433.48</v>
      </c>
      <c r="N77" s="265">
        <f>SUMIF(收开票!A:A,销售合同!A:A,收开票!H:H)</f>
        <v>463.54610000000002</v>
      </c>
      <c r="O77" s="265">
        <f>SUMIF(收开票!A:A,销售合同!A:A,收开票!I:I)</f>
        <v>3151433.48</v>
      </c>
      <c r="P77" s="265">
        <f>SUMIF(收付款!A:A,销售合同!A:A,收付款!E:E)</f>
        <v>3151433.48</v>
      </c>
      <c r="Q77" s="109">
        <f t="shared" si="6"/>
        <v>0</v>
      </c>
    </row>
    <row r="78" spans="1:24" ht="35.1" hidden="1" customHeight="1">
      <c r="A78" s="102" t="s">
        <v>2113</v>
      </c>
      <c r="B78" s="103" t="s">
        <v>127</v>
      </c>
      <c r="C78" s="103" t="s">
        <v>240</v>
      </c>
      <c r="D78" s="517">
        <v>42583</v>
      </c>
      <c r="E78" s="114" t="s">
        <v>474</v>
      </c>
      <c r="F78" s="104">
        <v>140</v>
      </c>
      <c r="G78" s="104">
        <v>1515.05</v>
      </c>
      <c r="H78" s="104"/>
      <c r="I78" s="117">
        <f t="shared" si="7"/>
        <v>212107</v>
      </c>
      <c r="J78" s="103" t="s">
        <v>988</v>
      </c>
      <c r="K78" s="106">
        <f>SUMIF(收发货!A:A,销售合同!A:A,收发货!D:D)</f>
        <v>140</v>
      </c>
      <c r="L78" s="109">
        <f>SUMIF(收开票!A:A,销售合同!A:A,收开票!E:E)</f>
        <v>140</v>
      </c>
      <c r="M78" s="109">
        <f>SUMIF(收开票!A:A,销售合同!A:A,收开票!F:F)</f>
        <v>212107</v>
      </c>
      <c r="N78" s="109">
        <f>SUMIF(收开票!A:A,销售合同!A:A,收开票!H:H)</f>
        <v>140</v>
      </c>
      <c r="O78" s="109">
        <f>SUMIF(收开票!A:A,销售合同!A:A,收开票!I:I)</f>
        <v>212107</v>
      </c>
      <c r="P78" s="110">
        <f>SUMIF(收付款!A:A,销售合同!A:A,收付款!E:E)</f>
        <v>212090.2</v>
      </c>
      <c r="Q78" s="110">
        <f t="shared" si="6"/>
        <v>16.799999999988358</v>
      </c>
      <c r="R78" s="111">
        <f>SUMIF(收付款!A:A,销售合同!A:A,收付款!I:I)</f>
        <v>0</v>
      </c>
      <c r="S78" s="111">
        <f>SUMIF(收付款!A:A,销售合同!A:A,收付款!J:J)</f>
        <v>0</v>
      </c>
      <c r="T78" s="112"/>
      <c r="U78" s="112"/>
      <c r="V78" s="113"/>
      <c r="W78" s="112"/>
      <c r="X78" s="112"/>
    </row>
    <row r="79" spans="1:24" ht="35.1" hidden="1" customHeight="1">
      <c r="A79" s="102" t="s">
        <v>2115</v>
      </c>
      <c r="B79" s="103" t="s">
        <v>127</v>
      </c>
      <c r="C79" s="103" t="s">
        <v>240</v>
      </c>
      <c r="D79" s="517">
        <v>42583</v>
      </c>
      <c r="E79" s="114" t="s">
        <v>474</v>
      </c>
      <c r="F79" s="104">
        <v>60</v>
      </c>
      <c r="G79" s="104">
        <v>1515.05</v>
      </c>
      <c r="H79" s="104"/>
      <c r="I79" s="117">
        <f t="shared" si="7"/>
        <v>90903</v>
      </c>
      <c r="J79" s="103" t="s">
        <v>988</v>
      </c>
      <c r="K79" s="106">
        <f>SUMIF(收发货!A:A,销售合同!A:A,收发货!D:D)</f>
        <v>60</v>
      </c>
      <c r="L79" s="109">
        <f>SUMIF(收开票!A:A,销售合同!A:A,收开票!E:E)</f>
        <v>60</v>
      </c>
      <c r="M79" s="109">
        <f>SUMIF(收开票!A:A,销售合同!A:A,收开票!F:F)</f>
        <v>90903</v>
      </c>
      <c r="N79" s="109">
        <f>SUMIF(收开票!A:A,销售合同!A:A,收开票!H:H)</f>
        <v>60</v>
      </c>
      <c r="O79" s="109">
        <f>SUMIF(收开票!A:A,销售合同!A:A,收开票!I:I)</f>
        <v>90903</v>
      </c>
      <c r="P79" s="110">
        <f>SUMIF(收付款!A:A,销售合同!A:A,收付款!E:E)</f>
        <v>90886.2</v>
      </c>
      <c r="Q79" s="110">
        <f t="shared" si="6"/>
        <v>16.80000000000291</v>
      </c>
      <c r="R79" s="111">
        <f>SUMIF(收付款!A:A,销售合同!A:A,收付款!I:I)</f>
        <v>0</v>
      </c>
      <c r="S79" s="111">
        <f>SUMIF(收付款!A:A,销售合同!A:A,收付款!J:J)</f>
        <v>0</v>
      </c>
      <c r="T79" s="112"/>
      <c r="U79" s="112"/>
      <c r="V79" s="113"/>
      <c r="W79" s="112"/>
      <c r="X79" s="112"/>
    </row>
    <row r="80" spans="1:24" ht="35.1" hidden="1" customHeight="1">
      <c r="A80" s="142" t="s">
        <v>1809</v>
      </c>
      <c r="B80" s="114" t="s">
        <v>272</v>
      </c>
      <c r="C80" s="114" t="s">
        <v>736</v>
      </c>
      <c r="D80" s="517">
        <v>42614</v>
      </c>
      <c r="E80" s="118" t="s">
        <v>740</v>
      </c>
      <c r="F80" s="107">
        <v>1000</v>
      </c>
      <c r="G80" s="107">
        <v>107</v>
      </c>
      <c r="H80" s="107">
        <v>122</v>
      </c>
      <c r="I80" s="117">
        <f t="shared" si="7"/>
        <v>107000</v>
      </c>
      <c r="J80" s="118" t="s">
        <v>741</v>
      </c>
      <c r="K80" s="106">
        <f>SUMIF(收发货!A:A,销售合同!A:A,收发货!D:D)</f>
        <v>1000</v>
      </c>
      <c r="L80" s="109">
        <f>SUMIF(收开票!A:A,销售合同!A:A,收开票!E:E)</f>
        <v>1000</v>
      </c>
      <c r="M80" s="109">
        <f>SUMIF(收开票!A:A,销售合同!A:A,收开票!F:F)</f>
        <v>106090.5</v>
      </c>
      <c r="N80" s="109">
        <f>SUMIF(收开票!A:A,销售合同!A:A,收开票!H:H)</f>
        <v>1000</v>
      </c>
      <c r="O80" s="109">
        <f>SUMIF(收开票!A:A,销售合同!A:A,收开票!I:I)</f>
        <v>106090.5</v>
      </c>
      <c r="P80" s="110">
        <f>SUMIF(收付款!A:A,销售合同!A:A,收付款!E:E)</f>
        <v>106057.1</v>
      </c>
      <c r="Q80" s="110">
        <f t="shared" si="6"/>
        <v>33.399999999994179</v>
      </c>
      <c r="R80" s="111">
        <f>SUMIF(收付款!A:A,销售合同!A:A,收付款!I:I)</f>
        <v>0</v>
      </c>
      <c r="S80" s="111">
        <f>SUMIF(收付款!A:A,销售合同!A:A,收付款!J:J)</f>
        <v>246352.45</v>
      </c>
    </row>
    <row r="81" spans="1:24" ht="35.1" hidden="1" customHeight="1">
      <c r="A81" s="142" t="s">
        <v>1810</v>
      </c>
      <c r="B81" s="114" t="s">
        <v>272</v>
      </c>
      <c r="C81" s="114" t="s">
        <v>736</v>
      </c>
      <c r="D81" s="517">
        <v>42614</v>
      </c>
      <c r="E81" s="118" t="s">
        <v>740</v>
      </c>
      <c r="F81" s="107">
        <v>1000</v>
      </c>
      <c r="G81" s="107">
        <v>107</v>
      </c>
      <c r="H81" s="107">
        <v>122</v>
      </c>
      <c r="I81" s="117">
        <f t="shared" si="7"/>
        <v>107000</v>
      </c>
      <c r="J81" s="118" t="s">
        <v>741</v>
      </c>
      <c r="K81" s="106">
        <f>SUMIF(收发货!A:A,销售合同!A:A,收发货!D:D)</f>
        <v>1000</v>
      </c>
      <c r="L81" s="109">
        <f>SUMIF(收开票!A:A,销售合同!A:A,收开票!E:E)</f>
        <v>1000</v>
      </c>
      <c r="M81" s="109">
        <f>SUMIF(收开票!A:A,销售合同!A:A,收开票!F:F)</f>
        <v>107000</v>
      </c>
      <c r="N81" s="109">
        <f>SUMIF(收开票!A:A,销售合同!A:A,收开票!H:H)</f>
        <v>1000</v>
      </c>
      <c r="O81" s="109">
        <f>SUMIF(收开票!A:A,销售合同!A:A,收开票!I:I)</f>
        <v>107000</v>
      </c>
      <c r="P81" s="110">
        <f>SUMIF(收付款!A:A,销售合同!A:A,收付款!E:E)</f>
        <v>106966.6</v>
      </c>
      <c r="Q81" s="110">
        <f t="shared" si="6"/>
        <v>33.399999999994179</v>
      </c>
      <c r="R81" s="111">
        <f>SUMIF(收付款!A:A,销售合同!A:A,收付款!I:I)</f>
        <v>0</v>
      </c>
      <c r="S81" s="111">
        <f>SUMIF(收付款!A:A,销售合同!A:A,收付款!J:J)</f>
        <v>229485.4</v>
      </c>
    </row>
    <row r="82" spans="1:24" ht="35.1" hidden="1" customHeight="1">
      <c r="A82" s="102" t="s">
        <v>1970</v>
      </c>
      <c r="B82" s="114" t="s">
        <v>485</v>
      </c>
      <c r="C82" s="103" t="s">
        <v>93</v>
      </c>
      <c r="D82" s="517">
        <v>42615</v>
      </c>
      <c r="E82" s="103" t="s">
        <v>321</v>
      </c>
      <c r="F82" s="107">
        <v>10000</v>
      </c>
      <c r="G82" s="107">
        <f>H82/1.0092</f>
        <v>594.53032104637327</v>
      </c>
      <c r="H82" s="107">
        <v>600</v>
      </c>
      <c r="I82" s="117">
        <f t="shared" si="7"/>
        <v>5945303.2104637325</v>
      </c>
      <c r="J82" s="114" t="s">
        <v>149</v>
      </c>
      <c r="K82" s="106">
        <f>SUMIF(收发货!A:A,销售合同!A:A,收发货!D:D)</f>
        <v>10650</v>
      </c>
      <c r="L82" s="109">
        <f>SUMIF(收开票!A:A,销售合同!A:A,收开票!E:E)</f>
        <v>9408.7710000000006</v>
      </c>
      <c r="M82" s="109">
        <f>SUMIF(收开票!A:A,销售合同!A:A,收开票!F:F)</f>
        <v>5508363.0600000005</v>
      </c>
      <c r="N82" s="109">
        <f>SUMIF(收开票!A:A,销售合同!A:A,收开票!H:H)</f>
        <v>9408.7710000000006</v>
      </c>
      <c r="O82" s="109">
        <f>SUMIF(收开票!A:A,销售合同!A:A,收开票!I:I)</f>
        <v>5508363.0600000005</v>
      </c>
      <c r="P82" s="110">
        <f>SUMIF(收付款!A:A,销售合同!A:A,收付款!E:E)</f>
        <v>5508363.0600000005</v>
      </c>
      <c r="Q82" s="109">
        <f t="shared" si="6"/>
        <v>0</v>
      </c>
      <c r="R82" s="161"/>
    </row>
    <row r="83" spans="1:24" ht="35.1" hidden="1" customHeight="1">
      <c r="A83" s="102" t="s">
        <v>1971</v>
      </c>
      <c r="B83" s="114" t="s">
        <v>485</v>
      </c>
      <c r="C83" s="114" t="s">
        <v>1380</v>
      </c>
      <c r="D83" s="517">
        <v>42615</v>
      </c>
      <c r="E83" s="103" t="s">
        <v>144</v>
      </c>
      <c r="F83" s="107">
        <v>20000</v>
      </c>
      <c r="G83" s="107">
        <v>620</v>
      </c>
      <c r="H83" s="107"/>
      <c r="I83" s="117">
        <f t="shared" si="7"/>
        <v>12400000</v>
      </c>
      <c r="J83" s="114" t="s">
        <v>149</v>
      </c>
      <c r="K83" s="106">
        <f>SUMIF(收发货!A:A,销售合同!A:A,收发货!D:D)</f>
        <v>18200</v>
      </c>
      <c r="L83" s="109">
        <f>SUMIF(收开票!A:A,销售合同!A:A,收开票!E:E)</f>
        <v>15659.718400000002</v>
      </c>
      <c r="M83" s="109">
        <f>SUMIF(收开票!A:A,销售合同!A:A,收开票!F:F)</f>
        <v>9021880.3499999996</v>
      </c>
      <c r="N83" s="109">
        <f>SUMIF(收开票!A:A,销售合同!A:A,收开票!H:H)</f>
        <v>15659.718400000002</v>
      </c>
      <c r="O83" s="109">
        <f>SUMIF(收开票!A:A,销售合同!A:A,收开票!I:I)</f>
        <v>9021880.3499999996</v>
      </c>
      <c r="P83" s="109">
        <f>SUMIF(收付款!A:A,销售合同!A:A,收付款!E:E)</f>
        <v>9021880.3499999996</v>
      </c>
      <c r="Q83" s="109">
        <f t="shared" si="6"/>
        <v>0</v>
      </c>
      <c r="R83" s="161"/>
    </row>
    <row r="84" spans="1:24" ht="35.1" hidden="1" customHeight="1">
      <c r="A84" s="102" t="s">
        <v>1879</v>
      </c>
      <c r="B84" s="114" t="s">
        <v>1882</v>
      </c>
      <c r="C84" s="114" t="s">
        <v>1883</v>
      </c>
      <c r="D84" s="517">
        <v>42618</v>
      </c>
      <c r="E84" s="103" t="s">
        <v>1884</v>
      </c>
      <c r="F84" s="107">
        <v>1300</v>
      </c>
      <c r="G84" s="107">
        <f>H84/1.0092</f>
        <v>6143.4799841458571</v>
      </c>
      <c r="H84" s="107">
        <v>6200</v>
      </c>
      <c r="I84" s="117">
        <f t="shared" si="7"/>
        <v>7986523.9793896144</v>
      </c>
      <c r="J84" s="114" t="s">
        <v>1885</v>
      </c>
      <c r="K84" s="106">
        <f>SUMIF(收发货!A:A,销售合同!A:A,收发货!D:D)</f>
        <v>1266.02</v>
      </c>
      <c r="L84" s="109">
        <f>SUMIF(收开票!A:A,销售合同!A:A,收开票!E:E)</f>
        <v>1287.261</v>
      </c>
      <c r="M84" s="109">
        <f>SUMIF(收开票!A:A,销售合同!A:A,收开票!F:F)</f>
        <v>7897806.1800000006</v>
      </c>
      <c r="N84" s="109">
        <f>SUMIF(收开票!A:A,销售合同!A:A,收开票!H:H)</f>
        <v>1287.261</v>
      </c>
      <c r="O84" s="109">
        <f>SUMIF(收开票!A:A,销售合同!A:A,收开票!I:I)</f>
        <v>7897806.1800000006</v>
      </c>
      <c r="P84" s="110">
        <f>SUMIF(收付款!A:A,销售合同!A:A,收付款!E:E)</f>
        <v>7897806.1800000006</v>
      </c>
      <c r="Q84" s="110">
        <f t="shared" si="6"/>
        <v>0</v>
      </c>
      <c r="R84" s="161"/>
    </row>
    <row r="85" spans="1:24" s="127" customFormat="1" ht="35.1" hidden="1" customHeight="1">
      <c r="A85" s="102" t="s">
        <v>1892</v>
      </c>
      <c r="B85" s="114" t="s">
        <v>147</v>
      </c>
      <c r="C85" s="114" t="s">
        <v>60</v>
      </c>
      <c r="D85" s="517">
        <v>42618</v>
      </c>
      <c r="E85" s="114" t="s">
        <v>144</v>
      </c>
      <c r="F85" s="107">
        <v>1500</v>
      </c>
      <c r="G85" s="107">
        <v>6200</v>
      </c>
      <c r="H85" s="107"/>
      <c r="I85" s="242">
        <f t="shared" si="7"/>
        <v>9300000</v>
      </c>
      <c r="J85" s="114" t="s">
        <v>1893</v>
      </c>
      <c r="K85" s="126">
        <f>SUMIF(收发货!A:A,销售合同!A:A,收发货!D:D)</f>
        <v>1427.1999999999998</v>
      </c>
      <c r="L85" s="109">
        <f>SUMIF(收开票!A:A,销售合同!A:A,收开票!E:E)</f>
        <v>1441.8375999999998</v>
      </c>
      <c r="M85" s="109">
        <f>SUMIF(收开票!A:A,销售合同!A:A,收开票!F:F)</f>
        <v>8936654.0600000005</v>
      </c>
      <c r="N85" s="109">
        <f>SUMIF(收开票!A:A,销售合同!A:A,收开票!H:H)</f>
        <v>1441.8375999999998</v>
      </c>
      <c r="O85" s="109">
        <f>SUMIF(收开票!A:A,销售合同!A:A,收开票!I:I)</f>
        <v>8936654.0600000005</v>
      </c>
      <c r="P85" s="109">
        <f>SUMIF(收付款!A:A,销售合同!A:A,收付款!E:E)</f>
        <v>8936654.0600000005</v>
      </c>
      <c r="Q85" s="109">
        <f t="shared" si="6"/>
        <v>0</v>
      </c>
    </row>
    <row r="86" spans="1:24" ht="35.1" hidden="1" customHeight="1">
      <c r="A86" s="102" t="s">
        <v>1917</v>
      </c>
      <c r="B86" s="114" t="s">
        <v>1915</v>
      </c>
      <c r="C86" s="114" t="s">
        <v>332</v>
      </c>
      <c r="D86" s="517">
        <v>42621</v>
      </c>
      <c r="E86" s="103" t="s">
        <v>1418</v>
      </c>
      <c r="F86" s="107">
        <v>36</v>
      </c>
      <c r="G86" s="107">
        <v>11200</v>
      </c>
      <c r="H86" s="107"/>
      <c r="I86" s="117">
        <f t="shared" si="7"/>
        <v>403200</v>
      </c>
      <c r="J86" s="114" t="s">
        <v>1916</v>
      </c>
      <c r="K86" s="106">
        <f>SUMIF(收发货!A:A,销售合同!A:A,收发货!D:D)</f>
        <v>36</v>
      </c>
      <c r="L86" s="109">
        <f>SUMIF(收开票!A:A,销售合同!A:A,收开票!E:E)</f>
        <v>36</v>
      </c>
      <c r="M86" s="109">
        <f>SUMIF(收开票!A:A,销售合同!A:A,收开票!F:F)</f>
        <v>403200</v>
      </c>
      <c r="N86" s="109">
        <f>SUMIF(收开票!A:A,销售合同!A:A,收开票!H:H)</f>
        <v>36</v>
      </c>
      <c r="O86" s="109">
        <f>SUMIF(收开票!A:A,销售合同!A:A,收开票!I:I)</f>
        <v>403200</v>
      </c>
      <c r="P86" s="110">
        <f>SUMIF(收付款!A:A,销售合同!A:A,收付款!E:E)</f>
        <v>403200</v>
      </c>
      <c r="Q86" s="110"/>
      <c r="R86" s="111">
        <f>SUMIF(收付款!A:A,销售合同!A:A,收付款!I:I)</f>
        <v>0</v>
      </c>
      <c r="S86" s="111">
        <f>SUMIF(收付款!A:A,销售合同!A:A,收付款!J:J)</f>
        <v>0</v>
      </c>
    </row>
    <row r="87" spans="1:24" ht="35.1" hidden="1" customHeight="1">
      <c r="A87" s="102" t="s">
        <v>2014</v>
      </c>
      <c r="B87" s="114" t="s">
        <v>147</v>
      </c>
      <c r="C87" s="114" t="s">
        <v>240</v>
      </c>
      <c r="D87" s="517">
        <v>42634</v>
      </c>
      <c r="E87" s="103" t="s">
        <v>1746</v>
      </c>
      <c r="F87" s="107">
        <v>100</v>
      </c>
      <c r="G87" s="107">
        <v>11200</v>
      </c>
      <c r="H87" s="107"/>
      <c r="I87" s="117">
        <f t="shared" si="7"/>
        <v>1120000</v>
      </c>
      <c r="J87" s="114" t="s">
        <v>2015</v>
      </c>
      <c r="K87" s="106">
        <f>SUMIF(收发货!A:A,销售合同!A:A,收发货!D:D)</f>
        <v>100</v>
      </c>
      <c r="L87" s="109">
        <f>SUMIF(收开票!A:A,销售合同!A:A,收开票!E:E)</f>
        <v>100</v>
      </c>
      <c r="M87" s="109">
        <f>SUMIF(收开票!A:A,销售合同!A:A,收开票!F:F)</f>
        <v>1120000</v>
      </c>
      <c r="N87" s="109">
        <f>SUMIF(收开票!A:A,销售合同!A:A,收开票!H:H)</f>
        <v>100</v>
      </c>
      <c r="O87" s="109">
        <f>SUMIF(收开票!A:A,销售合同!A:A,收开票!I:I)</f>
        <v>1120000</v>
      </c>
      <c r="P87" s="110">
        <f>SUMIF(收付款!A:A,销售合同!A:A,收付款!E:E)</f>
        <v>1120000</v>
      </c>
      <c r="Q87" s="110"/>
      <c r="R87" s="111">
        <f>SUMIF(收付款!A:A,销售合同!A:A,收付款!I:I)</f>
        <v>0</v>
      </c>
      <c r="S87" s="111">
        <f>SUMIF(收付款!A:A,销售合同!A:A,收付款!J:J)</f>
        <v>0</v>
      </c>
    </row>
    <row r="88" spans="1:24" ht="35.1" hidden="1" customHeight="1">
      <c r="A88" s="102" t="s">
        <v>2050</v>
      </c>
      <c r="B88" s="114" t="s">
        <v>147</v>
      </c>
      <c r="C88" s="114" t="s">
        <v>85</v>
      </c>
      <c r="D88" s="517">
        <v>42640</v>
      </c>
      <c r="E88" s="118" t="s">
        <v>168</v>
      </c>
      <c r="F88" s="107">
        <v>80</v>
      </c>
      <c r="G88" s="107">
        <f>H88/1.0092</f>
        <v>7728.8941736028528</v>
      </c>
      <c r="H88" s="107">
        <v>7800</v>
      </c>
      <c r="I88" s="117">
        <f t="shared" si="7"/>
        <v>618311.53388822824</v>
      </c>
      <c r="J88" s="114" t="s">
        <v>149</v>
      </c>
      <c r="K88" s="106">
        <f>SUMIF(收发货!A:A,销售合同!A:A,收发货!D:D)</f>
        <v>76.819999999999993</v>
      </c>
      <c r="L88" s="109">
        <f>SUMIF(收开票!A:A,销售合同!A:A,收开票!E:E)</f>
        <v>76.817000000000007</v>
      </c>
      <c r="M88" s="109">
        <f>SUMIF(收开票!A:A,销售合同!A:A,收开票!F:F)</f>
        <v>593686.39</v>
      </c>
      <c r="N88" s="109">
        <f>SUMIF(收开票!A:A,销售合同!A:A,收开票!H:H)</f>
        <v>76.817000000000007</v>
      </c>
      <c r="O88" s="109">
        <f>SUMIF(收开票!A:A,销售合同!A:A,收开票!I:I)</f>
        <v>593686.39</v>
      </c>
      <c r="P88" s="110">
        <f>SUMIF(收付款!A:A,销售合同!A:A,收付款!E:E)</f>
        <v>593686.39</v>
      </c>
      <c r="Q88" s="110">
        <f t="shared" ref="Q88:Q95" si="8">O88-P88</f>
        <v>0</v>
      </c>
    </row>
    <row r="89" spans="1:24" ht="35.1" hidden="1" customHeight="1">
      <c r="A89" s="102" t="s">
        <v>2063</v>
      </c>
      <c r="B89" s="114" t="s">
        <v>147</v>
      </c>
      <c r="C89" s="114" t="s">
        <v>82</v>
      </c>
      <c r="D89" s="517">
        <v>42641</v>
      </c>
      <c r="E89" s="118" t="s">
        <v>168</v>
      </c>
      <c r="F89" s="107">
        <v>120</v>
      </c>
      <c r="G89" s="107">
        <f>H89/1.0092</f>
        <v>12732.857709076496</v>
      </c>
      <c r="H89" s="107">
        <v>12850</v>
      </c>
      <c r="I89" s="117">
        <f t="shared" si="7"/>
        <v>1527942.9250891795</v>
      </c>
      <c r="J89" s="114" t="s">
        <v>149</v>
      </c>
      <c r="K89" s="106">
        <f>SUMIF(收发货!A:A,销售合同!A:A,收发货!D:D)</f>
        <v>115</v>
      </c>
      <c r="L89" s="109">
        <f>SUMIF(收开票!A:A,销售合同!A:A,收开票!E:E)</f>
        <v>114.91300000000001</v>
      </c>
      <c r="M89" s="109">
        <f>SUMIF(收开票!A:A,销售合同!A:A,收开票!F:F)</f>
        <v>1463170.87</v>
      </c>
      <c r="N89" s="109">
        <f>SUMIF(收开票!A:A,销售合同!A:A,收开票!H:H)</f>
        <v>114.91300000000001</v>
      </c>
      <c r="O89" s="109">
        <f>SUMIF(收开票!A:A,销售合同!A:A,收开票!I:I)</f>
        <v>1463170.87</v>
      </c>
      <c r="P89" s="110">
        <f>SUMIF(收付款!A:A,销售合同!A:A,收付款!E:E)</f>
        <v>1463170.87</v>
      </c>
      <c r="Q89" s="110">
        <f t="shared" si="8"/>
        <v>0</v>
      </c>
      <c r="R89" s="106"/>
      <c r="S89" s="111"/>
      <c r="T89" s="112"/>
      <c r="U89" s="112"/>
      <c r="V89" s="113">
        <v>42289</v>
      </c>
      <c r="W89" s="112"/>
      <c r="X89" s="112"/>
    </row>
    <row r="90" spans="1:24" ht="35.1" hidden="1" customHeight="1">
      <c r="A90" s="102" t="s">
        <v>2283</v>
      </c>
      <c r="B90" s="114" t="s">
        <v>147</v>
      </c>
      <c r="C90" s="114" t="s">
        <v>430</v>
      </c>
      <c r="D90" s="517">
        <v>42651</v>
      </c>
      <c r="E90" s="103" t="s">
        <v>321</v>
      </c>
      <c r="F90" s="107">
        <v>2200</v>
      </c>
      <c r="G90" s="107">
        <f>H90/1.0092</f>
        <v>7431.629013079666</v>
      </c>
      <c r="H90" s="107">
        <v>7500</v>
      </c>
      <c r="I90" s="117">
        <f t="shared" si="7"/>
        <v>16349583.828775266</v>
      </c>
      <c r="J90" s="114" t="s">
        <v>432</v>
      </c>
      <c r="K90" s="106">
        <f>SUMIF(收发货!A:A,销售合同!A:A,收发货!D:D)</f>
        <v>2123</v>
      </c>
      <c r="L90" s="107">
        <f>SUMIF(收开票!A:A,销售合同!A:A,收开票!E:E)</f>
        <v>2162.375</v>
      </c>
      <c r="M90" s="108">
        <f>SUMIF(收开票!A:A,销售合同!A:A,收开票!F:F)</f>
        <v>16052652.470000001</v>
      </c>
      <c r="N90" s="109">
        <f>SUMIF(收开票!A:A,销售合同!A:A,收开票!H:H)</f>
        <v>2162.375</v>
      </c>
      <c r="O90" s="109">
        <f>SUMIF(收开票!A:A,销售合同!A:A,收开票!I:I)</f>
        <v>16052652.470000001</v>
      </c>
      <c r="P90" s="110">
        <f>SUMIF(收付款!A:A,销售合同!A:A,收付款!E:E)</f>
        <v>16052652.470000001</v>
      </c>
      <c r="Q90" s="110">
        <f t="shared" si="8"/>
        <v>0</v>
      </c>
      <c r="R90" s="161"/>
    </row>
    <row r="91" spans="1:24" ht="35.1" hidden="1" customHeight="1">
      <c r="A91" s="102" t="s">
        <v>2310</v>
      </c>
      <c r="B91" s="114" t="s">
        <v>147</v>
      </c>
      <c r="C91" s="114" t="s">
        <v>60</v>
      </c>
      <c r="D91" s="517">
        <v>42651</v>
      </c>
      <c r="E91" s="103" t="s">
        <v>144</v>
      </c>
      <c r="F91" s="107">
        <v>800</v>
      </c>
      <c r="G91" s="107">
        <v>7550</v>
      </c>
      <c r="H91" s="107"/>
      <c r="I91" s="117">
        <f t="shared" si="7"/>
        <v>6040000</v>
      </c>
      <c r="J91" s="114" t="s">
        <v>1893</v>
      </c>
      <c r="K91" s="106">
        <f>SUMIF(收发货!A:A,销售合同!A:A,收发货!D:D)</f>
        <v>800</v>
      </c>
      <c r="L91" s="109">
        <f>SUMIF(收开票!A:A,销售合同!A:A,收开票!E:E)</f>
        <v>802.52389999999991</v>
      </c>
      <c r="M91" s="109">
        <f>SUMIF(收开票!A:A,销售合同!A:A,收开票!F:F)</f>
        <v>6055026.71</v>
      </c>
      <c r="N91" s="109">
        <f>SUMIF(收开票!A:A,销售合同!A:A,收开票!H:H)</f>
        <v>802.52389999999991</v>
      </c>
      <c r="O91" s="109">
        <f>SUMIF(收开票!A:A,销售合同!A:A,收开票!I:I)</f>
        <v>6055026.71</v>
      </c>
      <c r="P91" s="109">
        <f>SUMIF(收付款!A:A,销售合同!A:A,收付款!E:E)</f>
        <v>6055026.71</v>
      </c>
      <c r="Q91" s="109">
        <f t="shared" si="8"/>
        <v>0</v>
      </c>
    </row>
    <row r="92" spans="1:24" ht="35.1" hidden="1" customHeight="1">
      <c r="A92" s="102" t="s">
        <v>2114</v>
      </c>
      <c r="B92" s="103" t="s">
        <v>127</v>
      </c>
      <c r="C92" s="103" t="s">
        <v>240</v>
      </c>
      <c r="D92" s="517">
        <v>42614</v>
      </c>
      <c r="E92" s="114" t="s">
        <v>474</v>
      </c>
      <c r="F92" s="104">
        <v>120</v>
      </c>
      <c r="G92" s="104">
        <v>1537.73</v>
      </c>
      <c r="H92" s="104" t="s">
        <v>2118</v>
      </c>
      <c r="I92" s="117">
        <f t="shared" si="7"/>
        <v>184527.6</v>
      </c>
      <c r="J92" s="103" t="s">
        <v>988</v>
      </c>
      <c r="K92" s="106">
        <f>SUMIF(收发货!A:A,销售合同!A:A,收发货!D:D)</f>
        <v>120</v>
      </c>
      <c r="L92" s="109">
        <f>SUMIF(收开票!A:A,销售合同!A:A,收开票!E:E)</f>
        <v>120</v>
      </c>
      <c r="M92" s="109">
        <f>SUMIF(收开票!A:A,销售合同!A:A,收开票!F:F)</f>
        <v>184527.6</v>
      </c>
      <c r="N92" s="109">
        <f>SUMIF(收开票!A:A,销售合同!A:A,收开票!H:H)</f>
        <v>120</v>
      </c>
      <c r="O92" s="109">
        <f>SUMIF(收开票!A:A,销售合同!A:A,收开票!I:I)</f>
        <v>184527.6</v>
      </c>
      <c r="P92" s="110">
        <f>SUMIF(收付款!A:A,销售合同!A:A,收付款!E:E)</f>
        <v>184510.80000000002</v>
      </c>
      <c r="Q92" s="110">
        <f t="shared" si="8"/>
        <v>16.799999999988358</v>
      </c>
      <c r="R92" s="111">
        <f>SUMIF(收付款!A:A,销售合同!A:A,收付款!I:I)</f>
        <v>0</v>
      </c>
      <c r="S92" s="111">
        <f>SUMIF(收付款!A:A,销售合同!A:A,收付款!J:J)</f>
        <v>0</v>
      </c>
      <c r="T92" s="112"/>
      <c r="U92" s="112"/>
      <c r="V92" s="113"/>
      <c r="W92" s="112"/>
      <c r="X92" s="112"/>
    </row>
    <row r="93" spans="1:24" ht="35.1" hidden="1" customHeight="1">
      <c r="A93" s="102" t="s">
        <v>2116</v>
      </c>
      <c r="B93" s="103" t="s">
        <v>127</v>
      </c>
      <c r="C93" s="103" t="s">
        <v>240</v>
      </c>
      <c r="D93" s="517">
        <v>42614</v>
      </c>
      <c r="E93" s="114" t="s">
        <v>474</v>
      </c>
      <c r="F93" s="104">
        <v>200</v>
      </c>
      <c r="G93" s="104">
        <v>1635</v>
      </c>
      <c r="H93" s="104" t="s">
        <v>2118</v>
      </c>
      <c r="I93" s="117">
        <f t="shared" si="7"/>
        <v>327000</v>
      </c>
      <c r="J93" s="103" t="s">
        <v>988</v>
      </c>
      <c r="K93" s="106">
        <f>SUMIF(收发货!A:A,销售合同!A:A,收发货!D:D)</f>
        <v>200</v>
      </c>
      <c r="L93" s="109">
        <f>SUMIF(收开票!A:A,销售合同!A:A,收开票!E:E)</f>
        <v>200</v>
      </c>
      <c r="M93" s="109">
        <f>SUMIF(收开票!A:A,销售合同!A:A,收开票!F:F)</f>
        <v>327000</v>
      </c>
      <c r="N93" s="109">
        <f>SUMIF(收开票!A:A,销售合同!A:A,收开票!H:H)</f>
        <v>200</v>
      </c>
      <c r="O93" s="109">
        <f>SUMIF(收开票!A:A,销售合同!A:A,收开票!I:I)</f>
        <v>327000</v>
      </c>
      <c r="P93" s="110">
        <f>SUMIF(收付款!A:A,销售合同!A:A,收付款!E:E)</f>
        <v>326987.39999999997</v>
      </c>
      <c r="Q93" s="110">
        <f t="shared" si="8"/>
        <v>12.600000000034925</v>
      </c>
      <c r="R93" s="111">
        <f>SUMIF(收付款!A:A,销售合同!A:A,收付款!I:I)</f>
        <v>0</v>
      </c>
      <c r="S93" s="111">
        <f>SUMIF(收付款!A:A,销售合同!A:A,收付款!J:J)</f>
        <v>0</v>
      </c>
      <c r="T93" s="112"/>
      <c r="U93" s="112"/>
      <c r="V93" s="113"/>
      <c r="W93" s="112"/>
      <c r="X93" s="112"/>
    </row>
    <row r="94" spans="1:24" ht="35.1" hidden="1" customHeight="1">
      <c r="A94" s="102" t="s">
        <v>2117</v>
      </c>
      <c r="B94" s="103" t="s">
        <v>127</v>
      </c>
      <c r="C94" s="103" t="s">
        <v>240</v>
      </c>
      <c r="D94" s="517">
        <v>42614</v>
      </c>
      <c r="E94" s="114" t="s">
        <v>474</v>
      </c>
      <c r="F94" s="104">
        <v>200</v>
      </c>
      <c r="G94" s="104">
        <v>1601.54</v>
      </c>
      <c r="H94" s="104" t="s">
        <v>2119</v>
      </c>
      <c r="I94" s="117">
        <f t="shared" si="7"/>
        <v>320308</v>
      </c>
      <c r="J94" s="103" t="s">
        <v>988</v>
      </c>
      <c r="K94" s="106">
        <f>SUMIF(收发货!A:A,销售合同!A:A,收发货!D:D)</f>
        <v>200</v>
      </c>
      <c r="L94" s="109">
        <f>SUMIF(收开票!A:A,销售合同!A:A,收开票!E:E)</f>
        <v>200</v>
      </c>
      <c r="M94" s="109">
        <f>SUMIF(收开票!A:A,销售合同!A:A,收开票!F:F)</f>
        <v>320308</v>
      </c>
      <c r="N94" s="109">
        <f>SUMIF(收开票!A:A,销售合同!A:A,收开票!H:H)</f>
        <v>200</v>
      </c>
      <c r="O94" s="109">
        <f>SUMIF(收开票!A:A,销售合同!A:A,收开票!I:I)</f>
        <v>320308</v>
      </c>
      <c r="P94" s="110">
        <f>SUMIF(收付款!A:A,销售合同!A:A,收付款!E:E)</f>
        <v>320303.8</v>
      </c>
      <c r="Q94" s="110">
        <f t="shared" si="8"/>
        <v>4.2000000000116415</v>
      </c>
      <c r="R94" s="111">
        <f>SUMIF(收付款!A:A,销售合同!A:A,收付款!I:I)</f>
        <v>0</v>
      </c>
      <c r="S94" s="111">
        <f>SUMIF(收付款!A:A,销售合同!A:A,收付款!J:J)</f>
        <v>0</v>
      </c>
      <c r="T94" s="112"/>
      <c r="U94" s="112"/>
      <c r="V94" s="113"/>
      <c r="W94" s="112"/>
      <c r="X94" s="112"/>
    </row>
    <row r="95" spans="1:24" ht="35.1" hidden="1" customHeight="1">
      <c r="A95" s="102" t="s">
        <v>5495</v>
      </c>
      <c r="B95" s="114" t="s">
        <v>485</v>
      </c>
      <c r="C95" s="114" t="s">
        <v>1380</v>
      </c>
      <c r="D95" s="517">
        <v>42651</v>
      </c>
      <c r="E95" s="103" t="s">
        <v>5496</v>
      </c>
      <c r="F95" s="107">
        <v>15000</v>
      </c>
      <c r="G95" s="107">
        <v>620</v>
      </c>
      <c r="H95" s="107"/>
      <c r="I95" s="117">
        <f t="shared" si="7"/>
        <v>9300000</v>
      </c>
      <c r="J95" s="114" t="s">
        <v>149</v>
      </c>
      <c r="K95" s="106">
        <f>SUMIF(收发货!A:A,销售合同!A:A,收发货!D:D)</f>
        <v>3800</v>
      </c>
      <c r="L95" s="109">
        <f>SUMIF(收开票!A:A,销售合同!A:A,收开票!E:E)</f>
        <v>3361.3807999999999</v>
      </c>
      <c r="M95" s="109">
        <f>SUMIF(收开票!A:A,销售合同!A:A,收开票!F:F)</f>
        <v>1962230.88</v>
      </c>
      <c r="N95" s="109">
        <f>SUMIF(收开票!A:A,销售合同!A:A,收开票!H:H)</f>
        <v>3361.3807999999999</v>
      </c>
      <c r="O95" s="109">
        <f>SUMIF(收开票!A:A,销售合同!A:A,收开票!I:I)</f>
        <v>1962230.88</v>
      </c>
      <c r="P95" s="109">
        <f>SUMIF(收付款!A:A,销售合同!A:A,收付款!E:E)</f>
        <v>1962230.8799999994</v>
      </c>
      <c r="Q95" s="109">
        <f t="shared" si="8"/>
        <v>0</v>
      </c>
      <c r="R95" s="161"/>
    </row>
    <row r="96" spans="1:24" ht="35.1" hidden="1" customHeight="1">
      <c r="A96" s="102" t="s">
        <v>2192</v>
      </c>
      <c r="B96" s="114" t="s">
        <v>147</v>
      </c>
      <c r="C96" s="114" t="s">
        <v>2190</v>
      </c>
      <c r="D96" s="517">
        <v>42660</v>
      </c>
      <c r="E96" s="103" t="s">
        <v>1746</v>
      </c>
      <c r="F96" s="107">
        <v>60</v>
      </c>
      <c r="G96" s="107">
        <v>10550</v>
      </c>
      <c r="H96" s="107"/>
      <c r="I96" s="117">
        <f t="shared" si="7"/>
        <v>633000</v>
      </c>
      <c r="J96" s="114" t="s">
        <v>2191</v>
      </c>
      <c r="K96" s="106">
        <f>SUMIF(收发货!A:A,销售合同!A:A,收发货!D:D)</f>
        <v>60</v>
      </c>
      <c r="L96" s="109">
        <f>SUMIF(收开票!A:A,销售合同!A:A,收开票!E:E)</f>
        <v>60</v>
      </c>
      <c r="M96" s="109">
        <f>SUMIF(收开票!A:A,销售合同!A:A,收开票!F:F)</f>
        <v>633000</v>
      </c>
      <c r="N96" s="109">
        <f>SUMIF(收开票!A:A,销售合同!A:A,收开票!H:H)</f>
        <v>60</v>
      </c>
      <c r="O96" s="109">
        <f>SUMIF(收开票!A:A,销售合同!A:A,收开票!I:I)</f>
        <v>633000</v>
      </c>
      <c r="P96" s="110">
        <f>SUMIF(收付款!A:A,销售合同!A:A,收付款!E:E)</f>
        <v>633000</v>
      </c>
      <c r="Q96" s="109"/>
      <c r="R96" s="161"/>
    </row>
    <row r="97" spans="1:24" ht="35.1" hidden="1" customHeight="1">
      <c r="A97" s="102" t="s">
        <v>2196</v>
      </c>
      <c r="B97" s="114" t="s">
        <v>147</v>
      </c>
      <c r="C97" s="114" t="s">
        <v>240</v>
      </c>
      <c r="D97" s="517">
        <v>42662</v>
      </c>
      <c r="E97" s="103" t="s">
        <v>75</v>
      </c>
      <c r="F97" s="107">
        <v>32</v>
      </c>
      <c r="G97" s="107">
        <v>11450</v>
      </c>
      <c r="H97" s="107"/>
      <c r="I97" s="117">
        <f t="shared" si="7"/>
        <v>366400</v>
      </c>
      <c r="J97" s="114" t="s">
        <v>1916</v>
      </c>
      <c r="K97" s="106">
        <f>SUMIF(收发货!A:A,销售合同!A:A,收发货!D:D)</f>
        <v>32</v>
      </c>
      <c r="L97" s="109">
        <f>SUMIF(收开票!A:A,销售合同!A:A,收开票!E:E)</f>
        <v>32</v>
      </c>
      <c r="M97" s="109">
        <f>SUMIF(收开票!A:A,销售合同!A:A,收开票!F:F)</f>
        <v>366400</v>
      </c>
      <c r="N97" s="109">
        <f>SUMIF(收开票!A:A,销售合同!A:A,收开票!H:H)</f>
        <v>32</v>
      </c>
      <c r="O97" s="109">
        <f>SUMIF(收开票!A:A,销售合同!A:A,收开票!I:I)</f>
        <v>366400</v>
      </c>
      <c r="P97" s="110">
        <f>SUMIF(收付款!A:A,销售合同!A:A,收付款!E:E)</f>
        <v>366400</v>
      </c>
      <c r="Q97" s="110"/>
      <c r="R97" s="111">
        <f>SUMIF(收付款!A:A,销售合同!A:A,收付款!I:I)</f>
        <v>0</v>
      </c>
      <c r="S97" s="111">
        <f>SUMIF(收付款!A:A,销售合同!A:A,收付款!J:J)</f>
        <v>0</v>
      </c>
    </row>
    <row r="98" spans="1:24" ht="35.1" hidden="1" customHeight="1">
      <c r="A98" s="102" t="s">
        <v>2205</v>
      </c>
      <c r="B98" s="114" t="s">
        <v>485</v>
      </c>
      <c r="C98" s="114" t="s">
        <v>2206</v>
      </c>
      <c r="D98" s="517">
        <v>42662</v>
      </c>
      <c r="E98" s="103" t="s">
        <v>144</v>
      </c>
      <c r="F98" s="107">
        <v>5000</v>
      </c>
      <c r="G98" s="107">
        <v>540</v>
      </c>
      <c r="H98" s="107"/>
      <c r="I98" s="117">
        <f t="shared" ref="I98:I129" si="9">F98*G98</f>
        <v>2700000</v>
      </c>
      <c r="J98" s="114" t="s">
        <v>149</v>
      </c>
      <c r="K98" s="106">
        <f>SUMIF(收发货!A:A,销售合同!A:A,收发货!D:D)</f>
        <v>5160.3</v>
      </c>
      <c r="L98" s="109">
        <f>SUMIF(收开票!A:A,销售合同!A:A,收开票!E:E)</f>
        <v>4214.0482000000002</v>
      </c>
      <c r="M98" s="109">
        <f>SUMIF(收开票!A:A,销售合同!A:A,收开票!F:F)</f>
        <v>2209420</v>
      </c>
      <c r="N98" s="109">
        <f>SUMIF(收开票!A:A,销售合同!A:A,收开票!H:H)</f>
        <v>4214.0482000000002</v>
      </c>
      <c r="O98" s="109">
        <f>SUMIF(收开票!A:A,销售合同!A:A,收开票!I:I)</f>
        <v>2209420</v>
      </c>
      <c r="P98" s="109">
        <f>SUMIF(收付款!A:A,销售合同!A:A,收付款!E:E)</f>
        <v>2209420</v>
      </c>
      <c r="Q98" s="109">
        <f>O98-P98</f>
        <v>0</v>
      </c>
      <c r="R98" s="161"/>
    </row>
    <row r="99" spans="1:24" ht="35.1" hidden="1" customHeight="1">
      <c r="A99" s="102" t="s">
        <v>2284</v>
      </c>
      <c r="B99" s="114" t="s">
        <v>147</v>
      </c>
      <c r="C99" s="114" t="s">
        <v>85</v>
      </c>
      <c r="D99" s="517">
        <v>42675</v>
      </c>
      <c r="E99" s="118" t="s">
        <v>168</v>
      </c>
      <c r="F99" s="107">
        <v>80</v>
      </c>
      <c r="G99" s="107">
        <f>H99/1.0092</f>
        <v>8719.778042013475</v>
      </c>
      <c r="H99" s="107">
        <v>8800</v>
      </c>
      <c r="I99" s="117">
        <f t="shared" si="9"/>
        <v>697582.24336107797</v>
      </c>
      <c r="J99" s="114" t="s">
        <v>149</v>
      </c>
      <c r="K99" s="106">
        <f>SUMIF(收发货!A:A,销售合同!A:A,收发货!D:D)</f>
        <v>83.88</v>
      </c>
      <c r="L99" s="109">
        <f>SUMIF(收开票!A:A,销售合同!A:A,收开票!E:E)</f>
        <v>83.775999999999996</v>
      </c>
      <c r="M99" s="109">
        <f>SUMIF(收开票!A:A,销售合同!A:A,收开票!F:F)</f>
        <v>730508.13</v>
      </c>
      <c r="N99" s="109">
        <f>SUMIF(收开票!A:A,销售合同!A:A,收开票!H:H)</f>
        <v>83.775999999999996</v>
      </c>
      <c r="O99" s="109">
        <f>SUMIF(收开票!A:A,销售合同!A:A,收开票!I:I)</f>
        <v>730508.13</v>
      </c>
      <c r="P99" s="110">
        <f>SUMIF(收付款!A:A,销售合同!A:A,收付款!E:E)</f>
        <v>730508.13</v>
      </c>
      <c r="Q99" s="110">
        <f>O99-P99</f>
        <v>0</v>
      </c>
    </row>
    <row r="100" spans="1:24" s="127" customFormat="1" ht="35.1" hidden="1" customHeight="1">
      <c r="A100" s="102" t="s">
        <v>2338</v>
      </c>
      <c r="B100" s="114" t="s">
        <v>147</v>
      </c>
      <c r="C100" s="114" t="s">
        <v>60</v>
      </c>
      <c r="D100" s="517">
        <v>42675</v>
      </c>
      <c r="E100" s="114" t="s">
        <v>321</v>
      </c>
      <c r="F100" s="107">
        <v>1000</v>
      </c>
      <c r="G100" s="107">
        <f>H100/1.0092</f>
        <v>8224.3361078081634</v>
      </c>
      <c r="H100" s="107">
        <v>8300</v>
      </c>
      <c r="I100" s="242">
        <f t="shared" si="9"/>
        <v>8224336.1078081634</v>
      </c>
      <c r="J100" s="114" t="s">
        <v>432</v>
      </c>
      <c r="K100" s="126">
        <f>SUMIF(收发货!A:A,销售合同!A:A,收发货!D:D)</f>
        <v>1050.7199999999998</v>
      </c>
      <c r="L100" s="109">
        <f>SUMIF(收开票!A:A,销售合同!A:A,收开票!E:E)</f>
        <v>1071.443</v>
      </c>
      <c r="M100" s="109">
        <f>SUMIF(收开票!A:A,销售合同!A:A,收开票!F:F)</f>
        <v>8721918.7019857317</v>
      </c>
      <c r="N100" s="109">
        <f>SUMIF(收开票!A:A,销售合同!A:A,收开票!H:H)</f>
        <v>1071.443</v>
      </c>
      <c r="O100" s="109">
        <f>SUMIF(收开票!A:A,销售合同!A:A,收开票!I:I)</f>
        <v>8721918.7019857317</v>
      </c>
      <c r="P100" s="110">
        <f>SUMIF(收付款!A:A,销售合同!A:A,收付款!E:E)</f>
        <v>8721918.7019857317</v>
      </c>
      <c r="Q100" s="109">
        <f>O100-P100</f>
        <v>0</v>
      </c>
      <c r="R100" s="326"/>
    </row>
    <row r="101" spans="1:24" ht="35.1" hidden="1" customHeight="1">
      <c r="A101" s="102" t="s">
        <v>2339</v>
      </c>
      <c r="B101" s="114" t="s">
        <v>147</v>
      </c>
      <c r="C101" s="114" t="s">
        <v>60</v>
      </c>
      <c r="D101" s="517">
        <v>42675</v>
      </c>
      <c r="E101" s="103" t="s">
        <v>144</v>
      </c>
      <c r="F101" s="107">
        <v>900</v>
      </c>
      <c r="G101" s="107">
        <v>8300</v>
      </c>
      <c r="H101" s="107"/>
      <c r="I101" s="117">
        <f t="shared" si="9"/>
        <v>7470000</v>
      </c>
      <c r="J101" s="114" t="s">
        <v>1893</v>
      </c>
      <c r="K101" s="106">
        <f>SUMIF(收发货!A:A,销售合同!A:A,收发货!D:D)</f>
        <v>900</v>
      </c>
      <c r="L101" s="109">
        <f>SUMIF(收开票!A:A,销售合同!A:A,收开票!E:E)</f>
        <v>896.45910000000003</v>
      </c>
      <c r="M101" s="109">
        <f>SUMIF(收开票!A:A,销售合同!A:A,收开票!F:F)</f>
        <v>7518118.9099999992</v>
      </c>
      <c r="N101" s="109">
        <f>SUMIF(收开票!A:A,销售合同!A:A,收开票!H:H)</f>
        <v>896.45910000000003</v>
      </c>
      <c r="O101" s="109">
        <f>SUMIF(收开票!A:A,销售合同!A:A,收开票!I:I)</f>
        <v>7518118.9099999992</v>
      </c>
      <c r="P101" s="109">
        <f>SUMIF(收付款!A:A,销售合同!A:A,收付款!E:E)</f>
        <v>7518118.9099999992</v>
      </c>
      <c r="Q101" s="109">
        <f>O101-P101</f>
        <v>0</v>
      </c>
    </row>
    <row r="102" spans="1:24" ht="35.1" hidden="1" customHeight="1">
      <c r="A102" s="102" t="s">
        <v>2341</v>
      </c>
      <c r="B102" s="114" t="s">
        <v>147</v>
      </c>
      <c r="C102" s="114" t="s">
        <v>240</v>
      </c>
      <c r="D102" s="517">
        <v>42682</v>
      </c>
      <c r="E102" s="6" t="s">
        <v>238</v>
      </c>
      <c r="F102" s="107">
        <v>30</v>
      </c>
      <c r="G102" s="107">
        <v>13550</v>
      </c>
      <c r="H102" s="107"/>
      <c r="I102" s="117">
        <f t="shared" si="9"/>
        <v>406500</v>
      </c>
      <c r="J102" s="114" t="s">
        <v>2342</v>
      </c>
      <c r="K102" s="106">
        <f>SUMIF(收发货!A:A,销售合同!A:A,收发货!D:D)</f>
        <v>30</v>
      </c>
      <c r="L102" s="109">
        <f>SUMIF(收开票!A:A,销售合同!A:A,收开票!E:E)</f>
        <v>0</v>
      </c>
      <c r="M102" s="109">
        <f>SUMIF(收开票!A:A,销售合同!A:A,收开票!F:F)</f>
        <v>0</v>
      </c>
      <c r="N102" s="109">
        <f>SUMIF(收开票!A:A,销售合同!A:A,收开票!H:H)</f>
        <v>0</v>
      </c>
      <c r="O102" s="109">
        <f>SUMIF(收开票!A:A,销售合同!A:A,收开票!I:I)</f>
        <v>0</v>
      </c>
      <c r="P102" s="110">
        <f>SUMIF(收付款!A:A,销售合同!A:A,收付款!E:E)</f>
        <v>406500</v>
      </c>
      <c r="Q102" s="109"/>
      <c r="R102" s="111">
        <f>SUMIF(收付款!A:A,销售合同!A:A,收付款!I:I)</f>
        <v>0</v>
      </c>
      <c r="S102" s="111">
        <f>SUMIF(收付款!A:A,销售合同!A:A,收付款!J:J)</f>
        <v>0</v>
      </c>
    </row>
    <row r="103" spans="1:24" ht="35.1" hidden="1" customHeight="1">
      <c r="A103" s="102" t="s">
        <v>2353</v>
      </c>
      <c r="B103" s="114" t="s">
        <v>147</v>
      </c>
      <c r="C103" s="114" t="s">
        <v>240</v>
      </c>
      <c r="D103" s="517">
        <v>42682</v>
      </c>
      <c r="E103" s="103" t="s">
        <v>75</v>
      </c>
      <c r="F103" s="107">
        <v>30</v>
      </c>
      <c r="G103" s="107">
        <v>13550</v>
      </c>
      <c r="H103" s="107"/>
      <c r="I103" s="117">
        <f t="shared" si="9"/>
        <v>406500</v>
      </c>
      <c r="J103" s="114" t="s">
        <v>1916</v>
      </c>
      <c r="K103" s="106">
        <f>SUMIF(收发货!A:A,销售合同!A:A,收发货!D:D)</f>
        <v>30</v>
      </c>
      <c r="L103" s="109">
        <f>SUMIF(收开票!A:A,销售合同!A:A,收开票!E:E)</f>
        <v>30</v>
      </c>
      <c r="M103" s="109">
        <f>SUMIF(收开票!A:A,销售合同!A:A,收开票!F:F)</f>
        <v>406500</v>
      </c>
      <c r="N103" s="109">
        <f>SUMIF(收开票!A:A,销售合同!A:A,收开票!H:H)</f>
        <v>30</v>
      </c>
      <c r="O103" s="109">
        <f>SUMIF(收开票!A:A,销售合同!A:A,收开票!I:I)</f>
        <v>406500</v>
      </c>
      <c r="P103" s="110">
        <f>SUMIF(收付款!A:A,销售合同!A:A,收付款!E:E)</f>
        <v>406500</v>
      </c>
      <c r="Q103" s="110"/>
      <c r="R103" s="111">
        <f>SUMIF(收付款!A:A,销售合同!A:A,收付款!I:I)</f>
        <v>0</v>
      </c>
      <c r="S103" s="111">
        <f>SUMIF(收付款!A:A,销售合同!A:A,收付款!J:J)</f>
        <v>0</v>
      </c>
    </row>
    <row r="104" spans="1:24" ht="35.1" hidden="1" customHeight="1">
      <c r="A104" s="102" t="s">
        <v>2398</v>
      </c>
      <c r="B104" s="114" t="s">
        <v>485</v>
      </c>
      <c r="C104" s="114" t="s">
        <v>93</v>
      </c>
      <c r="D104" s="517">
        <v>42675</v>
      </c>
      <c r="E104" s="103" t="s">
        <v>321</v>
      </c>
      <c r="F104" s="107">
        <v>6000</v>
      </c>
      <c r="G104" s="107">
        <f>H104/1.0092</f>
        <v>594.53032104637327</v>
      </c>
      <c r="H104" s="107">
        <v>600</v>
      </c>
      <c r="I104" s="117">
        <f t="shared" si="9"/>
        <v>3567181.9262782396</v>
      </c>
      <c r="J104" s="114" t="s">
        <v>432</v>
      </c>
      <c r="K104" s="106">
        <f>SUMIF(收发货!A:A,销售合同!A:A,收发货!D:D)</f>
        <v>4000</v>
      </c>
      <c r="L104" s="109">
        <f>SUMIF(收开票!A:A,销售合同!A:A,收开票!E:E)</f>
        <v>4716.558</v>
      </c>
      <c r="M104" s="109">
        <f>SUMIF(收开票!A:A,销售合同!A:A,收开票!F:F)</f>
        <v>2768964.63</v>
      </c>
      <c r="N104" s="109">
        <f>SUMIF(收开票!A:A,销售合同!A:A,收开票!H:H)</f>
        <v>4716.558</v>
      </c>
      <c r="O104" s="109">
        <f>SUMIF(收开票!A:A,销售合同!A:A,收开票!I:I)</f>
        <v>2768964.63</v>
      </c>
      <c r="P104" s="110">
        <f>SUMIF(收付款!A:A,销售合同!A:A,收付款!E:E)</f>
        <v>2768964.63</v>
      </c>
      <c r="Q104" s="109">
        <f t="shared" ref="Q104:Q118" si="10">O104-P104</f>
        <v>0</v>
      </c>
    </row>
    <row r="105" spans="1:24" ht="35.1" hidden="1" customHeight="1">
      <c r="A105" s="102" t="s">
        <v>2418</v>
      </c>
      <c r="B105" s="114" t="s">
        <v>485</v>
      </c>
      <c r="C105" s="114" t="s">
        <v>93</v>
      </c>
      <c r="D105" s="517">
        <v>42675</v>
      </c>
      <c r="E105" s="103" t="s">
        <v>321</v>
      </c>
      <c r="F105" s="107">
        <v>10000</v>
      </c>
      <c r="G105" s="107">
        <f>H105/1.0092</f>
        <v>688.66428854538242</v>
      </c>
      <c r="H105" s="107">
        <v>695</v>
      </c>
      <c r="I105" s="117">
        <f t="shared" si="9"/>
        <v>6886642.885453824</v>
      </c>
      <c r="J105" s="114" t="s">
        <v>432</v>
      </c>
      <c r="K105" s="106">
        <f>SUMIF(收发货!A:A,销售合同!A:A,收发货!D:D)</f>
        <v>10500</v>
      </c>
      <c r="L105" s="109">
        <f>SUMIF(收开票!A:A,销售合同!A:A,收开票!E:E)</f>
        <v>7813.5380000000005</v>
      </c>
      <c r="M105" s="109">
        <f>SUMIF(收开票!A:A,销售合同!A:A,收开票!F:F)</f>
        <v>5516551.1299999999</v>
      </c>
      <c r="N105" s="109">
        <f>SUMIF(收开票!A:A,销售合同!A:A,收开票!H:H)</f>
        <v>7813.5380000000005</v>
      </c>
      <c r="O105" s="109">
        <f>SUMIF(收开票!A:A,销售合同!A:A,收开票!I:I)</f>
        <v>5516551.1299999999</v>
      </c>
      <c r="P105" s="110">
        <f>SUMIF(收付款!A:A,销售合同!A:A,收付款!E:E)</f>
        <v>5516551.1299999999</v>
      </c>
      <c r="Q105" s="109">
        <f t="shared" si="10"/>
        <v>0</v>
      </c>
    </row>
    <row r="106" spans="1:24" ht="35.1" hidden="1" customHeight="1">
      <c r="A106" s="102" t="s">
        <v>2438</v>
      </c>
      <c r="B106" s="114" t="s">
        <v>485</v>
      </c>
      <c r="C106" s="114" t="s">
        <v>2206</v>
      </c>
      <c r="D106" s="517">
        <v>42695</v>
      </c>
      <c r="E106" s="103" t="s">
        <v>144</v>
      </c>
      <c r="F106" s="107">
        <v>5000</v>
      </c>
      <c r="G106" s="107">
        <v>640</v>
      </c>
      <c r="H106" s="107"/>
      <c r="I106" s="117">
        <f t="shared" si="9"/>
        <v>3200000</v>
      </c>
      <c r="J106" s="114" t="s">
        <v>149</v>
      </c>
      <c r="K106" s="106">
        <f>SUMIF(收发货!A:A,销售合同!A:A,收发货!D:D)</f>
        <v>4997.9399999999996</v>
      </c>
      <c r="L106" s="109">
        <f>SUMIF(收开票!A:A,销售合同!A:A,收开票!E:E)</f>
        <v>4152.3092999999999</v>
      </c>
      <c r="M106" s="109">
        <f>SUMIF(收开票!A:A,销售合同!A:A,收开票!F:F)</f>
        <v>2475149.63</v>
      </c>
      <c r="N106" s="109">
        <f>SUMIF(收开票!A:A,销售合同!A:A,收开票!H:H)</f>
        <v>4152.3092999999999</v>
      </c>
      <c r="O106" s="109">
        <f>SUMIF(收开票!A:A,销售合同!A:A,收开票!I:I)</f>
        <v>2475149.63</v>
      </c>
      <c r="P106" s="109">
        <f>SUMIF(收付款!A:A,销售合同!A:A,收付款!E:E)</f>
        <v>2475149.63</v>
      </c>
      <c r="Q106" s="109">
        <f t="shared" si="10"/>
        <v>0</v>
      </c>
      <c r="R106" s="161"/>
    </row>
    <row r="107" spans="1:24" ht="35.1" hidden="1" customHeight="1">
      <c r="A107" s="102" t="s">
        <v>2453</v>
      </c>
      <c r="B107" s="114" t="s">
        <v>147</v>
      </c>
      <c r="C107" s="114" t="s">
        <v>82</v>
      </c>
      <c r="D107" s="517">
        <v>42682</v>
      </c>
      <c r="E107" s="118" t="s">
        <v>168</v>
      </c>
      <c r="F107" s="107">
        <v>150</v>
      </c>
      <c r="G107" s="107">
        <f>H107/1.0092</f>
        <v>12881.490289338088</v>
      </c>
      <c r="H107" s="107">
        <v>13000</v>
      </c>
      <c r="I107" s="117">
        <f t="shared" si="9"/>
        <v>1932223.5434007132</v>
      </c>
      <c r="J107" s="114" t="s">
        <v>149</v>
      </c>
      <c r="K107" s="106">
        <f>SUMIF(收发货!A:A,销售合同!A:A,收发货!D:D)</f>
        <v>143</v>
      </c>
      <c r="L107" s="109">
        <f>SUMIF(收开票!A:A,销售合同!A:A,收开票!E:E)</f>
        <v>142.923</v>
      </c>
      <c r="M107" s="109">
        <f>SUMIF(收开票!A:A,销售合同!A:A,收开票!F:F)</f>
        <v>1841061.24</v>
      </c>
      <c r="N107" s="109">
        <f>SUMIF(收开票!A:A,销售合同!A:A,收开票!H:H)</f>
        <v>142.923</v>
      </c>
      <c r="O107" s="109">
        <f>SUMIF(收开票!A:A,销售合同!A:A,收开票!I:I)</f>
        <v>1841061.24</v>
      </c>
      <c r="P107" s="110">
        <f>SUMIF(收付款!A:A,销售合同!A:A,收付款!E:E)</f>
        <v>1841061.24</v>
      </c>
      <c r="Q107" s="110">
        <f t="shared" si="10"/>
        <v>0</v>
      </c>
      <c r="R107" s="106"/>
      <c r="S107" s="111"/>
      <c r="T107" s="112"/>
      <c r="U107" s="112"/>
      <c r="V107" s="113">
        <v>42289</v>
      </c>
      <c r="W107" s="112"/>
      <c r="X107" s="112"/>
    </row>
    <row r="108" spans="1:24" ht="35.1" hidden="1" customHeight="1">
      <c r="A108" s="102" t="s">
        <v>2483</v>
      </c>
      <c r="B108" s="114" t="s">
        <v>485</v>
      </c>
      <c r="C108" s="114" t="s">
        <v>2206</v>
      </c>
      <c r="D108" s="517">
        <v>42705</v>
      </c>
      <c r="E108" s="103" t="s">
        <v>144</v>
      </c>
      <c r="F108" s="107">
        <v>10000</v>
      </c>
      <c r="G108" s="107">
        <v>700</v>
      </c>
      <c r="H108" s="107"/>
      <c r="I108" s="117">
        <f t="shared" si="9"/>
        <v>7000000</v>
      </c>
      <c r="J108" s="114" t="s">
        <v>149</v>
      </c>
      <c r="K108" s="106">
        <f>SUMIF(收发货!A:A,销售合同!A:A,收发货!D:D)</f>
        <v>9853.68</v>
      </c>
      <c r="L108" s="109">
        <f>SUMIF(收开票!A:A,销售合同!A:A,收开票!E:E)</f>
        <v>7746.7116999999998</v>
      </c>
      <c r="M108" s="109">
        <f>SUMIF(收开票!A:A,销售合同!A:A,收开票!F:F)</f>
        <v>5232395.8100000005</v>
      </c>
      <c r="N108" s="109">
        <f>SUMIF(收开票!A:A,销售合同!A:A,收开票!H:H)</f>
        <v>7746.7116999999998</v>
      </c>
      <c r="O108" s="109">
        <f>SUMIF(收开票!A:A,销售合同!A:A,收开票!I:I)</f>
        <v>5232395.8100000005</v>
      </c>
      <c r="P108" s="109">
        <f>SUMIF(收付款!A:A,销售合同!A:A,收付款!E:E)</f>
        <v>5232395.8100000005</v>
      </c>
      <c r="Q108" s="109">
        <f t="shared" si="10"/>
        <v>0</v>
      </c>
      <c r="R108" s="161"/>
    </row>
    <row r="109" spans="1:24" ht="35.1" hidden="1" customHeight="1">
      <c r="A109" s="102" t="s">
        <v>2496</v>
      </c>
      <c r="B109" s="114" t="s">
        <v>147</v>
      </c>
      <c r="C109" s="114" t="s">
        <v>82</v>
      </c>
      <c r="D109" s="517">
        <v>42709</v>
      </c>
      <c r="E109" s="118" t="s">
        <v>168</v>
      </c>
      <c r="F109" s="107">
        <v>120</v>
      </c>
      <c r="G109" s="107">
        <f>H109/1.0092</f>
        <v>16349.583828775267</v>
      </c>
      <c r="H109" s="107">
        <v>16500</v>
      </c>
      <c r="I109" s="117">
        <f t="shared" si="9"/>
        <v>1961950.059453032</v>
      </c>
      <c r="J109" s="114" t="s">
        <v>149</v>
      </c>
      <c r="K109" s="106">
        <f>SUMIF(收发货!A:A,销售合同!A:A,收发货!D:D)</f>
        <v>115</v>
      </c>
      <c r="L109" s="109">
        <f>SUMIF(收开票!A:A,销售合同!A:A,收开票!E:E)</f>
        <v>115.16300000000001</v>
      </c>
      <c r="M109" s="109">
        <f>SUMIF(收开票!A:A,销售合同!A:A,收开票!F:F)</f>
        <v>1882867.12</v>
      </c>
      <c r="N109" s="109">
        <f>SUMIF(收开票!A:A,销售合同!A:A,收开票!H:H)</f>
        <v>115.16300000000001</v>
      </c>
      <c r="O109" s="109">
        <f>SUMIF(收开票!A:A,销售合同!A:A,收开票!I:I)</f>
        <v>1882867.12</v>
      </c>
      <c r="P109" s="110">
        <f>SUMIF(收付款!A:A,销售合同!A:A,收付款!E:E)</f>
        <v>1882867.12</v>
      </c>
      <c r="Q109" s="110">
        <f t="shared" si="10"/>
        <v>0</v>
      </c>
      <c r="R109" s="106"/>
      <c r="S109" s="111"/>
      <c r="T109" s="112"/>
      <c r="U109" s="112"/>
      <c r="V109" s="113">
        <v>42289</v>
      </c>
      <c r="W109" s="112"/>
      <c r="X109" s="112"/>
    </row>
    <row r="110" spans="1:24" ht="35.1" hidden="1" customHeight="1">
      <c r="A110" s="102" t="s">
        <v>2507</v>
      </c>
      <c r="B110" s="103" t="s">
        <v>127</v>
      </c>
      <c r="C110" s="103" t="s">
        <v>240</v>
      </c>
      <c r="D110" s="517">
        <v>42705</v>
      </c>
      <c r="E110" s="114" t="s">
        <v>474</v>
      </c>
      <c r="F110" s="104">
        <v>120</v>
      </c>
      <c r="G110" s="104">
        <v>1988.55</v>
      </c>
      <c r="H110" s="104" t="s">
        <v>2119</v>
      </c>
      <c r="I110" s="117">
        <f t="shared" si="9"/>
        <v>238626</v>
      </c>
      <c r="J110" s="103" t="s">
        <v>988</v>
      </c>
      <c r="K110" s="106">
        <f>SUMIF(收发货!A:A,销售合同!A:A,收发货!D:D)</f>
        <v>120</v>
      </c>
      <c r="L110" s="109">
        <f>SUMIF(收开票!A:A,销售合同!A:A,收开票!E:E)</f>
        <v>120</v>
      </c>
      <c r="M110" s="109">
        <f>SUMIF(收开票!A:A,销售合同!A:A,收开票!F:F)</f>
        <v>238626</v>
      </c>
      <c r="N110" s="109">
        <f>SUMIF(收开票!A:A,销售合同!A:A,收开票!H:H)</f>
        <v>120</v>
      </c>
      <c r="O110" s="109">
        <f>SUMIF(收开票!A:A,销售合同!A:A,收开票!I:I)</f>
        <v>238626</v>
      </c>
      <c r="P110" s="110">
        <f>SUMIF(收付款!A:A,销售合同!A:A,收付款!E:E)</f>
        <v>238609.21</v>
      </c>
      <c r="Q110" s="110">
        <f t="shared" si="10"/>
        <v>16.790000000008149</v>
      </c>
      <c r="R110" s="111">
        <f>SUMIF(收付款!A:A,销售合同!A:A,收付款!I:I)</f>
        <v>0</v>
      </c>
      <c r="S110" s="111">
        <f>SUMIF(收付款!A:A,销售合同!A:A,收付款!J:J)</f>
        <v>0</v>
      </c>
      <c r="T110" s="112"/>
      <c r="U110" s="112"/>
      <c r="V110" s="113"/>
      <c r="W110" s="112"/>
      <c r="X110" s="112"/>
    </row>
    <row r="111" spans="1:24" ht="35.1" hidden="1" customHeight="1">
      <c r="A111" s="102" t="s">
        <v>2509</v>
      </c>
      <c r="B111" s="103" t="s">
        <v>127</v>
      </c>
      <c r="C111" s="103" t="s">
        <v>240</v>
      </c>
      <c r="D111" s="517">
        <v>42736</v>
      </c>
      <c r="E111" s="114" t="s">
        <v>2512</v>
      </c>
      <c r="F111" s="104">
        <v>200</v>
      </c>
      <c r="G111" s="104">
        <v>2560</v>
      </c>
      <c r="H111" s="104" t="s">
        <v>2508</v>
      </c>
      <c r="I111" s="117">
        <f t="shared" si="9"/>
        <v>512000</v>
      </c>
      <c r="J111" s="103" t="s">
        <v>988</v>
      </c>
      <c r="K111" s="106">
        <f>SUMIF(收发货!A:A,销售合同!A:A,收发货!D:D)</f>
        <v>200</v>
      </c>
      <c r="L111" s="109">
        <f>SUMIF(收开票!A:A,销售合同!A:A,收开票!E:E)</f>
        <v>200</v>
      </c>
      <c r="M111" s="109">
        <f>SUMIF(收开票!A:A,销售合同!A:A,收开票!F:F)</f>
        <v>512000</v>
      </c>
      <c r="N111" s="109">
        <f>SUMIF(收开票!A:A,销售合同!A:A,收开票!H:H)</f>
        <v>200</v>
      </c>
      <c r="O111" s="109">
        <f>SUMIF(收开票!A:A,销售合同!A:A,收开票!I:I)</f>
        <v>512000</v>
      </c>
      <c r="P111" s="110">
        <f>SUMIF(收付款!A:A,销售合同!A:A,收付款!E:E)</f>
        <v>512000</v>
      </c>
      <c r="Q111" s="110">
        <f t="shared" si="10"/>
        <v>0</v>
      </c>
      <c r="R111" s="111">
        <f>SUMIF(收付款!A:A,销售合同!A:A,收付款!I:I)</f>
        <v>0</v>
      </c>
      <c r="S111" s="111">
        <f>SUMIF(收付款!A:A,销售合同!A:A,收付款!J:J)</f>
        <v>0</v>
      </c>
      <c r="T111" s="112"/>
      <c r="U111" s="112"/>
      <c r="V111" s="113"/>
      <c r="W111" s="112"/>
      <c r="X111" s="112"/>
    </row>
    <row r="112" spans="1:24" ht="35.1" hidden="1" customHeight="1">
      <c r="A112" s="102" t="s">
        <v>2510</v>
      </c>
      <c r="B112" s="103" t="s">
        <v>127</v>
      </c>
      <c r="C112" s="103" t="s">
        <v>240</v>
      </c>
      <c r="D112" s="517">
        <v>42736</v>
      </c>
      <c r="E112" s="114" t="s">
        <v>2512</v>
      </c>
      <c r="F112" s="104">
        <v>200</v>
      </c>
      <c r="G112" s="104">
        <v>2560</v>
      </c>
      <c r="H112" s="104" t="s">
        <v>2119</v>
      </c>
      <c r="I112" s="117">
        <f t="shared" si="9"/>
        <v>512000</v>
      </c>
      <c r="J112" s="103" t="s">
        <v>988</v>
      </c>
      <c r="K112" s="106">
        <f>SUMIF(收发货!A:A,销售合同!A:A,收发货!D:D)</f>
        <v>200</v>
      </c>
      <c r="L112" s="109">
        <f>SUMIF(收开票!A:A,销售合同!A:A,收开票!E:E)</f>
        <v>200</v>
      </c>
      <c r="M112" s="109">
        <f>SUMIF(收开票!A:A,销售合同!A:A,收开票!F:F)</f>
        <v>512000</v>
      </c>
      <c r="N112" s="109">
        <f>SUMIF(收开票!A:A,销售合同!A:A,收开票!H:H)</f>
        <v>200</v>
      </c>
      <c r="O112" s="109">
        <f>SUMIF(收开票!A:A,销售合同!A:A,收开票!I:I)</f>
        <v>512000</v>
      </c>
      <c r="P112" s="110">
        <f>SUMIF(收付款!A:A,销售合同!A:A,收付款!E:E)</f>
        <v>512000</v>
      </c>
      <c r="Q112" s="110">
        <f t="shared" si="10"/>
        <v>0</v>
      </c>
      <c r="R112" s="111">
        <f>SUMIF(收付款!A:A,销售合同!A:A,收付款!I:I)</f>
        <v>0</v>
      </c>
      <c r="S112" s="111">
        <f>SUMIF(收付款!A:A,销售合同!A:A,收付款!J:J)</f>
        <v>0</v>
      </c>
      <c r="T112" s="112"/>
      <c r="U112" s="112"/>
      <c r="V112" s="113"/>
      <c r="W112" s="112"/>
      <c r="X112" s="112"/>
    </row>
    <row r="113" spans="1:24" ht="35.1" hidden="1" customHeight="1">
      <c r="A113" s="102" t="s">
        <v>2511</v>
      </c>
      <c r="B113" s="103" t="s">
        <v>127</v>
      </c>
      <c r="C113" s="103" t="s">
        <v>240</v>
      </c>
      <c r="D113" s="517">
        <v>42767</v>
      </c>
      <c r="E113" s="114" t="s">
        <v>2512</v>
      </c>
      <c r="F113" s="104">
        <v>300</v>
      </c>
      <c r="G113" s="104">
        <v>2680</v>
      </c>
      <c r="H113" s="104" t="s">
        <v>2119</v>
      </c>
      <c r="I113" s="117">
        <f t="shared" si="9"/>
        <v>804000</v>
      </c>
      <c r="J113" s="103" t="s">
        <v>988</v>
      </c>
      <c r="K113" s="106">
        <f>SUMIF(收发货!A:A,销售合同!A:A,收发货!D:D)</f>
        <v>300</v>
      </c>
      <c r="L113" s="109">
        <f>SUMIF(收开票!A:A,销售合同!A:A,收开票!E:E)</f>
        <v>300</v>
      </c>
      <c r="M113" s="109">
        <f>SUMIF(收开票!A:A,销售合同!A:A,收开票!F:F)</f>
        <v>804000</v>
      </c>
      <c r="N113" s="109">
        <f>SUMIF(收开票!A:A,销售合同!A:A,收开票!H:H)</f>
        <v>300</v>
      </c>
      <c r="O113" s="109">
        <f>SUMIF(收开票!A:A,销售合同!A:A,收开票!I:I)</f>
        <v>804000</v>
      </c>
      <c r="P113" s="110">
        <f>SUMIF(收付款!A:A,销售合同!A:A,收付款!E:E)</f>
        <v>804000</v>
      </c>
      <c r="Q113" s="110">
        <f t="shared" si="10"/>
        <v>0</v>
      </c>
      <c r="R113" s="111">
        <f>SUMIF(收付款!A:A,销售合同!A:A,收付款!I:I)</f>
        <v>0</v>
      </c>
      <c r="S113" s="111">
        <f>SUMIF(收付款!A:A,销售合同!A:A,收付款!J:J)</f>
        <v>0</v>
      </c>
      <c r="T113" s="112"/>
      <c r="U113" s="112"/>
      <c r="V113" s="113"/>
      <c r="W113" s="112"/>
      <c r="X113" s="112"/>
    </row>
    <row r="114" spans="1:24" ht="35.1" hidden="1" customHeight="1">
      <c r="A114" s="102" t="s">
        <v>2547</v>
      </c>
      <c r="B114" s="114" t="s">
        <v>147</v>
      </c>
      <c r="C114" s="114" t="s">
        <v>60</v>
      </c>
      <c r="D114" s="517">
        <v>42723</v>
      </c>
      <c r="E114" s="103" t="s">
        <v>321</v>
      </c>
      <c r="F114" s="107">
        <v>240</v>
      </c>
      <c r="G114" s="107">
        <f>H114/1.0092</f>
        <v>8917.9548156955989</v>
      </c>
      <c r="H114" s="107">
        <v>9000</v>
      </c>
      <c r="I114" s="117">
        <f t="shared" si="9"/>
        <v>2140309.1557669439</v>
      </c>
      <c r="J114" s="114" t="s">
        <v>432</v>
      </c>
      <c r="K114" s="106">
        <f>SUMIF(收发货!A:A,销售合同!A:A,收发货!D:D)</f>
        <v>120</v>
      </c>
      <c r="L114" s="109">
        <f>SUMIF(收开票!A:A,销售合同!A:A,收开票!E:E)</f>
        <v>121.837</v>
      </c>
      <c r="M114" s="109">
        <f>SUMIF(收开票!A:A,销售合同!A:A,收开票!F:F)</f>
        <v>989351.08006341651</v>
      </c>
      <c r="N114" s="109">
        <f>SUMIF(收开票!A:A,销售合同!A:A,收开票!H:H)</f>
        <v>121.837</v>
      </c>
      <c r="O114" s="109">
        <f>SUMIF(收开票!A:A,销售合同!A:A,收开票!I:I)</f>
        <v>989351.08006341651</v>
      </c>
      <c r="P114" s="110">
        <f>SUMIF(收付款!A:A,销售合同!A:A,收付款!E:E)</f>
        <v>989351.08006341651</v>
      </c>
      <c r="Q114" s="110">
        <f t="shared" si="10"/>
        <v>0</v>
      </c>
      <c r="R114" s="161"/>
    </row>
    <row r="115" spans="1:24" ht="35.1" hidden="1" customHeight="1">
      <c r="A115" s="124" t="s">
        <v>2563</v>
      </c>
      <c r="B115" s="103" t="s">
        <v>2549</v>
      </c>
      <c r="C115" s="103" t="s">
        <v>2614</v>
      </c>
      <c r="D115" s="517">
        <v>42638</v>
      </c>
      <c r="E115" s="114" t="s">
        <v>2558</v>
      </c>
      <c r="F115" s="104">
        <v>4</v>
      </c>
      <c r="G115" s="104">
        <v>200</v>
      </c>
      <c r="H115" s="104">
        <v>200</v>
      </c>
      <c r="I115" s="117">
        <f t="shared" si="9"/>
        <v>800</v>
      </c>
      <c r="J115" s="103" t="s">
        <v>2552</v>
      </c>
      <c r="K115" s="106">
        <f>SUMIF(收发货!A:A,销售合同!A:A,收发货!D:D)</f>
        <v>4</v>
      </c>
      <c r="L115" s="107">
        <f>SUMIF(收开票!A:A,销售合同!A:A,收开票!E:E)</f>
        <v>4</v>
      </c>
      <c r="M115" s="108">
        <f>SUMIF(收开票!A:A,销售合同!A:A,收开票!F:F)</f>
        <v>800</v>
      </c>
      <c r="N115" s="109">
        <f>SUMIF(收开票!A:A,销售合同!A:A,收开票!H:H)</f>
        <v>4</v>
      </c>
      <c r="O115" s="109">
        <f>SUMIF(收开票!A:A,销售合同!A:A,收开票!I:I)</f>
        <v>800</v>
      </c>
      <c r="P115" s="110">
        <f>SUMIF(收付款!A:A,销售合同!A:A,收付款!E:E)</f>
        <v>791.6</v>
      </c>
      <c r="Q115" s="110">
        <f t="shared" si="10"/>
        <v>8.3999999999999773</v>
      </c>
      <c r="R115" s="161"/>
      <c r="S115" s="111">
        <f>SUMIF(收付款!A:A,销售合同!A:A,收付款!J:J)</f>
        <v>0</v>
      </c>
      <c r="T115" s="112"/>
      <c r="U115" s="112"/>
      <c r="V115" s="113"/>
      <c r="W115" s="112"/>
      <c r="X115" s="112"/>
    </row>
    <row r="116" spans="1:24" ht="35.1" hidden="1" customHeight="1">
      <c r="A116" s="124" t="s">
        <v>2564</v>
      </c>
      <c r="B116" s="103" t="s">
        <v>2549</v>
      </c>
      <c r="C116" s="103" t="s">
        <v>2615</v>
      </c>
      <c r="D116" s="517">
        <v>42638</v>
      </c>
      <c r="E116" s="114" t="s">
        <v>2558</v>
      </c>
      <c r="F116" s="104">
        <v>4</v>
      </c>
      <c r="G116" s="104">
        <v>40</v>
      </c>
      <c r="H116" s="104">
        <v>40</v>
      </c>
      <c r="I116" s="117">
        <f t="shared" si="9"/>
        <v>160</v>
      </c>
      <c r="J116" s="103" t="s">
        <v>2552</v>
      </c>
      <c r="K116" s="106">
        <f>SUMIF(收发货!A:A,销售合同!A:A,收发货!D:D)</f>
        <v>4</v>
      </c>
      <c r="L116" s="107">
        <f>SUMIF(收开票!A:A,销售合同!A:A,收开票!E:E)</f>
        <v>4</v>
      </c>
      <c r="M116" s="108">
        <f>SUMIF(收开票!A:A,销售合同!A:A,收开票!F:F)</f>
        <v>160</v>
      </c>
      <c r="N116" s="109">
        <f>SUMIF(收开票!A:A,销售合同!A:A,收开票!H:H)</f>
        <v>4</v>
      </c>
      <c r="O116" s="109">
        <f>SUMIF(收开票!A:A,销售合同!A:A,收开票!I:I)</f>
        <v>160</v>
      </c>
      <c r="P116" s="110">
        <f>SUMIF(收付款!A:A,销售合同!A:A,收付款!E:E)</f>
        <v>160</v>
      </c>
      <c r="Q116" s="110">
        <f t="shared" si="10"/>
        <v>0</v>
      </c>
      <c r="R116" s="161"/>
      <c r="S116" s="111">
        <f>SUMIF(收付款!A:A,销售合同!A:A,收付款!J:J)</f>
        <v>0</v>
      </c>
      <c r="T116" s="112"/>
      <c r="U116" s="112"/>
      <c r="V116" s="113"/>
      <c r="W116" s="112"/>
      <c r="X116" s="112"/>
    </row>
    <row r="117" spans="1:24" ht="35.1" hidden="1" customHeight="1">
      <c r="A117" s="102" t="s">
        <v>2548</v>
      </c>
      <c r="B117" s="103" t="s">
        <v>2549</v>
      </c>
      <c r="C117" s="103" t="s">
        <v>2550</v>
      </c>
      <c r="D117" s="517">
        <v>42638</v>
      </c>
      <c r="E117" s="114" t="s">
        <v>2551</v>
      </c>
      <c r="F117" s="104">
        <v>4</v>
      </c>
      <c r="G117" s="104">
        <v>155</v>
      </c>
      <c r="H117" s="104">
        <v>155</v>
      </c>
      <c r="I117" s="117">
        <f t="shared" si="9"/>
        <v>620</v>
      </c>
      <c r="J117" s="103" t="s">
        <v>2553</v>
      </c>
      <c r="K117" s="106">
        <f>SUMIF(收发货!A:A,销售合同!A:A,收发货!D:D)</f>
        <v>4</v>
      </c>
      <c r="L117" s="107">
        <f>SUMIF(收开票!A:A,销售合同!A:A,收开票!E:E)</f>
        <v>4</v>
      </c>
      <c r="M117" s="108">
        <f>SUMIF(收开票!A:A,销售合同!A:A,收开票!F:F)</f>
        <v>620</v>
      </c>
      <c r="N117" s="109">
        <f>SUMIF(收开票!A:A,销售合同!A:A,收开票!H:H)</f>
        <v>4</v>
      </c>
      <c r="O117" s="109">
        <f>SUMIF(收开票!A:A,销售合同!A:A,收开票!I:I)</f>
        <v>620</v>
      </c>
      <c r="P117" s="110">
        <f>SUMIF(收付款!A:A,销售合同!A:A,收付款!E:E)</f>
        <v>620</v>
      </c>
      <c r="Q117" s="110">
        <f t="shared" si="10"/>
        <v>0</v>
      </c>
      <c r="R117" s="161"/>
      <c r="S117" s="111">
        <f>SUMIF(收付款!A:A,销售合同!A:A,收付款!J:J)</f>
        <v>0</v>
      </c>
      <c r="T117" s="112"/>
      <c r="U117" s="112"/>
      <c r="V117" s="113"/>
      <c r="W117" s="112"/>
      <c r="X117" s="112"/>
    </row>
    <row r="118" spans="1:24" ht="35.1" hidden="1" customHeight="1">
      <c r="A118" s="102" t="s">
        <v>2574</v>
      </c>
      <c r="B118" s="114" t="s">
        <v>147</v>
      </c>
      <c r="C118" s="114" t="s">
        <v>85</v>
      </c>
      <c r="D118" s="517">
        <v>42736</v>
      </c>
      <c r="E118" s="118" t="s">
        <v>168</v>
      </c>
      <c r="F118" s="107">
        <v>80</v>
      </c>
      <c r="G118" s="107">
        <f>H118/1.0092</f>
        <v>8105.4300435988898</v>
      </c>
      <c r="H118" s="107">
        <v>8180</v>
      </c>
      <c r="I118" s="117">
        <f t="shared" si="9"/>
        <v>648434.40348791122</v>
      </c>
      <c r="J118" s="114" t="s">
        <v>149</v>
      </c>
      <c r="K118" s="106">
        <f>SUMIF(收发货!A:A,销售合同!A:A,收发货!D:D)</f>
        <v>83.92</v>
      </c>
      <c r="L118" s="109">
        <f>SUMIF(收开票!A:A,销售合同!A:A,收开票!E:E)</f>
        <v>83.825000000000003</v>
      </c>
      <c r="M118" s="109">
        <f>SUMIF(收开票!A:A,销售合同!A:A,收开票!F:F)</f>
        <v>679437.67</v>
      </c>
      <c r="N118" s="109">
        <f>SUMIF(收开票!A:A,销售合同!A:A,收开票!H:H)</f>
        <v>83.825000000000003</v>
      </c>
      <c r="O118" s="109">
        <f>SUMIF(收开票!A:A,销售合同!A:A,收开票!I:I)</f>
        <v>679437.67</v>
      </c>
      <c r="P118" s="110">
        <f>SUMIF(收付款!A:A,销售合同!A:A,收付款!E:E)</f>
        <v>679437.67</v>
      </c>
      <c r="Q118" s="110">
        <f t="shared" si="10"/>
        <v>0</v>
      </c>
    </row>
    <row r="119" spans="1:24" ht="35.1" hidden="1" customHeight="1">
      <c r="A119" s="102" t="s">
        <v>2578</v>
      </c>
      <c r="B119" s="114" t="s">
        <v>147</v>
      </c>
      <c r="C119" s="114" t="s">
        <v>240</v>
      </c>
      <c r="D119" s="517">
        <v>42732</v>
      </c>
      <c r="E119" s="103" t="s">
        <v>75</v>
      </c>
      <c r="F119" s="107">
        <v>32</v>
      </c>
      <c r="G119" s="107">
        <v>15720</v>
      </c>
      <c r="H119" s="107"/>
      <c r="I119" s="117">
        <f t="shared" si="9"/>
        <v>503040</v>
      </c>
      <c r="J119" s="114" t="s">
        <v>1916</v>
      </c>
      <c r="K119" s="106">
        <f>SUMIF(收发货!A:A,销售合同!A:A,收发货!D:D)</f>
        <v>32</v>
      </c>
      <c r="L119" s="109">
        <f>SUMIF(收开票!A:A,销售合同!A:A,收开票!E:E)</f>
        <v>32</v>
      </c>
      <c r="M119" s="109">
        <f>SUMIF(收开票!A:A,销售合同!A:A,收开票!F:F)</f>
        <v>503040</v>
      </c>
      <c r="N119" s="109">
        <f>SUMIF(收开票!A:A,销售合同!A:A,收开票!H:H)</f>
        <v>32</v>
      </c>
      <c r="O119" s="109">
        <f>SUMIF(收开票!A:A,销售合同!A:A,收开票!I:I)</f>
        <v>503040</v>
      </c>
      <c r="P119" s="110">
        <f>SUMIF(收付款!A:A,销售合同!A:A,收付款!E:E)</f>
        <v>503040</v>
      </c>
      <c r="Q119" s="110"/>
      <c r="R119" s="111">
        <f>SUMIF(收付款!A:A,销售合同!A:A,收付款!I:I)</f>
        <v>0</v>
      </c>
      <c r="S119" s="111">
        <f>SUMIF(收付款!A:A,销售合同!A:A,收付款!J:J)</f>
        <v>0</v>
      </c>
    </row>
    <row r="120" spans="1:24" ht="35.1" hidden="1" customHeight="1">
      <c r="A120" s="102" t="s">
        <v>2584</v>
      </c>
      <c r="B120" s="114" t="s">
        <v>147</v>
      </c>
      <c r="C120" s="114" t="s">
        <v>82</v>
      </c>
      <c r="D120" s="517">
        <v>42740</v>
      </c>
      <c r="E120" s="118" t="s">
        <v>168</v>
      </c>
      <c r="F120" s="107">
        <v>120</v>
      </c>
      <c r="G120" s="107">
        <f>H120/1.0092</f>
        <v>18628.616726119697</v>
      </c>
      <c r="H120" s="107">
        <v>18800</v>
      </c>
      <c r="I120" s="117">
        <f t="shared" si="9"/>
        <v>2235434.0071343635</v>
      </c>
      <c r="J120" s="114" t="s">
        <v>149</v>
      </c>
      <c r="K120" s="106">
        <f>SUMIF(收发货!A:A,销售合同!A:A,收发货!D:D)</f>
        <v>125</v>
      </c>
      <c r="L120" s="109">
        <f>SUMIF(收开票!A:A,销售合同!A:A,收开票!E:E)</f>
        <v>124.965</v>
      </c>
      <c r="M120" s="109">
        <f>SUMIF(收开票!A:A,销售合同!A:A,收开票!F:F)</f>
        <v>2327925.09</v>
      </c>
      <c r="N120" s="109">
        <f>SUMIF(收开票!A:A,销售合同!A:A,收开票!H:H)</f>
        <v>124.965</v>
      </c>
      <c r="O120" s="109">
        <f>SUMIF(收开票!A:A,销售合同!A:A,收开票!I:I)</f>
        <v>2327925.09</v>
      </c>
      <c r="P120" s="110">
        <f>SUMIF(收付款!A:A,销售合同!A:A,收付款!E:E)</f>
        <v>2327925.09</v>
      </c>
      <c r="Q120" s="110">
        <f>O120-P120</f>
        <v>0</v>
      </c>
      <c r="R120" s="106"/>
      <c r="S120" s="111"/>
      <c r="T120" s="112"/>
      <c r="U120" s="112"/>
      <c r="V120" s="113">
        <v>42289</v>
      </c>
      <c r="W120" s="112"/>
      <c r="X120" s="112"/>
    </row>
    <row r="121" spans="1:24" ht="35.1" hidden="1" customHeight="1">
      <c r="A121" s="102" t="s">
        <v>2616</v>
      </c>
      <c r="B121" s="103" t="s">
        <v>147</v>
      </c>
      <c r="C121" s="103" t="s">
        <v>82</v>
      </c>
      <c r="D121" s="517">
        <v>42745</v>
      </c>
      <c r="E121" s="103" t="s">
        <v>278</v>
      </c>
      <c r="F121" s="104">
        <v>128</v>
      </c>
      <c r="G121" s="104">
        <v>13600</v>
      </c>
      <c r="H121" s="104"/>
      <c r="I121" s="117">
        <f t="shared" si="9"/>
        <v>1740800</v>
      </c>
      <c r="J121" s="103" t="s">
        <v>2617</v>
      </c>
      <c r="K121" s="106">
        <f>SUMIF(收发货!A:A,销售合同!A:A,收发货!D:D)</f>
        <v>128</v>
      </c>
      <c r="L121" s="107">
        <f>SUMIF(收开票!A:A,销售合同!A:A,收开票!E:E)</f>
        <v>128</v>
      </c>
      <c r="M121" s="108">
        <f>SUMIF(收开票!A:A,销售合同!A:A,收开票!F:F)</f>
        <v>1740800</v>
      </c>
      <c r="N121" s="109">
        <f>SUMIF(收开票!A:A,销售合同!A:A,收开票!H:H)</f>
        <v>128</v>
      </c>
      <c r="O121" s="109">
        <f>SUMIF(收开票!A:A,销售合同!A:A,收开票!I:I)</f>
        <v>1740800</v>
      </c>
      <c r="P121" s="110">
        <f>SUMIF(收付款!A:A,销售合同!A:A,收付款!E:E)</f>
        <v>1740800</v>
      </c>
      <c r="Q121" s="110"/>
      <c r="R121" s="111"/>
      <c r="S121" s="111"/>
      <c r="T121" s="112"/>
      <c r="U121" s="112"/>
      <c r="V121" s="113"/>
      <c r="W121" s="112"/>
      <c r="X121" s="112"/>
    </row>
    <row r="122" spans="1:24" ht="35.1" hidden="1" customHeight="1">
      <c r="A122" s="102" t="s">
        <v>2650</v>
      </c>
      <c r="B122" s="114" t="s">
        <v>485</v>
      </c>
      <c r="C122" s="114" t="s">
        <v>2206</v>
      </c>
      <c r="D122" s="517">
        <v>42745</v>
      </c>
      <c r="E122" s="103" t="s">
        <v>144</v>
      </c>
      <c r="F122" s="107">
        <v>5000</v>
      </c>
      <c r="G122" s="107">
        <v>710</v>
      </c>
      <c r="H122" s="107"/>
      <c r="I122" s="117">
        <f t="shared" si="9"/>
        <v>3550000</v>
      </c>
      <c r="J122" s="114" t="s">
        <v>149</v>
      </c>
      <c r="K122" s="106">
        <f>SUMIF(收发货!A:A,销售合同!A:A,收发货!D:D)</f>
        <v>4958.24</v>
      </c>
      <c r="L122" s="109">
        <f>SUMIF(收开票!A:A,销售合同!A:A,收开票!E:E)</f>
        <v>4166.2975999999999</v>
      </c>
      <c r="M122" s="109">
        <f>SUMIF(收开票!A:A,销售合同!A:A,收开票!F:F)</f>
        <v>2887574.56</v>
      </c>
      <c r="N122" s="109">
        <f>SUMIF(收开票!A:A,销售合同!A:A,收开票!H:H)</f>
        <v>4166.2975999999999</v>
      </c>
      <c r="O122" s="109">
        <f>SUMIF(收开票!A:A,销售合同!A:A,收开票!I:I)</f>
        <v>2887574.56</v>
      </c>
      <c r="P122" s="109">
        <f>SUMIF(收付款!A:A,销售合同!A:A,收付款!E:E)</f>
        <v>2887574.56</v>
      </c>
      <c r="Q122" s="109">
        <f t="shared" ref="Q122:Q137" si="11">O122-P122</f>
        <v>0</v>
      </c>
      <c r="R122" s="161"/>
    </row>
    <row r="123" spans="1:24" ht="35.1" hidden="1" customHeight="1">
      <c r="A123" s="102" t="s">
        <v>2657</v>
      </c>
      <c r="B123" s="114" t="s">
        <v>485</v>
      </c>
      <c r="C123" s="114" t="s">
        <v>60</v>
      </c>
      <c r="D123" s="517">
        <v>42751</v>
      </c>
      <c r="E123" s="103" t="s">
        <v>321</v>
      </c>
      <c r="F123" s="107">
        <v>120</v>
      </c>
      <c r="G123" s="107">
        <f>H123/1.0092</f>
        <v>8125.2477209671015</v>
      </c>
      <c r="H123" s="107">
        <v>8200</v>
      </c>
      <c r="I123" s="117">
        <f t="shared" si="9"/>
        <v>975029.72651605215</v>
      </c>
      <c r="J123" s="114" t="s">
        <v>432</v>
      </c>
      <c r="K123" s="106">
        <f>SUMIF(收发货!A:A,销售合同!A:A,收发货!D:D)</f>
        <v>240</v>
      </c>
      <c r="L123" s="109">
        <f>SUMIF(收开票!A:A,销售合同!A:A,收开票!E:E)</f>
        <v>245.97399999999999</v>
      </c>
      <c r="M123" s="109">
        <f>SUMIF(收开票!A:A,销售合同!A:A,收开票!F:F)</f>
        <v>1998598.06</v>
      </c>
      <c r="N123" s="109">
        <f>SUMIF(收开票!A:A,销售合同!A:A,收开票!H:H)</f>
        <v>245.97399999999999</v>
      </c>
      <c r="O123" s="109">
        <f>SUMIF(收开票!A:A,销售合同!A:A,收开票!I:I)</f>
        <v>1998598.06</v>
      </c>
      <c r="P123" s="110">
        <f>SUMIF(收付款!A:A,销售合同!A:A,收付款!E:E)</f>
        <v>1998598.06</v>
      </c>
      <c r="Q123" s="110">
        <f t="shared" si="11"/>
        <v>0</v>
      </c>
      <c r="R123" s="161"/>
    </row>
    <row r="124" spans="1:24" ht="35.1" hidden="1" customHeight="1">
      <c r="A124" s="124" t="s">
        <v>3425</v>
      </c>
      <c r="B124" s="103" t="s">
        <v>2549</v>
      </c>
      <c r="C124" s="103" t="s">
        <v>2559</v>
      </c>
      <c r="D124" s="517">
        <v>43040</v>
      </c>
      <c r="E124" s="114" t="s">
        <v>2682</v>
      </c>
      <c r="F124" s="104">
        <v>20</v>
      </c>
      <c r="G124" s="104">
        <v>125</v>
      </c>
      <c r="H124" s="104">
        <v>150</v>
      </c>
      <c r="I124" s="117">
        <f t="shared" si="9"/>
        <v>2500</v>
      </c>
      <c r="J124" s="103" t="s">
        <v>2552</v>
      </c>
      <c r="K124" s="106">
        <f>SUMIF(收发货!A:A,销售合同!A:A,收发货!D:D)</f>
        <v>20</v>
      </c>
      <c r="L124" s="107">
        <f>SUMIF(收开票!A:A,销售合同!A:A,收开票!E:E)</f>
        <v>20</v>
      </c>
      <c r="M124" s="108">
        <f>SUMIF(收开票!A:A,销售合同!A:A,收开票!F:F)</f>
        <v>2500</v>
      </c>
      <c r="N124" s="109">
        <f>SUMIF(收开票!A:A,销售合同!A:A,收开票!H:H)</f>
        <v>20</v>
      </c>
      <c r="O124" s="109">
        <f>SUMIF(收开票!A:A,销售合同!A:A,收开票!I:I)</f>
        <v>2500</v>
      </c>
      <c r="P124" s="110">
        <f>SUMIF(收付款!A:A,销售合同!A:A,收付款!E:E)</f>
        <v>2456.6</v>
      </c>
      <c r="Q124" s="110">
        <f t="shared" si="11"/>
        <v>43.400000000000091</v>
      </c>
      <c r="R124" s="161"/>
      <c r="S124" s="111">
        <f>SUMIF(收付款!A:A,销售合同!A:A,收付款!J:J)</f>
        <v>1500</v>
      </c>
      <c r="T124" s="112"/>
      <c r="U124" s="112"/>
      <c r="V124" s="113"/>
      <c r="W124" s="112"/>
      <c r="X124" s="112"/>
    </row>
    <row r="125" spans="1:24" ht="35.1" hidden="1" customHeight="1">
      <c r="A125" s="124" t="s">
        <v>2681</v>
      </c>
      <c r="B125" s="103" t="s">
        <v>2549</v>
      </c>
      <c r="C125" s="103" t="s">
        <v>2560</v>
      </c>
      <c r="D125" s="517">
        <v>43040</v>
      </c>
      <c r="E125" s="114" t="s">
        <v>2682</v>
      </c>
      <c r="F125" s="104">
        <v>20</v>
      </c>
      <c r="G125" s="104">
        <v>20</v>
      </c>
      <c r="H125" s="104">
        <v>45</v>
      </c>
      <c r="I125" s="117">
        <f t="shared" si="9"/>
        <v>400</v>
      </c>
      <c r="J125" s="103" t="s">
        <v>2552</v>
      </c>
      <c r="K125" s="106">
        <f>SUMIF(收发货!A:A,销售合同!A:A,收发货!D:D)</f>
        <v>20</v>
      </c>
      <c r="L125" s="107">
        <f>SUMIF(收开票!A:A,销售合同!A:A,收开票!E:E)</f>
        <v>20</v>
      </c>
      <c r="M125" s="108">
        <f>SUMIF(收开票!A:A,销售合同!A:A,收开票!F:F)</f>
        <v>400</v>
      </c>
      <c r="N125" s="109">
        <f>SUMIF(收开票!A:A,销售合同!A:A,收开票!H:H)</f>
        <v>20</v>
      </c>
      <c r="O125" s="109">
        <f>SUMIF(收开票!A:A,销售合同!A:A,收开票!I:I)</f>
        <v>400</v>
      </c>
      <c r="P125" s="110">
        <f>SUMIF(收付款!A:A,销售合同!A:A,收付款!E:E)</f>
        <v>400</v>
      </c>
      <c r="Q125" s="110">
        <f t="shared" si="11"/>
        <v>0</v>
      </c>
      <c r="R125" s="161"/>
      <c r="S125" s="111">
        <f>SUMIF(收付款!A:A,销售合同!A:A,收付款!J:J)</f>
        <v>0</v>
      </c>
      <c r="T125" s="112"/>
      <c r="U125" s="112"/>
      <c r="V125" s="113"/>
      <c r="W125" s="112"/>
      <c r="X125" s="112"/>
    </row>
    <row r="126" spans="1:24" ht="35.1" hidden="1" customHeight="1">
      <c r="A126" s="102" t="s">
        <v>2696</v>
      </c>
      <c r="B126" s="114" t="s">
        <v>147</v>
      </c>
      <c r="C126" s="114" t="s">
        <v>82</v>
      </c>
      <c r="D126" s="517">
        <v>42767</v>
      </c>
      <c r="E126" s="118" t="s">
        <v>168</v>
      </c>
      <c r="F126" s="107">
        <v>240</v>
      </c>
      <c r="G126" s="107">
        <f>H126/1.0092</f>
        <v>14962.346413000394</v>
      </c>
      <c r="H126" s="107">
        <v>15100</v>
      </c>
      <c r="I126" s="117">
        <f t="shared" si="9"/>
        <v>3590963.1391200945</v>
      </c>
      <c r="J126" s="114" t="s">
        <v>149</v>
      </c>
      <c r="K126" s="106">
        <f>SUMIF(收发货!A:A,销售合同!A:A,收发货!D:D)</f>
        <v>251</v>
      </c>
      <c r="L126" s="109">
        <f>SUMIF(收开票!A:A,销售合同!A:A,收开票!E:E)</f>
        <v>250.62799999999999</v>
      </c>
      <c r="M126" s="109">
        <f>SUMIF(收开票!A:A,销售合同!A:A,收开票!F:F)</f>
        <v>3749982.96</v>
      </c>
      <c r="N126" s="109">
        <f>SUMIF(收开票!A:A,销售合同!A:A,收开票!H:H)</f>
        <v>250.62799999999999</v>
      </c>
      <c r="O126" s="109">
        <f>SUMIF(收开票!A:A,销售合同!A:A,收开票!I:I)</f>
        <v>3749982.96</v>
      </c>
      <c r="P126" s="110">
        <f>SUMIF(收付款!A:A,销售合同!A:A,收付款!E:E)</f>
        <v>3749982.96</v>
      </c>
      <c r="Q126" s="110">
        <f t="shared" si="11"/>
        <v>0</v>
      </c>
      <c r="R126" s="106"/>
      <c r="S126" s="111"/>
      <c r="T126" s="112"/>
      <c r="U126" s="112"/>
      <c r="V126" s="113">
        <v>42289</v>
      </c>
      <c r="W126" s="112"/>
      <c r="X126" s="112"/>
    </row>
    <row r="127" spans="1:24" ht="35.1" hidden="1" customHeight="1">
      <c r="A127" s="102" t="s">
        <v>2745</v>
      </c>
      <c r="B127" s="114" t="s">
        <v>485</v>
      </c>
      <c r="C127" s="114" t="s">
        <v>2206</v>
      </c>
      <c r="D127" s="517">
        <v>42767</v>
      </c>
      <c r="E127" s="103" t="s">
        <v>144</v>
      </c>
      <c r="F127" s="107">
        <v>5000</v>
      </c>
      <c r="G127" s="107">
        <v>740</v>
      </c>
      <c r="H127" s="107"/>
      <c r="I127" s="117">
        <f t="shared" si="9"/>
        <v>3700000</v>
      </c>
      <c r="J127" s="114" t="s">
        <v>149</v>
      </c>
      <c r="K127" s="106">
        <f>SUMIF(收发货!A:A,销售合同!A:A,收发货!D:D)</f>
        <v>4534.3599999999997</v>
      </c>
      <c r="L127" s="109">
        <f>SUMIF(收开票!A:A,销售合同!A:A,收开票!E:E)</f>
        <v>3883.6723999999999</v>
      </c>
      <c r="M127" s="109">
        <f>SUMIF(收开票!A:A,销售合同!A:A,收开票!F:F)</f>
        <v>2788572.69</v>
      </c>
      <c r="N127" s="109">
        <f>SUMIF(收开票!A:A,销售合同!A:A,收开票!H:H)</f>
        <v>3883.6723999999999</v>
      </c>
      <c r="O127" s="109">
        <f>SUMIF(收开票!A:A,销售合同!A:A,收开票!I:I)</f>
        <v>2788572.69</v>
      </c>
      <c r="P127" s="110">
        <f>SUMIF(收付款!A:A,销售合同!A:A,收付款!E:E)</f>
        <v>2788572.69</v>
      </c>
      <c r="Q127" s="109">
        <f t="shared" si="11"/>
        <v>0</v>
      </c>
      <c r="R127" s="161"/>
    </row>
    <row r="128" spans="1:24" ht="35.1" hidden="1" customHeight="1">
      <c r="A128" s="102" t="s">
        <v>2751</v>
      </c>
      <c r="B128" s="114" t="s">
        <v>485</v>
      </c>
      <c r="C128" s="114" t="s">
        <v>60</v>
      </c>
      <c r="D128" s="517">
        <v>42775</v>
      </c>
      <c r="E128" s="103" t="s">
        <v>321</v>
      </c>
      <c r="F128" s="107">
        <v>300</v>
      </c>
      <c r="G128" s="107">
        <f>H128/1.0092</f>
        <v>7233.4522393975421</v>
      </c>
      <c r="H128" s="107">
        <v>7300</v>
      </c>
      <c r="I128" s="117">
        <f t="shared" si="9"/>
        <v>2170035.6718192627</v>
      </c>
      <c r="J128" s="114" t="s">
        <v>432</v>
      </c>
      <c r="K128" s="106">
        <f>SUMIF(收发货!A:A,销售合同!A:A,收发货!D:D)</f>
        <v>302.76</v>
      </c>
      <c r="L128" s="109">
        <f>SUMIF(收开票!A:A,销售合同!A:A,收开票!E:E)</f>
        <v>309.45299999999997</v>
      </c>
      <c r="M128" s="109">
        <f>SUMIF(收开票!A:A,销售合同!A:A,收开票!F:F)</f>
        <v>2237681.16</v>
      </c>
      <c r="N128" s="109">
        <f>SUMIF(收开票!A:A,销售合同!A:A,收开票!H:H)</f>
        <v>309.45299999999997</v>
      </c>
      <c r="O128" s="109">
        <f>SUMIF(收开票!A:A,销售合同!A:A,收开票!I:I)</f>
        <v>2237681.16</v>
      </c>
      <c r="P128" s="110">
        <f>SUMIF(收付款!A:A,销售合同!A:A,收付款!E:E)</f>
        <v>2237681.16</v>
      </c>
      <c r="Q128" s="110">
        <f t="shared" si="11"/>
        <v>0</v>
      </c>
      <c r="R128" s="161"/>
    </row>
    <row r="129" spans="1:24" ht="45.75" hidden="1" customHeight="1">
      <c r="A129" s="102" t="s">
        <v>2764</v>
      </c>
      <c r="B129" s="114" t="s">
        <v>485</v>
      </c>
      <c r="C129" s="114" t="s">
        <v>2765</v>
      </c>
      <c r="D129" s="517">
        <v>42789</v>
      </c>
      <c r="E129" s="103" t="s">
        <v>2763</v>
      </c>
      <c r="F129" s="107">
        <v>15000</v>
      </c>
      <c r="G129" s="107">
        <v>933.05</v>
      </c>
      <c r="H129" s="107"/>
      <c r="I129" s="117">
        <f t="shared" si="9"/>
        <v>13995750</v>
      </c>
      <c r="J129" s="114" t="s">
        <v>2766</v>
      </c>
      <c r="K129" s="106">
        <f>SUMIF(收发货!A:A,销售合同!A:A,收发货!D:D)</f>
        <v>15000</v>
      </c>
      <c r="L129" s="109">
        <f>SUMIF(收开票!A:A,销售合同!A:A,收开票!E:E)</f>
        <v>14560.7</v>
      </c>
      <c r="M129" s="109">
        <f>SUMIF(收开票!A:A,销售合同!A:A,收开票!F:F)</f>
        <v>13584887.5</v>
      </c>
      <c r="N129" s="109">
        <f>SUMIF(收开票!A:A,销售合同!A:A,收开票!H:H)</f>
        <v>14560.7</v>
      </c>
      <c r="O129" s="109">
        <f>SUMIF(收开票!A:A,销售合同!A:A,收开票!I:I)</f>
        <v>13584887.5</v>
      </c>
      <c r="P129" s="110">
        <f>SUMIF(收付款!A:A,销售合同!A:A,收付款!E:E)</f>
        <v>13584887.5</v>
      </c>
      <c r="Q129" s="110">
        <f t="shared" si="11"/>
        <v>0</v>
      </c>
      <c r="R129" s="161"/>
    </row>
    <row r="130" spans="1:24" ht="35.1" hidden="1" customHeight="1">
      <c r="A130" s="142" t="s">
        <v>2952</v>
      </c>
      <c r="B130" s="114" t="s">
        <v>272</v>
      </c>
      <c r="C130" s="114" t="s">
        <v>736</v>
      </c>
      <c r="D130" s="517">
        <v>42767</v>
      </c>
      <c r="E130" s="118" t="s">
        <v>740</v>
      </c>
      <c r="F130" s="107">
        <v>800</v>
      </c>
      <c r="G130" s="107">
        <v>99.8</v>
      </c>
      <c r="H130" s="107">
        <v>85</v>
      </c>
      <c r="I130" s="117">
        <f t="shared" ref="I130:I146" si="12">F130*G130</f>
        <v>79840</v>
      </c>
      <c r="J130" s="118" t="s">
        <v>741</v>
      </c>
      <c r="K130" s="106">
        <f>SUMIF(收发货!A:A,销售合同!A:A,收发货!D:D)</f>
        <v>800</v>
      </c>
      <c r="L130" s="109">
        <f>SUMIF(收开票!A:A,销售合同!A:A,收开票!E:E)</f>
        <v>800</v>
      </c>
      <c r="M130" s="109">
        <f>SUMIF(收开票!A:A,销售合同!A:A,收开票!F:F)</f>
        <v>79840</v>
      </c>
      <c r="N130" s="109">
        <f>SUMIF(收开票!A:A,销售合同!A:A,收开票!H:H)</f>
        <v>800</v>
      </c>
      <c r="O130" s="109">
        <f>SUMIF(收开票!A:A,销售合同!A:A,收开票!I:I)</f>
        <v>79840</v>
      </c>
      <c r="P130" s="110">
        <f>SUMIF(收付款!A:A,销售合同!A:A,收付款!E:E)</f>
        <v>79801.61</v>
      </c>
      <c r="Q130" s="110">
        <f t="shared" si="11"/>
        <v>38.389999999999418</v>
      </c>
      <c r="R130" s="111">
        <f>SUMIF(收付款!A:A,销售合同!A:A,收付款!I:I)</f>
        <v>0</v>
      </c>
      <c r="S130" s="111">
        <f>SUMIF(收付款!A:A,销售合同!A:A,收付款!J:J)</f>
        <v>174150</v>
      </c>
    </row>
    <row r="131" spans="1:24" ht="35.1" hidden="1" customHeight="1">
      <c r="A131" s="142" t="s">
        <v>2943</v>
      </c>
      <c r="B131" s="114" t="s">
        <v>272</v>
      </c>
      <c r="C131" s="114" t="s">
        <v>736</v>
      </c>
      <c r="D131" s="517">
        <v>42795</v>
      </c>
      <c r="E131" s="118" t="s">
        <v>740</v>
      </c>
      <c r="F131" s="107">
        <v>900</v>
      </c>
      <c r="G131" s="107">
        <v>99.8</v>
      </c>
      <c r="H131" s="107">
        <v>85</v>
      </c>
      <c r="I131" s="117">
        <f t="shared" si="12"/>
        <v>89820</v>
      </c>
      <c r="J131" s="118" t="s">
        <v>741</v>
      </c>
      <c r="K131" s="106">
        <f>SUMIF(收发货!A:A,销售合同!A:A,收发货!D:D)</f>
        <v>900</v>
      </c>
      <c r="L131" s="109">
        <f>SUMIF(收开票!A:A,销售合同!A:A,收开票!E:E)</f>
        <v>900</v>
      </c>
      <c r="M131" s="109">
        <f>SUMIF(收开票!A:A,销售合同!A:A,收开票!F:F)</f>
        <v>89820</v>
      </c>
      <c r="N131" s="109">
        <f>SUMIF(收开票!A:A,销售合同!A:A,收开票!H:H)</f>
        <v>900</v>
      </c>
      <c r="O131" s="109">
        <f>SUMIF(收开票!A:A,销售合同!A:A,收开票!I:I)</f>
        <v>89820</v>
      </c>
      <c r="P131" s="110">
        <f>SUMIF(收付款!A:A,销售合同!A:A,收付款!E:E)</f>
        <v>89781.62</v>
      </c>
      <c r="Q131" s="110">
        <f t="shared" si="11"/>
        <v>38.380000000004657</v>
      </c>
      <c r="R131" s="111">
        <f>SUMIF(收付款!A:A,销售合同!A:A,收付款!I:I)</f>
        <v>0</v>
      </c>
      <c r="S131" s="111">
        <f>SUMIF(收付款!A:A,销售合同!A:A,收付款!J:J)</f>
        <v>194760</v>
      </c>
    </row>
    <row r="132" spans="1:24" ht="35.1" hidden="1" customHeight="1">
      <c r="A132" s="142" t="s">
        <v>2946</v>
      </c>
      <c r="B132" s="114" t="s">
        <v>272</v>
      </c>
      <c r="C132" s="114" t="s">
        <v>736</v>
      </c>
      <c r="D132" s="517">
        <v>42795</v>
      </c>
      <c r="E132" s="118" t="s">
        <v>740</v>
      </c>
      <c r="F132" s="107">
        <v>1300</v>
      </c>
      <c r="G132" s="107">
        <v>99.8</v>
      </c>
      <c r="H132" s="107">
        <v>85</v>
      </c>
      <c r="I132" s="117">
        <f t="shared" si="12"/>
        <v>129740</v>
      </c>
      <c r="J132" s="118" t="s">
        <v>741</v>
      </c>
      <c r="K132" s="106">
        <f>SUMIF(收发货!A:A,销售合同!A:A,收发货!D:D)</f>
        <v>1300</v>
      </c>
      <c r="L132" s="109">
        <f>SUMIF(收开票!A:A,销售合同!A:A,收开票!E:E)</f>
        <v>1300</v>
      </c>
      <c r="M132" s="109">
        <f>SUMIF(收开票!A:A,销售合同!A:A,收开票!F:F)</f>
        <v>129740</v>
      </c>
      <c r="N132" s="109">
        <f>SUMIF(收开票!A:A,销售合同!A:A,收开票!H:H)</f>
        <v>1300</v>
      </c>
      <c r="O132" s="109">
        <f>SUMIF(收开票!A:A,销售合同!A:A,收开票!I:I)</f>
        <v>129740</v>
      </c>
      <c r="P132" s="110">
        <f>SUMIF(收付款!A:A,销售合同!A:A,收付款!E:E)</f>
        <v>129701.63</v>
      </c>
      <c r="Q132" s="110">
        <f t="shared" si="11"/>
        <v>38.369999999995343</v>
      </c>
      <c r="R132" s="111">
        <f>SUMIF(收付款!A:A,销售合同!A:A,收付款!I:I)</f>
        <v>0</v>
      </c>
      <c r="S132" s="111">
        <f>SUMIF(收付款!A:A,销售合同!A:A,收付款!J:J)</f>
        <v>308880</v>
      </c>
    </row>
    <row r="133" spans="1:24" ht="35.1" hidden="1" customHeight="1">
      <c r="A133" s="142" t="s">
        <v>2945</v>
      </c>
      <c r="B133" s="114" t="s">
        <v>272</v>
      </c>
      <c r="C133" s="114" t="s">
        <v>736</v>
      </c>
      <c r="D133" s="517">
        <v>42795</v>
      </c>
      <c r="E133" s="118" t="s">
        <v>740</v>
      </c>
      <c r="F133" s="107">
        <v>1000</v>
      </c>
      <c r="G133" s="107">
        <v>99.8</v>
      </c>
      <c r="H133" s="107">
        <v>85</v>
      </c>
      <c r="I133" s="117">
        <f t="shared" si="12"/>
        <v>99800</v>
      </c>
      <c r="J133" s="118" t="s">
        <v>741</v>
      </c>
      <c r="K133" s="106">
        <f>SUMIF(收发货!A:A,销售合同!A:A,收发货!D:D)</f>
        <v>1000</v>
      </c>
      <c r="L133" s="109">
        <f>SUMIF(收开票!A:A,销售合同!A:A,收开票!E:E)</f>
        <v>1000</v>
      </c>
      <c r="M133" s="109">
        <f>SUMIF(收开票!A:A,销售合同!A:A,收开票!F:F)</f>
        <v>99800</v>
      </c>
      <c r="N133" s="109">
        <f>SUMIF(收开票!A:A,销售合同!A:A,收开票!H:H)</f>
        <v>1000</v>
      </c>
      <c r="O133" s="109">
        <f>SUMIF(收开票!A:A,销售合同!A:A,收开票!I:I)</f>
        <v>99800</v>
      </c>
      <c r="P133" s="110">
        <f>SUMIF(收付款!A:A,销售合同!A:A,收付款!E:E)</f>
        <v>99761.62</v>
      </c>
      <c r="Q133" s="110">
        <f t="shared" si="11"/>
        <v>38.380000000004657</v>
      </c>
      <c r="R133" s="111">
        <f>SUMIF(收付款!A:A,销售合同!A:A,收付款!I:I)</f>
        <v>0</v>
      </c>
      <c r="S133" s="111">
        <f>SUMIF(收付款!A:A,销售合同!A:A,收付款!J:J)</f>
        <v>216755</v>
      </c>
    </row>
    <row r="134" spans="1:24" ht="35.1" hidden="1" customHeight="1">
      <c r="A134" s="142" t="s">
        <v>2939</v>
      </c>
      <c r="B134" s="114" t="s">
        <v>2843</v>
      </c>
      <c r="C134" s="114" t="s">
        <v>2844</v>
      </c>
      <c r="D134" s="517">
        <v>42826</v>
      </c>
      <c r="E134" s="118" t="s">
        <v>2845</v>
      </c>
      <c r="F134" s="107">
        <v>1000</v>
      </c>
      <c r="G134" s="107">
        <v>99.8</v>
      </c>
      <c r="H134" s="107">
        <v>85</v>
      </c>
      <c r="I134" s="117">
        <f t="shared" si="12"/>
        <v>99800</v>
      </c>
      <c r="J134" s="118" t="s">
        <v>741</v>
      </c>
      <c r="K134" s="106">
        <f>SUMIF(收发货!A:A,销售合同!A:A,收发货!D:D)</f>
        <v>1000</v>
      </c>
      <c r="L134" s="109">
        <f>SUMIF(收开票!A:A,销售合同!A:A,收开票!E:E)</f>
        <v>1000</v>
      </c>
      <c r="M134" s="109">
        <f>SUMIF(收开票!A:A,销售合同!A:A,收开票!F:F)</f>
        <v>99800</v>
      </c>
      <c r="N134" s="109">
        <f>SUMIF(收开票!A:A,销售合同!A:A,收开票!H:H)</f>
        <v>1000</v>
      </c>
      <c r="O134" s="109">
        <f>SUMIF(收开票!A:A,销售合同!A:A,收开票!I:I)</f>
        <v>99800</v>
      </c>
      <c r="P134" s="110">
        <f>SUMIF(收付款!A:A,销售合同!A:A,收付款!E:E)</f>
        <v>99210.73000000001</v>
      </c>
      <c r="Q134" s="110">
        <f t="shared" si="11"/>
        <v>589.26999999998952</v>
      </c>
      <c r="R134" s="111">
        <f>SUMIF(收付款!A:A,销售合同!A:A,收付款!I:I)</f>
        <v>0</v>
      </c>
      <c r="S134" s="111">
        <f>SUMIF(收付款!A:A,销售合同!A:A,收付款!J:J)</f>
        <v>240280</v>
      </c>
    </row>
    <row r="135" spans="1:24" ht="35.1" hidden="1" customHeight="1">
      <c r="A135" s="142" t="s">
        <v>5500</v>
      </c>
      <c r="B135" s="114" t="s">
        <v>1271</v>
      </c>
      <c r="C135" s="114" t="s">
        <v>2809</v>
      </c>
      <c r="D135" s="517">
        <v>42800</v>
      </c>
      <c r="E135" s="118" t="s">
        <v>1255</v>
      </c>
      <c r="F135" s="107">
        <v>10000</v>
      </c>
      <c r="G135" s="107">
        <v>780</v>
      </c>
      <c r="H135" s="107"/>
      <c r="I135" s="117">
        <f t="shared" si="12"/>
        <v>7800000</v>
      </c>
      <c r="J135" s="118" t="s">
        <v>2847</v>
      </c>
      <c r="K135" s="106">
        <f>SUMIF(收发货!A:A,销售合同!A:A,收发货!D:D)</f>
        <v>10046.41</v>
      </c>
      <c r="L135" s="109">
        <f>SUMIF(收开票!A:A,销售合同!A:A,收开票!E:E)</f>
        <v>8130.6469999999999</v>
      </c>
      <c r="M135" s="109">
        <f>SUMIF(收开票!A:A,销售合同!A:A,收开票!F:F)</f>
        <v>6180561.3499999996</v>
      </c>
      <c r="N135" s="109">
        <f>SUMIF(收开票!A:A,销售合同!A:A,收开票!H:H)</f>
        <v>8130.6469999999999</v>
      </c>
      <c r="O135" s="109">
        <f>SUMIF(收开票!A:A,销售合同!A:A,收开票!I:I)</f>
        <v>6180561.3499999996</v>
      </c>
      <c r="P135" s="110">
        <f>SUMIF(收付款!A:A,销售合同!A:A,收付款!E:E)</f>
        <v>6188835.1399999997</v>
      </c>
      <c r="Q135" s="109">
        <f t="shared" si="11"/>
        <v>-8273.7900000000373</v>
      </c>
      <c r="R135" s="111"/>
      <c r="S135" s="111"/>
    </row>
    <row r="136" spans="1:24" ht="35.1" hidden="1" customHeight="1">
      <c r="A136" s="102" t="s">
        <v>2860</v>
      </c>
      <c r="B136" s="114" t="s">
        <v>485</v>
      </c>
      <c r="C136" s="114" t="s">
        <v>60</v>
      </c>
      <c r="D136" s="517">
        <v>42803</v>
      </c>
      <c r="E136" s="103" t="s">
        <v>321</v>
      </c>
      <c r="F136" s="107">
        <v>240</v>
      </c>
      <c r="G136" s="107">
        <f>H136/1.0092</f>
        <v>5251.6845025762977</v>
      </c>
      <c r="H136" s="107">
        <v>5300</v>
      </c>
      <c r="I136" s="117">
        <f t="shared" si="12"/>
        <v>1260404.2806183114</v>
      </c>
      <c r="J136" s="114" t="s">
        <v>432</v>
      </c>
      <c r="K136" s="106">
        <f>SUMIF(收发货!A:A,销售合同!A:A,收发货!D:D)</f>
        <v>229</v>
      </c>
      <c r="L136" s="109">
        <f>SUMIF(收开票!A:A,销售合同!A:A,收开票!E:E)</f>
        <v>232.33099999999999</v>
      </c>
      <c r="M136" s="109">
        <f>SUMIF(收开票!A:A,销售合同!A:A,收开票!F:F)</f>
        <v>1220127.54</v>
      </c>
      <c r="N136" s="109">
        <f>SUMIF(收开票!A:A,销售合同!A:A,收开票!H:H)</f>
        <v>232.33099999999999</v>
      </c>
      <c r="O136" s="109">
        <f>SUMIF(收开票!A:A,销售合同!A:A,收开票!I:I)</f>
        <v>1220127.54</v>
      </c>
      <c r="P136" s="110">
        <f>SUMIF(收付款!A:A,销售合同!A:A,收付款!E:E)</f>
        <v>1220127.54</v>
      </c>
      <c r="Q136" s="110">
        <f t="shared" si="11"/>
        <v>0</v>
      </c>
      <c r="R136" s="161"/>
    </row>
    <row r="137" spans="1:24" ht="35.1" hidden="1" customHeight="1">
      <c r="A137" s="102" t="s">
        <v>2903</v>
      </c>
      <c r="B137" s="114" t="s">
        <v>147</v>
      </c>
      <c r="C137" s="114" t="s">
        <v>82</v>
      </c>
      <c r="D137" s="517">
        <v>42814</v>
      </c>
      <c r="E137" s="118" t="s">
        <v>168</v>
      </c>
      <c r="F137" s="107">
        <v>200</v>
      </c>
      <c r="G137" s="107">
        <f>H137/1.0092</f>
        <v>13277.843836702337</v>
      </c>
      <c r="H137" s="107">
        <v>13400</v>
      </c>
      <c r="I137" s="117">
        <f t="shared" si="12"/>
        <v>2655568.7673404673</v>
      </c>
      <c r="J137" s="114" t="s">
        <v>149</v>
      </c>
      <c r="K137" s="106">
        <f>SUMIF(收发货!A:A,销售合同!A:A,收发货!D:D)</f>
        <v>191</v>
      </c>
      <c r="L137" s="109">
        <f>SUMIF(收开票!A:A,销售合同!A:A,收开票!E:E)</f>
        <v>190.76599999999999</v>
      </c>
      <c r="M137" s="109">
        <f>SUMIF(收开票!A:A,销售合同!A:A,收开票!F:F)</f>
        <v>2532958.5</v>
      </c>
      <c r="N137" s="109">
        <f>SUMIF(收开票!A:A,销售合同!A:A,收开票!H:H)</f>
        <v>190.76599999999999</v>
      </c>
      <c r="O137" s="109">
        <f>SUMIF(收开票!A:A,销售合同!A:A,收开票!I:I)</f>
        <v>2532958.5</v>
      </c>
      <c r="P137" s="110">
        <f>SUMIF(收付款!A:A,销售合同!A:A,收付款!E:E)</f>
        <v>2532958.5</v>
      </c>
      <c r="Q137" s="110">
        <f t="shared" si="11"/>
        <v>0</v>
      </c>
      <c r="R137" s="106"/>
      <c r="S137" s="111"/>
      <c r="T137" s="112"/>
      <c r="U137" s="112"/>
      <c r="V137" s="113">
        <v>42289</v>
      </c>
      <c r="W137" s="112"/>
      <c r="X137" s="112"/>
    </row>
    <row r="138" spans="1:24" ht="35.1" hidden="1" customHeight="1">
      <c r="A138" s="102" t="s">
        <v>2913</v>
      </c>
      <c r="B138" s="114" t="s">
        <v>147</v>
      </c>
      <c r="C138" s="114" t="s">
        <v>240</v>
      </c>
      <c r="D138" s="517">
        <v>42817</v>
      </c>
      <c r="E138" s="103" t="s">
        <v>2914</v>
      </c>
      <c r="F138" s="107">
        <v>32</v>
      </c>
      <c r="G138" s="107">
        <v>13300</v>
      </c>
      <c r="H138" s="107"/>
      <c r="I138" s="117">
        <f t="shared" si="12"/>
        <v>425600</v>
      </c>
      <c r="J138" s="114" t="s">
        <v>2915</v>
      </c>
      <c r="K138" s="106">
        <f>SUMIF(收发货!A:A,销售合同!A:A,收发货!D:D)</f>
        <v>32</v>
      </c>
      <c r="L138" s="109">
        <f>SUMIF(收开票!A:A,销售合同!A:A,收开票!E:E)</f>
        <v>32</v>
      </c>
      <c r="M138" s="109">
        <f>SUMIF(收开票!A:A,销售合同!A:A,收开票!F:F)</f>
        <v>425600</v>
      </c>
      <c r="N138" s="109">
        <f>SUMIF(收开票!A:A,销售合同!A:A,收开票!H:H)</f>
        <v>32</v>
      </c>
      <c r="O138" s="109">
        <f>SUMIF(收开票!A:A,销售合同!A:A,收开票!I:I)</f>
        <v>425600</v>
      </c>
      <c r="P138" s="110">
        <f>SUMIF(收付款!A:A,销售合同!A:A,收付款!E:E)</f>
        <v>425600</v>
      </c>
      <c r="Q138" s="110"/>
      <c r="R138" s="161"/>
      <c r="S138" s="111">
        <f>SUMIF(收付款!A:A,销售合同!A:A,收付款!J:J)</f>
        <v>0</v>
      </c>
    </row>
    <row r="139" spans="1:24" ht="35.1" hidden="1" customHeight="1">
      <c r="A139" s="102" t="s">
        <v>2936</v>
      </c>
      <c r="B139" s="114" t="s">
        <v>193</v>
      </c>
      <c r="C139" s="114" t="s">
        <v>237</v>
      </c>
      <c r="D139" s="517">
        <v>42821</v>
      </c>
      <c r="E139" s="118" t="s">
        <v>621</v>
      </c>
      <c r="F139" s="107">
        <v>3</v>
      </c>
      <c r="G139" s="107">
        <v>13300</v>
      </c>
      <c r="H139" s="107"/>
      <c r="I139" s="122">
        <f t="shared" si="12"/>
        <v>39900</v>
      </c>
      <c r="J139" s="118" t="s">
        <v>619</v>
      </c>
      <c r="K139" s="106">
        <f>SUMIF(收发货!A:A,销售合同!A:A,收发货!D:D)</f>
        <v>3</v>
      </c>
      <c r="L139" s="107">
        <f>SUMIF(收开票!A:A,销售合同!A:A,收开票!E:E)</f>
        <v>3</v>
      </c>
      <c r="M139" s="108">
        <f>SUMIF(收开票!A:A,销售合同!A:A,收开票!F:F)</f>
        <v>39900</v>
      </c>
      <c r="N139" s="109">
        <f>SUMIF(收开票!A:A,销售合同!A:A,收开票!H:H)</f>
        <v>3</v>
      </c>
      <c r="O139" s="109">
        <f>SUMIF(收开票!A:A,销售合同!A:A,收开票!I:I)</f>
        <v>39900</v>
      </c>
      <c r="P139" s="110">
        <f>SUMIF(收付款!A:A,销售合同!A:A,收付款!E:E)</f>
        <v>39900</v>
      </c>
      <c r="Q139" s="110">
        <f>O139-P139</f>
        <v>0</v>
      </c>
      <c r="R139" s="111"/>
      <c r="S139" s="111">
        <f>SUMIF(收付款!A:A,销售合同!A:A,收付款!J:J)</f>
        <v>0</v>
      </c>
      <c r="T139" s="112"/>
      <c r="U139" s="112"/>
    </row>
    <row r="140" spans="1:24" ht="35.1" hidden="1" customHeight="1">
      <c r="A140" s="142" t="s">
        <v>2940</v>
      </c>
      <c r="B140" s="114" t="s">
        <v>272</v>
      </c>
      <c r="C140" s="114" t="s">
        <v>736</v>
      </c>
      <c r="D140" s="517">
        <v>42826</v>
      </c>
      <c r="E140" s="118" t="s">
        <v>740</v>
      </c>
      <c r="F140" s="107">
        <v>1000</v>
      </c>
      <c r="G140" s="107">
        <v>99.8</v>
      </c>
      <c r="H140" s="107">
        <v>85</v>
      </c>
      <c r="I140" s="117">
        <f t="shared" si="12"/>
        <v>99800</v>
      </c>
      <c r="J140" s="118" t="s">
        <v>741</v>
      </c>
      <c r="K140" s="106">
        <f>SUMIF(收发货!A:A,销售合同!A:A,收发货!D:D)</f>
        <v>1000</v>
      </c>
      <c r="L140" s="109">
        <f>SUMIF(收开票!A:A,销售合同!A:A,收开票!E:E)</f>
        <v>1000</v>
      </c>
      <c r="M140" s="109">
        <f>SUMIF(收开票!A:A,销售合同!A:A,收开票!F:F)</f>
        <v>99800</v>
      </c>
      <c r="N140" s="109">
        <f>SUMIF(收开票!A:A,销售合同!A:A,收开票!H:H)</f>
        <v>1000</v>
      </c>
      <c r="O140" s="109">
        <f>SUMIF(收开票!A:A,销售合同!A:A,收开票!I:I)</f>
        <v>99800</v>
      </c>
      <c r="P140" s="110">
        <f>SUMIF(收付款!A:A,销售合同!A:A,收付款!E:E)</f>
        <v>97226.71</v>
      </c>
      <c r="Q140" s="110">
        <f>O140-P140</f>
        <v>2573.2899999999936</v>
      </c>
      <c r="R140" s="111">
        <f>SUMIF(收付款!A:A,销售合同!A:A,收付款!I:I)</f>
        <v>0</v>
      </c>
      <c r="S140" s="111">
        <f>SUMIF(收付款!A:A,销售合同!A:A,收付款!J:J)</f>
        <v>240280</v>
      </c>
    </row>
    <row r="141" spans="1:24" ht="35.1" hidden="1" customHeight="1">
      <c r="A141" s="142" t="s">
        <v>2941</v>
      </c>
      <c r="B141" s="114" t="s">
        <v>272</v>
      </c>
      <c r="C141" s="114" t="s">
        <v>736</v>
      </c>
      <c r="D141" s="517">
        <v>42826</v>
      </c>
      <c r="E141" s="118" t="s">
        <v>740</v>
      </c>
      <c r="F141" s="107">
        <v>1000</v>
      </c>
      <c r="G141" s="107">
        <v>99.8</v>
      </c>
      <c r="H141" s="107">
        <v>85</v>
      </c>
      <c r="I141" s="117">
        <f t="shared" si="12"/>
        <v>99800</v>
      </c>
      <c r="J141" s="118" t="s">
        <v>741</v>
      </c>
      <c r="K141" s="106">
        <f>SUMIF(收发货!A:A,销售合同!A:A,收发货!D:D)</f>
        <v>1000</v>
      </c>
      <c r="L141" s="109">
        <f>SUMIF(收开票!A:A,销售合同!A:A,收开票!E:E)</f>
        <v>1000</v>
      </c>
      <c r="M141" s="109">
        <f>SUMIF(收开票!A:A,销售合同!A:A,收开票!F:F)</f>
        <v>99800</v>
      </c>
      <c r="N141" s="109">
        <f>SUMIF(收开票!A:A,销售合同!A:A,收开票!H:H)</f>
        <v>1000</v>
      </c>
      <c r="O141" s="109">
        <f>SUMIF(收开票!A:A,销售合同!A:A,收开票!I:I)</f>
        <v>99800</v>
      </c>
      <c r="P141" s="110">
        <f>SUMIF(收付款!A:A,销售合同!A:A,收付款!E:E)</f>
        <v>97729.700000000012</v>
      </c>
      <c r="Q141" s="110">
        <f>O141-P141</f>
        <v>2070.2999999999884</v>
      </c>
      <c r="R141" s="111">
        <f>SUMIF(收付款!A:A,销售合同!A:A,收付款!I:I)</f>
        <v>0</v>
      </c>
      <c r="S141" s="111">
        <f>SUMIF(收付款!A:A,销售合同!A:A,收付款!J:J)</f>
        <v>240280</v>
      </c>
    </row>
    <row r="142" spans="1:24" ht="35.1" hidden="1" customHeight="1">
      <c r="A142" s="102" t="s">
        <v>3197</v>
      </c>
      <c r="B142" s="103" t="s">
        <v>127</v>
      </c>
      <c r="C142" s="103" t="s">
        <v>240</v>
      </c>
      <c r="D142" s="517">
        <v>42830</v>
      </c>
      <c r="E142" s="114" t="s">
        <v>2512</v>
      </c>
      <c r="F142" s="104">
        <v>200</v>
      </c>
      <c r="G142" s="104">
        <v>1860</v>
      </c>
      <c r="H142" s="104" t="s">
        <v>2119</v>
      </c>
      <c r="I142" s="117">
        <f t="shared" si="12"/>
        <v>372000</v>
      </c>
      <c r="J142" s="103" t="s">
        <v>988</v>
      </c>
      <c r="K142" s="106">
        <f>SUMIF(收发货!A:A,销售合同!A:A,收发货!D:D)</f>
        <v>200</v>
      </c>
      <c r="L142" s="109">
        <f>SUMIF(收开票!A:A,销售合同!A:A,收开票!E:E)</f>
        <v>200</v>
      </c>
      <c r="M142" s="109">
        <f>SUMIF(收开票!A:A,销售合同!A:A,收开票!F:F)</f>
        <v>372000</v>
      </c>
      <c r="N142" s="109">
        <f>SUMIF(收开票!A:A,销售合同!A:A,收开票!H:H)</f>
        <v>200</v>
      </c>
      <c r="O142" s="109">
        <f>SUMIF(收开票!A:A,销售合同!A:A,收开票!I:I)</f>
        <v>372000</v>
      </c>
      <c r="P142" s="110">
        <f>SUMIF(收付款!A:A,销售合同!A:A,收付款!E:E)</f>
        <v>372000</v>
      </c>
      <c r="Q142" s="110">
        <f>O142-P142</f>
        <v>0</v>
      </c>
      <c r="R142" s="111">
        <f>SUMIF(收付款!A:A,销售合同!A:A,收付款!I:I)</f>
        <v>0</v>
      </c>
      <c r="S142" s="111">
        <f>SUMIF(收付款!A:A,销售合同!A:A,收付款!J:J)</f>
        <v>0</v>
      </c>
      <c r="T142" s="112"/>
      <c r="U142" s="112"/>
      <c r="V142" s="113"/>
      <c r="W142" s="112"/>
      <c r="X142" s="112"/>
    </row>
    <row r="143" spans="1:24" ht="35.1" hidden="1" customHeight="1">
      <c r="A143" s="102" t="s">
        <v>3028</v>
      </c>
      <c r="B143" s="114" t="s">
        <v>485</v>
      </c>
      <c r="C143" s="114" t="s">
        <v>60</v>
      </c>
      <c r="D143" s="517">
        <v>42835</v>
      </c>
      <c r="E143" s="103" t="s">
        <v>321</v>
      </c>
      <c r="F143" s="107">
        <v>120</v>
      </c>
      <c r="G143" s="107">
        <f>H143/1.0092</f>
        <v>6936.1870788743554</v>
      </c>
      <c r="H143" s="107">
        <v>7000</v>
      </c>
      <c r="I143" s="117">
        <f t="shared" si="12"/>
        <v>832342.44946492265</v>
      </c>
      <c r="J143" s="114" t="s">
        <v>432</v>
      </c>
      <c r="K143" s="106">
        <f>SUMIF(收发货!A:A,销售合同!A:A,收发货!D:D)</f>
        <v>123.64</v>
      </c>
      <c r="L143" s="109">
        <f>SUMIF(收开票!A:A,销售合同!A:A,收开票!E:E)</f>
        <v>126.444</v>
      </c>
      <c r="M143" s="109">
        <f>SUMIF(收开票!A:A,销售合同!A:A,收开票!F:F)</f>
        <v>875985.24</v>
      </c>
      <c r="N143" s="109">
        <f>SUMIF(收开票!A:A,销售合同!A:A,收开票!H:H)</f>
        <v>126.444</v>
      </c>
      <c r="O143" s="109">
        <f>SUMIF(收开票!A:A,销售合同!A:A,收开票!I:I)</f>
        <v>875985.24</v>
      </c>
      <c r="P143" s="110">
        <f>SUMIF(收付款!A:A,销售合同!A:A,收付款!E:E)</f>
        <v>875985.24</v>
      </c>
      <c r="Q143" s="110">
        <f>O143-P143</f>
        <v>0</v>
      </c>
      <c r="R143" s="161"/>
    </row>
    <row r="144" spans="1:24" ht="35.1" hidden="1" customHeight="1">
      <c r="A144" s="102" t="s">
        <v>3032</v>
      </c>
      <c r="B144" s="114" t="s">
        <v>147</v>
      </c>
      <c r="C144" s="114" t="s">
        <v>240</v>
      </c>
      <c r="D144" s="517">
        <v>42843</v>
      </c>
      <c r="E144" s="103" t="s">
        <v>75</v>
      </c>
      <c r="F144" s="107">
        <v>30</v>
      </c>
      <c r="G144" s="107">
        <v>12950</v>
      </c>
      <c r="H144" s="107"/>
      <c r="I144" s="117">
        <f t="shared" si="12"/>
        <v>388500</v>
      </c>
      <c r="J144" s="114" t="s">
        <v>3033</v>
      </c>
      <c r="K144" s="106">
        <f>SUMIF(收发货!A:A,销售合同!A:A,收发货!D:D)</f>
        <v>30</v>
      </c>
      <c r="L144" s="109">
        <f>SUMIF(收开票!A:A,销售合同!A:A,收开票!E:E)</f>
        <v>30</v>
      </c>
      <c r="M144" s="109">
        <f>SUMIF(收开票!A:A,销售合同!A:A,收开票!F:F)</f>
        <v>388500</v>
      </c>
      <c r="N144" s="109">
        <f>SUMIF(收开票!A:A,销售合同!A:A,收开票!H:H)</f>
        <v>30</v>
      </c>
      <c r="O144" s="109">
        <f>SUMIF(收开票!A:A,销售合同!A:A,收开票!I:I)</f>
        <v>388500</v>
      </c>
      <c r="P144" s="110">
        <f>SUMIF(收付款!A:A,销售合同!A:A,收付款!E:E)</f>
        <v>388500</v>
      </c>
      <c r="Q144" s="110"/>
      <c r="R144" s="111">
        <f>SUMIF(收付款!A:A,销售合同!A:A,收付款!I:I)</f>
        <v>0</v>
      </c>
      <c r="S144" s="111">
        <f>SUMIF(收付款!A:A,销售合同!A:A,收付款!J:J)</f>
        <v>0</v>
      </c>
    </row>
    <row r="145" spans="1:24" ht="35.1" hidden="1" customHeight="1">
      <c r="A145" s="102" t="s">
        <v>3040</v>
      </c>
      <c r="B145" s="114" t="s">
        <v>147</v>
      </c>
      <c r="C145" s="114" t="s">
        <v>240</v>
      </c>
      <c r="D145" s="517">
        <v>42844</v>
      </c>
      <c r="E145" s="103" t="s">
        <v>3042</v>
      </c>
      <c r="F145" s="107">
        <v>96</v>
      </c>
      <c r="G145" s="107">
        <v>12900</v>
      </c>
      <c r="H145" s="107"/>
      <c r="I145" s="117">
        <f t="shared" si="12"/>
        <v>1238400</v>
      </c>
      <c r="J145" s="114" t="s">
        <v>3033</v>
      </c>
      <c r="K145" s="106">
        <f>SUMIF(收发货!A:A,销售合同!A:A,收发货!D:D)</f>
        <v>96</v>
      </c>
      <c r="L145" s="109">
        <f>SUMIF(收开票!A:A,销售合同!A:A,收开票!E:E)</f>
        <v>96</v>
      </c>
      <c r="M145" s="109">
        <f>SUMIF(收开票!A:A,销售合同!A:A,收开票!F:F)</f>
        <v>1238400</v>
      </c>
      <c r="N145" s="109">
        <f>SUMIF(收开票!A:A,销售合同!A:A,收开票!H:H)</f>
        <v>96</v>
      </c>
      <c r="O145" s="109">
        <f>SUMIF(收开票!A:A,销售合同!A:A,收开票!I:I)</f>
        <v>1238400</v>
      </c>
      <c r="P145" s="110">
        <f>SUMIF(收付款!A:A,销售合同!A:A,收付款!E:E)</f>
        <v>1238400</v>
      </c>
      <c r="Q145" s="110"/>
      <c r="R145" s="111">
        <f>SUMIF(收付款!A:A,销售合同!A:A,收付款!I:I)</f>
        <v>0</v>
      </c>
      <c r="S145" s="111">
        <f>SUMIF(收付款!A:A,销售合同!A:A,收付款!J:J)</f>
        <v>0</v>
      </c>
    </row>
    <row r="146" spans="1:24" ht="35.1" hidden="1" customHeight="1">
      <c r="A146" s="102" t="s">
        <v>3065</v>
      </c>
      <c r="B146" s="114" t="s">
        <v>147</v>
      </c>
      <c r="C146" s="114" t="s">
        <v>240</v>
      </c>
      <c r="D146" s="517">
        <v>42849</v>
      </c>
      <c r="E146" s="103" t="s">
        <v>3067</v>
      </c>
      <c r="F146" s="107">
        <v>128</v>
      </c>
      <c r="G146" s="107">
        <v>13050</v>
      </c>
      <c r="H146" s="107"/>
      <c r="I146" s="117">
        <f t="shared" si="12"/>
        <v>1670400</v>
      </c>
      <c r="J146" s="114" t="s">
        <v>3033</v>
      </c>
      <c r="K146" s="106">
        <f>SUMIF(收发货!A:A,销售合同!A:A,收发货!D:D)</f>
        <v>128</v>
      </c>
      <c r="L146" s="109">
        <f>SUMIF(收开票!A:A,销售合同!A:A,收开票!E:E)</f>
        <v>128</v>
      </c>
      <c r="M146" s="109">
        <f>SUMIF(收开票!A:A,销售合同!A:A,收开票!F:F)</f>
        <v>1670400</v>
      </c>
      <c r="N146" s="109">
        <f>SUMIF(收开票!A:A,销售合同!A:A,收开票!H:H)</f>
        <v>128</v>
      </c>
      <c r="O146" s="109">
        <f>SUMIF(收开票!A:A,销售合同!A:A,收开票!I:I)</f>
        <v>1670400</v>
      </c>
      <c r="P146" s="110">
        <f>SUMIF(收付款!A:A,销售合同!A:A,收付款!E:E)</f>
        <v>1670400</v>
      </c>
      <c r="Q146" s="110"/>
      <c r="R146" s="111">
        <f>SUMIF(收付款!A:A,销售合同!A:A,收付款!I:I)</f>
        <v>0</v>
      </c>
      <c r="S146" s="111">
        <f>SUMIF(收付款!A:A,销售合同!A:A,收付款!J:J)</f>
        <v>0</v>
      </c>
    </row>
    <row r="147" spans="1:24" ht="35.1" hidden="1" customHeight="1">
      <c r="A147" s="142" t="s">
        <v>3189</v>
      </c>
      <c r="B147" s="114" t="s">
        <v>272</v>
      </c>
      <c r="C147" s="114" t="s">
        <v>736</v>
      </c>
      <c r="D147" s="517">
        <v>42826</v>
      </c>
      <c r="E147" s="118" t="s">
        <v>740</v>
      </c>
      <c r="F147" s="107">
        <v>1000</v>
      </c>
      <c r="G147" s="107">
        <v>99.8</v>
      </c>
      <c r="H147" s="107">
        <v>85</v>
      </c>
      <c r="I147" s="117">
        <v>99800</v>
      </c>
      <c r="J147" s="118" t="s">
        <v>741</v>
      </c>
      <c r="K147" s="106">
        <f>SUMIF(收发货!A:A,销售合同!A:A,收发货!D:D)</f>
        <v>1000</v>
      </c>
      <c r="L147" s="109">
        <f>SUMIF(收开票!A:A,销售合同!A:A,收开票!E:E)</f>
        <v>1000</v>
      </c>
      <c r="M147" s="109">
        <f>SUMIF(收开票!A:A,销售合同!A:A,收开票!F:F)</f>
        <v>99800</v>
      </c>
      <c r="N147" s="109">
        <f>SUMIF(收开票!A:A,销售合同!A:A,收开票!H:H)</f>
        <v>1000</v>
      </c>
      <c r="O147" s="109">
        <f>SUMIF(收开票!A:A,销售合同!A:A,收开票!I:I)</f>
        <v>99800</v>
      </c>
      <c r="P147" s="110">
        <f>SUMIF(收付款!A:A,销售合同!A:A,收付款!E:E)</f>
        <v>98659.85</v>
      </c>
      <c r="Q147" s="110">
        <f>O147-P147</f>
        <v>1140.1499999999942</v>
      </c>
      <c r="R147" s="111">
        <f>SUMIF(收付款!A:A,销售合同!A:A,收付款!I:I)</f>
        <v>0</v>
      </c>
      <c r="S147" s="111">
        <f>SUMIF(收付款!A:A,销售合同!A:A,收付款!J:J)</f>
        <v>250780</v>
      </c>
    </row>
    <row r="148" spans="1:24" ht="35.1" hidden="1" customHeight="1">
      <c r="A148" s="142" t="s">
        <v>3074</v>
      </c>
      <c r="B148" s="114" t="s">
        <v>272</v>
      </c>
      <c r="C148" s="114" t="s">
        <v>736</v>
      </c>
      <c r="D148" s="517">
        <v>42826</v>
      </c>
      <c r="E148" s="118" t="s">
        <v>740</v>
      </c>
      <c r="F148" s="107">
        <v>1000</v>
      </c>
      <c r="G148" s="107">
        <v>99.8</v>
      </c>
      <c r="H148" s="107">
        <v>85</v>
      </c>
      <c r="I148" s="117">
        <v>99800</v>
      </c>
      <c r="J148" s="118" t="s">
        <v>741</v>
      </c>
      <c r="K148" s="106">
        <f>SUMIF(收发货!A:A,销售合同!A:A,收发货!D:D)</f>
        <v>0</v>
      </c>
      <c r="L148" s="109">
        <f>SUMIF(收开票!A:A,销售合同!A:A,收开票!E:E)</f>
        <v>0</v>
      </c>
      <c r="M148" s="109">
        <f>SUMIF(收开票!A:A,销售合同!A:A,收开票!F:F)</f>
        <v>0</v>
      </c>
      <c r="N148" s="109">
        <f>SUMIF(收开票!A:A,销售合同!A:A,收开票!H:H)</f>
        <v>0</v>
      </c>
      <c r="O148" s="109">
        <f>SUMIF(收开票!A:A,销售合同!A:A,收开票!I:I)</f>
        <v>0</v>
      </c>
      <c r="P148" s="110">
        <f>SUMIF(收付款!A:A,销售合同!A:A,收付款!E:E)</f>
        <v>0</v>
      </c>
      <c r="Q148" s="110">
        <f>O148-P148</f>
        <v>0</v>
      </c>
      <c r="R148" s="111">
        <f>SUMIF(收付款!A:A,销售合同!A:A,收付款!I:I)</f>
        <v>0</v>
      </c>
      <c r="S148" s="111">
        <f>SUMIF(收付款!A:A,销售合同!A:A,收付款!J:J)</f>
        <v>0</v>
      </c>
    </row>
    <row r="149" spans="1:24" ht="35.1" hidden="1" customHeight="1">
      <c r="A149" s="142" t="s">
        <v>3075</v>
      </c>
      <c r="B149" s="114" t="s">
        <v>272</v>
      </c>
      <c r="C149" s="114" t="s">
        <v>736</v>
      </c>
      <c r="D149" s="517">
        <v>42826</v>
      </c>
      <c r="E149" s="118" t="s">
        <v>740</v>
      </c>
      <c r="F149" s="107">
        <v>1000</v>
      </c>
      <c r="G149" s="107">
        <v>99.8</v>
      </c>
      <c r="H149" s="107">
        <v>85</v>
      </c>
      <c r="I149" s="117">
        <v>99800</v>
      </c>
      <c r="J149" s="118" t="s">
        <v>741</v>
      </c>
      <c r="K149" s="106">
        <f>SUMIF(收发货!A:A,销售合同!A:A,收发货!D:D)</f>
        <v>0</v>
      </c>
      <c r="L149" s="109">
        <f>SUMIF(收开票!A:A,销售合同!A:A,收开票!E:E)</f>
        <v>0</v>
      </c>
      <c r="M149" s="109">
        <f>SUMIF(收开票!A:A,销售合同!A:A,收开票!F:F)</f>
        <v>0</v>
      </c>
      <c r="N149" s="109">
        <f>SUMIF(收开票!A:A,销售合同!A:A,收开票!H:H)</f>
        <v>0</v>
      </c>
      <c r="O149" s="109">
        <f>SUMIF(收开票!A:A,销售合同!A:A,收开票!I:I)</f>
        <v>0</v>
      </c>
      <c r="P149" s="110">
        <f>SUMIF(收付款!A:A,销售合同!A:A,收付款!E:E)</f>
        <v>0</v>
      </c>
      <c r="Q149" s="110">
        <f>O149-P149</f>
        <v>0</v>
      </c>
      <c r="R149" s="111">
        <f>SUMIF(收付款!A:A,销售合同!A:A,收付款!I:I)</f>
        <v>0</v>
      </c>
      <c r="S149" s="111">
        <f>SUMIF(收付款!A:A,销售合同!A:A,收付款!J:J)</f>
        <v>0</v>
      </c>
    </row>
    <row r="150" spans="1:24" ht="35.1" hidden="1" customHeight="1">
      <c r="A150" s="102" t="s">
        <v>3085</v>
      </c>
      <c r="B150" s="114" t="s">
        <v>147</v>
      </c>
      <c r="C150" s="114" t="s">
        <v>240</v>
      </c>
      <c r="D150" s="517">
        <v>42851</v>
      </c>
      <c r="E150" s="103" t="s">
        <v>2914</v>
      </c>
      <c r="F150" s="107">
        <v>32</v>
      </c>
      <c r="G150" s="107">
        <v>13200</v>
      </c>
      <c r="H150" s="107"/>
      <c r="I150" s="117">
        <f t="shared" ref="I150:I181" si="13">F150*G150</f>
        <v>422400</v>
      </c>
      <c r="J150" s="114" t="s">
        <v>3086</v>
      </c>
      <c r="K150" s="106">
        <f>SUMIF(收发货!A:A,销售合同!A:A,收发货!D:D)</f>
        <v>32</v>
      </c>
      <c r="L150" s="109">
        <f>SUMIF(收开票!A:A,销售合同!A:A,收开票!E:E)</f>
        <v>32</v>
      </c>
      <c r="M150" s="109">
        <f>SUMIF(收开票!A:A,销售合同!A:A,收开票!F:F)</f>
        <v>422400</v>
      </c>
      <c r="N150" s="109">
        <f>SUMIF(收开票!A:A,销售合同!A:A,收开票!H:H)</f>
        <v>32</v>
      </c>
      <c r="O150" s="109">
        <f>SUMIF(收开票!A:A,销售合同!A:A,收开票!I:I)</f>
        <v>422400</v>
      </c>
      <c r="P150" s="110">
        <f>SUMIF(收付款!A:A,销售合同!A:A,收付款!E:E)</f>
        <v>422400</v>
      </c>
      <c r="Q150" s="110"/>
      <c r="R150" s="161"/>
      <c r="S150" s="111">
        <f>SUMIF(收付款!A:A,销售合同!A:A,收付款!J:J)</f>
        <v>0</v>
      </c>
    </row>
    <row r="151" spans="1:24" ht="35.1" hidden="1" customHeight="1">
      <c r="A151" s="102" t="s">
        <v>3089</v>
      </c>
      <c r="B151" s="114" t="s">
        <v>193</v>
      </c>
      <c r="C151" s="114" t="s">
        <v>194</v>
      </c>
      <c r="D151" s="517">
        <v>42852</v>
      </c>
      <c r="E151" s="118" t="s">
        <v>621</v>
      </c>
      <c r="F151" s="107">
        <v>2</v>
      </c>
      <c r="G151" s="107">
        <v>13500</v>
      </c>
      <c r="H151" s="107"/>
      <c r="I151" s="122">
        <f t="shared" si="13"/>
        <v>27000</v>
      </c>
      <c r="J151" s="118" t="s">
        <v>619</v>
      </c>
      <c r="K151" s="106">
        <f>SUMIF(收发货!A:A,销售合同!A:A,收发货!D:D)</f>
        <v>2</v>
      </c>
      <c r="L151" s="107">
        <f>SUMIF(收开票!A:A,销售合同!A:A,收开票!E:E)</f>
        <v>2</v>
      </c>
      <c r="M151" s="108">
        <f>SUMIF(收开票!A:A,销售合同!A:A,收开票!F:F)</f>
        <v>27000</v>
      </c>
      <c r="N151" s="109">
        <f>SUMIF(收开票!A:A,销售合同!A:A,收开票!H:H)</f>
        <v>2</v>
      </c>
      <c r="O151" s="109">
        <f>SUMIF(收开票!A:A,销售合同!A:A,收开票!I:I)</f>
        <v>27000</v>
      </c>
      <c r="P151" s="110">
        <f>SUMIF(收付款!A:A,销售合同!A:A,收付款!E:E)</f>
        <v>27000</v>
      </c>
      <c r="Q151" s="110">
        <f t="shared" ref="Q151:Q158" si="14">O151-P151</f>
        <v>0</v>
      </c>
      <c r="R151" s="111"/>
      <c r="S151" s="111">
        <f>SUMIF(收付款!A:A,销售合同!A:A,收付款!J:J)</f>
        <v>0</v>
      </c>
      <c r="T151" s="112"/>
      <c r="U151" s="112"/>
    </row>
    <row r="152" spans="1:24" ht="35.1" hidden="1" customHeight="1">
      <c r="A152" s="102" t="s">
        <v>3090</v>
      </c>
      <c r="B152" s="114" t="s">
        <v>147</v>
      </c>
      <c r="C152" s="114" t="s">
        <v>82</v>
      </c>
      <c r="D152" s="517">
        <v>42856</v>
      </c>
      <c r="E152" s="118" t="s">
        <v>168</v>
      </c>
      <c r="F152" s="107">
        <v>320</v>
      </c>
      <c r="G152" s="107">
        <f>H152/1.0092</f>
        <v>14367.816091954022</v>
      </c>
      <c r="H152" s="107">
        <v>14500</v>
      </c>
      <c r="I152" s="117">
        <f t="shared" si="13"/>
        <v>4597701.1494252868</v>
      </c>
      <c r="J152" s="114" t="s">
        <v>149</v>
      </c>
      <c r="K152" s="106">
        <f>SUMIF(收发货!A:A,销售合同!A:A,收发货!D:D)</f>
        <v>335</v>
      </c>
      <c r="L152" s="109">
        <f>SUMIF(收开票!A:A,销售合同!A:A,收开票!E:E)</f>
        <v>334.56700000000001</v>
      </c>
      <c r="M152" s="109">
        <f>SUMIF(收开票!A:A,销售合同!A:A,收开票!F:F)</f>
        <v>4806997.1264367811</v>
      </c>
      <c r="N152" s="109">
        <f>SUMIF(收开票!A:A,销售合同!A:A,收开票!H:H)</f>
        <v>334.56700000000001</v>
      </c>
      <c r="O152" s="109">
        <f>SUMIF(收开票!A:A,销售合同!A:A,收开票!I:I)</f>
        <v>4806997.1264367811</v>
      </c>
      <c r="P152" s="110">
        <f>SUMIF(收付款!A:A,销售合同!A:A,收付款!E:E)</f>
        <v>4806997.1264367811</v>
      </c>
      <c r="Q152" s="110">
        <f t="shared" si="14"/>
        <v>0</v>
      </c>
      <c r="R152" s="106"/>
      <c r="S152" s="111"/>
      <c r="T152" s="112"/>
      <c r="U152" s="112"/>
      <c r="V152" s="113">
        <v>42289</v>
      </c>
      <c r="W152" s="112"/>
      <c r="X152" s="112"/>
    </row>
    <row r="153" spans="1:24" ht="45.75" hidden="1" customHeight="1">
      <c r="A153" s="102" t="s">
        <v>3115</v>
      </c>
      <c r="B153" s="114" t="s">
        <v>485</v>
      </c>
      <c r="C153" s="114" t="s">
        <v>3001</v>
      </c>
      <c r="D153" s="517">
        <v>42858</v>
      </c>
      <c r="E153" s="103" t="s">
        <v>2763</v>
      </c>
      <c r="F153" s="107">
        <v>60</v>
      </c>
      <c r="G153" s="107">
        <f>H153/(1+0.026325)</f>
        <v>148101.23498891678</v>
      </c>
      <c r="H153" s="107">
        <v>152000</v>
      </c>
      <c r="I153" s="117">
        <f t="shared" si="13"/>
        <v>8886074.0993350074</v>
      </c>
      <c r="J153" s="114" t="s">
        <v>2766</v>
      </c>
      <c r="K153" s="106">
        <f>SUMIF(收发货!A:A,销售合同!A:A,收发货!D:D)</f>
        <v>60</v>
      </c>
      <c r="L153" s="109">
        <f>SUMIF(收开票!A:A,销售合同!A:A,收开票!E:E)</f>
        <v>59.991</v>
      </c>
      <c r="M153" s="109">
        <f>SUMIF(收开票!A:A,销售合同!A:A,收开票!F:F)</f>
        <v>8859350.898</v>
      </c>
      <c r="N153" s="109">
        <f>SUMIF(收开票!A:A,销售合同!A:A,收开票!H:H)</f>
        <v>59.991</v>
      </c>
      <c r="O153" s="109">
        <f>SUMIF(收开票!A:A,销售合同!A:A,收开票!I:I)</f>
        <v>8859350.898</v>
      </c>
      <c r="P153" s="110">
        <f>SUMIF(收付款!A:A,销售合同!A:A,收付款!E:E)</f>
        <v>8859350.9000000004</v>
      </c>
      <c r="Q153" s="110">
        <f t="shared" si="14"/>
        <v>-2.0000003278255463E-3</v>
      </c>
      <c r="R153" s="161"/>
    </row>
    <row r="154" spans="1:24" ht="35.1" hidden="1" customHeight="1">
      <c r="A154" s="102" t="s">
        <v>3118</v>
      </c>
      <c r="B154" s="103" t="s">
        <v>127</v>
      </c>
      <c r="C154" s="103" t="s">
        <v>240</v>
      </c>
      <c r="D154" s="517">
        <v>42852</v>
      </c>
      <c r="E154" s="114" t="s">
        <v>2512</v>
      </c>
      <c r="F154" s="104">
        <v>140</v>
      </c>
      <c r="G154" s="104">
        <v>1855</v>
      </c>
      <c r="H154" s="104" t="s">
        <v>2119</v>
      </c>
      <c r="I154" s="117">
        <f t="shared" si="13"/>
        <v>259700</v>
      </c>
      <c r="J154" s="103" t="s">
        <v>988</v>
      </c>
      <c r="K154" s="106">
        <f>SUMIF(收发货!A:A,销售合同!A:A,收发货!D:D)</f>
        <v>140</v>
      </c>
      <c r="L154" s="109">
        <f>SUMIF(收开票!A:A,销售合同!A:A,收开票!E:E)</f>
        <v>140</v>
      </c>
      <c r="M154" s="109">
        <f>SUMIF(收开票!A:A,销售合同!A:A,收开票!F:F)</f>
        <v>259700</v>
      </c>
      <c r="N154" s="109">
        <f>SUMIF(收开票!A:A,销售合同!A:A,收开票!H:H)</f>
        <v>140</v>
      </c>
      <c r="O154" s="109">
        <f>SUMIF(收开票!A:A,销售合同!A:A,收开票!I:I)</f>
        <v>259700</v>
      </c>
      <c r="P154" s="110">
        <f>SUMIF(收付款!A:A,销售合同!A:A,收付款!E:E)</f>
        <v>259700</v>
      </c>
      <c r="Q154" s="110">
        <f t="shared" si="14"/>
        <v>0</v>
      </c>
      <c r="R154" s="111">
        <f>SUMIF(收付款!A:A,销售合同!A:A,收付款!I:I)</f>
        <v>0</v>
      </c>
      <c r="S154" s="111">
        <f>SUMIF(收付款!A:A,销售合同!A:A,收付款!J:J)</f>
        <v>0</v>
      </c>
      <c r="T154" s="112"/>
      <c r="U154" s="112"/>
      <c r="V154" s="113"/>
      <c r="W154" s="112"/>
      <c r="X154" s="112"/>
    </row>
    <row r="155" spans="1:24" ht="35.1" hidden="1" customHeight="1">
      <c r="A155" s="102" t="s">
        <v>3119</v>
      </c>
      <c r="B155" s="103" t="s">
        <v>127</v>
      </c>
      <c r="C155" s="103" t="s">
        <v>240</v>
      </c>
      <c r="D155" s="517">
        <v>42852</v>
      </c>
      <c r="E155" s="114" t="s">
        <v>2512</v>
      </c>
      <c r="F155" s="104">
        <v>160</v>
      </c>
      <c r="G155" s="104">
        <v>1850</v>
      </c>
      <c r="H155" s="104" t="s">
        <v>2119</v>
      </c>
      <c r="I155" s="117">
        <f t="shared" si="13"/>
        <v>296000</v>
      </c>
      <c r="J155" s="103" t="s">
        <v>988</v>
      </c>
      <c r="K155" s="106">
        <f>SUMIF(收发货!A:A,销售合同!A:A,收发货!D:D)</f>
        <v>160</v>
      </c>
      <c r="L155" s="109">
        <f>SUMIF(收开票!A:A,销售合同!A:A,收开票!E:E)</f>
        <v>160</v>
      </c>
      <c r="M155" s="109">
        <f>SUMIF(收开票!A:A,销售合同!A:A,收开票!F:F)</f>
        <v>296000</v>
      </c>
      <c r="N155" s="109">
        <f>SUMIF(收开票!A:A,销售合同!A:A,收开票!H:H)</f>
        <v>160</v>
      </c>
      <c r="O155" s="109">
        <f>SUMIF(收开票!A:A,销售合同!A:A,收开票!I:I)</f>
        <v>296000</v>
      </c>
      <c r="P155" s="110">
        <f>SUMIF(收付款!A:A,销售合同!A:A,收付款!E:E)</f>
        <v>296000</v>
      </c>
      <c r="Q155" s="110">
        <f t="shared" si="14"/>
        <v>0</v>
      </c>
      <c r="R155" s="111">
        <f>SUMIF(收付款!A:A,销售合同!A:A,收付款!I:I)</f>
        <v>0</v>
      </c>
      <c r="S155" s="111">
        <f>SUMIF(收付款!A:A,销售合同!A:A,收付款!J:J)</f>
        <v>0</v>
      </c>
      <c r="T155" s="112"/>
      <c r="U155" s="112"/>
      <c r="V155" s="113"/>
      <c r="W155" s="112"/>
      <c r="X155" s="112"/>
    </row>
    <row r="156" spans="1:24" ht="35.1" hidden="1" customHeight="1">
      <c r="A156" s="102" t="s">
        <v>3127</v>
      </c>
      <c r="B156" s="114" t="s">
        <v>485</v>
      </c>
      <c r="C156" s="114" t="s">
        <v>60</v>
      </c>
      <c r="D156" s="517">
        <v>42860</v>
      </c>
      <c r="E156" s="103" t="s">
        <v>321</v>
      </c>
      <c r="F156" s="107">
        <v>300</v>
      </c>
      <c r="G156" s="107">
        <f>H156/1.0092</f>
        <v>6738.0103051922306</v>
      </c>
      <c r="H156" s="107">
        <v>6800</v>
      </c>
      <c r="I156" s="117">
        <f t="shared" si="13"/>
        <v>2021403.0915576692</v>
      </c>
      <c r="J156" s="114" t="s">
        <v>432</v>
      </c>
      <c r="K156" s="106">
        <f>SUMIF(收发货!A:A,销售合同!A:A,收发货!D:D)</f>
        <v>288</v>
      </c>
      <c r="L156" s="109">
        <f>SUMIF(收开票!A:A,销售合同!A:A,收开票!E:E)</f>
        <v>292.21899999999999</v>
      </c>
      <c r="M156" s="109">
        <f>SUMIF(收开票!A:A,销售合同!A:A,收开票!F:F)</f>
        <v>1937352.2714110184</v>
      </c>
      <c r="N156" s="109">
        <f>SUMIF(收开票!A:A,销售合同!A:A,收开票!H:H)</f>
        <v>292.21899999999999</v>
      </c>
      <c r="O156" s="109">
        <f>SUMIF(收开票!A:A,销售合同!A:A,收开票!I:I)</f>
        <v>1937352.2714110184</v>
      </c>
      <c r="P156" s="110">
        <f>SUMIF(收付款!A:A,销售合同!A:A,收付款!E:E)</f>
        <v>1937352.2714110184</v>
      </c>
      <c r="Q156" s="110">
        <f t="shared" si="14"/>
        <v>0</v>
      </c>
      <c r="R156" s="161"/>
    </row>
    <row r="157" spans="1:24" ht="35.1" hidden="1" customHeight="1">
      <c r="A157" s="102" t="s">
        <v>3148</v>
      </c>
      <c r="B157" s="114" t="s">
        <v>147</v>
      </c>
      <c r="C157" s="114" t="s">
        <v>82</v>
      </c>
      <c r="D157" s="517">
        <v>42867</v>
      </c>
      <c r="E157" s="118" t="s">
        <v>168</v>
      </c>
      <c r="F157" s="107">
        <v>200</v>
      </c>
      <c r="G157" s="107">
        <f>H157/1.0092</f>
        <v>14466.904478795084</v>
      </c>
      <c r="H157" s="107">
        <v>14600</v>
      </c>
      <c r="I157" s="117">
        <f t="shared" si="13"/>
        <v>2893380.8957590167</v>
      </c>
      <c r="J157" s="114" t="s">
        <v>149</v>
      </c>
      <c r="K157" s="106">
        <f>SUMIF(收发货!A:A,销售合同!A:A,收发货!D:D)</f>
        <v>209</v>
      </c>
      <c r="L157" s="109">
        <f>SUMIF(收开票!A:A,销售合同!A:A,收开票!E:E)</f>
        <v>208.54300000000001</v>
      </c>
      <c r="M157" s="109">
        <f>SUMIF(收开票!A:A,销售合同!A:A,收开票!F:F)</f>
        <v>3016971.6640824415</v>
      </c>
      <c r="N157" s="109">
        <f>SUMIF(收开票!A:A,销售合同!A:A,收开票!H:H)</f>
        <v>208.54300000000001</v>
      </c>
      <c r="O157" s="109">
        <f>SUMIF(收开票!A:A,销售合同!A:A,收开票!I:I)</f>
        <v>3016971.6640824415</v>
      </c>
      <c r="P157" s="110">
        <f>SUMIF(收付款!A:A,销售合同!A:A,收付款!E:E)</f>
        <v>3016971.6640824415</v>
      </c>
      <c r="Q157" s="110">
        <f t="shared" si="14"/>
        <v>0</v>
      </c>
      <c r="R157" s="106"/>
      <c r="S157" s="111"/>
      <c r="T157" s="112"/>
      <c r="U157" s="112"/>
      <c r="V157" s="113">
        <v>42289</v>
      </c>
      <c r="W157" s="112"/>
      <c r="X157" s="112"/>
    </row>
    <row r="158" spans="1:24" ht="35.1" hidden="1" customHeight="1">
      <c r="A158" s="102" t="s">
        <v>3222</v>
      </c>
      <c r="B158" s="114" t="s">
        <v>147</v>
      </c>
      <c r="C158" s="114" t="s">
        <v>82</v>
      </c>
      <c r="D158" s="517">
        <v>42887</v>
      </c>
      <c r="E158" s="118" t="s">
        <v>168</v>
      </c>
      <c r="F158" s="107">
        <v>320</v>
      </c>
      <c r="G158" s="107">
        <f>H158/1.0092</f>
        <v>13277.843836702337</v>
      </c>
      <c r="H158" s="107">
        <v>13400</v>
      </c>
      <c r="I158" s="117">
        <f t="shared" si="13"/>
        <v>4248910.0277447477</v>
      </c>
      <c r="J158" s="114" t="s">
        <v>149</v>
      </c>
      <c r="K158" s="106">
        <f>SUMIF(收发货!A:A,销售合同!A:A,收发货!D:D)</f>
        <v>335</v>
      </c>
      <c r="L158" s="109">
        <f>SUMIF(收开票!A:A,销售合同!A:A,收开票!E:E)</f>
        <v>334.55500000000001</v>
      </c>
      <c r="M158" s="109">
        <f>SUMIF(收开票!A:A,销售合同!A:A,收开票!F:F)</f>
        <v>4442169.04</v>
      </c>
      <c r="N158" s="109">
        <f>SUMIF(收开票!A:A,销售合同!A:A,收开票!H:H)</f>
        <v>334.55500000000001</v>
      </c>
      <c r="O158" s="109">
        <f>SUMIF(收开票!A:A,销售合同!A:A,收开票!I:I)</f>
        <v>4442169.04</v>
      </c>
      <c r="P158" s="110">
        <f>SUMIF(收付款!A:A,销售合同!A:A,收付款!E:E)</f>
        <v>4442169.04</v>
      </c>
      <c r="Q158" s="110">
        <f t="shared" si="14"/>
        <v>0</v>
      </c>
      <c r="R158" s="106"/>
      <c r="S158" s="111"/>
      <c r="T158" s="112"/>
      <c r="U158" s="112"/>
      <c r="V158" s="113">
        <v>42289</v>
      </c>
      <c r="W158" s="112"/>
      <c r="X158" s="112"/>
    </row>
    <row r="159" spans="1:24" ht="35.1" hidden="1" customHeight="1">
      <c r="A159" s="102" t="s">
        <v>3158</v>
      </c>
      <c r="B159" s="114" t="s">
        <v>147</v>
      </c>
      <c r="C159" s="114" t="s">
        <v>240</v>
      </c>
      <c r="D159" s="517">
        <v>42886</v>
      </c>
      <c r="E159" s="103" t="s">
        <v>75</v>
      </c>
      <c r="F159" s="107">
        <v>32</v>
      </c>
      <c r="G159" s="107">
        <v>12050</v>
      </c>
      <c r="H159" s="107"/>
      <c r="I159" s="117">
        <f t="shared" si="13"/>
        <v>385600</v>
      </c>
      <c r="J159" s="114" t="s">
        <v>3159</v>
      </c>
      <c r="K159" s="106">
        <f>SUMIF(收发货!A:A,销售合同!A:A,收发货!D:D)</f>
        <v>32</v>
      </c>
      <c r="L159" s="109">
        <f>SUMIF(收开票!A:A,销售合同!A:A,收开票!E:E)</f>
        <v>32</v>
      </c>
      <c r="M159" s="109">
        <f>SUMIF(收开票!A:A,销售合同!A:A,收开票!F:F)</f>
        <v>385600</v>
      </c>
      <c r="N159" s="109">
        <f>SUMIF(收开票!A:A,销售合同!A:A,收开票!H:H)</f>
        <v>32</v>
      </c>
      <c r="O159" s="109">
        <f>SUMIF(收开票!A:A,销售合同!A:A,收开票!I:I)</f>
        <v>385600</v>
      </c>
      <c r="P159" s="110">
        <f>SUMIF(收付款!A:A,销售合同!A:A,收付款!E:E)</f>
        <v>385600</v>
      </c>
      <c r="Q159" s="110"/>
      <c r="R159" s="111">
        <f>SUMIF(收付款!A:A,销售合同!A:A,收付款!I:I)</f>
        <v>0</v>
      </c>
      <c r="S159" s="111">
        <f>SUMIF(收付款!A:A,销售合同!A:A,收付款!J:J)</f>
        <v>0</v>
      </c>
    </row>
    <row r="160" spans="1:24" ht="35.1" hidden="1" customHeight="1">
      <c r="A160" s="102" t="s">
        <v>3187</v>
      </c>
      <c r="B160" s="103" t="s">
        <v>127</v>
      </c>
      <c r="C160" s="103" t="s">
        <v>240</v>
      </c>
      <c r="D160" s="517">
        <v>42878</v>
      </c>
      <c r="E160" s="114" t="s">
        <v>2512</v>
      </c>
      <c r="F160" s="104">
        <v>100</v>
      </c>
      <c r="G160" s="104">
        <v>1850</v>
      </c>
      <c r="H160" s="104" t="s">
        <v>2119</v>
      </c>
      <c r="I160" s="117">
        <f t="shared" si="13"/>
        <v>185000</v>
      </c>
      <c r="J160" s="103" t="s">
        <v>988</v>
      </c>
      <c r="K160" s="106">
        <f>SUMIF(收发货!A:A,销售合同!A:A,收发货!D:D)</f>
        <v>100</v>
      </c>
      <c r="L160" s="109">
        <f>SUMIF(收开票!A:A,销售合同!A:A,收开票!E:E)</f>
        <v>100</v>
      </c>
      <c r="M160" s="109">
        <f>SUMIF(收开票!A:A,销售合同!A:A,收开票!F:F)</f>
        <v>185000</v>
      </c>
      <c r="N160" s="109">
        <f>SUMIF(收开票!A:A,销售合同!A:A,收开票!H:H)</f>
        <v>100</v>
      </c>
      <c r="O160" s="109">
        <f>SUMIF(收开票!A:A,销售合同!A:A,收开票!I:I)</f>
        <v>185000</v>
      </c>
      <c r="P160" s="110">
        <f>SUMIF(收付款!A:A,销售合同!A:A,收付款!E:E)</f>
        <v>185000</v>
      </c>
      <c r="Q160" s="110">
        <f t="shared" ref="Q160:Q175" si="15">O160-P160</f>
        <v>0</v>
      </c>
      <c r="R160" s="111">
        <f>SUMIF(收付款!A:A,销售合同!A:A,收付款!I:I)</f>
        <v>0</v>
      </c>
      <c r="S160" s="111">
        <f>SUMIF(收付款!A:A,销售合同!A:A,收付款!J:J)</f>
        <v>0</v>
      </c>
      <c r="T160" s="112"/>
      <c r="U160" s="112"/>
      <c r="V160" s="113"/>
      <c r="W160" s="112"/>
      <c r="X160" s="112"/>
    </row>
    <row r="161" spans="1:24" ht="35.1" hidden="1" customHeight="1">
      <c r="A161" s="102" t="s">
        <v>3188</v>
      </c>
      <c r="B161" s="103" t="s">
        <v>127</v>
      </c>
      <c r="C161" s="103" t="s">
        <v>240</v>
      </c>
      <c r="D161" s="517">
        <v>42878</v>
      </c>
      <c r="E161" s="114" t="s">
        <v>2512</v>
      </c>
      <c r="F161" s="104">
        <v>100</v>
      </c>
      <c r="G161" s="104">
        <v>1850</v>
      </c>
      <c r="H161" s="104" t="s">
        <v>3185</v>
      </c>
      <c r="I161" s="117">
        <f t="shared" si="13"/>
        <v>185000</v>
      </c>
      <c r="J161" s="103" t="s">
        <v>988</v>
      </c>
      <c r="K161" s="106">
        <f>SUMIF(收发货!A:A,销售合同!A:A,收发货!D:D)</f>
        <v>100</v>
      </c>
      <c r="L161" s="109">
        <f>SUMIF(收开票!A:A,销售合同!A:A,收开票!E:E)</f>
        <v>100</v>
      </c>
      <c r="M161" s="109">
        <f>SUMIF(收开票!A:A,销售合同!A:A,收开票!F:F)</f>
        <v>185000</v>
      </c>
      <c r="N161" s="109">
        <f>SUMIF(收开票!A:A,销售合同!A:A,收开票!H:H)</f>
        <v>100</v>
      </c>
      <c r="O161" s="109">
        <f>SUMIF(收开票!A:A,销售合同!A:A,收开票!I:I)</f>
        <v>185000</v>
      </c>
      <c r="P161" s="110">
        <f>SUMIF(收付款!A:A,销售合同!A:A,收付款!E:E)</f>
        <v>185000</v>
      </c>
      <c r="Q161" s="110">
        <f t="shared" si="15"/>
        <v>0</v>
      </c>
      <c r="R161" s="111">
        <f>SUMIF(收付款!A:A,销售合同!A:A,收付款!I:I)</f>
        <v>0</v>
      </c>
      <c r="S161" s="111">
        <f>SUMIF(收付款!A:A,销售合同!A:A,收付款!J:J)</f>
        <v>0</v>
      </c>
      <c r="T161" s="112"/>
      <c r="U161" s="112"/>
      <c r="V161" s="113"/>
      <c r="W161" s="112"/>
      <c r="X161" s="112"/>
    </row>
    <row r="162" spans="1:24" ht="35.1" hidden="1" customHeight="1">
      <c r="A162" s="102" t="s">
        <v>3155</v>
      </c>
      <c r="B162" s="114" t="s">
        <v>147</v>
      </c>
      <c r="C162" s="114" t="s">
        <v>82</v>
      </c>
      <c r="D162" s="517">
        <v>42898</v>
      </c>
      <c r="E162" s="118" t="s">
        <v>168</v>
      </c>
      <c r="F162" s="107">
        <v>150</v>
      </c>
      <c r="G162" s="107">
        <f>H162/1.0092</f>
        <v>11692.429647245342</v>
      </c>
      <c r="H162" s="107">
        <v>11800</v>
      </c>
      <c r="I162" s="117">
        <f t="shared" si="13"/>
        <v>1753864.4470868013</v>
      </c>
      <c r="J162" s="114" t="s">
        <v>149</v>
      </c>
      <c r="K162" s="106">
        <f>SUMIF(收发货!A:A,销售合同!A:A,收发货!D:D)</f>
        <v>143</v>
      </c>
      <c r="L162" s="109">
        <f>SUMIF(收开票!A:A,销售合同!A:A,收开票!E:E)</f>
        <v>142.78299999999999</v>
      </c>
      <c r="M162" s="109">
        <f>SUMIF(收开票!A:A,销售合同!A:A,收开票!F:F)</f>
        <v>1669480.18</v>
      </c>
      <c r="N162" s="109">
        <f>SUMIF(收开票!A:A,销售合同!A:A,收开票!H:H)</f>
        <v>142.78299999999999</v>
      </c>
      <c r="O162" s="109">
        <f>SUMIF(收开票!A:A,销售合同!A:A,收开票!I:I)</f>
        <v>1669480.18</v>
      </c>
      <c r="P162" s="110">
        <f>SUMIF(收付款!A:A,销售合同!A:A,收付款!E:E)</f>
        <v>1669480.17</v>
      </c>
      <c r="Q162" s="110">
        <f t="shared" si="15"/>
        <v>1.0000000009313226E-2</v>
      </c>
      <c r="R162" s="106"/>
      <c r="S162" s="111"/>
      <c r="T162" s="112"/>
      <c r="U162" s="112"/>
      <c r="V162" s="113">
        <v>42289</v>
      </c>
      <c r="W162" s="112"/>
      <c r="X162" s="112"/>
    </row>
    <row r="163" spans="1:24" ht="35.1" hidden="1" customHeight="1">
      <c r="A163" s="102" t="s">
        <v>3231</v>
      </c>
      <c r="B163" s="114" t="s">
        <v>485</v>
      </c>
      <c r="C163" s="114" t="s">
        <v>93</v>
      </c>
      <c r="D163" s="517">
        <v>42901</v>
      </c>
      <c r="E163" s="103" t="s">
        <v>3317</v>
      </c>
      <c r="F163" s="107">
        <v>8000</v>
      </c>
      <c r="G163" s="107">
        <v>600</v>
      </c>
      <c r="H163" s="107"/>
      <c r="I163" s="117">
        <f t="shared" si="13"/>
        <v>4800000</v>
      </c>
      <c r="J163" s="114" t="s">
        <v>432</v>
      </c>
      <c r="K163" s="106">
        <f>SUMIF(收发货!A:A,销售合同!A:A,收发货!D:D)</f>
        <v>8300</v>
      </c>
      <c r="L163" s="109">
        <f>SUMIF(收开票!A:A,销售合同!A:A,收开票!E:E)</f>
        <v>7353.5050000000001</v>
      </c>
      <c r="M163" s="109">
        <f>SUMIF(收开票!A:A,销售合同!A:A,收开票!F:F)</f>
        <v>4313305.17</v>
      </c>
      <c r="N163" s="109">
        <f>SUMIF(收开票!A:A,销售合同!A:A,收开票!H:H)</f>
        <v>7353.5050000000001</v>
      </c>
      <c r="O163" s="109">
        <f>SUMIF(收开票!A:A,销售合同!A:A,收开票!I:I)</f>
        <v>4313305.17</v>
      </c>
      <c r="P163" s="110">
        <f>SUMIF(收付款!A:A,销售合同!A:A,收付款!E:E)</f>
        <v>4313305.17</v>
      </c>
      <c r="Q163" s="109">
        <f t="shared" si="15"/>
        <v>0</v>
      </c>
    </row>
    <row r="164" spans="1:24" ht="35.1" hidden="1" customHeight="1">
      <c r="A164" s="102" t="s">
        <v>3242</v>
      </c>
      <c r="B164" s="114" t="s">
        <v>147</v>
      </c>
      <c r="C164" s="114" t="s">
        <v>82</v>
      </c>
      <c r="D164" s="517">
        <v>42917</v>
      </c>
      <c r="E164" s="103" t="s">
        <v>3317</v>
      </c>
      <c r="F164" s="107">
        <v>500</v>
      </c>
      <c r="G164" s="107">
        <v>12000</v>
      </c>
      <c r="H164" s="107"/>
      <c r="I164" s="117">
        <f t="shared" si="13"/>
        <v>6000000</v>
      </c>
      <c r="J164" s="114" t="s">
        <v>149</v>
      </c>
      <c r="K164" s="106">
        <f>SUMIF(收发货!A:A,销售合同!A:A,收发货!D:D)</f>
        <v>525</v>
      </c>
      <c r="L164" s="109">
        <f>SUMIF(收开票!A:A,销售合同!A:A,收开票!E:E)</f>
        <v>524.375</v>
      </c>
      <c r="M164" s="109">
        <f>SUMIF(收开票!A:A,销售合同!A:A,收开票!F:F)</f>
        <v>6289056.2000000002</v>
      </c>
      <c r="N164" s="109">
        <f>SUMIF(收开票!A:A,销售合同!A:A,收开票!H:H)</f>
        <v>524.375</v>
      </c>
      <c r="O164" s="109">
        <f>SUMIF(收开票!A:A,销售合同!A:A,收开票!I:I)</f>
        <v>6289056.2000000002</v>
      </c>
      <c r="P164" s="110">
        <f>SUMIF(收付款!A:A,销售合同!A:A,收付款!E:E)</f>
        <v>6289056.2000000002</v>
      </c>
      <c r="Q164" s="109">
        <f t="shared" si="15"/>
        <v>0</v>
      </c>
      <c r="R164" s="106"/>
      <c r="S164" s="111"/>
      <c r="T164" s="112"/>
      <c r="U164" s="112"/>
      <c r="V164" s="113">
        <v>42289</v>
      </c>
      <c r="W164" s="112"/>
      <c r="X164" s="112"/>
    </row>
    <row r="165" spans="1:24" ht="35.1" hidden="1" customHeight="1">
      <c r="A165" s="102" t="s">
        <v>3256</v>
      </c>
      <c r="B165" s="114" t="s">
        <v>485</v>
      </c>
      <c r="C165" s="114" t="s">
        <v>60</v>
      </c>
      <c r="D165" s="517">
        <v>42917</v>
      </c>
      <c r="E165" s="103" t="s">
        <v>3317</v>
      </c>
      <c r="F165" s="107">
        <v>300</v>
      </c>
      <c r="G165" s="107">
        <v>6700</v>
      </c>
      <c r="H165" s="107"/>
      <c r="I165" s="117">
        <f t="shared" si="13"/>
        <v>2010000</v>
      </c>
      <c r="J165" s="114" t="s">
        <v>149</v>
      </c>
      <c r="K165" s="106">
        <f>SUMIF(收发货!A:A,销售合同!A:A,收发货!D:D)</f>
        <v>291</v>
      </c>
      <c r="L165" s="109">
        <f>SUMIF(收开票!A:A,销售合同!A:A,收开票!E:E)</f>
        <v>296.76159999999999</v>
      </c>
      <c r="M165" s="109">
        <f>SUMIF(收开票!A:A,销售合同!A:A,收开票!F:F)</f>
        <v>1988302.7200000002</v>
      </c>
      <c r="N165" s="109">
        <f>SUMIF(收开票!A:A,销售合同!A:A,收开票!H:H)</f>
        <v>296.76159999999999</v>
      </c>
      <c r="O165" s="109">
        <f>SUMIF(收开票!A:A,销售合同!A:A,收开票!I:I)</f>
        <v>1988302.7200000002</v>
      </c>
      <c r="P165" s="110">
        <f>SUMIF(收付款!A:A,销售合同!A:A,收付款!E:E)</f>
        <v>1988302.7200000002</v>
      </c>
      <c r="Q165" s="109">
        <f t="shared" si="15"/>
        <v>0</v>
      </c>
      <c r="R165" s="106"/>
      <c r="S165" s="111"/>
      <c r="T165" s="112"/>
      <c r="U165" s="112"/>
      <c r="V165" s="113">
        <v>42289</v>
      </c>
      <c r="W165" s="112"/>
      <c r="X165" s="112"/>
    </row>
    <row r="166" spans="1:24" ht="35.1" hidden="1" customHeight="1">
      <c r="A166" s="102" t="s">
        <v>3264</v>
      </c>
      <c r="B166" s="103" t="s">
        <v>127</v>
      </c>
      <c r="C166" s="103" t="s">
        <v>3271</v>
      </c>
      <c r="D166" s="517">
        <v>42912</v>
      </c>
      <c r="E166" s="114" t="s">
        <v>2512</v>
      </c>
      <c r="F166" s="104">
        <v>200</v>
      </c>
      <c r="G166" s="104">
        <v>1153.1500000000001</v>
      </c>
      <c r="H166" s="104" t="s">
        <v>2119</v>
      </c>
      <c r="I166" s="117">
        <f t="shared" si="13"/>
        <v>230630.00000000003</v>
      </c>
      <c r="J166" s="103" t="s">
        <v>988</v>
      </c>
      <c r="K166" s="106">
        <f>SUMIF(收发货!A:A,销售合同!A:A,收发货!D:D)</f>
        <v>200</v>
      </c>
      <c r="L166" s="109">
        <f>SUMIF(收开票!A:A,销售合同!A:A,收开票!E:E)</f>
        <v>200</v>
      </c>
      <c r="M166" s="109">
        <f>SUMIF(收开票!A:A,销售合同!A:A,收开票!F:F)</f>
        <v>230630.00000000003</v>
      </c>
      <c r="N166" s="109">
        <f>SUMIF(收开票!A:A,销售合同!A:A,收开票!H:H)</f>
        <v>200</v>
      </c>
      <c r="O166" s="109">
        <f>SUMIF(收开票!A:A,销售合同!A:A,收开票!I:I)</f>
        <v>230630.00000000003</v>
      </c>
      <c r="P166" s="110">
        <f>SUMIF(收付款!A:A,销售合同!A:A,收付款!E:E)</f>
        <v>230630.00000000003</v>
      </c>
      <c r="Q166" s="110">
        <f t="shared" si="15"/>
        <v>0</v>
      </c>
      <c r="R166" s="111">
        <f>SUMIF(收付款!A:A,销售合同!A:A,收付款!I:I)</f>
        <v>0</v>
      </c>
      <c r="S166" s="111">
        <f>SUMIF(收付款!A:A,销售合同!A:A,收付款!J:J)</f>
        <v>0</v>
      </c>
      <c r="T166" s="112"/>
      <c r="U166" s="112"/>
      <c r="V166" s="113"/>
      <c r="W166" s="112"/>
      <c r="X166" s="112"/>
    </row>
    <row r="167" spans="1:24" ht="35.1" hidden="1" customHeight="1">
      <c r="A167" s="102" t="s">
        <v>3433</v>
      </c>
      <c r="B167" s="103" t="s">
        <v>127</v>
      </c>
      <c r="C167" s="103" t="s">
        <v>3271</v>
      </c>
      <c r="D167" s="517">
        <v>42913</v>
      </c>
      <c r="E167" s="114" t="s">
        <v>2512</v>
      </c>
      <c r="F167" s="104">
        <v>300</v>
      </c>
      <c r="G167" s="104">
        <v>1150</v>
      </c>
      <c r="H167" s="104" t="s">
        <v>2119</v>
      </c>
      <c r="I167" s="117">
        <f t="shared" si="13"/>
        <v>345000</v>
      </c>
      <c r="J167" s="103" t="s">
        <v>988</v>
      </c>
      <c r="K167" s="106">
        <f>SUMIF(收发货!A:A,销售合同!A:A,收发货!D:D)</f>
        <v>300</v>
      </c>
      <c r="L167" s="109">
        <f>SUMIF(收开票!A:A,销售合同!A:A,收开票!E:E)</f>
        <v>300</v>
      </c>
      <c r="M167" s="109">
        <f>SUMIF(收开票!A:A,销售合同!A:A,收开票!F:F)</f>
        <v>345000</v>
      </c>
      <c r="N167" s="109">
        <f>SUMIF(收开票!A:A,销售合同!A:A,收开票!H:H)</f>
        <v>300</v>
      </c>
      <c r="O167" s="109">
        <f>SUMIF(收开票!A:A,销售合同!A:A,收开票!I:I)</f>
        <v>345000</v>
      </c>
      <c r="P167" s="110">
        <f>SUMIF(收付款!A:A,销售合同!A:A,收付款!E:E)</f>
        <v>345000</v>
      </c>
      <c r="Q167" s="110">
        <f t="shared" si="15"/>
        <v>0</v>
      </c>
      <c r="R167" s="111">
        <f>SUMIF(收付款!A:A,销售合同!A:A,收付款!I:I)</f>
        <v>0</v>
      </c>
      <c r="S167" s="111">
        <f>SUMIF(收付款!A:A,销售合同!A:A,收付款!J:J)</f>
        <v>0</v>
      </c>
      <c r="T167" s="112"/>
      <c r="U167" s="112"/>
      <c r="V167" s="113"/>
      <c r="W167" s="112"/>
      <c r="X167" s="112"/>
    </row>
    <row r="168" spans="1:24" ht="35.1" hidden="1" customHeight="1">
      <c r="A168" s="102" t="s">
        <v>3869</v>
      </c>
      <c r="B168" s="103" t="s">
        <v>127</v>
      </c>
      <c r="C168" s="103" t="s">
        <v>3271</v>
      </c>
      <c r="D168" s="517">
        <v>42914</v>
      </c>
      <c r="E168" s="114" t="s">
        <v>2512</v>
      </c>
      <c r="F168" s="104">
        <v>300</v>
      </c>
      <c r="G168" s="104">
        <v>1160</v>
      </c>
      <c r="H168" s="104" t="s">
        <v>2119</v>
      </c>
      <c r="I168" s="117">
        <f t="shared" si="13"/>
        <v>348000</v>
      </c>
      <c r="J168" s="103" t="s">
        <v>988</v>
      </c>
      <c r="K168" s="106">
        <f>SUMIF(收发货!A:A,销售合同!A:A,收发货!D:D)</f>
        <v>300</v>
      </c>
      <c r="L168" s="109">
        <f>SUMIF(收开票!A:A,销售合同!A:A,收开票!E:E)</f>
        <v>300</v>
      </c>
      <c r="M168" s="109">
        <f>SUMIF(收开票!A:A,销售合同!A:A,收开票!F:F)</f>
        <v>348000</v>
      </c>
      <c r="N168" s="109">
        <f>SUMIF(收开票!A:A,销售合同!A:A,收开票!H:H)</f>
        <v>300</v>
      </c>
      <c r="O168" s="109">
        <f>SUMIF(收开票!A:A,销售合同!A:A,收开票!I:I)</f>
        <v>348000</v>
      </c>
      <c r="P168" s="110">
        <f>SUMIF(收付款!A:A,销售合同!A:A,收付款!E:E)</f>
        <v>348000</v>
      </c>
      <c r="Q168" s="110">
        <f t="shared" si="15"/>
        <v>0</v>
      </c>
      <c r="R168" s="111">
        <f>SUMIF(收付款!A:A,销售合同!A:A,收付款!I:I)</f>
        <v>0</v>
      </c>
      <c r="S168" s="111">
        <f>SUMIF(收付款!A:A,销售合同!A:A,收付款!J:J)</f>
        <v>0</v>
      </c>
      <c r="T168" s="112"/>
      <c r="U168" s="112"/>
      <c r="V168" s="113"/>
      <c r="W168" s="112"/>
      <c r="X168" s="112"/>
    </row>
    <row r="169" spans="1:24" ht="35.1" hidden="1" customHeight="1">
      <c r="A169" s="102" t="s">
        <v>3267</v>
      </c>
      <c r="B169" s="103" t="s">
        <v>127</v>
      </c>
      <c r="C169" s="103" t="s">
        <v>3272</v>
      </c>
      <c r="D169" s="517">
        <v>42914</v>
      </c>
      <c r="E169" s="114" t="s">
        <v>2512</v>
      </c>
      <c r="F169" s="104">
        <v>300</v>
      </c>
      <c r="G169" s="104">
        <v>1160</v>
      </c>
      <c r="H169" s="104" t="s">
        <v>2119</v>
      </c>
      <c r="I169" s="117">
        <f t="shared" si="13"/>
        <v>348000</v>
      </c>
      <c r="J169" s="103" t="s">
        <v>988</v>
      </c>
      <c r="K169" s="106">
        <f>SUMIF(收发货!A:A,销售合同!A:A,收发货!D:D)</f>
        <v>300</v>
      </c>
      <c r="L169" s="109">
        <f>SUMIF(收开票!A:A,销售合同!A:A,收开票!E:E)</f>
        <v>300</v>
      </c>
      <c r="M169" s="109">
        <f>SUMIF(收开票!A:A,销售合同!A:A,收开票!F:F)</f>
        <v>348000</v>
      </c>
      <c r="N169" s="109">
        <f>SUMIF(收开票!A:A,销售合同!A:A,收开票!H:H)</f>
        <v>300</v>
      </c>
      <c r="O169" s="109">
        <f>SUMIF(收开票!A:A,销售合同!A:A,收开票!I:I)</f>
        <v>348000</v>
      </c>
      <c r="P169" s="110">
        <f>SUMIF(收付款!A:A,销售合同!A:A,收付款!E:E)</f>
        <v>348000</v>
      </c>
      <c r="Q169" s="110">
        <f t="shared" si="15"/>
        <v>0</v>
      </c>
      <c r="R169" s="111">
        <f>SUMIF(收付款!A:A,销售合同!A:A,收付款!I:I)</f>
        <v>0</v>
      </c>
      <c r="S169" s="111">
        <f>SUMIF(收付款!A:A,销售合同!A:A,收付款!J:J)</f>
        <v>0</v>
      </c>
      <c r="T169" s="112"/>
      <c r="U169" s="112"/>
      <c r="V169" s="113"/>
      <c r="W169" s="112"/>
      <c r="X169" s="112"/>
    </row>
    <row r="170" spans="1:24" ht="35.1" hidden="1" customHeight="1">
      <c r="A170" s="102" t="s">
        <v>3268</v>
      </c>
      <c r="B170" s="103" t="s">
        <v>127</v>
      </c>
      <c r="C170" s="103" t="s">
        <v>3271</v>
      </c>
      <c r="D170" s="517">
        <v>42914</v>
      </c>
      <c r="E170" s="114" t="s">
        <v>2512</v>
      </c>
      <c r="F170" s="104">
        <v>100</v>
      </c>
      <c r="G170" s="104">
        <v>1135</v>
      </c>
      <c r="H170" s="104" t="s">
        <v>2119</v>
      </c>
      <c r="I170" s="117">
        <f t="shared" si="13"/>
        <v>113500</v>
      </c>
      <c r="J170" s="103" t="s">
        <v>988</v>
      </c>
      <c r="K170" s="106">
        <f>SUMIF(收发货!A:A,销售合同!A:A,收发货!D:D)</f>
        <v>100</v>
      </c>
      <c r="L170" s="109">
        <f>SUMIF(收开票!A:A,销售合同!A:A,收开票!E:E)</f>
        <v>100</v>
      </c>
      <c r="M170" s="109">
        <f>SUMIF(收开票!A:A,销售合同!A:A,收开票!F:F)</f>
        <v>113500</v>
      </c>
      <c r="N170" s="109">
        <f>SUMIF(收开票!A:A,销售合同!A:A,收开票!H:H)</f>
        <v>100</v>
      </c>
      <c r="O170" s="109">
        <f>SUMIF(收开票!A:A,销售合同!A:A,收开票!I:I)</f>
        <v>113500</v>
      </c>
      <c r="P170" s="110">
        <f>SUMIF(收付款!A:A,销售合同!A:A,收付款!E:E)</f>
        <v>113500</v>
      </c>
      <c r="Q170" s="110">
        <f t="shared" si="15"/>
        <v>0</v>
      </c>
      <c r="R170" s="111">
        <f>SUMIF(收付款!A:A,销售合同!A:A,收付款!I:I)</f>
        <v>0</v>
      </c>
      <c r="S170" s="111">
        <f>SUMIF(收付款!A:A,销售合同!A:A,收付款!J:J)</f>
        <v>0</v>
      </c>
      <c r="T170" s="112"/>
      <c r="U170" s="112"/>
      <c r="V170" s="113"/>
      <c r="W170" s="112"/>
      <c r="X170" s="112"/>
    </row>
    <row r="171" spans="1:24" ht="35.1" hidden="1" customHeight="1">
      <c r="A171" s="102" t="s">
        <v>3862</v>
      </c>
      <c r="B171" s="103" t="s">
        <v>127</v>
      </c>
      <c r="C171" s="103" t="s">
        <v>3271</v>
      </c>
      <c r="D171" s="517">
        <v>42915</v>
      </c>
      <c r="E171" s="114" t="s">
        <v>2512</v>
      </c>
      <c r="F171" s="104">
        <v>400</v>
      </c>
      <c r="G171" s="104">
        <v>1155</v>
      </c>
      <c r="H171" s="104" t="s">
        <v>2119</v>
      </c>
      <c r="I171" s="117">
        <f t="shared" si="13"/>
        <v>462000</v>
      </c>
      <c r="J171" s="103" t="s">
        <v>988</v>
      </c>
      <c r="K171" s="106">
        <f>SUMIF(收发货!A:A,销售合同!A:A,收发货!D:D)</f>
        <v>400</v>
      </c>
      <c r="L171" s="109">
        <f>SUMIF(收开票!A:A,销售合同!A:A,收开票!E:E)</f>
        <v>400</v>
      </c>
      <c r="M171" s="109">
        <f>SUMIF(收开票!A:A,销售合同!A:A,收开票!F:F)</f>
        <v>462000</v>
      </c>
      <c r="N171" s="109">
        <f>SUMIF(收开票!A:A,销售合同!A:A,收开票!H:H)</f>
        <v>400</v>
      </c>
      <c r="O171" s="109">
        <f>SUMIF(收开票!A:A,销售合同!A:A,收开票!I:I)</f>
        <v>462000</v>
      </c>
      <c r="P171" s="110">
        <f>SUMIF(收付款!A:A,销售合同!A:A,收付款!E:E)</f>
        <v>462000</v>
      </c>
      <c r="Q171" s="110">
        <f t="shared" si="15"/>
        <v>0</v>
      </c>
      <c r="R171" s="111">
        <f>SUMIF(收付款!A:A,销售合同!A:A,收付款!I:I)</f>
        <v>0</v>
      </c>
      <c r="S171" s="111">
        <f>SUMIF(收付款!A:A,销售合同!A:A,收付款!J:J)</f>
        <v>0</v>
      </c>
      <c r="T171" s="112"/>
      <c r="U171" s="112"/>
      <c r="V171" s="113"/>
      <c r="W171" s="112"/>
      <c r="X171" s="112"/>
    </row>
    <row r="172" spans="1:24" ht="35.1" hidden="1" customHeight="1">
      <c r="A172" s="102" t="s">
        <v>3274</v>
      </c>
      <c r="B172" s="103" t="s">
        <v>127</v>
      </c>
      <c r="C172" s="103" t="s">
        <v>3271</v>
      </c>
      <c r="D172" s="517">
        <v>42915</v>
      </c>
      <c r="E172" s="114" t="s">
        <v>2512</v>
      </c>
      <c r="F172" s="104">
        <v>200</v>
      </c>
      <c r="G172" s="104">
        <v>1135</v>
      </c>
      <c r="H172" s="104" t="s">
        <v>2119</v>
      </c>
      <c r="I172" s="117">
        <f t="shared" si="13"/>
        <v>227000</v>
      </c>
      <c r="J172" s="103" t="s">
        <v>988</v>
      </c>
      <c r="K172" s="106">
        <f>SUMIF(收发货!A:A,销售合同!A:A,收发货!D:D)</f>
        <v>200</v>
      </c>
      <c r="L172" s="109">
        <f>SUMIF(收开票!A:A,销售合同!A:A,收开票!E:E)</f>
        <v>200</v>
      </c>
      <c r="M172" s="109">
        <f>SUMIF(收开票!A:A,销售合同!A:A,收开票!F:F)</f>
        <v>227000</v>
      </c>
      <c r="N172" s="109">
        <f>SUMIF(收开票!A:A,销售合同!A:A,收开票!H:H)</f>
        <v>200</v>
      </c>
      <c r="O172" s="109">
        <f>SUMIF(收开票!A:A,销售合同!A:A,收开票!I:I)</f>
        <v>227000</v>
      </c>
      <c r="P172" s="110">
        <f>SUMIF(收付款!A:A,销售合同!A:A,收付款!E:E)</f>
        <v>227000</v>
      </c>
      <c r="Q172" s="110">
        <f t="shared" si="15"/>
        <v>0</v>
      </c>
      <c r="R172" s="111">
        <f>SUMIF(收付款!A:A,销售合同!A:A,收付款!I:I)</f>
        <v>0</v>
      </c>
      <c r="S172" s="111">
        <f>SUMIF(收付款!A:A,销售合同!A:A,收付款!J:J)</f>
        <v>0</v>
      </c>
      <c r="T172" s="112"/>
      <c r="U172" s="112"/>
      <c r="V172" s="113"/>
      <c r="W172" s="112"/>
      <c r="X172" s="112"/>
    </row>
    <row r="173" spans="1:24" ht="35.1" hidden="1" customHeight="1">
      <c r="A173" s="102" t="s">
        <v>3275</v>
      </c>
      <c r="B173" s="103" t="s">
        <v>127</v>
      </c>
      <c r="C173" s="103" t="s">
        <v>3271</v>
      </c>
      <c r="D173" s="517">
        <v>42915</v>
      </c>
      <c r="E173" s="114" t="s">
        <v>2512</v>
      </c>
      <c r="F173" s="104">
        <v>200</v>
      </c>
      <c r="G173" s="104">
        <v>1135</v>
      </c>
      <c r="H173" s="104" t="s">
        <v>2119</v>
      </c>
      <c r="I173" s="117">
        <f t="shared" si="13"/>
        <v>227000</v>
      </c>
      <c r="J173" s="103" t="s">
        <v>988</v>
      </c>
      <c r="K173" s="106">
        <f>SUMIF(收发货!A:A,销售合同!A:A,收发货!D:D)</f>
        <v>200</v>
      </c>
      <c r="L173" s="109">
        <f>SUMIF(收开票!A:A,销售合同!A:A,收开票!E:E)</f>
        <v>200</v>
      </c>
      <c r="M173" s="109">
        <f>SUMIF(收开票!A:A,销售合同!A:A,收开票!F:F)</f>
        <v>227000</v>
      </c>
      <c r="N173" s="109">
        <f>SUMIF(收开票!A:A,销售合同!A:A,收开票!H:H)</f>
        <v>200</v>
      </c>
      <c r="O173" s="109">
        <f>SUMIF(收开票!A:A,销售合同!A:A,收开票!I:I)</f>
        <v>227000</v>
      </c>
      <c r="P173" s="110">
        <f>SUMIF(收付款!A:A,销售合同!A:A,收付款!E:E)</f>
        <v>227000</v>
      </c>
      <c r="Q173" s="110">
        <f t="shared" si="15"/>
        <v>0</v>
      </c>
      <c r="R173" s="111">
        <f>SUMIF(收付款!A:A,销售合同!A:A,收付款!I:I)</f>
        <v>0</v>
      </c>
      <c r="S173" s="111">
        <f>SUMIF(收付款!A:A,销售合同!A:A,收付款!J:J)</f>
        <v>0</v>
      </c>
      <c r="T173" s="112"/>
      <c r="U173" s="112"/>
      <c r="V173" s="113"/>
      <c r="W173" s="112"/>
      <c r="X173" s="112"/>
    </row>
    <row r="174" spans="1:24" ht="35.1" hidden="1" customHeight="1">
      <c r="A174" s="102" t="s">
        <v>3469</v>
      </c>
      <c r="B174" s="114" t="s">
        <v>485</v>
      </c>
      <c r="C174" s="114" t="s">
        <v>93</v>
      </c>
      <c r="D174" s="517">
        <v>42921</v>
      </c>
      <c r="E174" s="103" t="s">
        <v>83</v>
      </c>
      <c r="F174" s="107">
        <v>10000</v>
      </c>
      <c r="G174" s="107">
        <v>660</v>
      </c>
      <c r="H174" s="107"/>
      <c r="I174" s="117">
        <f t="shared" si="13"/>
        <v>6600000</v>
      </c>
      <c r="J174" s="114" t="s">
        <v>432</v>
      </c>
      <c r="K174" s="106">
        <f>SUMIF(收发货!A:A,销售合同!A:A,收发货!D:D)</f>
        <v>10084.92</v>
      </c>
      <c r="L174" s="109">
        <f>SUMIF(收开票!A:A,销售合同!A:A,收开票!E:E)</f>
        <v>8854.6582999999991</v>
      </c>
      <c r="M174" s="109">
        <f>SUMIF(收开票!A:A,销售合同!A:A,收开票!F:F)</f>
        <v>5659381.9900000002</v>
      </c>
      <c r="N174" s="109">
        <f>SUMIF(收开票!A:A,销售合同!A:A,收开票!H:H)</f>
        <v>8854.6582999999991</v>
      </c>
      <c r="O174" s="109">
        <f>SUMIF(收开票!A:A,销售合同!A:A,收开票!I:I)</f>
        <v>5659381.9900000002</v>
      </c>
      <c r="P174" s="110">
        <f>SUMIF(收付款!A:A,销售合同!A:A,收付款!E:E)</f>
        <v>5659381.9900000002</v>
      </c>
      <c r="Q174" s="109">
        <f t="shared" si="15"/>
        <v>0</v>
      </c>
    </row>
    <row r="175" spans="1:24" ht="35.1" hidden="1" customHeight="1">
      <c r="A175" s="102" t="s">
        <v>3361</v>
      </c>
      <c r="B175" s="114" t="s">
        <v>147</v>
      </c>
      <c r="C175" s="114" t="s">
        <v>82</v>
      </c>
      <c r="D175" s="517">
        <v>42928</v>
      </c>
      <c r="E175" s="103" t="s">
        <v>83</v>
      </c>
      <c r="F175" s="107">
        <v>160</v>
      </c>
      <c r="G175" s="107">
        <v>11500</v>
      </c>
      <c r="H175" s="107"/>
      <c r="I175" s="117">
        <f t="shared" si="13"/>
        <v>1840000</v>
      </c>
      <c r="J175" s="114" t="s">
        <v>149</v>
      </c>
      <c r="K175" s="106">
        <f>SUMIF(收发货!A:A,销售合同!A:A,收发货!D:D)</f>
        <v>167</v>
      </c>
      <c r="L175" s="109">
        <f>SUMIF(收开票!A:A,销售合同!A:A,收开票!E:E)</f>
        <v>166.97909999999999</v>
      </c>
      <c r="M175" s="109">
        <f>SUMIF(收开票!A:A,销售合同!A:A,收开票!F:F)</f>
        <v>1917061.45</v>
      </c>
      <c r="N175" s="109">
        <f>SUMIF(收开票!A:A,销售合同!A:A,收开票!H:H)</f>
        <v>166.97909999999999</v>
      </c>
      <c r="O175" s="109">
        <f>SUMIF(收开票!A:A,销售合同!A:A,收开票!I:I)</f>
        <v>1917061.45</v>
      </c>
      <c r="P175" s="110">
        <f>SUMIF(收付款!A:A,销售合同!A:A,收付款!E:E)</f>
        <v>1917061.45</v>
      </c>
      <c r="Q175" s="109">
        <f t="shared" si="15"/>
        <v>0</v>
      </c>
      <c r="R175" s="106"/>
      <c r="S175" s="111"/>
      <c r="T175" s="112"/>
      <c r="U175" s="112"/>
      <c r="V175" s="113">
        <v>42289</v>
      </c>
      <c r="W175" s="112"/>
      <c r="X175" s="112"/>
    </row>
    <row r="176" spans="1:24" ht="33.75" hidden="1" customHeight="1">
      <c r="A176" s="102" t="s">
        <v>3410</v>
      </c>
      <c r="B176" s="103" t="s">
        <v>127</v>
      </c>
      <c r="C176" s="103" t="s">
        <v>103</v>
      </c>
      <c r="D176" s="517">
        <v>42930</v>
      </c>
      <c r="E176" s="103" t="s">
        <v>139</v>
      </c>
      <c r="F176" s="104">
        <v>150</v>
      </c>
      <c r="G176" s="104">
        <v>11350</v>
      </c>
      <c r="H176" s="104">
        <v>11000</v>
      </c>
      <c r="I176" s="117">
        <f t="shared" si="13"/>
        <v>1702500</v>
      </c>
      <c r="J176" s="103" t="s">
        <v>3411</v>
      </c>
      <c r="K176" s="106">
        <f>SUMIF(收发货!A:A,销售合同!A:A,收发货!D:D)</f>
        <v>155</v>
      </c>
      <c r="L176" s="107">
        <f>SUMIF(收开票!A:A,销售合同!A:A,收开票!E:E)</f>
        <v>154.667</v>
      </c>
      <c r="M176" s="108">
        <f>SUMIF(收开票!A:A,销售合同!A:A,收开票!F:F)</f>
        <v>1724696.67</v>
      </c>
      <c r="N176" s="109">
        <f>SUMIF(收开票!A:A,销售合同!A:A,收开票!H:H)</f>
        <v>154.667</v>
      </c>
      <c r="O176" s="109">
        <f>SUMIF(收开票!A:A,销售合同!A:A,收开票!I:I)</f>
        <v>1724686.67</v>
      </c>
      <c r="P176" s="110">
        <f>SUMIF(收付款!A:A,销售合同!A:A,收付款!E:E)</f>
        <v>1724696.67</v>
      </c>
      <c r="Q176" s="110"/>
      <c r="R176" s="111"/>
      <c r="S176" s="111"/>
      <c r="T176" s="112"/>
      <c r="U176" s="112"/>
      <c r="V176" s="113"/>
      <c r="W176" s="112"/>
      <c r="X176" s="112"/>
    </row>
    <row r="177" spans="1:24" ht="45.75" hidden="1" customHeight="1">
      <c r="A177" s="102" t="s">
        <v>3412</v>
      </c>
      <c r="B177" s="114" t="s">
        <v>485</v>
      </c>
      <c r="C177" s="114" t="s">
        <v>2765</v>
      </c>
      <c r="D177" s="517">
        <v>42933</v>
      </c>
      <c r="E177" s="103" t="s">
        <v>3528</v>
      </c>
      <c r="F177" s="107">
        <v>15000</v>
      </c>
      <c r="G177" s="107">
        <v>1188.5</v>
      </c>
      <c r="H177" s="107"/>
      <c r="I177" s="117">
        <f t="shared" si="13"/>
        <v>17827500</v>
      </c>
      <c r="J177" s="114" t="s">
        <v>4045</v>
      </c>
      <c r="K177" s="106">
        <f>SUMIF(收发货!A:A,销售合同!A:A,收发货!D:D)</f>
        <v>17369.8</v>
      </c>
      <c r="L177" s="109">
        <f>SUMIF(收开票!A:A,销售合同!A:A,收开票!E:E)</f>
        <v>16917.958999999999</v>
      </c>
      <c r="M177" s="109">
        <f>SUMIF(收开票!A:A,销售合同!A:A,收开票!F:F)</f>
        <v>20064107.27</v>
      </c>
      <c r="N177" s="109">
        <f>SUMIF(收开票!A:A,销售合同!A:A,收开票!H:H)</f>
        <v>16917.958999999999</v>
      </c>
      <c r="O177" s="109">
        <f>SUMIF(收开票!A:A,销售合同!A:A,收开票!I:I)</f>
        <v>20064107.27</v>
      </c>
      <c r="P177" s="110">
        <f>SUMIF(收付款!A:A,销售合同!A:A,收付款!E:E)</f>
        <v>20064107.27</v>
      </c>
      <c r="Q177" s="110">
        <f>O177-P177</f>
        <v>0</v>
      </c>
      <c r="R177" s="161"/>
    </row>
    <row r="178" spans="1:24" ht="35.1" hidden="1" customHeight="1">
      <c r="A178" s="102" t="s">
        <v>3430</v>
      </c>
      <c r="B178" s="103" t="s">
        <v>127</v>
      </c>
      <c r="C178" s="103" t="s">
        <v>3271</v>
      </c>
      <c r="D178" s="517">
        <v>42923</v>
      </c>
      <c r="E178" s="114" t="s">
        <v>2512</v>
      </c>
      <c r="F178" s="104">
        <v>200</v>
      </c>
      <c r="G178" s="104">
        <v>1225</v>
      </c>
      <c r="H178" s="104" t="s">
        <v>2119</v>
      </c>
      <c r="I178" s="117">
        <f t="shared" si="13"/>
        <v>245000</v>
      </c>
      <c r="J178" s="103" t="s">
        <v>988</v>
      </c>
      <c r="K178" s="106">
        <f>SUMIF(收发货!A:A,销售合同!A:A,收发货!D:D)</f>
        <v>200</v>
      </c>
      <c r="L178" s="109">
        <f>SUMIF(收开票!A:A,销售合同!A:A,收开票!E:E)</f>
        <v>200</v>
      </c>
      <c r="M178" s="109">
        <f>SUMIF(收开票!A:A,销售合同!A:A,收开票!F:F)</f>
        <v>245000</v>
      </c>
      <c r="N178" s="109">
        <f>SUMIF(收开票!A:A,销售合同!A:A,收开票!H:H)</f>
        <v>200</v>
      </c>
      <c r="O178" s="109">
        <f>SUMIF(收开票!A:A,销售合同!A:A,收开票!I:I)</f>
        <v>245000</v>
      </c>
      <c r="P178" s="110">
        <f>SUMIF(收付款!A:A,销售合同!A:A,收付款!E:E)</f>
        <v>245000</v>
      </c>
      <c r="Q178" s="110">
        <f>O178-P178</f>
        <v>0</v>
      </c>
      <c r="R178" s="111">
        <f>SUMIF(收付款!A:A,销售合同!A:A,收付款!I:I)</f>
        <v>0</v>
      </c>
      <c r="S178" s="111">
        <f>SUMIF(收付款!A:A,销售合同!A:A,收付款!J:J)</f>
        <v>0</v>
      </c>
      <c r="T178" s="112"/>
      <c r="U178" s="112"/>
      <c r="V178" s="113"/>
      <c r="W178" s="112"/>
      <c r="X178" s="112"/>
    </row>
    <row r="179" spans="1:24" ht="35.1" hidden="1" customHeight="1">
      <c r="A179" s="102" t="s">
        <v>3431</v>
      </c>
      <c r="B179" s="103" t="s">
        <v>127</v>
      </c>
      <c r="C179" s="103" t="s">
        <v>3271</v>
      </c>
      <c r="D179" s="517">
        <v>42935</v>
      </c>
      <c r="E179" s="114" t="s">
        <v>2512</v>
      </c>
      <c r="F179" s="104">
        <v>240</v>
      </c>
      <c r="G179" s="104">
        <v>1135</v>
      </c>
      <c r="H179" s="104" t="s">
        <v>2119</v>
      </c>
      <c r="I179" s="117">
        <f t="shared" si="13"/>
        <v>272400</v>
      </c>
      <c r="J179" s="103" t="s">
        <v>988</v>
      </c>
      <c r="K179" s="106">
        <f>SUMIF(收发货!A:A,销售合同!A:A,收发货!D:D)</f>
        <v>240</v>
      </c>
      <c r="L179" s="109">
        <f>SUMIF(收开票!A:A,销售合同!A:A,收开票!E:E)</f>
        <v>240</v>
      </c>
      <c r="M179" s="109">
        <f>SUMIF(收开票!A:A,销售合同!A:A,收开票!F:F)</f>
        <v>280800</v>
      </c>
      <c r="N179" s="109">
        <f>SUMIF(收开票!A:A,销售合同!A:A,收开票!H:H)</f>
        <v>240</v>
      </c>
      <c r="O179" s="109">
        <f>SUMIF(收开票!A:A,销售合同!A:A,收开票!I:I)</f>
        <v>280800</v>
      </c>
      <c r="P179" s="110">
        <f>SUMIF(收付款!A:A,销售合同!A:A,收付款!E:E)</f>
        <v>280800</v>
      </c>
      <c r="Q179" s="110">
        <f>O179-P179</f>
        <v>0</v>
      </c>
      <c r="R179" s="111">
        <f>SUMIF(收付款!A:A,销售合同!A:A,收付款!I:I)</f>
        <v>0</v>
      </c>
      <c r="S179" s="111">
        <f>SUMIF(收付款!A:A,销售合同!A:A,收付款!J:J)</f>
        <v>0</v>
      </c>
      <c r="T179" s="112"/>
      <c r="U179" s="112"/>
      <c r="V179" s="113"/>
      <c r="W179" s="112"/>
      <c r="X179" s="112"/>
    </row>
    <row r="180" spans="1:24" ht="35.1" hidden="1" customHeight="1">
      <c r="A180" s="102" t="s">
        <v>3451</v>
      </c>
      <c r="B180" s="114" t="s">
        <v>485</v>
      </c>
      <c r="C180" s="114" t="s">
        <v>60</v>
      </c>
      <c r="D180" s="517">
        <v>42948</v>
      </c>
      <c r="E180" s="103" t="s">
        <v>83</v>
      </c>
      <c r="F180" s="107">
        <v>400</v>
      </c>
      <c r="G180" s="107">
        <v>7250</v>
      </c>
      <c r="H180" s="107"/>
      <c r="I180" s="117">
        <f t="shared" si="13"/>
        <v>2900000</v>
      </c>
      <c r="J180" s="114" t="s">
        <v>149</v>
      </c>
      <c r="K180" s="106">
        <f>SUMIF(收发货!A:A,销售合同!A:A,收发货!D:D)</f>
        <v>381</v>
      </c>
      <c r="L180" s="109">
        <f>SUMIF(收开票!A:A,销售合同!A:A,收开票!E:E)</f>
        <v>389.65269999999998</v>
      </c>
      <c r="M180" s="109">
        <f>SUMIF(收开票!A:A,销售合同!A:A,收开票!F:F)</f>
        <v>2809959.82</v>
      </c>
      <c r="N180" s="445">
        <f>SUMIF(收开票!A:A,销售合同!A:A,收开票!H:H)</f>
        <v>389.65269999999998</v>
      </c>
      <c r="O180" s="109">
        <f>SUMIF(收开票!A:A,销售合同!A:A,收开票!I:I)</f>
        <v>2809959.82</v>
      </c>
      <c r="P180" s="110">
        <f>SUMIF(收付款!A:A,销售合同!A:A,收付款!E:E)</f>
        <v>2809959.8200000003</v>
      </c>
      <c r="Q180" s="109">
        <f>O180-P180</f>
        <v>0</v>
      </c>
      <c r="R180" s="106"/>
      <c r="S180" s="111"/>
      <c r="T180" s="112"/>
      <c r="U180" s="112"/>
      <c r="V180" s="113">
        <v>42289</v>
      </c>
      <c r="W180" s="112"/>
      <c r="X180" s="112"/>
    </row>
    <row r="181" spans="1:24" ht="35.1" hidden="1" customHeight="1">
      <c r="A181" s="102" t="s">
        <v>3504</v>
      </c>
      <c r="B181" s="114" t="s">
        <v>147</v>
      </c>
      <c r="C181" s="114" t="s">
        <v>82</v>
      </c>
      <c r="D181" s="517">
        <v>42948</v>
      </c>
      <c r="E181" s="103" t="s">
        <v>83</v>
      </c>
      <c r="F181" s="107">
        <v>120</v>
      </c>
      <c r="G181" s="107">
        <v>11650</v>
      </c>
      <c r="H181" s="107"/>
      <c r="I181" s="117">
        <f t="shared" si="13"/>
        <v>1398000</v>
      </c>
      <c r="J181" s="114" t="s">
        <v>149</v>
      </c>
      <c r="K181" s="106">
        <f>SUMIF(收发货!A:A,销售合同!A:A,收发货!D:D)</f>
        <v>124</v>
      </c>
      <c r="L181" s="109">
        <f>SUMIF(收开票!A:A,销售合同!A:A,收开票!E:E)</f>
        <v>123.896</v>
      </c>
      <c r="M181" s="109">
        <f>SUMIF(收开票!A:A,销售合同!A:A,收开票!F:F)</f>
        <v>1443388.4</v>
      </c>
      <c r="N181" s="109">
        <f>SUMIF(收开票!A:A,销售合同!A:A,收开票!H:H)</f>
        <v>123.896</v>
      </c>
      <c r="O181" s="109">
        <f>SUMIF(收开票!A:A,销售合同!A:A,收开票!I:I)</f>
        <v>1443388.4</v>
      </c>
      <c r="P181" s="110">
        <f>SUMIF(收付款!A:A,销售合同!A:A,收付款!E:E)</f>
        <v>1443388.4</v>
      </c>
      <c r="Q181" s="109">
        <f>O181-P181</f>
        <v>0</v>
      </c>
      <c r="R181" s="106"/>
      <c r="S181" s="111"/>
      <c r="T181" s="112"/>
      <c r="U181" s="112"/>
      <c r="V181" s="113">
        <v>42289</v>
      </c>
      <c r="W181" s="112"/>
      <c r="X181" s="112"/>
    </row>
    <row r="182" spans="1:24" ht="35.1" hidden="1" customHeight="1">
      <c r="A182" s="102" t="s">
        <v>3503</v>
      </c>
      <c r="B182" s="114" t="s">
        <v>147</v>
      </c>
      <c r="C182" s="114" t="s">
        <v>3502</v>
      </c>
      <c r="D182" s="517">
        <v>42948</v>
      </c>
      <c r="E182" s="103" t="s">
        <v>3067</v>
      </c>
      <c r="F182" s="107">
        <v>150</v>
      </c>
      <c r="G182" s="107">
        <v>11150</v>
      </c>
      <c r="H182" s="107"/>
      <c r="I182" s="117">
        <f t="shared" ref="I182:I213" si="16">F182*G182</f>
        <v>1672500</v>
      </c>
      <c r="J182" s="114" t="s">
        <v>3033</v>
      </c>
      <c r="K182" s="106">
        <f>SUMIF(收发货!A:A,销售合同!A:A,收发货!D:D)</f>
        <v>150</v>
      </c>
      <c r="L182" s="109">
        <f>SUMIF(收开票!A:A,销售合同!A:A,收开票!E:E)</f>
        <v>150</v>
      </c>
      <c r="M182" s="109">
        <f>SUMIF(收开票!A:A,销售合同!A:A,收开票!F:F)</f>
        <v>1672500</v>
      </c>
      <c r="N182" s="109">
        <f>SUMIF(收开票!A:A,销售合同!A:A,收开票!H:H)</f>
        <v>150</v>
      </c>
      <c r="O182" s="109">
        <f>SUMIF(收开票!A:A,销售合同!A:A,收开票!I:I)</f>
        <v>1672500</v>
      </c>
      <c r="P182" s="110">
        <f>SUMIF(收付款!A:A,销售合同!A:A,收付款!E:E)</f>
        <v>1672500</v>
      </c>
      <c r="Q182" s="110"/>
      <c r="R182" s="111">
        <f>SUMIF(收付款!A:A,销售合同!A:A,收付款!I:I)</f>
        <v>0</v>
      </c>
      <c r="S182" s="111">
        <f>SUMIF(收付款!A:A,销售合同!A:A,收付款!J:J)</f>
        <v>0</v>
      </c>
    </row>
    <row r="183" spans="1:24" ht="45.75" hidden="1" customHeight="1">
      <c r="A183" s="102" t="s">
        <v>3530</v>
      </c>
      <c r="B183" s="114" t="s">
        <v>485</v>
      </c>
      <c r="C183" s="114" t="s">
        <v>3001</v>
      </c>
      <c r="D183" s="517">
        <v>42948</v>
      </c>
      <c r="E183" s="103" t="s">
        <v>2763</v>
      </c>
      <c r="F183" s="107">
        <v>20</v>
      </c>
      <c r="G183" s="107">
        <v>302589</v>
      </c>
      <c r="H183" s="107">
        <v>312000</v>
      </c>
      <c r="I183" s="117">
        <f t="shared" si="16"/>
        <v>6051780</v>
      </c>
      <c r="J183" s="114" t="s">
        <v>2766</v>
      </c>
      <c r="K183" s="106">
        <f>SUMIF(收发货!A:A,销售合同!A:A,收发货!D:D)</f>
        <v>20</v>
      </c>
      <c r="L183" s="109">
        <f>SUMIF(收开票!A:A,销售合同!A:A,收开票!E:E)</f>
        <v>20.033000000000001</v>
      </c>
      <c r="M183" s="109">
        <f>SUMIF(收开票!A:A,销售合同!A:A,收开票!F:F)</f>
        <v>6002387.625</v>
      </c>
      <c r="N183" s="109">
        <f>SUMIF(收开票!A:A,销售合同!A:A,收开票!H:H)</f>
        <v>20.033000000000001</v>
      </c>
      <c r="O183" s="109">
        <f>SUMIF(收开票!A:A,销售合同!A:A,收开票!I:I)</f>
        <v>6002387.625</v>
      </c>
      <c r="P183" s="110">
        <f>SUMIF(收付款!A:A,销售合同!A:A,收付款!E:E)</f>
        <v>6002387.6299999999</v>
      </c>
      <c r="Q183" s="110">
        <f t="shared" ref="Q183:Q188" si="17">O183-P183</f>
        <v>-4.999999888241291E-3</v>
      </c>
      <c r="R183" s="161"/>
    </row>
    <row r="184" spans="1:24" ht="35.1" hidden="1" customHeight="1">
      <c r="A184" s="102" t="s">
        <v>3543</v>
      </c>
      <c r="B184" s="114" t="s">
        <v>193</v>
      </c>
      <c r="C184" s="114" t="s">
        <v>194</v>
      </c>
      <c r="D184" s="517">
        <v>42950</v>
      </c>
      <c r="E184" s="118" t="s">
        <v>621</v>
      </c>
      <c r="F184" s="107">
        <v>2</v>
      </c>
      <c r="G184" s="107">
        <v>11000</v>
      </c>
      <c r="H184" s="107"/>
      <c r="I184" s="122">
        <f t="shared" si="16"/>
        <v>22000</v>
      </c>
      <c r="J184" s="118" t="s">
        <v>619</v>
      </c>
      <c r="K184" s="106">
        <f>SUMIF(收发货!A:A,销售合同!A:A,收发货!D:D)</f>
        <v>2</v>
      </c>
      <c r="L184" s="107">
        <f>SUMIF(收开票!A:A,销售合同!A:A,收开票!E:E)</f>
        <v>2</v>
      </c>
      <c r="M184" s="108">
        <f>SUMIF(收开票!A:A,销售合同!A:A,收开票!F:F)</f>
        <v>22000</v>
      </c>
      <c r="N184" s="109">
        <f>SUMIF(收开票!A:A,销售合同!A:A,收开票!H:H)</f>
        <v>2</v>
      </c>
      <c r="O184" s="109">
        <f>SUMIF(收开票!A:A,销售合同!A:A,收开票!I:I)</f>
        <v>22000</v>
      </c>
      <c r="P184" s="110">
        <f>SUMIF(收付款!A:A,销售合同!A:A,收付款!E:E)</f>
        <v>22000</v>
      </c>
      <c r="Q184" s="110">
        <f t="shared" si="17"/>
        <v>0</v>
      </c>
      <c r="R184" s="111"/>
      <c r="S184" s="111">
        <f>SUMIF(收付款!A:A,销售合同!A:A,收付款!J:J)</f>
        <v>0</v>
      </c>
      <c r="T184" s="112"/>
      <c r="U184" s="112"/>
    </row>
    <row r="185" spans="1:24" ht="35.1" hidden="1" customHeight="1">
      <c r="A185" s="102" t="s">
        <v>3570</v>
      </c>
      <c r="B185" s="103" t="s">
        <v>127</v>
      </c>
      <c r="C185" s="103" t="s">
        <v>3271</v>
      </c>
      <c r="D185" s="517">
        <v>42942</v>
      </c>
      <c r="E185" s="114" t="s">
        <v>3572</v>
      </c>
      <c r="F185" s="104">
        <v>40</v>
      </c>
      <c r="G185" s="104">
        <v>1290</v>
      </c>
      <c r="H185" s="104" t="s">
        <v>2119</v>
      </c>
      <c r="I185" s="117">
        <f t="shared" si="16"/>
        <v>51600</v>
      </c>
      <c r="J185" s="103" t="s">
        <v>988</v>
      </c>
      <c r="K185" s="106">
        <f>SUMIF(收发货!A:A,销售合同!A:A,收发货!D:D)</f>
        <v>40</v>
      </c>
      <c r="L185" s="109">
        <f>SUMIF(收开票!A:A,销售合同!A:A,收开票!E:E)</f>
        <v>40</v>
      </c>
      <c r="M185" s="109">
        <f>SUMIF(收开票!A:A,销售合同!A:A,收开票!F:F)</f>
        <v>51600</v>
      </c>
      <c r="N185" s="109">
        <f>SUMIF(收开票!A:A,销售合同!A:A,收开票!H:H)</f>
        <v>40</v>
      </c>
      <c r="O185" s="109">
        <f>SUMIF(收开票!A:A,销售合同!A:A,收开票!I:I)</f>
        <v>51600</v>
      </c>
      <c r="P185" s="110">
        <f>SUMIF(收付款!A:A,销售合同!A:A,收付款!E:E)</f>
        <v>51505.91</v>
      </c>
      <c r="Q185" s="110">
        <f t="shared" si="17"/>
        <v>94.089999999996508</v>
      </c>
      <c r="R185" s="111">
        <f>SUMIF(收付款!A:A,销售合同!A:A,收付款!I:I)</f>
        <v>0</v>
      </c>
      <c r="S185" s="111">
        <f>SUMIF(收付款!A:A,销售合同!A:A,收付款!J:J)</f>
        <v>0</v>
      </c>
      <c r="T185" s="112"/>
      <c r="U185" s="112"/>
      <c r="V185" s="113"/>
      <c r="W185" s="112"/>
      <c r="X185" s="112"/>
    </row>
    <row r="186" spans="1:24" ht="35.1" hidden="1" customHeight="1">
      <c r="A186" s="102" t="s">
        <v>3571</v>
      </c>
      <c r="B186" s="103" t="s">
        <v>127</v>
      </c>
      <c r="C186" s="103" t="s">
        <v>3271</v>
      </c>
      <c r="D186" s="517">
        <v>42947</v>
      </c>
      <c r="E186" s="114" t="s">
        <v>4021</v>
      </c>
      <c r="F186" s="104">
        <v>100</v>
      </c>
      <c r="G186" s="104">
        <v>1190</v>
      </c>
      <c r="H186" s="104" t="s">
        <v>2119</v>
      </c>
      <c r="I186" s="117">
        <f t="shared" si="16"/>
        <v>119000</v>
      </c>
      <c r="J186" s="103" t="s">
        <v>988</v>
      </c>
      <c r="K186" s="106">
        <f>SUMIF(收发货!A:A,销售合同!A:A,收发货!D:D)</f>
        <v>100</v>
      </c>
      <c r="L186" s="109">
        <f>SUMIF(收开票!A:A,销售合同!A:A,收开票!E:E)</f>
        <v>100</v>
      </c>
      <c r="M186" s="109">
        <f>SUMIF(收开票!A:A,销售合同!A:A,收开票!F:F)</f>
        <v>119000</v>
      </c>
      <c r="N186" s="109">
        <f>SUMIF(收开票!A:A,销售合同!A:A,收开票!H:H)</f>
        <v>100</v>
      </c>
      <c r="O186" s="109">
        <f>SUMIF(收开票!A:A,销售合同!A:A,收开票!I:I)</f>
        <v>119000</v>
      </c>
      <c r="P186" s="110">
        <f>SUMIF(收付款!A:A,销售合同!A:A,收付款!E:E)</f>
        <v>118709.64</v>
      </c>
      <c r="Q186" s="110">
        <f t="shared" si="17"/>
        <v>290.36000000000058</v>
      </c>
      <c r="R186" s="111">
        <f>SUMIF(收付款!A:A,销售合同!A:A,收付款!I:I)</f>
        <v>0</v>
      </c>
      <c r="S186" s="111">
        <f>SUMIF(收付款!A:A,销售合同!A:A,收付款!J:J)</f>
        <v>0</v>
      </c>
      <c r="T186" s="112"/>
      <c r="U186" s="112"/>
      <c r="V186" s="113"/>
      <c r="W186" s="112"/>
      <c r="X186" s="112"/>
    </row>
    <row r="187" spans="1:24" ht="35.1" hidden="1" customHeight="1">
      <c r="A187" s="102" t="s">
        <v>3573</v>
      </c>
      <c r="B187" s="103" t="s">
        <v>127</v>
      </c>
      <c r="C187" s="103" t="s">
        <v>240</v>
      </c>
      <c r="D187" s="517">
        <v>42949</v>
      </c>
      <c r="E187" s="114" t="s">
        <v>2512</v>
      </c>
      <c r="F187" s="104">
        <v>300</v>
      </c>
      <c r="G187" s="104">
        <v>1490</v>
      </c>
      <c r="H187" s="104" t="s">
        <v>3574</v>
      </c>
      <c r="I187" s="117">
        <f t="shared" si="16"/>
        <v>447000</v>
      </c>
      <c r="J187" s="103" t="s">
        <v>988</v>
      </c>
      <c r="K187" s="106">
        <f>SUMIF(收发货!A:A,销售合同!A:A,收发货!D:D)</f>
        <v>300</v>
      </c>
      <c r="L187" s="109">
        <f>SUMIF(收开票!A:A,销售合同!A:A,收开票!E:E)</f>
        <v>300</v>
      </c>
      <c r="M187" s="109">
        <f>SUMIF(收开票!A:A,销售合同!A:A,收开票!F:F)</f>
        <v>447000</v>
      </c>
      <c r="N187" s="109">
        <f>SUMIF(收开票!A:A,销售合同!A:A,收开票!H:H)</f>
        <v>300</v>
      </c>
      <c r="O187" s="109">
        <f>SUMIF(收开票!A:A,销售合同!A:A,收开票!I:I)</f>
        <v>447000</v>
      </c>
      <c r="P187" s="110">
        <f>SUMIF(收付款!A:A,销售合同!A:A,收付款!E:E)</f>
        <v>447000</v>
      </c>
      <c r="Q187" s="110">
        <f t="shared" si="17"/>
        <v>0</v>
      </c>
      <c r="R187" s="111">
        <f>SUMIF(收付款!A:A,销售合同!A:A,收付款!I:I)</f>
        <v>0</v>
      </c>
      <c r="S187" s="111">
        <f>SUMIF(收付款!A:A,销售合同!A:A,收付款!J:J)</f>
        <v>0</v>
      </c>
      <c r="T187" s="112"/>
      <c r="U187" s="112"/>
      <c r="V187" s="113"/>
      <c r="W187" s="112"/>
      <c r="X187" s="112"/>
    </row>
    <row r="188" spans="1:24" ht="35.1" hidden="1" customHeight="1">
      <c r="A188" s="102" t="s">
        <v>4823</v>
      </c>
      <c r="B188" s="114" t="s">
        <v>485</v>
      </c>
      <c r="C188" s="114" t="s">
        <v>93</v>
      </c>
      <c r="D188" s="517">
        <v>42948</v>
      </c>
      <c r="E188" s="103" t="s">
        <v>83</v>
      </c>
      <c r="F188" s="107">
        <v>10000</v>
      </c>
      <c r="G188" s="107">
        <v>700</v>
      </c>
      <c r="H188" s="107"/>
      <c r="I188" s="117">
        <f t="shared" si="16"/>
        <v>7000000</v>
      </c>
      <c r="J188" s="114" t="s">
        <v>432</v>
      </c>
      <c r="K188" s="106">
        <f>SUMIF(收发货!A:A,销售合同!A:A,收发货!D:D)</f>
        <v>9300</v>
      </c>
      <c r="L188" s="109">
        <f>SUMIF(收开票!A:A,销售合同!A:A,收开票!E:E)</f>
        <v>8018.8824000000004</v>
      </c>
      <c r="M188" s="109">
        <f>SUMIF(收开票!A:A,销售合同!A:A,收开票!F:F)</f>
        <v>5470437.5099999998</v>
      </c>
      <c r="N188" s="109">
        <f>SUMIF(收开票!A:A,销售合同!A:A,收开票!H:H)</f>
        <v>8018.8824000000004</v>
      </c>
      <c r="O188" s="109">
        <f>SUMIF(收开票!A:A,销售合同!A:A,收开票!I:I)</f>
        <v>5470437.5099999998</v>
      </c>
      <c r="P188" s="110">
        <f>SUMIF(收付款!A:A,销售合同!A:A,收付款!E:E)</f>
        <v>5462601.7299999995</v>
      </c>
      <c r="Q188" s="109">
        <f t="shared" si="17"/>
        <v>7835.7800000002608</v>
      </c>
    </row>
    <row r="189" spans="1:24" ht="35.1" hidden="1" customHeight="1">
      <c r="A189" s="102" t="s">
        <v>3634</v>
      </c>
      <c r="B189" s="114" t="s">
        <v>147</v>
      </c>
      <c r="C189" s="114" t="s">
        <v>3632</v>
      </c>
      <c r="D189" s="517">
        <v>42948</v>
      </c>
      <c r="E189" s="103" t="s">
        <v>3067</v>
      </c>
      <c r="F189" s="107">
        <v>224</v>
      </c>
      <c r="G189" s="107">
        <v>1050</v>
      </c>
      <c r="H189" s="107"/>
      <c r="I189" s="117">
        <f t="shared" si="16"/>
        <v>235200</v>
      </c>
      <c r="J189" s="114" t="s">
        <v>3633</v>
      </c>
      <c r="K189" s="106">
        <f>SUMIF(收发货!A:A,销售合同!A:A,收发货!D:D)</f>
        <v>221</v>
      </c>
      <c r="L189" s="109">
        <f>SUMIF(收开票!A:A,销售合同!A:A,收开票!E:E)</f>
        <v>221</v>
      </c>
      <c r="M189" s="109">
        <f>SUMIF(收开票!A:A,销售合同!A:A,收开票!F:F)</f>
        <v>235200</v>
      </c>
      <c r="N189" s="109">
        <f>SUMIF(收开票!A:A,销售合同!A:A,收开票!H:H)</f>
        <v>221</v>
      </c>
      <c r="O189" s="109">
        <f>SUMIF(收开票!A:A,销售合同!A:A,收开票!I:I)</f>
        <v>235200</v>
      </c>
      <c r="P189" s="110">
        <f>SUMIF(收付款!A:A,销售合同!A:A,收付款!E:E)</f>
        <v>235200</v>
      </c>
      <c r="Q189" s="110"/>
      <c r="R189" s="111">
        <f>SUMIF(收付款!A:A,销售合同!A:A,收付款!I:I)</f>
        <v>0</v>
      </c>
      <c r="S189" s="111">
        <f>SUMIF(收付款!A:A,销售合同!A:A,收付款!J:J)</f>
        <v>0</v>
      </c>
    </row>
    <row r="190" spans="1:24" ht="35.1" hidden="1" customHeight="1">
      <c r="A190" s="102" t="s">
        <v>3661</v>
      </c>
      <c r="B190" s="114" t="s">
        <v>147</v>
      </c>
      <c r="C190" s="114" t="s">
        <v>3632</v>
      </c>
      <c r="D190" s="517">
        <v>42969</v>
      </c>
      <c r="E190" s="103" t="s">
        <v>3067</v>
      </c>
      <c r="F190" s="107">
        <v>276</v>
      </c>
      <c r="G190" s="107">
        <v>1050</v>
      </c>
      <c r="H190" s="107"/>
      <c r="I190" s="117">
        <f t="shared" si="16"/>
        <v>289800</v>
      </c>
      <c r="J190" s="114" t="s">
        <v>3633</v>
      </c>
      <c r="K190" s="106">
        <f>SUMIF(收发货!A:A,销售合同!A:A,收发货!D:D)</f>
        <v>279</v>
      </c>
      <c r="L190" s="109">
        <f>SUMIF(收开票!A:A,销售合同!A:A,收开票!E:E)</f>
        <v>279</v>
      </c>
      <c r="M190" s="109">
        <f>SUMIF(收开票!A:A,销售合同!A:A,收开票!F:F)</f>
        <v>289800</v>
      </c>
      <c r="N190" s="109">
        <f>SUMIF(收开票!A:A,销售合同!A:A,收开票!H:H)</f>
        <v>279</v>
      </c>
      <c r="O190" s="109">
        <f>SUMIF(收开票!A:A,销售合同!A:A,收开票!I:I)</f>
        <v>289800</v>
      </c>
      <c r="P190" s="110">
        <f>SUMIF(收付款!A:A,销售合同!A:A,收付款!E:E)</f>
        <v>289800</v>
      </c>
      <c r="Q190" s="110"/>
      <c r="R190" s="111">
        <f>SUMIF(收付款!A:A,销售合同!A:A,收付款!I:I)</f>
        <v>0</v>
      </c>
      <c r="S190" s="111">
        <f>SUMIF(收付款!A:A,销售合同!A:A,收付款!J:J)</f>
        <v>0</v>
      </c>
    </row>
    <row r="191" spans="1:24" ht="35.1" hidden="1" customHeight="1">
      <c r="A191" s="102" t="s">
        <v>3662</v>
      </c>
      <c r="B191" s="114" t="s">
        <v>147</v>
      </c>
      <c r="C191" s="114" t="s">
        <v>82</v>
      </c>
      <c r="D191" s="517">
        <v>42979</v>
      </c>
      <c r="E191" s="103" t="s">
        <v>83</v>
      </c>
      <c r="F191" s="107">
        <v>90</v>
      </c>
      <c r="G191" s="107">
        <v>11700</v>
      </c>
      <c r="H191" s="107"/>
      <c r="I191" s="117">
        <f t="shared" si="16"/>
        <v>1053000</v>
      </c>
      <c r="J191" s="114" t="s">
        <v>432</v>
      </c>
      <c r="K191" s="106">
        <f>SUMIF(收发货!A:A,销售合同!A:A,收发货!D:D)</f>
        <v>90</v>
      </c>
      <c r="L191" s="109">
        <f>SUMIF(收开票!A:A,销售合同!A:A,收开票!E:E)</f>
        <v>89.897999999999996</v>
      </c>
      <c r="M191" s="109">
        <f>SUMIF(收开票!A:A,销售合同!A:A,收开票!F:F)</f>
        <v>1038321.9</v>
      </c>
      <c r="N191" s="109">
        <f>SUMIF(收开票!A:A,销售合同!A:A,收开票!H:H)</f>
        <v>89.897999999999996</v>
      </c>
      <c r="O191" s="109">
        <f>SUMIF(收开票!A:A,销售合同!A:A,收开票!I:I)</f>
        <v>1038321.9</v>
      </c>
      <c r="P191" s="110">
        <f>SUMIF(收付款!A:A,销售合同!A:A,收付款!E:E)</f>
        <v>1038321.9</v>
      </c>
      <c r="Q191" s="109">
        <f t="shared" ref="Q191:Q197" si="18">O191-P191</f>
        <v>0</v>
      </c>
      <c r="R191" s="106"/>
      <c r="S191" s="111"/>
      <c r="T191" s="112"/>
      <c r="U191" s="112"/>
      <c r="V191" s="113">
        <v>42289</v>
      </c>
      <c r="W191" s="112"/>
      <c r="X191" s="112"/>
    </row>
    <row r="192" spans="1:24" ht="35.1" hidden="1" customHeight="1">
      <c r="A192" s="102" t="s">
        <v>3693</v>
      </c>
      <c r="B192" s="103" t="s">
        <v>127</v>
      </c>
      <c r="C192" s="103" t="s">
        <v>3271</v>
      </c>
      <c r="D192" s="517">
        <v>42961</v>
      </c>
      <c r="E192" s="114" t="s">
        <v>2512</v>
      </c>
      <c r="F192" s="104">
        <v>40</v>
      </c>
      <c r="G192" s="104">
        <v>1250</v>
      </c>
      <c r="H192" s="104" t="s">
        <v>2119</v>
      </c>
      <c r="I192" s="117">
        <f t="shared" si="16"/>
        <v>50000</v>
      </c>
      <c r="J192" s="103" t="s">
        <v>988</v>
      </c>
      <c r="K192" s="106">
        <f>SUMIF(收发货!A:A,销售合同!A:A,收发货!D:D)</f>
        <v>40</v>
      </c>
      <c r="L192" s="109">
        <f>SUMIF(收开票!A:A,销售合同!A:A,收开票!E:E)</f>
        <v>40</v>
      </c>
      <c r="M192" s="109">
        <f>SUMIF(收开票!A:A,销售合同!A:A,收开票!F:F)</f>
        <v>50000</v>
      </c>
      <c r="N192" s="109">
        <f>SUMIF(收开票!A:A,销售合同!A:A,收开票!H:H)</f>
        <v>40</v>
      </c>
      <c r="O192" s="109">
        <f>SUMIF(收开票!A:A,销售合同!A:A,收开票!I:I)</f>
        <v>50000</v>
      </c>
      <c r="P192" s="110">
        <f>SUMIF(收付款!A:A,销售合同!A:A,收付款!E:E)</f>
        <v>50000</v>
      </c>
      <c r="Q192" s="110">
        <f t="shared" si="18"/>
        <v>0</v>
      </c>
      <c r="R192" s="111">
        <f>SUMIF(收付款!A:A,销售合同!A:A,收付款!I:I)</f>
        <v>0</v>
      </c>
      <c r="S192" s="111">
        <f>SUMIF(收付款!A:A,销售合同!A:A,收付款!J:J)</f>
        <v>0</v>
      </c>
      <c r="T192" s="112"/>
      <c r="U192" s="112"/>
      <c r="V192" s="113"/>
      <c r="W192" s="112"/>
      <c r="X192" s="112"/>
    </row>
    <row r="193" spans="1:24" ht="35.1" hidden="1" customHeight="1">
      <c r="A193" s="102" t="s">
        <v>3997</v>
      </c>
      <c r="B193" s="103" t="s">
        <v>127</v>
      </c>
      <c r="C193" s="103" t="s">
        <v>3271</v>
      </c>
      <c r="D193" s="517">
        <v>42965</v>
      </c>
      <c r="E193" s="114" t="s">
        <v>3998</v>
      </c>
      <c r="F193" s="104">
        <v>200</v>
      </c>
      <c r="G193" s="104">
        <v>1430</v>
      </c>
      <c r="H193" s="104" t="s">
        <v>2119</v>
      </c>
      <c r="I193" s="117">
        <f t="shared" si="16"/>
        <v>286000</v>
      </c>
      <c r="J193" s="103" t="s">
        <v>988</v>
      </c>
      <c r="K193" s="106">
        <f>SUMIF(收发货!A:A,销售合同!A:A,收发货!D:D)</f>
        <v>200</v>
      </c>
      <c r="L193" s="109">
        <f>SUMIF(收开票!A:A,销售合同!A:A,收开票!E:E)</f>
        <v>200</v>
      </c>
      <c r="M193" s="109">
        <f>SUMIF(收开票!A:A,销售合同!A:A,收开票!F:F)</f>
        <v>286000</v>
      </c>
      <c r="N193" s="109">
        <f>SUMIF(收开票!A:A,销售合同!A:A,收开票!H:H)</f>
        <v>200</v>
      </c>
      <c r="O193" s="109">
        <f>SUMIF(收开票!A:A,销售合同!A:A,收开票!I:I)</f>
        <v>286000</v>
      </c>
      <c r="P193" s="110">
        <f>SUMIF(收付款!A:A,销售合同!A:A,收付款!E:E)</f>
        <v>286000</v>
      </c>
      <c r="Q193" s="110">
        <f t="shared" si="18"/>
        <v>0</v>
      </c>
      <c r="R193" s="111">
        <f>SUMIF(收付款!A:A,销售合同!A:A,收付款!I:I)</f>
        <v>0</v>
      </c>
      <c r="S193" s="111">
        <f>SUMIF(收付款!A:A,销售合同!A:A,收付款!J:J)</f>
        <v>0</v>
      </c>
      <c r="T193" s="112"/>
      <c r="U193" s="112"/>
      <c r="V193" s="113"/>
      <c r="W193" s="112"/>
      <c r="X193" s="112"/>
    </row>
    <row r="194" spans="1:24" ht="35.1" hidden="1" customHeight="1">
      <c r="A194" s="102" t="s">
        <v>3690</v>
      </c>
      <c r="B194" s="103" t="s">
        <v>127</v>
      </c>
      <c r="C194" s="103" t="s">
        <v>3271</v>
      </c>
      <c r="D194" s="517">
        <v>42965</v>
      </c>
      <c r="E194" s="114" t="s">
        <v>2512</v>
      </c>
      <c r="F194" s="104">
        <v>220</v>
      </c>
      <c r="G194" s="104">
        <v>1415</v>
      </c>
      <c r="H194" s="104" t="s">
        <v>2119</v>
      </c>
      <c r="I194" s="117">
        <f t="shared" si="16"/>
        <v>311300</v>
      </c>
      <c r="J194" s="103" t="s">
        <v>988</v>
      </c>
      <c r="K194" s="106">
        <f>SUMIF(收发货!A:A,销售合同!A:A,收发货!D:D)</f>
        <v>220</v>
      </c>
      <c r="L194" s="109">
        <f>SUMIF(收开票!A:A,销售合同!A:A,收开票!E:E)</f>
        <v>220</v>
      </c>
      <c r="M194" s="109">
        <f>SUMIF(收开票!A:A,销售合同!A:A,收开票!F:F)</f>
        <v>311300</v>
      </c>
      <c r="N194" s="109">
        <f>SUMIF(收开票!A:A,销售合同!A:A,收开票!H:H)</f>
        <v>220</v>
      </c>
      <c r="O194" s="109">
        <f>SUMIF(收开票!A:A,销售合同!A:A,收开票!I:I)</f>
        <v>311300</v>
      </c>
      <c r="P194" s="110">
        <f>SUMIF(收付款!A:A,销售合同!A:A,收付款!E:E)</f>
        <v>311300</v>
      </c>
      <c r="Q194" s="110">
        <f t="shared" si="18"/>
        <v>0</v>
      </c>
      <c r="R194" s="111">
        <f>SUMIF(收付款!A:A,销售合同!A:A,收付款!I:I)</f>
        <v>0</v>
      </c>
      <c r="S194" s="111">
        <f>SUMIF(收付款!A:A,销售合同!A:A,收付款!J:J)</f>
        <v>0</v>
      </c>
      <c r="T194" s="112"/>
      <c r="U194" s="112"/>
      <c r="V194" s="113"/>
      <c r="W194" s="112"/>
      <c r="X194" s="112"/>
    </row>
    <row r="195" spans="1:24" ht="35.1" hidden="1" customHeight="1">
      <c r="A195" s="102" t="s">
        <v>3691</v>
      </c>
      <c r="B195" s="103" t="s">
        <v>127</v>
      </c>
      <c r="C195" s="103" t="s">
        <v>3271</v>
      </c>
      <c r="D195" s="517">
        <v>42965</v>
      </c>
      <c r="E195" s="114" t="s">
        <v>4013</v>
      </c>
      <c r="F195" s="104">
        <v>220</v>
      </c>
      <c r="G195" s="104">
        <v>1415</v>
      </c>
      <c r="H195" s="104" t="s">
        <v>2119</v>
      </c>
      <c r="I195" s="117">
        <f t="shared" si="16"/>
        <v>311300</v>
      </c>
      <c r="J195" s="103" t="s">
        <v>988</v>
      </c>
      <c r="K195" s="106">
        <f>SUMIF(收发货!A:A,销售合同!A:A,收发货!D:D)</f>
        <v>220</v>
      </c>
      <c r="L195" s="109">
        <f>SUMIF(收开票!A:A,销售合同!A:A,收开票!E:E)</f>
        <v>220</v>
      </c>
      <c r="M195" s="109">
        <f>SUMIF(收开票!A:A,销售合同!A:A,收开票!F:F)</f>
        <v>311300</v>
      </c>
      <c r="N195" s="109">
        <f>SUMIF(收开票!A:A,销售合同!A:A,收开票!H:H)</f>
        <v>220</v>
      </c>
      <c r="O195" s="109">
        <f>SUMIF(收开票!A:A,销售合同!A:A,收开票!I:I)</f>
        <v>311300</v>
      </c>
      <c r="P195" s="110">
        <f>SUMIF(收付款!A:A,销售合同!A:A,收付款!E:E)</f>
        <v>311300</v>
      </c>
      <c r="Q195" s="110">
        <f t="shared" si="18"/>
        <v>0</v>
      </c>
      <c r="R195" s="111">
        <f>SUMIF(收付款!A:A,销售合同!A:A,收付款!I:I)</f>
        <v>0</v>
      </c>
      <c r="S195" s="111">
        <f>SUMIF(收付款!A:A,销售合同!A:A,收付款!J:J)</f>
        <v>0</v>
      </c>
      <c r="T195" s="112"/>
      <c r="U195" s="112"/>
      <c r="V195" s="113"/>
      <c r="W195" s="112"/>
      <c r="X195" s="112"/>
    </row>
    <row r="196" spans="1:24" ht="35.1" hidden="1" customHeight="1">
      <c r="A196" s="142" t="s">
        <v>4109</v>
      </c>
      <c r="B196" s="103" t="s">
        <v>127</v>
      </c>
      <c r="C196" s="103" t="s">
        <v>3271</v>
      </c>
      <c r="D196" s="518">
        <v>42976</v>
      </c>
      <c r="E196" s="103" t="s">
        <v>2512</v>
      </c>
      <c r="F196" s="104">
        <v>400</v>
      </c>
      <c r="G196" s="104">
        <v>1520</v>
      </c>
      <c r="H196" s="104" t="s">
        <v>2119</v>
      </c>
      <c r="I196" s="117">
        <f t="shared" si="16"/>
        <v>608000</v>
      </c>
      <c r="J196" s="103" t="s">
        <v>988</v>
      </c>
      <c r="K196" s="106">
        <f>SUMIF(收发货!A:A,销售合同!A:A,收发货!D:D)</f>
        <v>400</v>
      </c>
      <c r="L196" s="110">
        <f>SUMIF(收开票!A:A,销售合同!A:A,收开票!E:E)</f>
        <v>400</v>
      </c>
      <c r="M196" s="110">
        <f>SUMIF(收开票!A:A,销售合同!A:A,收开票!F:F)</f>
        <v>608000</v>
      </c>
      <c r="N196" s="110">
        <f>SUMIF(收开票!A:A,销售合同!A:A,收开票!H:H)</f>
        <v>400</v>
      </c>
      <c r="O196" s="110">
        <f>SUMIF(收开票!A:A,销售合同!A:A,收开票!I:I)</f>
        <v>608000</v>
      </c>
      <c r="P196" s="110">
        <f>SUMIF(收付款!A:A,销售合同!A:A,收付款!E:E)</f>
        <v>608000</v>
      </c>
      <c r="Q196" s="110">
        <f t="shared" si="18"/>
        <v>0</v>
      </c>
      <c r="R196" s="111">
        <f>SUMIF(收付款!A:A,销售合同!A:A,收付款!I:I)</f>
        <v>0</v>
      </c>
      <c r="S196" s="111">
        <f>SUMIF(收付款!A:A,销售合同!A:A,收付款!J:J)</f>
        <v>0</v>
      </c>
      <c r="T196" s="112"/>
      <c r="U196" s="112"/>
      <c r="V196" s="113"/>
      <c r="W196" s="112"/>
      <c r="X196" s="112"/>
    </row>
    <row r="197" spans="1:24" ht="35.1" hidden="1" customHeight="1">
      <c r="A197" s="102" t="s">
        <v>3694</v>
      </c>
      <c r="B197" s="103" t="s">
        <v>127</v>
      </c>
      <c r="C197" s="103" t="s">
        <v>240</v>
      </c>
      <c r="D197" s="517">
        <v>42970</v>
      </c>
      <c r="E197" s="114" t="s">
        <v>2512</v>
      </c>
      <c r="F197" s="104">
        <v>200</v>
      </c>
      <c r="G197" s="104">
        <v>1580</v>
      </c>
      <c r="H197" s="104" t="s">
        <v>2119</v>
      </c>
      <c r="I197" s="117">
        <f t="shared" si="16"/>
        <v>316000</v>
      </c>
      <c r="J197" s="103" t="s">
        <v>988</v>
      </c>
      <c r="K197" s="106">
        <f>SUMIF(收发货!A:A,销售合同!A:A,收发货!D:D)</f>
        <v>200</v>
      </c>
      <c r="L197" s="109">
        <f>SUMIF(收开票!A:A,销售合同!A:A,收开票!E:E)</f>
        <v>200</v>
      </c>
      <c r="M197" s="109">
        <f>SUMIF(收开票!A:A,销售合同!A:A,收开票!F:F)</f>
        <v>316000</v>
      </c>
      <c r="N197" s="109">
        <f>SUMIF(收开票!A:A,销售合同!A:A,收开票!H:H)</f>
        <v>200</v>
      </c>
      <c r="O197" s="109">
        <f>SUMIF(收开票!A:A,销售合同!A:A,收开票!I:I)</f>
        <v>316000</v>
      </c>
      <c r="P197" s="110">
        <f>SUMIF(收付款!A:A,销售合同!A:A,收付款!E:E)</f>
        <v>316000</v>
      </c>
      <c r="Q197" s="110">
        <f t="shared" si="18"/>
        <v>0</v>
      </c>
      <c r="R197" s="111">
        <f>SUMIF(收付款!A:A,销售合同!A:A,收付款!I:I)</f>
        <v>0</v>
      </c>
      <c r="S197" s="111">
        <f>SUMIF(收付款!A:A,销售合同!A:A,收付款!J:J)</f>
        <v>0</v>
      </c>
      <c r="T197" s="112"/>
      <c r="U197" s="112"/>
      <c r="V197" s="113"/>
      <c r="W197" s="112"/>
      <c r="X197" s="112"/>
    </row>
    <row r="198" spans="1:24" ht="35.1" hidden="1" customHeight="1">
      <c r="A198" s="102" t="s">
        <v>3756</v>
      </c>
      <c r="B198" s="114" t="s">
        <v>147</v>
      </c>
      <c r="C198" s="114" t="s">
        <v>240</v>
      </c>
      <c r="D198" s="517">
        <v>42996</v>
      </c>
      <c r="E198" s="103" t="s">
        <v>75</v>
      </c>
      <c r="F198" s="107">
        <v>32</v>
      </c>
      <c r="G198" s="107">
        <v>11000</v>
      </c>
      <c r="H198" s="107"/>
      <c r="I198" s="117">
        <f t="shared" si="16"/>
        <v>352000</v>
      </c>
      <c r="J198" s="114" t="s">
        <v>3159</v>
      </c>
      <c r="K198" s="106">
        <f>SUMIF(收发货!A:A,销售合同!A:A,收发货!D:D)</f>
        <v>32</v>
      </c>
      <c r="L198" s="109">
        <f>SUMIF(收开票!A:A,销售合同!A:A,收开票!E:E)</f>
        <v>32</v>
      </c>
      <c r="M198" s="109">
        <f>SUMIF(收开票!A:A,销售合同!A:A,收开票!F:F)</f>
        <v>352000</v>
      </c>
      <c r="N198" s="109">
        <f>SUMIF(收开票!A:A,销售合同!A:A,收开票!H:H)</f>
        <v>32</v>
      </c>
      <c r="O198" s="109">
        <f>SUMIF(收开票!A:A,销售合同!A:A,收开票!I:I)</f>
        <v>352000</v>
      </c>
      <c r="P198" s="110">
        <f>SUMIF(收付款!A:A,销售合同!A:A,收付款!E:E)</f>
        <v>352000</v>
      </c>
      <c r="Q198" s="110"/>
      <c r="R198" s="111">
        <f>SUMIF(收付款!A:A,销售合同!A:A,收付款!I:I)</f>
        <v>0</v>
      </c>
      <c r="S198" s="111">
        <f>SUMIF(收付款!A:A,销售合同!A:A,收付款!J:J)</f>
        <v>0</v>
      </c>
    </row>
    <row r="199" spans="1:24" ht="35.1" hidden="1" customHeight="1">
      <c r="A199" s="102" t="s">
        <v>3789</v>
      </c>
      <c r="B199" s="114" t="s">
        <v>147</v>
      </c>
      <c r="C199" s="114" t="s">
        <v>82</v>
      </c>
      <c r="D199" s="517">
        <v>43009</v>
      </c>
      <c r="E199" s="103" t="s">
        <v>83</v>
      </c>
      <c r="F199" s="107">
        <v>200</v>
      </c>
      <c r="G199" s="107">
        <v>12250</v>
      </c>
      <c r="H199" s="107"/>
      <c r="I199" s="117">
        <f t="shared" si="16"/>
        <v>2450000</v>
      </c>
      <c r="J199" s="114" t="s">
        <v>432</v>
      </c>
      <c r="K199" s="106">
        <f>SUMIF(收发货!A:A,销售合同!A:A,收发货!D:D)</f>
        <v>210</v>
      </c>
      <c r="L199" s="109">
        <f>SUMIF(收开票!A:A,销售合同!A:A,收开票!E:E)</f>
        <v>209.72200000000001</v>
      </c>
      <c r="M199" s="109">
        <f>SUMIF(收开票!A:A,销售合同!A:A,收开票!F:F)</f>
        <v>2569094.5</v>
      </c>
      <c r="N199" s="109">
        <f>SUMIF(收开票!A:A,销售合同!A:A,收开票!H:H)</f>
        <v>209.72200000000001</v>
      </c>
      <c r="O199" s="109">
        <f>SUMIF(收开票!A:A,销售合同!A:A,收开票!I:I)</f>
        <v>2569094.5</v>
      </c>
      <c r="P199" s="110">
        <f>SUMIF(收付款!A:A,销售合同!A:A,收付款!E:E)</f>
        <v>2569094.5</v>
      </c>
      <c r="Q199" s="109">
        <f t="shared" ref="Q199:Q219" si="19">O199-P199</f>
        <v>0</v>
      </c>
      <c r="R199" s="106"/>
      <c r="S199" s="111"/>
      <c r="T199" s="112"/>
      <c r="U199" s="112"/>
      <c r="V199" s="113">
        <v>42289</v>
      </c>
      <c r="W199" s="112"/>
      <c r="X199" s="112"/>
    </row>
    <row r="200" spans="1:24" ht="35.1" hidden="1" customHeight="1">
      <c r="A200" s="102" t="s">
        <v>3796</v>
      </c>
      <c r="B200" s="114" t="s">
        <v>485</v>
      </c>
      <c r="C200" s="114" t="s">
        <v>60</v>
      </c>
      <c r="D200" s="517">
        <v>42979</v>
      </c>
      <c r="E200" s="103" t="s">
        <v>83</v>
      </c>
      <c r="F200" s="107">
        <v>500</v>
      </c>
      <c r="G200" s="107">
        <v>7550</v>
      </c>
      <c r="H200" s="107"/>
      <c r="I200" s="117">
        <f t="shared" si="16"/>
        <v>3775000</v>
      </c>
      <c r="J200" s="114" t="s">
        <v>149</v>
      </c>
      <c r="K200" s="106">
        <f>SUMIF(收发货!A:A,销售合同!A:A,收发货!D:D)</f>
        <v>501</v>
      </c>
      <c r="L200" s="109">
        <f>SUMIF(收开票!A:A,销售合同!A:A,收开票!E:E)</f>
        <v>508.77449999999999</v>
      </c>
      <c r="M200" s="109">
        <f>SUMIF(收开票!A:A,销售合同!A:A,收开票!F:F)</f>
        <v>3827272.24</v>
      </c>
      <c r="N200" s="446">
        <f>SUMIF(收开票!A:A,销售合同!A:A,收开票!H:H)</f>
        <v>508.77449999999999</v>
      </c>
      <c r="O200" s="109">
        <f>SUMIF(收开票!A:A,销售合同!A:A,收开票!I:I)</f>
        <v>3827272.24</v>
      </c>
      <c r="P200" s="110">
        <f>SUMIF(收付款!A:A,销售合同!A:A,收付款!E:E)</f>
        <v>3827272.24</v>
      </c>
      <c r="Q200" s="109">
        <f t="shared" si="19"/>
        <v>0</v>
      </c>
      <c r="R200" s="106"/>
      <c r="S200" s="111"/>
      <c r="T200" s="112"/>
      <c r="U200" s="112"/>
      <c r="V200" s="113">
        <v>42289</v>
      </c>
      <c r="W200" s="112"/>
      <c r="X200" s="112"/>
    </row>
    <row r="201" spans="1:24" ht="35.1" hidden="1" customHeight="1">
      <c r="A201" s="102" t="s">
        <v>4256</v>
      </c>
      <c r="B201" s="114" t="s">
        <v>485</v>
      </c>
      <c r="C201" s="114" t="s">
        <v>60</v>
      </c>
      <c r="D201" s="517">
        <v>43009</v>
      </c>
      <c r="E201" s="103" t="s">
        <v>83</v>
      </c>
      <c r="F201" s="107">
        <v>1000</v>
      </c>
      <c r="G201" s="107">
        <v>7600</v>
      </c>
      <c r="H201" s="107"/>
      <c r="I201" s="117">
        <f t="shared" si="16"/>
        <v>7600000</v>
      </c>
      <c r="J201" s="114" t="s">
        <v>149</v>
      </c>
      <c r="K201" s="106">
        <f>SUMIF(收发货!A:A,销售合同!A:A,收发货!D:D)</f>
        <v>1025</v>
      </c>
      <c r="L201" s="109">
        <f>SUMIF(收开票!A:A,销售合同!A:A,收开票!E:E)</f>
        <v>1045.3834999999999</v>
      </c>
      <c r="M201" s="109">
        <f>SUMIF(收开票!A:A,销售合同!A:A,收开票!F:F)</f>
        <v>7990678.4299999997</v>
      </c>
      <c r="N201" s="447">
        <f>SUMIF(收开票!A:A,销售合同!A:A,收开票!H:H)</f>
        <v>1045.3834999999999</v>
      </c>
      <c r="O201" s="109">
        <f>SUMIF(收开票!A:A,销售合同!A:A,收开票!I:I)</f>
        <v>7990678.4299999997</v>
      </c>
      <c r="P201" s="110">
        <f>SUMIF(收付款!A:A,销售合同!A:A,收付款!E:E)</f>
        <v>7990678.4299999997</v>
      </c>
      <c r="Q201" s="109">
        <f t="shared" si="19"/>
        <v>0</v>
      </c>
      <c r="R201" s="106"/>
      <c r="S201" s="111"/>
      <c r="T201" s="112"/>
      <c r="U201" s="112"/>
      <c r="V201" s="113">
        <v>42289</v>
      </c>
      <c r="W201" s="112"/>
      <c r="X201" s="112"/>
    </row>
    <row r="202" spans="1:24" ht="35.1" hidden="1" customHeight="1">
      <c r="A202" s="102" t="s">
        <v>3843</v>
      </c>
      <c r="B202" s="103" t="s">
        <v>3841</v>
      </c>
      <c r="C202" s="103" t="s">
        <v>3271</v>
      </c>
      <c r="D202" s="517">
        <v>42979</v>
      </c>
      <c r="E202" s="114" t="s">
        <v>2512</v>
      </c>
      <c r="F202" s="9">
        <v>200</v>
      </c>
      <c r="G202" s="104">
        <v>1520</v>
      </c>
      <c r="H202" s="104" t="s">
        <v>2119</v>
      </c>
      <c r="I202" s="117">
        <f t="shared" si="16"/>
        <v>304000</v>
      </c>
      <c r="J202" s="103" t="s">
        <v>988</v>
      </c>
      <c r="K202" s="106">
        <f>SUMIF(收发货!A:A,销售合同!A:A,收发货!D:D)</f>
        <v>200</v>
      </c>
      <c r="L202" s="109">
        <f>SUMIF(收开票!A:A,销售合同!A:A,收开票!E:E)</f>
        <v>200</v>
      </c>
      <c r="M202" s="109">
        <f>SUMIF(收开票!A:A,销售合同!A:A,收开票!F:F)</f>
        <v>304000</v>
      </c>
      <c r="N202" s="109">
        <f>SUMIF(收开票!A:A,销售合同!A:A,收开票!H:H)</f>
        <v>200</v>
      </c>
      <c r="O202" s="109">
        <f>SUMIF(收开票!A:A,销售合同!A:A,收开票!I:I)</f>
        <v>304000</v>
      </c>
      <c r="P202" s="110">
        <f>SUMIF(收付款!A:A,销售合同!A:A,收付款!E:E)</f>
        <v>304000</v>
      </c>
      <c r="Q202" s="110">
        <f t="shared" si="19"/>
        <v>0</v>
      </c>
      <c r="R202" s="111">
        <f>SUMIF(收付款!A:A,销售合同!A:A,收付款!I:I)</f>
        <v>0</v>
      </c>
      <c r="S202" s="111">
        <f>SUMIF(收付款!A:A,销售合同!A:A,收付款!J:J)</f>
        <v>0</v>
      </c>
      <c r="T202" s="112"/>
      <c r="U202" s="112"/>
      <c r="V202" s="113"/>
      <c r="W202" s="112"/>
      <c r="X202" s="112"/>
    </row>
    <row r="203" spans="1:24" ht="35.1" hidden="1" customHeight="1">
      <c r="A203" s="102" t="s">
        <v>3844</v>
      </c>
      <c r="B203" s="103" t="s">
        <v>3841</v>
      </c>
      <c r="C203" s="103" t="s">
        <v>3271</v>
      </c>
      <c r="D203" s="517">
        <v>42979</v>
      </c>
      <c r="E203" s="114" t="s">
        <v>2512</v>
      </c>
      <c r="F203" s="9">
        <v>200</v>
      </c>
      <c r="G203" s="104">
        <v>1520</v>
      </c>
      <c r="H203" s="104" t="s">
        <v>2119</v>
      </c>
      <c r="I203" s="117">
        <f t="shared" si="16"/>
        <v>304000</v>
      </c>
      <c r="J203" s="103" t="s">
        <v>988</v>
      </c>
      <c r="K203" s="106">
        <f>SUMIF(收发货!A:A,销售合同!A:A,收发货!D:D)</f>
        <v>200</v>
      </c>
      <c r="L203" s="109">
        <f>SUMIF(收开票!A:A,销售合同!A:A,收开票!E:E)</f>
        <v>200</v>
      </c>
      <c r="M203" s="109">
        <f>SUMIF(收开票!A:A,销售合同!A:A,收开票!F:F)</f>
        <v>304000</v>
      </c>
      <c r="N203" s="109">
        <f>SUMIF(收开票!A:A,销售合同!A:A,收开票!H:H)</f>
        <v>200</v>
      </c>
      <c r="O203" s="109">
        <f>SUMIF(收开票!A:A,销售合同!A:A,收开票!I:I)</f>
        <v>304000</v>
      </c>
      <c r="P203" s="110">
        <f>SUMIF(收付款!A:A,销售合同!A:A,收付款!E:E)</f>
        <v>304000</v>
      </c>
      <c r="Q203" s="110">
        <f t="shared" si="19"/>
        <v>0</v>
      </c>
      <c r="R203" s="111">
        <f>SUMIF(收付款!A:A,销售合同!A:A,收付款!I:I)</f>
        <v>0</v>
      </c>
      <c r="S203" s="111">
        <f>SUMIF(收付款!A:A,销售合同!A:A,收付款!J:J)</f>
        <v>0</v>
      </c>
      <c r="T203" s="112"/>
      <c r="U203" s="112"/>
      <c r="V203" s="113"/>
      <c r="W203" s="112"/>
      <c r="X203" s="112"/>
    </row>
    <row r="204" spans="1:24" ht="35.1" hidden="1" customHeight="1">
      <c r="A204" s="102" t="s">
        <v>3999</v>
      </c>
      <c r="B204" s="103" t="s">
        <v>3841</v>
      </c>
      <c r="C204" s="103" t="s">
        <v>3271</v>
      </c>
      <c r="D204" s="517">
        <v>42986</v>
      </c>
      <c r="E204" s="114" t="s">
        <v>3848</v>
      </c>
      <c r="F204" s="9">
        <v>100</v>
      </c>
      <c r="G204" s="104">
        <v>1600</v>
      </c>
      <c r="H204" s="104" t="s">
        <v>2119</v>
      </c>
      <c r="I204" s="117">
        <f t="shared" si="16"/>
        <v>160000</v>
      </c>
      <c r="J204" s="103" t="s">
        <v>988</v>
      </c>
      <c r="K204" s="106">
        <f>SUMIF(收发货!A:A,销售合同!A:A,收发货!D:D)</f>
        <v>100</v>
      </c>
      <c r="L204" s="109">
        <f>SUMIF(收开票!A:A,销售合同!A:A,收开票!E:E)</f>
        <v>100</v>
      </c>
      <c r="M204" s="109">
        <f>SUMIF(收开票!A:A,销售合同!A:A,收开票!F:F)</f>
        <v>160000</v>
      </c>
      <c r="N204" s="109">
        <f>SUMIF(收开票!A:A,销售合同!A:A,收开票!H:H)</f>
        <v>100</v>
      </c>
      <c r="O204" s="109">
        <f>SUMIF(收开票!A:A,销售合同!A:A,收开票!I:I)</f>
        <v>160000</v>
      </c>
      <c r="P204" s="110">
        <f>SUMIF(收付款!A:A,销售合同!A:A,收付款!E:E)</f>
        <v>159983.32</v>
      </c>
      <c r="Q204" s="110">
        <f t="shared" si="19"/>
        <v>16.679999999993015</v>
      </c>
      <c r="R204" s="111">
        <f>SUMIF(收付款!A:A,销售合同!A:A,收付款!I:I)</f>
        <v>0</v>
      </c>
      <c r="S204" s="111">
        <f>SUMIF(收付款!A:A,销售合同!A:A,收付款!J:J)</f>
        <v>0</v>
      </c>
      <c r="T204" s="112"/>
      <c r="U204" s="112"/>
      <c r="V204" s="113"/>
      <c r="W204" s="112"/>
      <c r="X204" s="112"/>
    </row>
    <row r="205" spans="1:24" ht="35.1" hidden="1" customHeight="1">
      <c r="A205" s="102" t="s">
        <v>3845</v>
      </c>
      <c r="B205" s="103" t="s">
        <v>3841</v>
      </c>
      <c r="C205" s="103" t="s">
        <v>3271</v>
      </c>
      <c r="D205" s="517">
        <v>42986</v>
      </c>
      <c r="E205" s="114" t="s">
        <v>3848</v>
      </c>
      <c r="F205" s="9">
        <v>160</v>
      </c>
      <c r="G205" s="104">
        <v>1600</v>
      </c>
      <c r="H205" s="104" t="s">
        <v>2119</v>
      </c>
      <c r="I205" s="117">
        <f t="shared" si="16"/>
        <v>256000</v>
      </c>
      <c r="J205" s="103" t="s">
        <v>988</v>
      </c>
      <c r="K205" s="106">
        <f>SUMIF(收发货!A:A,销售合同!A:A,收发货!D:D)</f>
        <v>160</v>
      </c>
      <c r="L205" s="109">
        <f>SUMIF(收开票!A:A,销售合同!A:A,收开票!E:E)</f>
        <v>160</v>
      </c>
      <c r="M205" s="109">
        <f>SUMIF(收开票!A:A,销售合同!A:A,收开票!F:F)</f>
        <v>256000</v>
      </c>
      <c r="N205" s="109">
        <f>SUMIF(收开票!A:A,销售合同!A:A,收开票!H:H)</f>
        <v>160</v>
      </c>
      <c r="O205" s="109">
        <f>SUMIF(收开票!A:A,销售合同!A:A,收开票!I:I)</f>
        <v>256000</v>
      </c>
      <c r="P205" s="110">
        <f>SUMIF(收付款!A:A,销售合同!A:A,收付款!E:E)</f>
        <v>255991.65</v>
      </c>
      <c r="Q205" s="110">
        <f t="shared" si="19"/>
        <v>8.3500000000058208</v>
      </c>
      <c r="R205" s="111">
        <f>SUMIF(收付款!A:A,销售合同!A:A,收付款!I:I)</f>
        <v>0</v>
      </c>
      <c r="S205" s="111">
        <f>SUMIF(收付款!A:A,销售合同!A:A,收付款!J:J)</f>
        <v>0</v>
      </c>
      <c r="T205" s="112"/>
      <c r="U205" s="112"/>
      <c r="V205" s="113"/>
      <c r="W205" s="112"/>
      <c r="X205" s="112"/>
    </row>
    <row r="206" spans="1:24" ht="35.1" hidden="1" customHeight="1">
      <c r="A206" s="102" t="s">
        <v>3846</v>
      </c>
      <c r="B206" s="103" t="s">
        <v>3841</v>
      </c>
      <c r="C206" s="103" t="s">
        <v>3271</v>
      </c>
      <c r="D206" s="517">
        <v>42986</v>
      </c>
      <c r="E206" s="114" t="s">
        <v>3848</v>
      </c>
      <c r="F206" s="9">
        <v>100</v>
      </c>
      <c r="G206" s="104">
        <v>1600</v>
      </c>
      <c r="H206" s="104" t="s">
        <v>2119</v>
      </c>
      <c r="I206" s="117">
        <f t="shared" si="16"/>
        <v>160000</v>
      </c>
      <c r="J206" s="103" t="s">
        <v>988</v>
      </c>
      <c r="K206" s="106">
        <f>SUMIF(收发货!A:A,销售合同!A:A,收发货!D:D)</f>
        <v>100</v>
      </c>
      <c r="L206" s="109">
        <f>SUMIF(收开票!A:A,销售合同!A:A,收开票!E:E)</f>
        <v>100</v>
      </c>
      <c r="M206" s="109">
        <f>SUMIF(收开票!A:A,销售合同!A:A,收开票!F:F)</f>
        <v>160000</v>
      </c>
      <c r="N206" s="109">
        <f>SUMIF(收开票!A:A,销售合同!A:A,收开票!H:H)</f>
        <v>220</v>
      </c>
      <c r="O206" s="109">
        <f>SUMIF(收开票!A:A,销售合同!A:A,收开票!I:I)</f>
        <v>160000</v>
      </c>
      <c r="P206" s="110">
        <f>SUMIF(收付款!A:A,销售合同!A:A,收付款!E:E)</f>
        <v>159991.65</v>
      </c>
      <c r="Q206" s="110">
        <f t="shared" si="19"/>
        <v>8.3500000000058208</v>
      </c>
      <c r="R206" s="111">
        <f>SUMIF(收付款!A:A,销售合同!A:A,收付款!I:I)</f>
        <v>0</v>
      </c>
      <c r="S206" s="111">
        <f>SUMIF(收付款!A:A,销售合同!A:A,收付款!J:J)</f>
        <v>0</v>
      </c>
      <c r="T206" s="112"/>
      <c r="U206" s="112"/>
      <c r="V206" s="113"/>
      <c r="W206" s="112"/>
      <c r="X206" s="112"/>
    </row>
    <row r="207" spans="1:24" ht="35.1" hidden="1" customHeight="1">
      <c r="A207" s="102" t="s">
        <v>4081</v>
      </c>
      <c r="B207" s="103" t="s">
        <v>3841</v>
      </c>
      <c r="C207" s="103" t="s">
        <v>3271</v>
      </c>
      <c r="D207" s="517">
        <v>42992</v>
      </c>
      <c r="E207" s="114" t="s">
        <v>3848</v>
      </c>
      <c r="F207" s="9">
        <v>100</v>
      </c>
      <c r="G207" s="104">
        <v>1487</v>
      </c>
      <c r="H207" s="104" t="s">
        <v>2119</v>
      </c>
      <c r="I207" s="117">
        <f t="shared" si="16"/>
        <v>148700</v>
      </c>
      <c r="J207" s="103" t="s">
        <v>988</v>
      </c>
      <c r="K207" s="106">
        <f>SUMIF(收发货!A:A,销售合同!A:A,收发货!D:D)</f>
        <v>100</v>
      </c>
      <c r="L207" s="109">
        <f>SUMIF(收开票!A:A,销售合同!A:A,收开票!E:E)</f>
        <v>100</v>
      </c>
      <c r="M207" s="109">
        <f>SUMIF(收开票!A:A,销售合同!A:A,收开票!F:F)</f>
        <v>148700</v>
      </c>
      <c r="N207" s="109">
        <f>SUMIF(收开票!A:A,销售合同!A:A,收开票!H:H)</f>
        <v>100</v>
      </c>
      <c r="O207" s="109">
        <f>SUMIF(收开票!A:A,销售合同!A:A,收开票!I:I)</f>
        <v>148700</v>
      </c>
      <c r="P207" s="110">
        <f>SUMIF(收付款!A:A,销售合同!A:A,收付款!E:E)</f>
        <v>148691.66</v>
      </c>
      <c r="Q207" s="110">
        <f t="shared" si="19"/>
        <v>8.3399999999965075</v>
      </c>
      <c r="R207" s="111">
        <f>SUMIF(收付款!A:A,销售合同!A:A,收付款!I:I)</f>
        <v>0</v>
      </c>
      <c r="S207" s="111">
        <f>SUMIF(收付款!A:A,销售合同!A:A,收付款!J:J)</f>
        <v>0</v>
      </c>
      <c r="T207" s="112"/>
      <c r="U207" s="112"/>
      <c r="V207" s="113"/>
      <c r="W207" s="112"/>
      <c r="X207" s="112"/>
    </row>
    <row r="208" spans="1:24" ht="35.1" hidden="1" customHeight="1">
      <c r="A208" s="102" t="s">
        <v>4315</v>
      </c>
      <c r="B208" s="103" t="s">
        <v>3841</v>
      </c>
      <c r="C208" s="103" t="s">
        <v>3271</v>
      </c>
      <c r="D208" s="517">
        <v>42992</v>
      </c>
      <c r="E208" s="114" t="s">
        <v>3848</v>
      </c>
      <c r="F208" s="9">
        <v>100</v>
      </c>
      <c r="G208" s="104">
        <v>1487</v>
      </c>
      <c r="H208" s="104" t="s">
        <v>2119</v>
      </c>
      <c r="I208" s="117">
        <f t="shared" si="16"/>
        <v>148700</v>
      </c>
      <c r="J208" s="103" t="s">
        <v>988</v>
      </c>
      <c r="K208" s="106">
        <f>SUMIF(收发货!A:A,销售合同!A:A,收发货!D:D)</f>
        <v>100</v>
      </c>
      <c r="L208" s="109">
        <f>SUMIF(收开票!A:A,销售合同!A:A,收开票!E:E)</f>
        <v>100</v>
      </c>
      <c r="M208" s="109">
        <f>SUMIF(收开票!A:A,销售合同!A:A,收开票!F:F)</f>
        <v>148700</v>
      </c>
      <c r="N208" s="109">
        <f>SUMIF(收开票!A:A,销售合同!A:A,收开票!H:H)</f>
        <v>100</v>
      </c>
      <c r="O208" s="109">
        <f>SUMIF(收开票!A:A,销售合同!A:A,收开票!I:I)</f>
        <v>148700</v>
      </c>
      <c r="P208" s="110">
        <f>SUMIF(收付款!A:A,销售合同!A:A,收付款!E:E)</f>
        <v>148691.67000000001</v>
      </c>
      <c r="Q208" s="110">
        <f t="shared" si="19"/>
        <v>8.3299999999871943</v>
      </c>
      <c r="R208" s="111">
        <f>SUMIF(收付款!A:A,销售合同!A:A,收付款!I:I)</f>
        <v>0</v>
      </c>
      <c r="S208" s="111">
        <f>SUMIF(收付款!A:A,销售合同!A:A,收付款!J:J)</f>
        <v>0</v>
      </c>
      <c r="T208" s="112"/>
      <c r="U208" s="112"/>
      <c r="V208" s="113"/>
      <c r="W208" s="112"/>
      <c r="X208" s="112"/>
    </row>
    <row r="209" spans="1:24" ht="35.1" hidden="1" customHeight="1">
      <c r="A209" s="102" t="s">
        <v>4080</v>
      </c>
      <c r="B209" s="103" t="s">
        <v>3968</v>
      </c>
      <c r="C209" s="103" t="s">
        <v>3442</v>
      </c>
      <c r="D209" s="517">
        <v>43007</v>
      </c>
      <c r="E209" s="114" t="s">
        <v>474</v>
      </c>
      <c r="F209" s="9">
        <v>40</v>
      </c>
      <c r="G209" s="104">
        <v>1298</v>
      </c>
      <c r="H209" s="104" t="s">
        <v>2119</v>
      </c>
      <c r="I209" s="117">
        <f t="shared" si="16"/>
        <v>51920</v>
      </c>
      <c r="J209" s="103" t="s">
        <v>3982</v>
      </c>
      <c r="K209" s="106">
        <f>SUMIF(收发货!A:A,销售合同!A:A,收发货!D:D)</f>
        <v>40</v>
      </c>
      <c r="L209" s="109">
        <f>SUMIF(收开票!A:A,销售合同!A:A,收开票!E:E)</f>
        <v>40</v>
      </c>
      <c r="M209" s="109">
        <f>SUMIF(收开票!A:A,销售合同!A:A,收开票!F:F)</f>
        <v>51920</v>
      </c>
      <c r="N209" s="109">
        <f>SUMIF(收开票!A:A,销售合同!A:A,收开票!H:H)</f>
        <v>40</v>
      </c>
      <c r="O209" s="109">
        <f>SUMIF(收开票!A:A,销售合同!A:A,收开票!I:I)</f>
        <v>51920</v>
      </c>
      <c r="P209" s="110">
        <f>SUMIF(收付款!A:A,销售合同!A:A,收付款!E:E)</f>
        <v>51911.66</v>
      </c>
      <c r="Q209" s="110">
        <f t="shared" si="19"/>
        <v>8.3399999999965075</v>
      </c>
      <c r="R209" s="111">
        <f>SUMIF(收付款!A:A,销售合同!A:A,收付款!I:I)</f>
        <v>0</v>
      </c>
      <c r="S209" s="111">
        <f>SUMIF(收付款!A:A,销售合同!A:A,收付款!J:J)</f>
        <v>0</v>
      </c>
      <c r="T209" s="112"/>
      <c r="U209" s="112"/>
      <c r="V209" s="113"/>
      <c r="W209" s="112"/>
      <c r="X209" s="112"/>
    </row>
    <row r="210" spans="1:24" ht="35.1" hidden="1" customHeight="1">
      <c r="A210" s="102" t="s">
        <v>3962</v>
      </c>
      <c r="B210" s="114" t="s">
        <v>1882</v>
      </c>
      <c r="C210" s="114" t="s">
        <v>323</v>
      </c>
      <c r="D210" s="517">
        <v>43009</v>
      </c>
      <c r="E210" s="103" t="s">
        <v>83</v>
      </c>
      <c r="F210" s="107">
        <v>200</v>
      </c>
      <c r="G210" s="107">
        <v>12250</v>
      </c>
      <c r="H210" s="107"/>
      <c r="I210" s="117">
        <f t="shared" si="16"/>
        <v>2450000</v>
      </c>
      <c r="J210" s="114" t="s">
        <v>432</v>
      </c>
      <c r="K210" s="106">
        <f>SUMIF(收发货!A:A,销售合同!A:A,收发货!D:D)</f>
        <v>200</v>
      </c>
      <c r="L210" s="109">
        <f>SUMIF(收开票!A:A,销售合同!A:A,收开票!E:E)</f>
        <v>199.761</v>
      </c>
      <c r="M210" s="109">
        <f>SUMIF(收开票!A:A,销售合同!A:A,收开票!F:F)</f>
        <v>2447072.25</v>
      </c>
      <c r="N210" s="109">
        <f>SUMIF(收开票!A:A,销售合同!A:A,收开票!H:H)</f>
        <v>199.761</v>
      </c>
      <c r="O210" s="109">
        <f>SUMIF(收开票!A:A,销售合同!A:A,收开票!I:I)</f>
        <v>2447072.25</v>
      </c>
      <c r="P210" s="110">
        <f>SUMIF(收付款!A:A,销售合同!A:A,收付款!E:E)</f>
        <v>2447072.25</v>
      </c>
      <c r="Q210" s="109">
        <f t="shared" si="19"/>
        <v>0</v>
      </c>
      <c r="R210" s="106"/>
      <c r="S210" s="111"/>
      <c r="T210" s="112"/>
      <c r="U210" s="112"/>
      <c r="V210" s="113">
        <v>42289</v>
      </c>
      <c r="W210" s="112"/>
      <c r="X210" s="112"/>
    </row>
    <row r="211" spans="1:24" ht="45.75" hidden="1" customHeight="1">
      <c r="A211" s="102" t="s">
        <v>4209</v>
      </c>
      <c r="B211" s="114" t="s">
        <v>485</v>
      </c>
      <c r="C211" s="114" t="s">
        <v>2765</v>
      </c>
      <c r="D211" s="517">
        <v>43034</v>
      </c>
      <c r="E211" s="103" t="s">
        <v>3595</v>
      </c>
      <c r="F211" s="107">
        <v>15000</v>
      </c>
      <c r="G211" s="107">
        <v>1091</v>
      </c>
      <c r="H211" s="107"/>
      <c r="I211" s="117">
        <f t="shared" si="16"/>
        <v>16365000</v>
      </c>
      <c r="J211" s="114" t="s">
        <v>3983</v>
      </c>
      <c r="K211" s="106">
        <f>SUMIF(收发货!A:A,销售合同!A:A,收发货!D:D)</f>
        <v>13500</v>
      </c>
      <c r="L211" s="109">
        <f>SUMIF(收开票!A:A,销售合同!A:A,收开票!E:E)</f>
        <v>13594.034</v>
      </c>
      <c r="M211" s="109">
        <f>SUMIF(收开票!A:A,销售合同!A:A,收开票!F:F)</f>
        <v>14800141.09</v>
      </c>
      <c r="N211" s="109">
        <f>SUMIF(收开票!A:A,销售合同!A:A,收开票!H:H)</f>
        <v>13594.034</v>
      </c>
      <c r="O211" s="109">
        <f>SUMIF(收开票!A:A,销售合同!A:A,收开票!I:I)</f>
        <v>14800141.09</v>
      </c>
      <c r="P211" s="110">
        <f>SUMIF(收付款!A:A,销售合同!A:A,收付款!E:E)</f>
        <v>14800141.09</v>
      </c>
      <c r="Q211" s="110">
        <f t="shared" si="19"/>
        <v>0</v>
      </c>
      <c r="R211" s="161"/>
    </row>
    <row r="212" spans="1:24" ht="35.1" hidden="1" customHeight="1">
      <c r="A212" s="102" t="s">
        <v>3976</v>
      </c>
      <c r="B212" s="103" t="s">
        <v>3968</v>
      </c>
      <c r="C212" s="103" t="s">
        <v>3442</v>
      </c>
      <c r="D212" s="517">
        <v>43020</v>
      </c>
      <c r="E212" s="114" t="s">
        <v>3984</v>
      </c>
      <c r="F212" s="9">
        <v>192</v>
      </c>
      <c r="G212" s="104">
        <v>1210</v>
      </c>
      <c r="H212" s="104" t="s">
        <v>2119</v>
      </c>
      <c r="I212" s="117">
        <f t="shared" si="16"/>
        <v>232320</v>
      </c>
      <c r="J212" s="103" t="s">
        <v>3982</v>
      </c>
      <c r="K212" s="106">
        <f>SUMIF(收发货!A:A,销售合同!A:A,收发货!D:D)</f>
        <v>192</v>
      </c>
      <c r="L212" s="109">
        <f>SUMIF(收开票!A:A,销售合同!A:A,收开票!E:E)</f>
        <v>192</v>
      </c>
      <c r="M212" s="109">
        <f>SUMIF(收开票!A:A,销售合同!A:A,收开票!F:F)</f>
        <v>232320</v>
      </c>
      <c r="N212" s="109">
        <f>SUMIF(收开票!A:A,销售合同!A:A,收开票!H:H)</f>
        <v>192</v>
      </c>
      <c r="O212" s="109">
        <f>SUMIF(收开票!A:A,销售合同!A:A,收开票!I:I)</f>
        <v>232320</v>
      </c>
      <c r="P212" s="110">
        <f>SUMIF(收付款!A:A,销售合同!A:A,收付款!E:E)</f>
        <v>232311.66</v>
      </c>
      <c r="Q212" s="110">
        <f t="shared" si="19"/>
        <v>8.3399999999965075</v>
      </c>
      <c r="R212" s="111">
        <f>SUMIF(收付款!A:A,销售合同!A:A,收付款!I:I)</f>
        <v>0</v>
      </c>
      <c r="S212" s="111">
        <f>SUMIF(收付款!A:A,销售合同!A:A,收付款!J:J)</f>
        <v>0</v>
      </c>
      <c r="T212" s="112"/>
      <c r="U212" s="112"/>
      <c r="V212" s="113"/>
      <c r="W212" s="112"/>
      <c r="X212" s="112"/>
    </row>
    <row r="213" spans="1:24" ht="35.1" hidden="1" customHeight="1">
      <c r="A213" s="102" t="s">
        <v>3977</v>
      </c>
      <c r="B213" s="103" t="s">
        <v>3968</v>
      </c>
      <c r="C213" s="103" t="s">
        <v>3442</v>
      </c>
      <c r="D213" s="517">
        <v>43019</v>
      </c>
      <c r="E213" s="114" t="s">
        <v>3457</v>
      </c>
      <c r="F213" s="9">
        <v>100</v>
      </c>
      <c r="G213" s="104">
        <v>1235</v>
      </c>
      <c r="H213" s="104" t="s">
        <v>2119</v>
      </c>
      <c r="I213" s="117">
        <f t="shared" si="16"/>
        <v>123500</v>
      </c>
      <c r="J213" s="103" t="s">
        <v>3982</v>
      </c>
      <c r="K213" s="106">
        <f>SUMIF(收发货!A:A,销售合同!A:A,收发货!D:D)</f>
        <v>100</v>
      </c>
      <c r="L213" s="109">
        <f>SUMIF(收开票!A:A,销售合同!A:A,收开票!E:E)</f>
        <v>100</v>
      </c>
      <c r="M213" s="109">
        <f>SUMIF(收开票!A:A,销售合同!A:A,收开票!F:F)</f>
        <v>123500</v>
      </c>
      <c r="N213" s="109">
        <f>SUMIF(收开票!A:A,销售合同!A:A,收开票!H:H)</f>
        <v>100</v>
      </c>
      <c r="O213" s="109">
        <f>SUMIF(收开票!A:A,销售合同!A:A,收开票!I:I)</f>
        <v>123500</v>
      </c>
      <c r="P213" s="110">
        <f>SUMIF(收付款!A:A,销售合同!A:A,收付款!E:E)</f>
        <v>123500</v>
      </c>
      <c r="Q213" s="110">
        <f t="shared" si="19"/>
        <v>0</v>
      </c>
      <c r="R213" s="111">
        <f>SUMIF(收付款!A:A,销售合同!A:A,收付款!I:I)</f>
        <v>0</v>
      </c>
      <c r="S213" s="111">
        <f>SUMIF(收付款!A:A,销售合同!A:A,收付款!J:J)</f>
        <v>0</v>
      </c>
      <c r="T213" s="112"/>
      <c r="U213" s="112"/>
      <c r="V213" s="113"/>
      <c r="W213" s="112"/>
      <c r="X213" s="112"/>
    </row>
    <row r="214" spans="1:24" ht="35.1" hidden="1" customHeight="1">
      <c r="A214" s="102" t="s">
        <v>3978</v>
      </c>
      <c r="B214" s="103" t="s">
        <v>3968</v>
      </c>
      <c r="C214" s="103" t="s">
        <v>3442</v>
      </c>
      <c r="D214" s="517">
        <v>43019</v>
      </c>
      <c r="E214" s="114" t="s">
        <v>3457</v>
      </c>
      <c r="F214" s="9">
        <v>40</v>
      </c>
      <c r="G214" s="104">
        <v>1245</v>
      </c>
      <c r="H214" s="104" t="s">
        <v>2119</v>
      </c>
      <c r="I214" s="117">
        <f t="shared" ref="I214:I245" si="20">F214*G214</f>
        <v>49800</v>
      </c>
      <c r="J214" s="103" t="s">
        <v>3982</v>
      </c>
      <c r="K214" s="106">
        <f>SUMIF(收发货!A:A,销售合同!A:A,收发货!D:D)</f>
        <v>40</v>
      </c>
      <c r="L214" s="109">
        <f>SUMIF(收开票!A:A,销售合同!A:A,收开票!E:E)</f>
        <v>40</v>
      </c>
      <c r="M214" s="109">
        <f>SUMIF(收开票!A:A,销售合同!A:A,收开票!F:F)</f>
        <v>49800</v>
      </c>
      <c r="N214" s="109">
        <f>SUMIF(收开票!A:A,销售合同!A:A,收开票!H:H)</f>
        <v>40</v>
      </c>
      <c r="O214" s="109">
        <f>SUMIF(收开票!A:A,销售合同!A:A,收开票!I:I)</f>
        <v>49800</v>
      </c>
      <c r="P214" s="110">
        <f>SUMIF(收付款!A:A,销售合同!A:A,收付款!E:E)</f>
        <v>49800</v>
      </c>
      <c r="Q214" s="110">
        <f t="shared" si="19"/>
        <v>0</v>
      </c>
      <c r="R214" s="111">
        <f>SUMIF(收付款!A:A,销售合同!A:A,收付款!I:I)</f>
        <v>0</v>
      </c>
      <c r="S214" s="111">
        <f>SUMIF(收付款!A:A,销售合同!A:A,收付款!J:J)</f>
        <v>0</v>
      </c>
      <c r="T214" s="112"/>
      <c r="U214" s="112"/>
      <c r="V214" s="113"/>
      <c r="W214" s="112"/>
      <c r="X214" s="112"/>
    </row>
    <row r="215" spans="1:24" ht="35.1" hidden="1" customHeight="1">
      <c r="A215" s="102" t="s">
        <v>3979</v>
      </c>
      <c r="B215" s="103" t="s">
        <v>3968</v>
      </c>
      <c r="C215" s="103" t="s">
        <v>3442</v>
      </c>
      <c r="D215" s="517">
        <v>43024</v>
      </c>
      <c r="E215" s="114" t="s">
        <v>3457</v>
      </c>
      <c r="F215" s="9">
        <v>40</v>
      </c>
      <c r="G215" s="104">
        <v>1220</v>
      </c>
      <c r="H215" s="104" t="s">
        <v>2119</v>
      </c>
      <c r="I215" s="117">
        <f t="shared" si="20"/>
        <v>48800</v>
      </c>
      <c r="J215" s="103" t="s">
        <v>3982</v>
      </c>
      <c r="K215" s="106">
        <f>SUMIF(收发货!A:A,销售合同!A:A,收发货!D:D)</f>
        <v>40</v>
      </c>
      <c r="L215" s="109">
        <f>SUMIF(收开票!A:A,销售合同!A:A,收开票!E:E)</f>
        <v>40</v>
      </c>
      <c r="M215" s="109">
        <f>SUMIF(收开票!A:A,销售合同!A:A,收开票!F:F)</f>
        <v>49000</v>
      </c>
      <c r="N215" s="109">
        <f>SUMIF(收开票!A:A,销售合同!A:A,收开票!H:H)</f>
        <v>40</v>
      </c>
      <c r="O215" s="109">
        <f>SUMIF(收开票!A:A,销售合同!A:A,收开票!I:I)</f>
        <v>49000</v>
      </c>
      <c r="P215" s="110">
        <f>SUMIF(收付款!A:A,销售合同!A:A,收付款!E:E)</f>
        <v>49000</v>
      </c>
      <c r="Q215" s="110">
        <f t="shared" si="19"/>
        <v>0</v>
      </c>
      <c r="R215" s="111">
        <f>SUMIF(收付款!A:A,销售合同!A:A,收付款!I:I)</f>
        <v>0</v>
      </c>
      <c r="S215" s="111">
        <f>SUMIF(收付款!A:A,销售合同!A:A,收付款!J:J)</f>
        <v>0</v>
      </c>
      <c r="T215" s="112"/>
      <c r="U215" s="112"/>
      <c r="V215" s="113"/>
      <c r="W215" s="112"/>
      <c r="X215" s="112"/>
    </row>
    <row r="216" spans="1:24" ht="35.1" hidden="1" customHeight="1">
      <c r="A216" s="102" t="s">
        <v>4318</v>
      </c>
      <c r="B216" s="103" t="s">
        <v>3968</v>
      </c>
      <c r="C216" s="103" t="s">
        <v>3442</v>
      </c>
      <c r="D216" s="517">
        <v>43024</v>
      </c>
      <c r="E216" s="114" t="s">
        <v>4320</v>
      </c>
      <c r="F216" s="9">
        <v>200</v>
      </c>
      <c r="G216" s="104">
        <v>1225</v>
      </c>
      <c r="H216" s="104" t="s">
        <v>2119</v>
      </c>
      <c r="I216" s="117">
        <f t="shared" si="20"/>
        <v>245000</v>
      </c>
      <c r="J216" s="103" t="s">
        <v>3982</v>
      </c>
      <c r="K216" s="106">
        <f>SUMIF(收发货!A:A,销售合同!A:A,收发货!D:D)</f>
        <v>200</v>
      </c>
      <c r="L216" s="109">
        <f>SUMIF(收开票!A:A,销售合同!A:A,收开票!E:E)</f>
        <v>200</v>
      </c>
      <c r="M216" s="109">
        <f>SUMIF(收开票!A:A,销售合同!A:A,收开票!F:F)</f>
        <v>244000</v>
      </c>
      <c r="N216" s="109">
        <f>SUMIF(收开票!A:A,销售合同!A:A,收开票!H:H)</f>
        <v>200</v>
      </c>
      <c r="O216" s="109">
        <f>SUMIF(收开票!A:A,销售合同!A:A,收开票!I:I)</f>
        <v>244000</v>
      </c>
      <c r="P216" s="110">
        <f>SUMIF(收付款!A:A,销售合同!A:A,收付款!E:E)</f>
        <v>244000</v>
      </c>
      <c r="Q216" s="110">
        <f t="shared" si="19"/>
        <v>0</v>
      </c>
      <c r="R216" s="111">
        <f>SUMIF(收付款!A:A,销售合同!A:A,收付款!I:I)</f>
        <v>0</v>
      </c>
      <c r="S216" s="111">
        <f>SUMIF(收付款!A:A,销售合同!A:A,收付款!J:J)</f>
        <v>0</v>
      </c>
      <c r="T216" s="112"/>
      <c r="U216" s="112"/>
      <c r="V216" s="113"/>
      <c r="W216" s="112"/>
      <c r="X216" s="112"/>
    </row>
    <row r="217" spans="1:24" ht="35.1" hidden="1" customHeight="1">
      <c r="A217" s="102" t="s">
        <v>4082</v>
      </c>
      <c r="B217" s="103" t="s">
        <v>3968</v>
      </c>
      <c r="C217" s="103" t="s">
        <v>3442</v>
      </c>
      <c r="D217" s="517">
        <v>43024</v>
      </c>
      <c r="E217" s="114" t="s">
        <v>3457</v>
      </c>
      <c r="F217" s="9">
        <v>60</v>
      </c>
      <c r="G217" s="104">
        <v>1310</v>
      </c>
      <c r="H217" s="104" t="s">
        <v>2119</v>
      </c>
      <c r="I217" s="117">
        <f t="shared" si="20"/>
        <v>78600</v>
      </c>
      <c r="J217" s="103" t="s">
        <v>3982</v>
      </c>
      <c r="K217" s="106">
        <f>SUMIF(收发货!A:A,销售合同!A:A,收发货!D:D)</f>
        <v>60</v>
      </c>
      <c r="L217" s="109">
        <f>SUMIF(收开票!A:A,销售合同!A:A,收开票!E:E)</f>
        <v>60</v>
      </c>
      <c r="M217" s="109">
        <f>SUMIF(收开票!A:A,销售合同!A:A,收开票!F:F)</f>
        <v>78600</v>
      </c>
      <c r="N217" s="109">
        <f>SUMIF(收开票!A:A,销售合同!A:A,收开票!H:H)</f>
        <v>60</v>
      </c>
      <c r="O217" s="109">
        <f>SUMIF(收开票!A:A,销售合同!A:A,收开票!I:I)</f>
        <v>78600</v>
      </c>
      <c r="P217" s="110">
        <f>SUMIF(收付款!A:A,销售合同!A:A,收付款!E:E)</f>
        <v>78600</v>
      </c>
      <c r="Q217" s="110">
        <f t="shared" si="19"/>
        <v>0</v>
      </c>
      <c r="R217" s="111">
        <f>SUMIF(收付款!A:A,销售合同!A:A,收付款!I:I)</f>
        <v>0</v>
      </c>
      <c r="S217" s="111">
        <f>SUMIF(收付款!A:A,销售合同!A:A,收付款!J:J)</f>
        <v>0</v>
      </c>
      <c r="T217" s="112"/>
      <c r="U217" s="112"/>
      <c r="V217" s="113"/>
      <c r="W217" s="112"/>
      <c r="X217" s="112"/>
    </row>
    <row r="218" spans="1:24" ht="35.1" hidden="1" customHeight="1">
      <c r="A218" s="102" t="s">
        <v>4428</v>
      </c>
      <c r="B218" s="103" t="s">
        <v>3968</v>
      </c>
      <c r="C218" s="103" t="s">
        <v>3442</v>
      </c>
      <c r="D218" s="517">
        <v>43046</v>
      </c>
      <c r="E218" s="114" t="s">
        <v>3457</v>
      </c>
      <c r="F218" s="9">
        <v>400</v>
      </c>
      <c r="G218" s="104">
        <v>1315</v>
      </c>
      <c r="H218" s="104" t="s">
        <v>2119</v>
      </c>
      <c r="I218" s="117">
        <f t="shared" si="20"/>
        <v>526000</v>
      </c>
      <c r="J218" s="103" t="s">
        <v>3982</v>
      </c>
      <c r="K218" s="106">
        <f>SUMIF(收发货!A:A,销售合同!A:A,收发货!D:D)</f>
        <v>360</v>
      </c>
      <c r="L218" s="109">
        <f>SUMIF(收开票!A:A,销售合同!A:A,收开票!E:E)</f>
        <v>360</v>
      </c>
      <c r="M218" s="109">
        <f>SUMIF(收开票!A:A,销售合同!A:A,收开票!F:F)</f>
        <v>473400</v>
      </c>
      <c r="N218" s="109">
        <f>SUMIF(收开票!A:A,销售合同!A:A,收开票!H:H)</f>
        <v>360</v>
      </c>
      <c r="O218" s="109">
        <f>SUMIF(收开票!A:A,销售合同!A:A,收开票!I:I)</f>
        <v>473400</v>
      </c>
      <c r="P218" s="110">
        <f>SUMIF(收付款!A:A,销售合同!A:A,收付款!E:E)</f>
        <v>473400</v>
      </c>
      <c r="Q218" s="110">
        <f t="shared" si="19"/>
        <v>0</v>
      </c>
      <c r="R218" s="111">
        <f>SUMIF(收付款!A:A,销售合同!A:A,收付款!I:I)</f>
        <v>0</v>
      </c>
      <c r="S218" s="111">
        <f>SUMIF(收付款!A:A,销售合同!A:A,收付款!J:J)</f>
        <v>0</v>
      </c>
      <c r="T218" s="112"/>
      <c r="U218" s="112"/>
      <c r="V218" s="113"/>
      <c r="W218" s="112"/>
      <c r="X218" s="112"/>
    </row>
    <row r="219" spans="1:24" ht="35.1" hidden="1" customHeight="1">
      <c r="A219" s="102" t="s">
        <v>4246</v>
      </c>
      <c r="B219" s="103" t="s">
        <v>3968</v>
      </c>
      <c r="C219" s="103" t="s">
        <v>268</v>
      </c>
      <c r="D219" s="517">
        <v>43047</v>
      </c>
      <c r="E219" s="114" t="s">
        <v>3985</v>
      </c>
      <c r="F219" s="9">
        <v>513</v>
      </c>
      <c r="G219" s="104">
        <v>1638</v>
      </c>
      <c r="H219" s="104" t="s">
        <v>2119</v>
      </c>
      <c r="I219" s="117">
        <f t="shared" si="20"/>
        <v>840294</v>
      </c>
      <c r="J219" s="103" t="s">
        <v>3982</v>
      </c>
      <c r="K219" s="106">
        <f>SUMIF(收发货!A:A,销售合同!A:A,收发货!D:D)</f>
        <v>513</v>
      </c>
      <c r="L219" s="109">
        <f>SUMIF(收开票!A:A,销售合同!A:A,收开票!E:E)</f>
        <v>513</v>
      </c>
      <c r="M219" s="109">
        <f>SUMIF(收开票!A:A,销售合同!A:A,收开票!F:F)</f>
        <v>840294</v>
      </c>
      <c r="N219" s="109">
        <f>SUMIF(收开票!A:A,销售合同!A:A,收开票!H:H)</f>
        <v>513</v>
      </c>
      <c r="O219" s="109">
        <f>SUMIF(收开票!A:A,销售合同!A:A,收开票!I:I)</f>
        <v>840294</v>
      </c>
      <c r="P219" s="110">
        <f>SUMIF(收付款!A:A,销售合同!A:A,收付款!E:E)</f>
        <v>840257.66</v>
      </c>
      <c r="Q219" s="110">
        <f t="shared" si="19"/>
        <v>36.339999999967404</v>
      </c>
      <c r="R219" s="111">
        <f>SUMIF(收付款!A:A,销售合同!A:A,收付款!I:I)</f>
        <v>0</v>
      </c>
      <c r="S219" s="111">
        <f>SUMIF(收付款!A:A,销售合同!A:A,收付款!J:J)</f>
        <v>0</v>
      </c>
      <c r="T219" s="112"/>
      <c r="U219" s="112"/>
      <c r="V219" s="113"/>
      <c r="W219" s="112"/>
      <c r="X219" s="112"/>
    </row>
    <row r="220" spans="1:24" ht="35.1" hidden="1" customHeight="1">
      <c r="A220" s="102" t="s">
        <v>4027</v>
      </c>
      <c r="B220" s="114" t="s">
        <v>147</v>
      </c>
      <c r="C220" s="114" t="s">
        <v>240</v>
      </c>
      <c r="D220" s="517">
        <v>43045</v>
      </c>
      <c r="E220" s="103" t="s">
        <v>4029</v>
      </c>
      <c r="F220" s="107">
        <v>31</v>
      </c>
      <c r="G220" s="107">
        <v>11150</v>
      </c>
      <c r="H220" s="107"/>
      <c r="I220" s="117">
        <f t="shared" si="20"/>
        <v>345650</v>
      </c>
      <c r="J220" s="114" t="s">
        <v>3159</v>
      </c>
      <c r="K220" s="106">
        <f>SUMIF(收发货!A:A,销售合同!A:A,收发货!D:D)</f>
        <v>31</v>
      </c>
      <c r="L220" s="109">
        <f>SUMIF(收开票!A:A,销售合同!A:A,收开票!E:E)</f>
        <v>31</v>
      </c>
      <c r="M220" s="109">
        <f>SUMIF(收开票!A:A,销售合同!A:A,收开票!F:F)</f>
        <v>345650</v>
      </c>
      <c r="N220" s="109">
        <f>SUMIF(收开票!A:A,销售合同!A:A,收开票!H:H)</f>
        <v>31</v>
      </c>
      <c r="O220" s="109">
        <f>SUMIF(收开票!A:A,销售合同!A:A,收开票!I:I)</f>
        <v>345650</v>
      </c>
      <c r="P220" s="110">
        <f>SUMIF(收付款!A:A,销售合同!A:A,收付款!E:E)</f>
        <v>345650</v>
      </c>
      <c r="Q220" s="110"/>
      <c r="R220" s="111">
        <f>SUMIF(收付款!A:A,销售合同!A:A,收付款!I:I)</f>
        <v>0</v>
      </c>
      <c r="S220" s="111">
        <f>SUMIF(收付款!A:A,销售合同!A:A,收付款!J:J)</f>
        <v>0</v>
      </c>
    </row>
    <row r="221" spans="1:24" ht="35.1" hidden="1" customHeight="1">
      <c r="A221" s="102" t="s">
        <v>3989</v>
      </c>
      <c r="B221" s="103" t="s">
        <v>3990</v>
      </c>
      <c r="C221" s="103" t="s">
        <v>3991</v>
      </c>
      <c r="D221" s="517">
        <v>43052</v>
      </c>
      <c r="E221" s="114" t="s">
        <v>3992</v>
      </c>
      <c r="F221" s="9">
        <v>100</v>
      </c>
      <c r="G221" s="104">
        <v>1340</v>
      </c>
      <c r="H221" s="104" t="s">
        <v>3993</v>
      </c>
      <c r="I221" s="117">
        <f t="shared" si="20"/>
        <v>134000</v>
      </c>
      <c r="J221" s="103" t="s">
        <v>3994</v>
      </c>
      <c r="K221" s="106">
        <f>SUMIF(收发货!A:A,销售合同!A:A,收发货!D:D)</f>
        <v>100</v>
      </c>
      <c r="L221" s="109">
        <f>SUMIF(收开票!A:A,销售合同!A:A,收开票!E:E)</f>
        <v>100</v>
      </c>
      <c r="M221" s="109">
        <f>SUMIF(收开票!A:A,销售合同!A:A,收开票!F:F)</f>
        <v>134000</v>
      </c>
      <c r="N221" s="109">
        <f>SUMIF(收开票!A:A,销售合同!A:A,收开票!H:H)</f>
        <v>100</v>
      </c>
      <c r="O221" s="109">
        <f>SUMIF(收开票!A:A,销售合同!A:A,收开票!I:I)</f>
        <v>134000</v>
      </c>
      <c r="P221" s="110">
        <f>SUMIF(收付款!A:A,销售合同!A:A,收付款!E:E)</f>
        <v>134000</v>
      </c>
      <c r="Q221" s="110">
        <f>O221-P221</f>
        <v>0</v>
      </c>
      <c r="R221" s="111">
        <f>SUMIF(收付款!A:A,销售合同!A:A,收付款!I:I)</f>
        <v>0</v>
      </c>
      <c r="S221" s="111">
        <f>SUMIF(收付款!A:A,销售合同!A:A,收付款!J:J)</f>
        <v>0</v>
      </c>
      <c r="T221" s="112"/>
      <c r="U221" s="112"/>
      <c r="V221" s="113"/>
      <c r="W221" s="112"/>
      <c r="X221" s="112"/>
    </row>
    <row r="222" spans="1:24" ht="35.1" hidden="1" customHeight="1">
      <c r="A222" s="102" t="s">
        <v>4602</v>
      </c>
      <c r="B222" s="103" t="s">
        <v>3990</v>
      </c>
      <c r="C222" s="103" t="s">
        <v>3991</v>
      </c>
      <c r="D222" s="517">
        <v>43052</v>
      </c>
      <c r="E222" s="114" t="s">
        <v>3992</v>
      </c>
      <c r="F222" s="9">
        <v>160</v>
      </c>
      <c r="G222" s="104">
        <v>1340</v>
      </c>
      <c r="H222" s="104" t="s">
        <v>3993</v>
      </c>
      <c r="I222" s="117">
        <f t="shared" si="20"/>
        <v>214400</v>
      </c>
      <c r="J222" s="103" t="s">
        <v>3994</v>
      </c>
      <c r="K222" s="106">
        <f>SUMIF(收发货!A:A,销售合同!A:A,收发货!D:D)</f>
        <v>160</v>
      </c>
      <c r="L222" s="109">
        <f>SUMIF(收开票!A:A,销售合同!A:A,收开票!E:E)</f>
        <v>160</v>
      </c>
      <c r="M222" s="109">
        <f>SUMIF(收开票!A:A,销售合同!A:A,收开票!F:F)</f>
        <v>214400</v>
      </c>
      <c r="N222" s="109">
        <f>SUMIF(收开票!A:A,销售合同!A:A,收开票!H:H)</f>
        <v>160</v>
      </c>
      <c r="O222" s="109">
        <f>SUMIF(收开票!A:A,销售合同!A:A,收开票!I:I)</f>
        <v>214400</v>
      </c>
      <c r="P222" s="110">
        <f>SUMIF(收付款!A:A,销售合同!A:A,收付款!E:E)</f>
        <v>214400</v>
      </c>
      <c r="Q222" s="110">
        <f>O222-P222</f>
        <v>0</v>
      </c>
      <c r="R222" s="111">
        <f>SUMIF(收付款!A:A,销售合同!A:A,收付款!I:I)</f>
        <v>0</v>
      </c>
      <c r="S222" s="111">
        <f>SUMIF(收付款!A:A,销售合同!A:A,收付款!J:J)</f>
        <v>0</v>
      </c>
      <c r="T222" s="112"/>
      <c r="U222" s="112"/>
      <c r="V222" s="113"/>
      <c r="W222" s="112"/>
      <c r="X222" s="112"/>
    </row>
    <row r="223" spans="1:24" ht="35.1" hidden="1" customHeight="1">
      <c r="A223" s="102" t="s">
        <v>3995</v>
      </c>
      <c r="B223" s="103" t="s">
        <v>3990</v>
      </c>
      <c r="C223" s="103" t="s">
        <v>3991</v>
      </c>
      <c r="D223" s="517">
        <v>43052</v>
      </c>
      <c r="E223" s="114" t="s">
        <v>3992</v>
      </c>
      <c r="F223" s="9">
        <v>40</v>
      </c>
      <c r="G223" s="104">
        <v>1355</v>
      </c>
      <c r="H223" s="104" t="s">
        <v>3993</v>
      </c>
      <c r="I223" s="117">
        <f t="shared" si="20"/>
        <v>54200</v>
      </c>
      <c r="J223" s="103" t="s">
        <v>3994</v>
      </c>
      <c r="K223" s="106">
        <f>SUMIF(收发货!A:A,销售合同!A:A,收发货!D:D)</f>
        <v>40</v>
      </c>
      <c r="L223" s="109">
        <f>SUMIF(收开票!A:A,销售合同!A:A,收开票!E:E)</f>
        <v>40</v>
      </c>
      <c r="M223" s="109">
        <f>SUMIF(收开票!A:A,销售合同!A:A,收开票!F:F)</f>
        <v>54200</v>
      </c>
      <c r="N223" s="109">
        <f>SUMIF(收开票!A:A,销售合同!A:A,收开票!H:H)</f>
        <v>40</v>
      </c>
      <c r="O223" s="109">
        <f>SUMIF(收开票!A:A,销售合同!A:A,收开票!I:I)</f>
        <v>54200</v>
      </c>
      <c r="P223" s="110">
        <f>SUMIF(收付款!A:A,销售合同!A:A,收付款!E:E)</f>
        <v>54200</v>
      </c>
      <c r="Q223" s="110">
        <f>O223-P223</f>
        <v>0</v>
      </c>
      <c r="R223" s="111">
        <f>SUMIF(收付款!A:A,销售合同!A:A,收付款!I:I)</f>
        <v>0</v>
      </c>
      <c r="S223" s="111">
        <f>SUMIF(收付款!A:A,销售合同!A:A,收付款!J:J)</f>
        <v>0</v>
      </c>
      <c r="T223" s="112"/>
      <c r="U223" s="112"/>
      <c r="V223" s="113"/>
      <c r="W223" s="112"/>
      <c r="X223" s="112"/>
    </row>
    <row r="224" spans="1:24" ht="35.1" hidden="1" customHeight="1">
      <c r="A224" s="102" t="s">
        <v>4604</v>
      </c>
      <c r="B224" s="103" t="s">
        <v>3990</v>
      </c>
      <c r="C224" s="103" t="s">
        <v>3991</v>
      </c>
      <c r="D224" s="517">
        <v>43052</v>
      </c>
      <c r="E224" s="114" t="s">
        <v>758</v>
      </c>
      <c r="F224" s="9">
        <v>40</v>
      </c>
      <c r="G224" s="104">
        <v>1480</v>
      </c>
      <c r="H224" s="104" t="s">
        <v>3993</v>
      </c>
      <c r="I224" s="117">
        <f t="shared" si="20"/>
        <v>59200</v>
      </c>
      <c r="J224" s="103" t="s">
        <v>3994</v>
      </c>
      <c r="K224" s="106">
        <f>SUMIF(收发货!A:A,销售合同!A:A,收发货!D:D)</f>
        <v>40</v>
      </c>
      <c r="L224" s="109">
        <f>SUMIF(收开票!A:A,销售合同!A:A,收开票!E:E)</f>
        <v>40</v>
      </c>
      <c r="M224" s="109">
        <f>SUMIF(收开票!A:A,销售合同!A:A,收开票!F:F)</f>
        <v>59200</v>
      </c>
      <c r="N224" s="109">
        <f>SUMIF(收开票!A:A,销售合同!A:A,收开票!H:H)</f>
        <v>40</v>
      </c>
      <c r="O224" s="109">
        <f>SUMIF(收开票!A:A,销售合同!A:A,收开票!I:I)</f>
        <v>59200</v>
      </c>
      <c r="P224" s="110">
        <f>SUMIF(收付款!A:A,销售合同!A:A,收付款!E:E)</f>
        <v>59464.539999999994</v>
      </c>
      <c r="Q224" s="110">
        <f>O224-P224</f>
        <v>-264.5399999999936</v>
      </c>
      <c r="R224" s="111">
        <f>SUMIF(收付款!A:A,销售合同!A:A,收付款!I:I)</f>
        <v>0</v>
      </c>
      <c r="S224" s="111">
        <f>SUMIF(收付款!A:A,销售合同!A:A,收付款!J:J)</f>
        <v>0</v>
      </c>
      <c r="T224" s="112"/>
      <c r="U224" s="112"/>
      <c r="V224" s="113"/>
      <c r="W224" s="112"/>
      <c r="X224" s="112"/>
    </row>
    <row r="225" spans="1:24" ht="45.75" hidden="1" customHeight="1">
      <c r="A225" s="102" t="s">
        <v>4265</v>
      </c>
      <c r="B225" s="114" t="s">
        <v>485</v>
      </c>
      <c r="C225" s="114" t="s">
        <v>4034</v>
      </c>
      <c r="D225" s="517">
        <v>43055</v>
      </c>
      <c r="E225" s="103" t="s">
        <v>4266</v>
      </c>
      <c r="F225" s="107">
        <v>2000</v>
      </c>
      <c r="G225" s="107">
        <f>32*38.88</f>
        <v>1244.1600000000001</v>
      </c>
      <c r="H225" s="107"/>
      <c r="I225" s="117">
        <f t="shared" si="20"/>
        <v>2488320</v>
      </c>
      <c r="J225" s="114" t="s">
        <v>4036</v>
      </c>
      <c r="K225" s="106">
        <f>SUMIF(收发货!A:A,销售合同!A:A,收发货!D:D)</f>
        <v>2000</v>
      </c>
      <c r="L225" s="109">
        <f>SUMIF(收开票!A:A,销售合同!A:A,收开票!E:E)</f>
        <v>1849.0719999999999</v>
      </c>
      <c r="M225" s="109">
        <f>SUMIF(收开票!A:A,销售合同!A:A,收开票!F:F)</f>
        <v>2004689.89</v>
      </c>
      <c r="N225" s="109">
        <f>SUMIF(收开票!A:A,销售合同!A:A,收开票!H:H)</f>
        <v>1849.0719999999999</v>
      </c>
      <c r="O225" s="109">
        <f>SUMIF(收开票!A:A,销售合同!A:A,收开票!I:I)</f>
        <v>2004689.89</v>
      </c>
      <c r="P225" s="110">
        <f>SUMIF(收付款!A:A,销售合同!A:A,收付款!E:E)</f>
        <v>2004689.89</v>
      </c>
      <c r="Q225" s="110"/>
      <c r="R225" s="161"/>
      <c r="S225" s="111">
        <f>SUMIF(收付款!A:A,销售合同!A:A,收付款!J:J)</f>
        <v>0</v>
      </c>
    </row>
    <row r="226" spans="1:24" ht="35.1" hidden="1" customHeight="1">
      <c r="A226" s="102" t="s">
        <v>4469</v>
      </c>
      <c r="B226" s="114" t="s">
        <v>4053</v>
      </c>
      <c r="C226" s="114" t="s">
        <v>4054</v>
      </c>
      <c r="D226" s="517">
        <v>43040</v>
      </c>
      <c r="E226" s="118" t="s">
        <v>168</v>
      </c>
      <c r="F226" s="107">
        <v>3000</v>
      </c>
      <c r="G226" s="107">
        <f>2006.5+50</f>
        <v>2056.5</v>
      </c>
      <c r="H226" s="107"/>
      <c r="I226" s="117">
        <f t="shared" si="20"/>
        <v>6169500</v>
      </c>
      <c r="J226" s="114" t="s">
        <v>4055</v>
      </c>
      <c r="K226" s="106">
        <f>SUMIF(收发货!A:A,销售合同!A:A,收发货!D:D)</f>
        <v>2076.35</v>
      </c>
      <c r="L226" s="109">
        <f>SUMIF(收开票!A:A,销售合同!A:A,收开票!E:E)</f>
        <v>2016.52</v>
      </c>
      <c r="M226" s="109">
        <f>SUMIF(收开票!A:A,销售合同!A:A,收开票!F:F)</f>
        <v>4040430.83</v>
      </c>
      <c r="N226" s="109">
        <f>SUMIF(收开票!A:A,销售合同!A:A,收开票!H:H)</f>
        <v>2016.52</v>
      </c>
      <c r="O226" s="109">
        <f>SUMIF(收开票!A:A,销售合同!A:A,收开票!I:I)</f>
        <v>4040430.83</v>
      </c>
      <c r="P226" s="110">
        <f>SUMIF(收付款!A:A,销售合同!A:A,收付款!E:E)</f>
        <v>4040430.83</v>
      </c>
      <c r="Q226" s="110">
        <f>O226-P226</f>
        <v>0</v>
      </c>
      <c r="R226" s="106"/>
      <c r="S226" s="111"/>
      <c r="T226" s="112"/>
      <c r="U226" s="112"/>
      <c r="V226" s="113">
        <v>42289</v>
      </c>
      <c r="W226" s="112"/>
      <c r="X226" s="112"/>
    </row>
    <row r="227" spans="1:24" ht="45.75" hidden="1" customHeight="1">
      <c r="A227" s="102" t="s">
        <v>4350</v>
      </c>
      <c r="B227" s="114" t="s">
        <v>485</v>
      </c>
      <c r="C227" s="114" t="s">
        <v>4034</v>
      </c>
      <c r="D227" s="517">
        <v>43063</v>
      </c>
      <c r="E227" s="103" t="s">
        <v>4351</v>
      </c>
      <c r="F227" s="107">
        <v>2000</v>
      </c>
      <c r="G227" s="107">
        <f>32*38.88</f>
        <v>1244.1600000000001</v>
      </c>
      <c r="H227" s="107"/>
      <c r="I227" s="117">
        <f t="shared" si="20"/>
        <v>2488320</v>
      </c>
      <c r="J227" s="114" t="s">
        <v>4356</v>
      </c>
      <c r="K227" s="106">
        <f>SUMIF(收发货!A:A,销售合同!A:A,收发货!D:D)</f>
        <v>2000</v>
      </c>
      <c r="L227" s="109">
        <f>SUMIF(收开票!A:A,销售合同!A:A,收开票!E:E)</f>
        <v>1822.444</v>
      </c>
      <c r="M227" s="109">
        <f>SUMIF(收开票!A:A,销售合同!A:A,收开票!F:F)</f>
        <v>1975820.88</v>
      </c>
      <c r="N227" s="109">
        <f>SUMIF(收开票!A:A,销售合同!A:A,收开票!H:H)</f>
        <v>1822.444</v>
      </c>
      <c r="O227" s="109">
        <f>SUMIF(收开票!A:A,销售合同!A:A,收开票!I:I)</f>
        <v>1975820.88</v>
      </c>
      <c r="P227" s="110">
        <f>SUMIF(收付款!A:A,销售合同!A:A,收付款!E:E)</f>
        <v>1975820.88</v>
      </c>
      <c r="Q227" s="110"/>
      <c r="R227" s="161"/>
      <c r="S227" s="111">
        <f>SUMIF(收付款!A:A,销售合同!A:A,收付款!J:J)</f>
        <v>45058.720000000001</v>
      </c>
    </row>
    <row r="228" spans="1:24" ht="45.75" hidden="1" customHeight="1">
      <c r="A228" s="102" t="s">
        <v>4357</v>
      </c>
      <c r="B228" s="114" t="s">
        <v>485</v>
      </c>
      <c r="C228" s="114" t="s">
        <v>2765</v>
      </c>
      <c r="D228" s="517">
        <v>43068</v>
      </c>
      <c r="E228" s="103" t="s">
        <v>4358</v>
      </c>
      <c r="F228" s="107">
        <v>20000</v>
      </c>
      <c r="G228" s="107">
        <v>1305</v>
      </c>
      <c r="H228" s="107"/>
      <c r="I228" s="117">
        <f t="shared" si="20"/>
        <v>26100000</v>
      </c>
      <c r="J228" s="114" t="s">
        <v>2766</v>
      </c>
      <c r="K228" s="106">
        <f>SUMIF(收发货!A:A,销售合同!A:A,收发货!D:D)</f>
        <v>16500</v>
      </c>
      <c r="L228" s="109">
        <f>SUMIF(收开票!A:A,销售合同!A:A,收开票!E:E)</f>
        <v>16301.445</v>
      </c>
      <c r="M228" s="109">
        <f>SUMIF(收开票!A:A,销售合同!A:A,收开票!F:F)</f>
        <v>21229199.73</v>
      </c>
      <c r="N228" s="109">
        <f>SUMIF(收开票!A:A,销售合同!A:A,收开票!H:H)</f>
        <v>16301.445</v>
      </c>
      <c r="O228" s="109">
        <f>SUMIF(收开票!A:A,销售合同!A:A,收开票!I:I)</f>
        <v>21229199.73</v>
      </c>
      <c r="P228" s="110">
        <f>SUMIF(收付款!A:A,销售合同!A:A,收付款!E:E)</f>
        <v>21229199.73</v>
      </c>
      <c r="Q228" s="110">
        <f t="shared" ref="Q228:Q255" si="21">O228-P228</f>
        <v>0</v>
      </c>
      <c r="R228" s="161"/>
    </row>
    <row r="229" spans="1:24" ht="35.1" hidden="1" customHeight="1">
      <c r="A229" s="102" t="s">
        <v>4062</v>
      </c>
      <c r="B229" s="114" t="s">
        <v>193</v>
      </c>
      <c r="C229" s="114" t="s">
        <v>194</v>
      </c>
      <c r="D229" s="517">
        <v>43073</v>
      </c>
      <c r="E229" s="118" t="s">
        <v>621</v>
      </c>
      <c r="F229" s="107">
        <v>3</v>
      </c>
      <c r="G229" s="107">
        <v>10950</v>
      </c>
      <c r="H229" s="107"/>
      <c r="I229" s="122">
        <f t="shared" si="20"/>
        <v>32850</v>
      </c>
      <c r="J229" s="118" t="s">
        <v>619</v>
      </c>
      <c r="K229" s="106">
        <f>SUMIF(收发货!A:A,销售合同!A:A,收发货!D:D)</f>
        <v>3</v>
      </c>
      <c r="L229" s="107">
        <f>SUMIF(收开票!A:A,销售合同!A:A,收开票!E:E)</f>
        <v>3</v>
      </c>
      <c r="M229" s="108">
        <f>SUMIF(收开票!A:A,销售合同!A:A,收开票!F:F)</f>
        <v>32850</v>
      </c>
      <c r="N229" s="109">
        <f>SUMIF(收开票!A:A,销售合同!A:A,收开票!H:H)</f>
        <v>3</v>
      </c>
      <c r="O229" s="109">
        <f>SUMIF(收开票!A:A,销售合同!A:A,收开票!I:I)</f>
        <v>32850</v>
      </c>
      <c r="P229" s="110">
        <f>SUMIF(收付款!A:A,销售合同!A:A,收付款!E:E)</f>
        <v>32850</v>
      </c>
      <c r="Q229" s="110">
        <f t="shared" si="21"/>
        <v>0</v>
      </c>
      <c r="R229" s="111"/>
      <c r="S229" s="111">
        <f>SUMIF(收付款!A:A,销售合同!A:A,收付款!J:J)</f>
        <v>0</v>
      </c>
      <c r="T229" s="112"/>
      <c r="U229" s="112"/>
    </row>
    <row r="230" spans="1:24" ht="35.1" hidden="1" customHeight="1">
      <c r="A230" s="102" t="s">
        <v>4254</v>
      </c>
      <c r="B230" s="114" t="s">
        <v>147</v>
      </c>
      <c r="C230" s="114" t="s">
        <v>82</v>
      </c>
      <c r="D230" s="517">
        <v>43040</v>
      </c>
      <c r="E230" s="103" t="s">
        <v>83</v>
      </c>
      <c r="F230" s="107">
        <v>200</v>
      </c>
      <c r="G230" s="107">
        <v>12340</v>
      </c>
      <c r="H230" s="107"/>
      <c r="I230" s="117">
        <f t="shared" si="20"/>
        <v>2468000</v>
      </c>
      <c r="J230" s="114" t="s">
        <v>432</v>
      </c>
      <c r="K230" s="106">
        <f>SUMIF(收发货!A:A,销售合同!A:A,收发货!D:D)</f>
        <v>200</v>
      </c>
      <c r="L230" s="109">
        <f>SUMIF(收开票!A:A,销售合同!A:A,收开票!E:E)</f>
        <v>199.84</v>
      </c>
      <c r="M230" s="109">
        <f>SUMIF(收开票!A:A,销售合同!A:A,收开票!F:F)</f>
        <v>2438048</v>
      </c>
      <c r="N230" s="109">
        <f>SUMIF(收开票!A:A,销售合同!A:A,收开票!H:H)</f>
        <v>199.84</v>
      </c>
      <c r="O230" s="109">
        <f>SUMIF(收开票!A:A,销售合同!A:A,收开票!I:I)</f>
        <v>2438048</v>
      </c>
      <c r="P230" s="110">
        <f>SUMIF(收付款!A:A,销售合同!A:A,收付款!E:E)</f>
        <v>2438048</v>
      </c>
      <c r="Q230" s="109">
        <f t="shared" si="21"/>
        <v>0</v>
      </c>
      <c r="R230" s="106"/>
      <c r="S230" s="111"/>
      <c r="T230" s="112"/>
      <c r="U230" s="112"/>
      <c r="V230" s="113">
        <v>42289</v>
      </c>
      <c r="W230" s="112"/>
      <c r="X230" s="112"/>
    </row>
    <row r="231" spans="1:24" ht="35.1" hidden="1" customHeight="1">
      <c r="A231" s="102" t="s">
        <v>4297</v>
      </c>
      <c r="B231" s="114" t="s">
        <v>147</v>
      </c>
      <c r="C231" s="114" t="s">
        <v>82</v>
      </c>
      <c r="D231" s="517">
        <v>43070</v>
      </c>
      <c r="E231" s="103" t="s">
        <v>83</v>
      </c>
      <c r="F231" s="107">
        <v>90</v>
      </c>
      <c r="G231" s="107">
        <v>11900</v>
      </c>
      <c r="H231" s="107"/>
      <c r="I231" s="117">
        <f t="shared" si="20"/>
        <v>1071000</v>
      </c>
      <c r="J231" s="114" t="s">
        <v>432</v>
      </c>
      <c r="K231" s="106">
        <f>SUMIF(收发货!A:A,销售合同!A:A,收发货!D:D)</f>
        <v>90</v>
      </c>
      <c r="L231" s="109">
        <f>SUMIF(收开票!A:A,销售合同!A:A,收开票!E:E)</f>
        <v>89.837999999999994</v>
      </c>
      <c r="M231" s="109">
        <f>SUMIF(收开票!A:A,销售合同!A:A,收开票!F:F)</f>
        <v>1069072.2</v>
      </c>
      <c r="N231" s="109">
        <f>SUMIF(收开票!A:A,销售合同!A:A,收开票!H:H)</f>
        <v>89.837999999999994</v>
      </c>
      <c r="O231" s="109">
        <f>SUMIF(收开票!A:A,销售合同!A:A,收开票!I:I)</f>
        <v>1069072.2</v>
      </c>
      <c r="P231" s="110">
        <f>SUMIF(收付款!A:A,销售合同!A:A,收付款!E:E)</f>
        <v>1069072.2</v>
      </c>
      <c r="Q231" s="109">
        <f t="shared" si="21"/>
        <v>0</v>
      </c>
      <c r="R231" s="106"/>
      <c r="S231" s="111"/>
      <c r="T231" s="112"/>
      <c r="U231" s="112"/>
      <c r="V231" s="113">
        <v>42289</v>
      </c>
      <c r="W231" s="112"/>
      <c r="X231" s="112"/>
    </row>
    <row r="232" spans="1:24" ht="35.1" hidden="1" customHeight="1">
      <c r="A232" s="102" t="s">
        <v>4066</v>
      </c>
      <c r="B232" s="103" t="s">
        <v>127</v>
      </c>
      <c r="C232" s="103" t="s">
        <v>3271</v>
      </c>
      <c r="D232" s="517">
        <v>43055</v>
      </c>
      <c r="E232" s="114" t="s">
        <v>2841</v>
      </c>
      <c r="F232" s="9">
        <v>300</v>
      </c>
      <c r="G232" s="104">
        <v>1345</v>
      </c>
      <c r="H232" s="104" t="s">
        <v>2119</v>
      </c>
      <c r="I232" s="117">
        <f t="shared" si="20"/>
        <v>403500</v>
      </c>
      <c r="J232" s="103" t="s">
        <v>988</v>
      </c>
      <c r="K232" s="106">
        <f>SUMIF(收发货!A:A,销售合同!A:A,收发货!D:D)</f>
        <v>300</v>
      </c>
      <c r="L232" s="109">
        <f>SUMIF(收开票!A:A,销售合同!A:A,收开票!E:E)</f>
        <v>300</v>
      </c>
      <c r="M232" s="109">
        <f>SUMIF(收开票!A:A,销售合同!A:A,收开票!F:F)</f>
        <v>403500</v>
      </c>
      <c r="N232" s="109">
        <f>SUMIF(收开票!A:A,销售合同!A:A,收开票!H:H)</f>
        <v>300</v>
      </c>
      <c r="O232" s="109">
        <f>SUMIF(收开票!A:A,销售合同!A:A,收开票!I:I)</f>
        <v>403500</v>
      </c>
      <c r="P232" s="110">
        <f>SUMIF(收付款!A:A,销售合同!A:A,收付款!E:E)</f>
        <v>403500</v>
      </c>
      <c r="Q232" s="110">
        <f t="shared" si="21"/>
        <v>0</v>
      </c>
      <c r="R232" s="111">
        <f>SUMIF(收付款!A:A,销售合同!A:A,收付款!I:I)</f>
        <v>0</v>
      </c>
      <c r="S232" s="111">
        <f>SUMIF(收付款!A:A,销售合同!A:A,收付款!J:J)</f>
        <v>0</v>
      </c>
      <c r="T232" s="112"/>
      <c r="U232" s="112"/>
      <c r="V232" s="113"/>
      <c r="W232" s="112"/>
      <c r="X232" s="112"/>
    </row>
    <row r="233" spans="1:24" ht="35.1" hidden="1" customHeight="1">
      <c r="A233" s="102" t="s">
        <v>4067</v>
      </c>
      <c r="B233" s="103" t="s">
        <v>127</v>
      </c>
      <c r="C233" s="103" t="s">
        <v>3271</v>
      </c>
      <c r="D233" s="517">
        <v>43056</v>
      </c>
      <c r="E233" s="114" t="s">
        <v>2841</v>
      </c>
      <c r="F233" s="9">
        <v>100</v>
      </c>
      <c r="G233" s="104">
        <v>1340</v>
      </c>
      <c r="H233" s="104" t="s">
        <v>2119</v>
      </c>
      <c r="I233" s="117">
        <f t="shared" si="20"/>
        <v>134000</v>
      </c>
      <c r="J233" s="103" t="s">
        <v>988</v>
      </c>
      <c r="K233" s="106">
        <f>SUMIF(收发货!A:A,销售合同!A:A,收发货!D:D)</f>
        <v>100</v>
      </c>
      <c r="L233" s="109">
        <f>SUMIF(收开票!A:A,销售合同!A:A,收开票!E:E)</f>
        <v>100</v>
      </c>
      <c r="M233" s="109">
        <f>SUMIF(收开票!A:A,销售合同!A:A,收开票!F:F)</f>
        <v>134000</v>
      </c>
      <c r="N233" s="109">
        <f>SUMIF(收开票!A:A,销售合同!A:A,收开票!H:H)</f>
        <v>100</v>
      </c>
      <c r="O233" s="109">
        <f>SUMIF(收开票!A:A,销售合同!A:A,收开票!I:I)</f>
        <v>134000</v>
      </c>
      <c r="P233" s="110">
        <f>SUMIF(收付款!A:A,销售合同!A:A,收付款!E:E)</f>
        <v>134000</v>
      </c>
      <c r="Q233" s="110">
        <f t="shared" si="21"/>
        <v>0</v>
      </c>
      <c r="R233" s="111">
        <f>SUMIF(收付款!A:A,销售合同!A:A,收付款!I:I)</f>
        <v>0</v>
      </c>
      <c r="S233" s="111">
        <f>SUMIF(收付款!A:A,销售合同!A:A,收付款!J:J)</f>
        <v>0</v>
      </c>
      <c r="T233" s="112"/>
      <c r="U233" s="112"/>
      <c r="V233" s="113"/>
      <c r="W233" s="112"/>
      <c r="X233" s="112"/>
    </row>
    <row r="234" spans="1:24" ht="35.1" hidden="1" customHeight="1">
      <c r="A234" s="102" t="s">
        <v>4605</v>
      </c>
      <c r="B234" s="103" t="s">
        <v>127</v>
      </c>
      <c r="C234" s="103" t="s">
        <v>3271</v>
      </c>
      <c r="D234" s="517">
        <v>43069</v>
      </c>
      <c r="E234" s="114" t="s">
        <v>2841</v>
      </c>
      <c r="F234" s="9">
        <v>200</v>
      </c>
      <c r="G234" s="104">
        <v>1350</v>
      </c>
      <c r="H234" s="104" t="s">
        <v>2119</v>
      </c>
      <c r="I234" s="117">
        <f t="shared" si="20"/>
        <v>270000</v>
      </c>
      <c r="J234" s="103" t="s">
        <v>988</v>
      </c>
      <c r="K234" s="106">
        <f>SUMIF(收发货!A:A,销售合同!A:A,收发货!D:D)</f>
        <v>200</v>
      </c>
      <c r="L234" s="109">
        <f>SUMIF(收开票!A:A,销售合同!A:A,收开票!E:E)</f>
        <v>200</v>
      </c>
      <c r="M234" s="109">
        <f>SUMIF(收开票!A:A,销售合同!A:A,收开票!F:F)</f>
        <v>270000</v>
      </c>
      <c r="N234" s="109">
        <f>SUMIF(收开票!A:A,销售合同!A:A,收开票!H:H)</f>
        <v>200</v>
      </c>
      <c r="O234" s="109">
        <f>SUMIF(收开票!A:A,销售合同!A:A,收开票!I:I)</f>
        <v>270000</v>
      </c>
      <c r="P234" s="110">
        <f>SUMIF(收付款!A:A,销售合同!A:A,收付款!E:E)</f>
        <v>270000</v>
      </c>
      <c r="Q234" s="110">
        <f t="shared" si="21"/>
        <v>0</v>
      </c>
      <c r="R234" s="111">
        <f>SUMIF(收付款!A:A,销售合同!A:A,收付款!I:I)</f>
        <v>0</v>
      </c>
      <c r="S234" s="111">
        <f>SUMIF(收付款!A:A,销售合同!A:A,收付款!J:J)</f>
        <v>0</v>
      </c>
      <c r="T234" s="112"/>
      <c r="U234" s="112"/>
      <c r="V234" s="113"/>
      <c r="W234" s="112"/>
      <c r="X234" s="112"/>
    </row>
    <row r="235" spans="1:24" ht="35.1" hidden="1" customHeight="1">
      <c r="A235" s="102" t="s">
        <v>4118</v>
      </c>
      <c r="B235" s="103" t="s">
        <v>127</v>
      </c>
      <c r="C235" s="103" t="s">
        <v>3271</v>
      </c>
      <c r="D235" s="517">
        <v>43077</v>
      </c>
      <c r="E235" s="114" t="s">
        <v>2841</v>
      </c>
      <c r="F235" s="9">
        <v>200</v>
      </c>
      <c r="G235" s="104">
        <v>1685</v>
      </c>
      <c r="H235" s="104" t="s">
        <v>2119</v>
      </c>
      <c r="I235" s="117">
        <f t="shared" si="20"/>
        <v>337000</v>
      </c>
      <c r="J235" s="103" t="s">
        <v>988</v>
      </c>
      <c r="K235" s="106">
        <f>SUMIF(收发货!A:A,销售合同!A:A,收发货!D:D)</f>
        <v>200</v>
      </c>
      <c r="L235" s="109">
        <f>SUMIF(收开票!A:A,销售合同!A:A,收开票!E:E)</f>
        <v>200</v>
      </c>
      <c r="M235" s="109">
        <f>SUMIF(收开票!A:A,销售合同!A:A,收开票!F:F)</f>
        <v>337000</v>
      </c>
      <c r="N235" s="109">
        <f>SUMIF(收开票!A:A,销售合同!A:A,收开票!H:H)</f>
        <v>200</v>
      </c>
      <c r="O235" s="109">
        <f>SUMIF(收开票!A:A,销售合同!A:A,收开票!I:I)</f>
        <v>337000</v>
      </c>
      <c r="P235" s="110">
        <f>SUMIF(收付款!A:A,销售合同!A:A,收付款!E:E)</f>
        <v>337000</v>
      </c>
      <c r="Q235" s="110">
        <f t="shared" si="21"/>
        <v>0</v>
      </c>
      <c r="R235" s="111">
        <f>SUMIF(收付款!A:A,销售合同!A:A,收付款!I:I)</f>
        <v>0</v>
      </c>
      <c r="S235" s="111">
        <f>SUMIF(收付款!A:A,销售合同!A:A,收付款!J:J)</f>
        <v>0</v>
      </c>
      <c r="T235" s="112"/>
      <c r="U235" s="112"/>
      <c r="V235" s="113"/>
      <c r="W235" s="112"/>
      <c r="X235" s="112"/>
    </row>
    <row r="236" spans="1:24" ht="35.1" hidden="1" customHeight="1">
      <c r="A236" s="102" t="s">
        <v>4119</v>
      </c>
      <c r="B236" s="103" t="s">
        <v>127</v>
      </c>
      <c r="C236" s="103" t="s">
        <v>3271</v>
      </c>
      <c r="D236" s="517">
        <v>43082</v>
      </c>
      <c r="E236" s="114" t="s">
        <v>4334</v>
      </c>
      <c r="F236" s="9">
        <v>66</v>
      </c>
      <c r="G236" s="104">
        <v>1885</v>
      </c>
      <c r="H236" s="104" t="s">
        <v>2119</v>
      </c>
      <c r="I236" s="117">
        <f t="shared" si="20"/>
        <v>124410</v>
      </c>
      <c r="J236" s="103" t="s">
        <v>3982</v>
      </c>
      <c r="K236" s="106">
        <f>SUMIF(收发货!A:A,销售合同!A:A,收发货!D:D)</f>
        <v>66</v>
      </c>
      <c r="L236" s="109">
        <f>SUMIF(收开票!A:A,销售合同!A:A,收开票!E:E)</f>
        <v>66</v>
      </c>
      <c r="M236" s="109">
        <f>SUMIF(收开票!A:A,销售合同!A:A,收开票!F:F)</f>
        <v>124410</v>
      </c>
      <c r="N236" s="109">
        <f>SUMIF(收开票!A:A,销售合同!A:A,收开票!H:H)</f>
        <v>66</v>
      </c>
      <c r="O236" s="109">
        <f>SUMIF(收开票!A:A,销售合同!A:A,收开票!I:I)</f>
        <v>124410</v>
      </c>
      <c r="P236" s="110">
        <f>SUMIF(收付款!A:A,销售合同!A:A,收付款!E:E)</f>
        <v>124401.67</v>
      </c>
      <c r="Q236" s="110">
        <f t="shared" si="21"/>
        <v>8.3300000000017462</v>
      </c>
      <c r="R236" s="111">
        <f>SUMIF(收付款!A:A,销售合同!A:A,收付款!I:I)</f>
        <v>0</v>
      </c>
      <c r="S236" s="111">
        <f>SUMIF(收付款!A:A,销售合同!A:A,收付款!J:J)</f>
        <v>0</v>
      </c>
      <c r="T236" s="112"/>
      <c r="U236" s="112"/>
      <c r="V236" s="113"/>
      <c r="W236" s="112"/>
      <c r="X236" s="112"/>
    </row>
    <row r="237" spans="1:24" ht="45.75" hidden="1" customHeight="1">
      <c r="A237" s="102" t="s">
        <v>4439</v>
      </c>
      <c r="B237" s="114" t="s">
        <v>485</v>
      </c>
      <c r="C237" s="114" t="s">
        <v>4223</v>
      </c>
      <c r="D237" s="517">
        <v>43070</v>
      </c>
      <c r="E237" s="103" t="s">
        <v>4405</v>
      </c>
      <c r="F237" s="107">
        <v>2000</v>
      </c>
      <c r="G237" s="107">
        <v>2963</v>
      </c>
      <c r="H237" s="107"/>
      <c r="I237" s="117">
        <f t="shared" si="20"/>
        <v>5926000</v>
      </c>
      <c r="J237" s="114" t="s">
        <v>2766</v>
      </c>
      <c r="K237" s="106">
        <f>SUMIF(收发货!A:A,销售合同!A:A,收发货!D:D)</f>
        <v>1917.84</v>
      </c>
      <c r="L237" s="109">
        <f>SUMIF(收开票!A:A,销售合同!A:A,收开票!E:E)</f>
        <v>1883.68</v>
      </c>
      <c r="M237" s="109">
        <f>SUMIF(收开票!A:A,销售合同!A:A,收开票!F:F)</f>
        <v>5558834.3099999996</v>
      </c>
      <c r="N237" s="109">
        <f>SUMIF(收开票!A:A,销售合同!A:A,收开票!H:H)</f>
        <v>1883.68</v>
      </c>
      <c r="O237" s="109">
        <f>SUMIF(收开票!A:A,销售合同!A:A,收开票!I:I)</f>
        <v>5558834.3099999996</v>
      </c>
      <c r="P237" s="110">
        <f>SUMIF(收付款!A:A,销售合同!A:A,收付款!E:E)</f>
        <v>5558834.3099999996</v>
      </c>
      <c r="Q237" s="110">
        <f t="shared" si="21"/>
        <v>0</v>
      </c>
      <c r="R237" s="161"/>
    </row>
    <row r="238" spans="1:24" ht="35.1" hidden="1" customHeight="1">
      <c r="A238" s="102" t="s">
        <v>4998</v>
      </c>
      <c r="B238" s="114" t="s">
        <v>4053</v>
      </c>
      <c r="C238" s="114" t="s">
        <v>4054</v>
      </c>
      <c r="D238" s="517">
        <v>43070</v>
      </c>
      <c r="E238" s="118" t="s">
        <v>168</v>
      </c>
      <c r="F238" s="107">
        <v>3000</v>
      </c>
      <c r="G238" s="107">
        <v>2357.08</v>
      </c>
      <c r="H238" s="107"/>
      <c r="I238" s="117">
        <f t="shared" si="20"/>
        <v>7071240</v>
      </c>
      <c r="J238" s="114" t="s">
        <v>4055</v>
      </c>
      <c r="K238" s="106">
        <f>SUMIF(收发货!A:A,销售合同!A:A,收发货!D:D)</f>
        <v>2800.4100000000003</v>
      </c>
      <c r="L238" s="109">
        <f>SUMIF(收开票!A:A,销售合同!A:A,收开票!E:E)</f>
        <v>1264.5899999999999</v>
      </c>
      <c r="M238" s="109">
        <f>SUMIF(收开票!A:A,销售合同!A:A,收开票!F:F)</f>
        <v>2828942.19</v>
      </c>
      <c r="N238" s="109">
        <f>SUMIF(收开票!A:A,销售合同!A:A,收开票!H:H)</f>
        <v>1264.5899999999999</v>
      </c>
      <c r="O238" s="109">
        <f>SUMIF(收开票!A:A,销售合同!A:A,收开票!I:I)</f>
        <v>2828942.19</v>
      </c>
      <c r="P238" s="110">
        <f>SUMIF(收付款!A:A,销售合同!A:A,收付款!E:E)</f>
        <v>2828942.1899999995</v>
      </c>
      <c r="Q238" s="110">
        <f t="shared" si="21"/>
        <v>0</v>
      </c>
      <c r="R238" s="106"/>
      <c r="S238" s="111"/>
      <c r="T238" s="112"/>
      <c r="U238" s="112"/>
      <c r="V238" s="113">
        <v>42289</v>
      </c>
      <c r="W238" s="112"/>
      <c r="X238" s="112"/>
    </row>
    <row r="239" spans="1:24" ht="35.1" hidden="1" customHeight="1">
      <c r="A239" s="102" t="s">
        <v>4233</v>
      </c>
      <c r="B239" s="114" t="s">
        <v>193</v>
      </c>
      <c r="C239" s="114" t="s">
        <v>194</v>
      </c>
      <c r="D239" s="517">
        <v>43074</v>
      </c>
      <c r="E239" s="118" t="s">
        <v>621</v>
      </c>
      <c r="F239" s="107">
        <v>3</v>
      </c>
      <c r="G239" s="107">
        <v>10950</v>
      </c>
      <c r="H239" s="107"/>
      <c r="I239" s="122">
        <f t="shared" si="20"/>
        <v>32850</v>
      </c>
      <c r="J239" s="118" t="s">
        <v>619</v>
      </c>
      <c r="K239" s="106">
        <f>SUMIF(收发货!A:A,销售合同!A:A,收发货!D:D)</f>
        <v>3</v>
      </c>
      <c r="L239" s="107">
        <f>SUMIF(收开票!A:A,销售合同!A:A,收开票!E:E)</f>
        <v>3</v>
      </c>
      <c r="M239" s="108">
        <f>SUMIF(收开票!A:A,销售合同!A:A,收开票!F:F)</f>
        <v>32850</v>
      </c>
      <c r="N239" s="109">
        <f>SUMIF(收开票!A:A,销售合同!A:A,收开票!H:H)</f>
        <v>3</v>
      </c>
      <c r="O239" s="109">
        <f>SUMIF(收开票!A:A,销售合同!A:A,收开票!I:I)</f>
        <v>32850</v>
      </c>
      <c r="P239" s="110">
        <f>SUMIF(收付款!A:A,销售合同!A:A,收付款!E:E)</f>
        <v>32850</v>
      </c>
      <c r="Q239" s="110">
        <f t="shared" si="21"/>
        <v>0</v>
      </c>
      <c r="R239" s="111"/>
      <c r="S239" s="111">
        <f>SUMIF(收付款!A:A,销售合同!A:A,收付款!J:J)</f>
        <v>0</v>
      </c>
      <c r="T239" s="112"/>
      <c r="U239" s="112"/>
    </row>
    <row r="240" spans="1:24" ht="35.1" hidden="1" customHeight="1">
      <c r="A240" s="102" t="s">
        <v>4243</v>
      </c>
      <c r="B240" s="114" t="s">
        <v>193</v>
      </c>
      <c r="C240" s="114" t="s">
        <v>194</v>
      </c>
      <c r="D240" s="517">
        <v>43080</v>
      </c>
      <c r="E240" s="118" t="s">
        <v>4240</v>
      </c>
      <c r="F240" s="107">
        <v>40</v>
      </c>
      <c r="G240" s="107">
        <v>10500</v>
      </c>
      <c r="H240" s="107"/>
      <c r="I240" s="122">
        <f t="shared" si="20"/>
        <v>420000</v>
      </c>
      <c r="J240" s="118" t="s">
        <v>619</v>
      </c>
      <c r="K240" s="106">
        <f>SUMIF(收发货!A:A,销售合同!A:A,收发货!D:D)</f>
        <v>40</v>
      </c>
      <c r="L240" s="107">
        <f>SUMIF(收开票!A:A,销售合同!A:A,收开票!E:E)</f>
        <v>40</v>
      </c>
      <c r="M240" s="108">
        <f>SUMIF(收开票!A:A,销售合同!A:A,收开票!F:F)</f>
        <v>420000</v>
      </c>
      <c r="N240" s="109">
        <f>SUMIF(收开票!A:A,销售合同!A:A,收开票!H:H)</f>
        <v>40</v>
      </c>
      <c r="O240" s="109">
        <f>SUMIF(收开票!A:A,销售合同!A:A,收开票!I:I)</f>
        <v>420000</v>
      </c>
      <c r="P240" s="110">
        <f>SUMIF(收付款!A:A,销售合同!A:A,收付款!E:E)</f>
        <v>420000</v>
      </c>
      <c r="Q240" s="110">
        <f t="shared" si="21"/>
        <v>0</v>
      </c>
      <c r="R240" s="111"/>
      <c r="S240" s="111">
        <f>SUMIF(收付款!A:A,销售合同!A:A,收付款!J:J)</f>
        <v>0</v>
      </c>
      <c r="T240" s="112"/>
      <c r="U240" s="112"/>
    </row>
    <row r="241" spans="1:24" ht="35.1" hidden="1" customHeight="1">
      <c r="A241" s="102" t="s">
        <v>4961</v>
      </c>
      <c r="B241" s="114" t="s">
        <v>147</v>
      </c>
      <c r="C241" s="114" t="s">
        <v>82</v>
      </c>
      <c r="D241" s="517">
        <v>43101</v>
      </c>
      <c r="E241" s="103" t="s">
        <v>83</v>
      </c>
      <c r="F241" s="107">
        <v>400</v>
      </c>
      <c r="G241" s="107">
        <v>11650</v>
      </c>
      <c r="H241" s="107"/>
      <c r="I241" s="117">
        <f t="shared" si="20"/>
        <v>4660000</v>
      </c>
      <c r="J241" s="114" t="s">
        <v>432</v>
      </c>
      <c r="K241" s="106">
        <f>SUMIF(收发货!A:A,销售合同!A:A,收发货!D:D)</f>
        <v>384</v>
      </c>
      <c r="L241" s="109">
        <f>SUMIF(收开票!A:A,销售合同!A:A,收开票!E:E)</f>
        <v>383.11099999999999</v>
      </c>
      <c r="M241" s="109">
        <f>SUMIF(收开票!A:A,销售合同!A:A,收开票!F:F)</f>
        <v>4463243.1500000004</v>
      </c>
      <c r="N241" s="109">
        <f>SUMIF(收开票!A:A,销售合同!A:A,收开票!H:H)</f>
        <v>383.11099999999999</v>
      </c>
      <c r="O241" s="109">
        <f>SUMIF(收开票!A:A,销售合同!A:A,收开票!I:I)</f>
        <v>4463243.1500000004</v>
      </c>
      <c r="P241" s="110">
        <f>SUMIF(收付款!A:A,销售合同!A:A,收付款!E:E)</f>
        <v>4463243.1500000004</v>
      </c>
      <c r="Q241" s="109">
        <f t="shared" si="21"/>
        <v>0</v>
      </c>
      <c r="R241" s="106"/>
      <c r="S241" s="111"/>
      <c r="T241" s="112"/>
      <c r="U241" s="112"/>
      <c r="V241" s="113">
        <v>42289</v>
      </c>
      <c r="W241" s="112"/>
      <c r="X241" s="112"/>
    </row>
    <row r="242" spans="1:24" ht="35.1" hidden="1" customHeight="1">
      <c r="A242" s="102" t="s">
        <v>4624</v>
      </c>
      <c r="B242" s="103" t="s">
        <v>127</v>
      </c>
      <c r="C242" s="103" t="s">
        <v>3271</v>
      </c>
      <c r="D242" s="517">
        <v>43096</v>
      </c>
      <c r="E242" s="114" t="s">
        <v>2841</v>
      </c>
      <c r="F242" s="9">
        <v>60</v>
      </c>
      <c r="G242" s="104">
        <v>1700</v>
      </c>
      <c r="H242" s="104" t="s">
        <v>2119</v>
      </c>
      <c r="I242" s="117">
        <f t="shared" si="20"/>
        <v>102000</v>
      </c>
      <c r="J242" s="103" t="s">
        <v>988</v>
      </c>
      <c r="K242" s="106">
        <f>SUMIF(收发货!A:A,销售合同!A:A,收发货!D:D)</f>
        <v>60</v>
      </c>
      <c r="L242" s="109">
        <f>SUMIF(收开票!A:A,销售合同!A:A,收开票!E:E)</f>
        <v>60</v>
      </c>
      <c r="M242" s="109">
        <f>SUMIF(收开票!A:A,销售合同!A:A,收开票!F:F)</f>
        <v>102000</v>
      </c>
      <c r="N242" s="109">
        <f>SUMIF(收开票!A:A,销售合同!A:A,收开票!H:H)</f>
        <v>60</v>
      </c>
      <c r="O242" s="109">
        <f>SUMIF(收开票!A:A,销售合同!A:A,收开票!I:I)</f>
        <v>102000</v>
      </c>
      <c r="P242" s="110">
        <f>SUMIF(收付款!A:A,销售合同!A:A,收付款!E:E)</f>
        <v>102000</v>
      </c>
      <c r="Q242" s="110">
        <f t="shared" si="21"/>
        <v>0</v>
      </c>
      <c r="R242" s="111">
        <f>SUMIF(收付款!A:A,销售合同!A:A,收付款!I:I)</f>
        <v>0</v>
      </c>
      <c r="S242" s="111">
        <f>SUMIF(收付款!A:A,销售合同!A:A,收付款!J:J)</f>
        <v>0</v>
      </c>
      <c r="T242" s="112"/>
      <c r="U242" s="112"/>
      <c r="V242" s="113"/>
      <c r="W242" s="112"/>
      <c r="X242" s="112"/>
    </row>
    <row r="243" spans="1:24" ht="35.1" hidden="1" customHeight="1">
      <c r="A243" s="102" t="s">
        <v>4892</v>
      </c>
      <c r="B243" s="103" t="s">
        <v>127</v>
      </c>
      <c r="C243" s="103" t="s">
        <v>3271</v>
      </c>
      <c r="D243" s="517">
        <v>43097</v>
      </c>
      <c r="E243" s="114" t="s">
        <v>2841</v>
      </c>
      <c r="F243" s="9">
        <v>160</v>
      </c>
      <c r="G243" s="104">
        <v>1725</v>
      </c>
      <c r="H243" s="104" t="s">
        <v>2119</v>
      </c>
      <c r="I243" s="117">
        <f t="shared" si="20"/>
        <v>276000</v>
      </c>
      <c r="J243" s="103" t="s">
        <v>988</v>
      </c>
      <c r="K243" s="106">
        <f>SUMIF(收发货!A:A,销售合同!A:A,收发货!D:D)</f>
        <v>160</v>
      </c>
      <c r="L243" s="109">
        <f>SUMIF(收开票!A:A,销售合同!A:A,收开票!E:E)</f>
        <v>160</v>
      </c>
      <c r="M243" s="109">
        <f>SUMIF(收开票!A:A,销售合同!A:A,收开票!F:F)</f>
        <v>276000</v>
      </c>
      <c r="N243" s="109">
        <f>SUMIF(收开票!A:A,销售合同!A:A,收开票!H:H)</f>
        <v>160</v>
      </c>
      <c r="O243" s="109">
        <f>SUMIF(收开票!A:A,销售合同!A:A,收开票!I:I)</f>
        <v>276000</v>
      </c>
      <c r="P243" s="110">
        <f>SUMIF(收付款!A:A,销售合同!A:A,收付款!E:E)</f>
        <v>276000</v>
      </c>
      <c r="Q243" s="110">
        <f t="shared" si="21"/>
        <v>0</v>
      </c>
      <c r="R243" s="111">
        <f>SUMIF(收付款!A:A,销售合同!A:A,收付款!I:I)</f>
        <v>0</v>
      </c>
      <c r="S243" s="111">
        <f>SUMIF(收付款!A:A,销售合同!A:A,收付款!J:J)</f>
        <v>0</v>
      </c>
      <c r="T243" s="112"/>
      <c r="U243" s="112"/>
      <c r="V243" s="113"/>
      <c r="W243" s="112"/>
      <c r="X243" s="112"/>
    </row>
    <row r="244" spans="1:24" ht="35.1" hidden="1" customHeight="1">
      <c r="A244" s="102" t="s">
        <v>4894</v>
      </c>
      <c r="B244" s="103" t="s">
        <v>127</v>
      </c>
      <c r="C244" s="103" t="s">
        <v>3271</v>
      </c>
      <c r="D244" s="517">
        <v>43097</v>
      </c>
      <c r="E244" s="114" t="s">
        <v>2841</v>
      </c>
      <c r="F244" s="9">
        <v>160</v>
      </c>
      <c r="G244" s="104">
        <v>1725</v>
      </c>
      <c r="H244" s="104" t="s">
        <v>2119</v>
      </c>
      <c r="I244" s="117">
        <f t="shared" si="20"/>
        <v>276000</v>
      </c>
      <c r="J244" s="103" t="s">
        <v>988</v>
      </c>
      <c r="K244" s="106">
        <f>SUMIF(收发货!A:A,销售合同!A:A,收发货!D:D)</f>
        <v>160</v>
      </c>
      <c r="L244" s="109">
        <f>SUMIF(收开票!A:A,销售合同!A:A,收开票!E:E)</f>
        <v>160</v>
      </c>
      <c r="M244" s="109">
        <f>SUMIF(收开票!A:A,销售合同!A:A,收开票!F:F)</f>
        <v>276000</v>
      </c>
      <c r="N244" s="109">
        <f>SUMIF(收开票!A:A,销售合同!A:A,收开票!H:H)</f>
        <v>160</v>
      </c>
      <c r="O244" s="109">
        <f>SUMIF(收开票!A:A,销售合同!A:A,收开票!I:I)</f>
        <v>276000</v>
      </c>
      <c r="P244" s="110">
        <f>SUMIF(收付款!A:A,销售合同!A:A,收付款!E:E)</f>
        <v>276000</v>
      </c>
      <c r="Q244" s="110">
        <f t="shared" si="21"/>
        <v>0</v>
      </c>
      <c r="R244" s="111">
        <f>SUMIF(收付款!A:A,销售合同!A:A,收付款!I:I)</f>
        <v>0</v>
      </c>
      <c r="S244" s="111">
        <f>SUMIF(收付款!A:A,销售合同!A:A,收付款!J:J)</f>
        <v>0</v>
      </c>
      <c r="T244" s="112"/>
      <c r="U244" s="112"/>
      <c r="V244" s="113"/>
      <c r="W244" s="112"/>
      <c r="X244" s="112"/>
    </row>
    <row r="245" spans="1:24" ht="35.1" hidden="1" customHeight="1">
      <c r="A245" s="102" t="s">
        <v>4313</v>
      </c>
      <c r="B245" s="103" t="s">
        <v>127</v>
      </c>
      <c r="C245" s="103" t="s">
        <v>3271</v>
      </c>
      <c r="D245" s="517">
        <v>43097</v>
      </c>
      <c r="E245" s="114" t="s">
        <v>2841</v>
      </c>
      <c r="F245" s="9">
        <v>40</v>
      </c>
      <c r="G245" s="104">
        <v>1735</v>
      </c>
      <c r="H245" s="104" t="s">
        <v>2119</v>
      </c>
      <c r="I245" s="117">
        <f t="shared" si="20"/>
        <v>69400</v>
      </c>
      <c r="J245" s="103" t="s">
        <v>988</v>
      </c>
      <c r="K245" s="106">
        <f>SUMIF(收发货!A:A,销售合同!A:A,收发货!D:D)</f>
        <v>40</v>
      </c>
      <c r="L245" s="109">
        <f>SUMIF(收开票!A:A,销售合同!A:A,收开票!E:E)</f>
        <v>40</v>
      </c>
      <c r="M245" s="109">
        <f>SUMIF(收开票!A:A,销售合同!A:A,收开票!F:F)</f>
        <v>69400</v>
      </c>
      <c r="N245" s="109">
        <f>SUMIF(收开票!A:A,销售合同!A:A,收开票!H:H)</f>
        <v>40</v>
      </c>
      <c r="O245" s="109">
        <f>SUMIF(收开票!A:A,销售合同!A:A,收开票!I:I)</f>
        <v>69400</v>
      </c>
      <c r="P245" s="110">
        <f>SUMIF(收付款!A:A,销售合同!A:A,收付款!E:E)</f>
        <v>69400</v>
      </c>
      <c r="Q245" s="110">
        <f t="shared" si="21"/>
        <v>0</v>
      </c>
      <c r="R245" s="111">
        <f>SUMIF(收付款!A:A,销售合同!A:A,收付款!I:I)</f>
        <v>0</v>
      </c>
      <c r="S245" s="111">
        <f>SUMIF(收付款!A:A,销售合同!A:A,收付款!J:J)</f>
        <v>0</v>
      </c>
      <c r="T245" s="112"/>
      <c r="U245" s="112"/>
      <c r="V245" s="113"/>
      <c r="W245" s="112"/>
      <c r="X245" s="112"/>
    </row>
    <row r="246" spans="1:24" ht="35.1" hidden="1" customHeight="1">
      <c r="A246" s="102" t="s">
        <v>4664</v>
      </c>
      <c r="B246" s="103" t="s">
        <v>127</v>
      </c>
      <c r="C246" s="103" t="s">
        <v>3271</v>
      </c>
      <c r="D246" s="517">
        <v>43097</v>
      </c>
      <c r="E246" s="114" t="s">
        <v>2841</v>
      </c>
      <c r="F246" s="9">
        <v>100</v>
      </c>
      <c r="G246" s="104">
        <v>1740</v>
      </c>
      <c r="H246" s="104" t="s">
        <v>2119</v>
      </c>
      <c r="I246" s="117">
        <f t="shared" ref="I246:I255" si="22">F246*G246</f>
        <v>174000</v>
      </c>
      <c r="J246" s="103" t="s">
        <v>988</v>
      </c>
      <c r="K246" s="106">
        <f>SUMIF(收发货!A:A,销售合同!A:A,收发货!D:D)</f>
        <v>100</v>
      </c>
      <c r="L246" s="109">
        <f>SUMIF(收开票!A:A,销售合同!A:A,收开票!E:E)</f>
        <v>100</v>
      </c>
      <c r="M246" s="109">
        <f>SUMIF(收开票!A:A,销售合同!A:A,收开票!F:F)</f>
        <v>174000</v>
      </c>
      <c r="N246" s="109">
        <f>SUMIF(收开票!A:A,销售合同!A:A,收开票!H:H)</f>
        <v>100</v>
      </c>
      <c r="O246" s="109">
        <f>SUMIF(收开票!A:A,销售合同!A:A,收开票!I:I)</f>
        <v>174000</v>
      </c>
      <c r="P246" s="110">
        <f>SUMIF(收付款!A:A,销售合同!A:A,收付款!E:E)</f>
        <v>174000</v>
      </c>
      <c r="Q246" s="110">
        <f t="shared" si="21"/>
        <v>0</v>
      </c>
      <c r="R246" s="111">
        <f>SUMIF(收付款!A:A,销售合同!A:A,收付款!I:I)</f>
        <v>0</v>
      </c>
      <c r="S246" s="111">
        <f>SUMIF(收付款!A:A,销售合同!A:A,收付款!J:J)</f>
        <v>0</v>
      </c>
      <c r="T246" s="112"/>
      <c r="U246" s="112"/>
      <c r="V246" s="113"/>
      <c r="W246" s="112"/>
      <c r="X246" s="112"/>
    </row>
    <row r="247" spans="1:24" ht="35.1" hidden="1" customHeight="1">
      <c r="A247" s="102" t="s">
        <v>4314</v>
      </c>
      <c r="B247" s="103" t="s">
        <v>127</v>
      </c>
      <c r="C247" s="103" t="s">
        <v>3271</v>
      </c>
      <c r="D247" s="517">
        <v>43097</v>
      </c>
      <c r="E247" s="114" t="s">
        <v>2841</v>
      </c>
      <c r="F247" s="9">
        <v>40</v>
      </c>
      <c r="G247" s="104">
        <v>1735</v>
      </c>
      <c r="H247" s="104" t="s">
        <v>2119</v>
      </c>
      <c r="I247" s="117">
        <f t="shared" si="22"/>
        <v>69400</v>
      </c>
      <c r="J247" s="103" t="s">
        <v>988</v>
      </c>
      <c r="K247" s="106">
        <f>SUMIF(收发货!A:A,销售合同!A:A,收发货!D:D)</f>
        <v>40</v>
      </c>
      <c r="L247" s="109">
        <f>SUMIF(收开票!A:A,销售合同!A:A,收开票!E:E)</f>
        <v>40</v>
      </c>
      <c r="M247" s="109">
        <f>SUMIF(收开票!A:A,销售合同!A:A,收开票!F:F)</f>
        <v>69400</v>
      </c>
      <c r="N247" s="109">
        <f>SUMIF(收开票!A:A,销售合同!A:A,收开票!H:H)</f>
        <v>40</v>
      </c>
      <c r="O247" s="109">
        <f>SUMIF(收开票!A:A,销售合同!A:A,收开票!I:I)</f>
        <v>69400</v>
      </c>
      <c r="P247" s="110">
        <f>SUMIF(收付款!A:A,销售合同!A:A,收付款!E:E)</f>
        <v>69400</v>
      </c>
      <c r="Q247" s="110">
        <f t="shared" si="21"/>
        <v>0</v>
      </c>
      <c r="R247" s="111">
        <f>SUMIF(收付款!A:A,销售合同!A:A,收付款!I:I)</f>
        <v>0</v>
      </c>
      <c r="S247" s="111">
        <f>SUMIF(收付款!A:A,销售合同!A:A,收付款!J:J)</f>
        <v>0</v>
      </c>
      <c r="T247" s="112"/>
      <c r="U247" s="112"/>
      <c r="V247" s="113"/>
      <c r="W247" s="112"/>
      <c r="X247" s="112"/>
    </row>
    <row r="248" spans="1:24" ht="35.1" hidden="1" customHeight="1">
      <c r="A248" s="102" t="s">
        <v>4635</v>
      </c>
      <c r="B248" s="114" t="s">
        <v>485</v>
      </c>
      <c r="C248" s="114" t="s">
        <v>3956</v>
      </c>
      <c r="D248" s="517">
        <v>43101</v>
      </c>
      <c r="E248" s="118" t="s">
        <v>168</v>
      </c>
      <c r="F248" s="107">
        <v>3000</v>
      </c>
      <c r="G248" s="107">
        <v>2386.3000000000002</v>
      </c>
      <c r="H248" s="107"/>
      <c r="I248" s="117">
        <f t="shared" si="22"/>
        <v>7158900.0000000009</v>
      </c>
      <c r="J248" s="114" t="s">
        <v>4055</v>
      </c>
      <c r="K248" s="106">
        <f>SUMIF(收发货!A:A,销售合同!A:A,收发货!D:D)</f>
        <v>2569.9700000000003</v>
      </c>
      <c r="L248" s="109">
        <f>SUMIF(收开票!A:A,销售合同!A:A,收开票!E:E)</f>
        <v>2539.0149999999999</v>
      </c>
      <c r="M248" s="109">
        <f>SUMIF(收开票!A:A,销售合同!A:A,收开票!F:F)</f>
        <v>6143904.1699999999</v>
      </c>
      <c r="N248" s="109">
        <f>SUMIF(收开票!A:A,销售合同!A:A,收开票!H:H)</f>
        <v>2539.0149999999999</v>
      </c>
      <c r="O248" s="109">
        <f>SUMIF(收开票!A:A,销售合同!A:A,收开票!I:I)</f>
        <v>6143904.1699999999</v>
      </c>
      <c r="P248" s="110">
        <f>SUMIF(收付款!A:A,销售合同!A:A,收付款!E:E)</f>
        <v>6143904.1699999999</v>
      </c>
      <c r="Q248" s="110">
        <f t="shared" si="21"/>
        <v>0</v>
      </c>
      <c r="R248" s="106"/>
      <c r="S248" s="111"/>
      <c r="T248" s="112"/>
      <c r="U248" s="112"/>
      <c r="V248" s="113">
        <v>42289</v>
      </c>
      <c r="W248" s="112"/>
      <c r="X248" s="112"/>
    </row>
    <row r="249" spans="1:24" ht="35.1" hidden="1" customHeight="1">
      <c r="A249" s="102" t="s">
        <v>4505</v>
      </c>
      <c r="B249" s="103" t="s">
        <v>127</v>
      </c>
      <c r="C249" s="103" t="s">
        <v>240</v>
      </c>
      <c r="D249" s="517">
        <v>43110</v>
      </c>
      <c r="E249" s="114" t="s">
        <v>2512</v>
      </c>
      <c r="F249" s="104">
        <v>60</v>
      </c>
      <c r="G249" s="104">
        <v>1795</v>
      </c>
      <c r="H249" s="104" t="s">
        <v>2119</v>
      </c>
      <c r="I249" s="117">
        <f t="shared" si="22"/>
        <v>107700</v>
      </c>
      <c r="J249" s="103" t="s">
        <v>988</v>
      </c>
      <c r="K249" s="106">
        <f>SUMIF(收发货!A:A,销售合同!A:A,收发货!D:D)</f>
        <v>60</v>
      </c>
      <c r="L249" s="109">
        <f>SUMIF(收开票!A:A,销售合同!A:A,收开票!E:E)</f>
        <v>60</v>
      </c>
      <c r="M249" s="109">
        <f>SUMIF(收开票!A:A,销售合同!A:A,收开票!F:F)</f>
        <v>107700</v>
      </c>
      <c r="N249" s="109">
        <f>SUMIF(收开票!A:A,销售合同!A:A,收开票!H:H)</f>
        <v>60</v>
      </c>
      <c r="O249" s="109">
        <f>SUMIF(收开票!A:A,销售合同!A:A,收开票!I:I)</f>
        <v>107700</v>
      </c>
      <c r="P249" s="110">
        <f>SUMIF(收付款!A:A,销售合同!A:A,收付款!E:E)</f>
        <v>107700</v>
      </c>
      <c r="Q249" s="110">
        <f t="shared" si="21"/>
        <v>0</v>
      </c>
      <c r="R249" s="111">
        <f>SUMIF(收付款!A:A,销售合同!A:A,收付款!I:I)</f>
        <v>0</v>
      </c>
      <c r="S249" s="111">
        <f>SUMIF(收付款!A:A,销售合同!A:A,收付款!J:J)</f>
        <v>0</v>
      </c>
      <c r="T249" s="112"/>
      <c r="U249" s="112"/>
      <c r="V249" s="113"/>
      <c r="W249" s="112"/>
      <c r="X249" s="112"/>
    </row>
    <row r="250" spans="1:24" ht="35.1" hidden="1" customHeight="1">
      <c r="A250" s="142" t="s">
        <v>4513</v>
      </c>
      <c r="B250" s="103" t="s">
        <v>485</v>
      </c>
      <c r="C250" s="103" t="s">
        <v>60</v>
      </c>
      <c r="D250" s="518">
        <v>43101</v>
      </c>
      <c r="E250" s="103" t="s">
        <v>83</v>
      </c>
      <c r="F250" s="104">
        <v>200</v>
      </c>
      <c r="G250" s="104">
        <v>8800</v>
      </c>
      <c r="H250" s="104" t="s">
        <v>4847</v>
      </c>
      <c r="I250" s="117">
        <f t="shared" si="22"/>
        <v>1760000</v>
      </c>
      <c r="J250" s="103" t="s">
        <v>149</v>
      </c>
      <c r="K250" s="106">
        <f>SUMIF(收发货!A:A,销售合同!A:A,收发货!D:D)</f>
        <v>204.12</v>
      </c>
      <c r="L250" s="110">
        <f>SUMIF(收开票!A:A,销售合同!A:A,收开票!E:E)</f>
        <v>204.1309</v>
      </c>
      <c r="M250" s="110">
        <f>SUMIF(收开票!A:A,销售合同!A:A,收开票!F:F)</f>
        <v>1793257.62</v>
      </c>
      <c r="N250" s="451">
        <f>SUMIF(收开票!A:A,销售合同!A:A,收开票!H:H)</f>
        <v>204.1309</v>
      </c>
      <c r="O250" s="110">
        <f>SUMIF(收开票!A:A,销售合同!A:A,收开票!I:I)</f>
        <v>1793257.62</v>
      </c>
      <c r="P250" s="110">
        <f>SUMIF(收付款!A:A,销售合同!A:A,收付款!E:E)</f>
        <v>1793257.62</v>
      </c>
      <c r="Q250" s="110">
        <f t="shared" si="21"/>
        <v>0</v>
      </c>
      <c r="R250" s="106"/>
      <c r="S250" s="111">
        <v>6680</v>
      </c>
      <c r="T250" s="112"/>
      <c r="U250" s="112"/>
      <c r="V250" s="113">
        <v>42289</v>
      </c>
      <c r="W250" s="112"/>
      <c r="X250" s="112"/>
    </row>
    <row r="251" spans="1:24" ht="35.1" hidden="1" customHeight="1">
      <c r="A251" s="102" t="s">
        <v>4408</v>
      </c>
      <c r="B251" s="103" t="s">
        <v>4410</v>
      </c>
      <c r="C251" s="103" t="s">
        <v>3272</v>
      </c>
      <c r="D251" s="517">
        <v>43115</v>
      </c>
      <c r="E251" s="114" t="s">
        <v>4617</v>
      </c>
      <c r="F251" s="9">
        <v>100</v>
      </c>
      <c r="G251" s="104">
        <v>1565</v>
      </c>
      <c r="H251" s="104" t="s">
        <v>2119</v>
      </c>
      <c r="I251" s="117">
        <f t="shared" si="22"/>
        <v>156500</v>
      </c>
      <c r="J251" s="103" t="s">
        <v>4411</v>
      </c>
      <c r="K251" s="106">
        <f>SUMIF(收发货!A:A,销售合同!A:A,收发货!D:D)</f>
        <v>100</v>
      </c>
      <c r="L251" s="109">
        <f>SUMIF(收开票!A:A,销售合同!A:A,收开票!E:E)</f>
        <v>100</v>
      </c>
      <c r="M251" s="109">
        <f>SUMIF(收开票!A:A,销售合同!A:A,收开票!F:F)</f>
        <v>156500</v>
      </c>
      <c r="N251" s="109">
        <f>SUMIF(收开票!A:A,销售合同!A:A,收开票!H:H)</f>
        <v>100</v>
      </c>
      <c r="O251" s="109">
        <f>SUMIF(收开票!A:A,销售合同!A:A,收开票!I:I)</f>
        <v>156500</v>
      </c>
      <c r="P251" s="110">
        <f>SUMIF(收付款!A:A,销售合同!A:A,收付款!E:E)</f>
        <v>156491.68</v>
      </c>
      <c r="Q251" s="110">
        <f t="shared" si="21"/>
        <v>8.3200000000069849</v>
      </c>
      <c r="R251" s="111">
        <f>SUMIF(收付款!A:A,销售合同!A:A,收付款!I:I)</f>
        <v>0</v>
      </c>
      <c r="S251" s="111">
        <f>SUMIF(收付款!A:A,销售合同!A:A,收付款!J:J)</f>
        <v>0</v>
      </c>
      <c r="T251" s="112"/>
      <c r="U251" s="112"/>
      <c r="V251" s="113"/>
      <c r="W251" s="112"/>
      <c r="X251" s="112"/>
    </row>
    <row r="252" spans="1:24" ht="35.1" hidden="1" customHeight="1">
      <c r="A252" s="102" t="s">
        <v>4409</v>
      </c>
      <c r="B252" s="103" t="s">
        <v>4410</v>
      </c>
      <c r="C252" s="103" t="s">
        <v>3272</v>
      </c>
      <c r="D252" s="517">
        <v>43118</v>
      </c>
      <c r="E252" s="114" t="s">
        <v>4320</v>
      </c>
      <c r="F252" s="9">
        <v>100</v>
      </c>
      <c r="G252" s="104">
        <v>1495</v>
      </c>
      <c r="H252" s="104" t="s">
        <v>2119</v>
      </c>
      <c r="I252" s="117">
        <f t="shared" si="22"/>
        <v>149500</v>
      </c>
      <c r="J252" s="103" t="s">
        <v>4411</v>
      </c>
      <c r="K252" s="106">
        <f>SUMIF(收发货!A:A,销售合同!A:A,收发货!D:D)</f>
        <v>100</v>
      </c>
      <c r="L252" s="109">
        <f>SUMIF(收开票!A:A,销售合同!A:A,收开票!E:E)</f>
        <v>100</v>
      </c>
      <c r="M252" s="109">
        <f>SUMIF(收开票!A:A,销售合同!A:A,收开票!F:F)</f>
        <v>149500</v>
      </c>
      <c r="N252" s="109">
        <f>SUMIF(收开票!A:A,销售合同!A:A,收开票!H:H)</f>
        <v>100</v>
      </c>
      <c r="O252" s="109">
        <f>SUMIF(收开票!A:A,销售合同!A:A,收开票!I:I)</f>
        <v>149500</v>
      </c>
      <c r="P252" s="110">
        <f>SUMIF(收付款!A:A,销售合同!A:A,收付款!E:E)</f>
        <v>149500</v>
      </c>
      <c r="Q252" s="110">
        <f t="shared" si="21"/>
        <v>0</v>
      </c>
      <c r="R252" s="111">
        <f>SUMIF(收付款!A:A,销售合同!A:A,收付款!I:I)</f>
        <v>0</v>
      </c>
      <c r="S252" s="111">
        <f>SUMIF(收付款!A:A,销售合同!A:A,收付款!J:J)</f>
        <v>0</v>
      </c>
      <c r="T252" s="112"/>
      <c r="U252" s="112"/>
      <c r="V252" s="113"/>
      <c r="W252" s="112"/>
      <c r="X252" s="112"/>
    </row>
    <row r="253" spans="1:24" ht="35.1" hidden="1" customHeight="1">
      <c r="A253" s="102" t="s">
        <v>4752</v>
      </c>
      <c r="B253" s="114" t="s">
        <v>485</v>
      </c>
      <c r="C253" s="114" t="s">
        <v>106</v>
      </c>
      <c r="D253" s="517">
        <v>43132</v>
      </c>
      <c r="E253" s="118" t="s">
        <v>5057</v>
      </c>
      <c r="F253" s="107">
        <v>3000</v>
      </c>
      <c r="G253" s="107">
        <v>2750</v>
      </c>
      <c r="H253" s="107"/>
      <c r="I253" s="117">
        <f t="shared" si="22"/>
        <v>8250000</v>
      </c>
      <c r="J253" s="114" t="s">
        <v>4055</v>
      </c>
      <c r="K253" s="106">
        <f>SUMIF(收发货!A:A,销售合同!A:A,收发货!D:D)</f>
        <v>2282.2400000000002</v>
      </c>
      <c r="L253" s="109">
        <f>SUMIF(收开票!A:A,销售合同!A:A,收开票!E:E)</f>
        <v>3395.59</v>
      </c>
      <c r="M253" s="109">
        <f>SUMIF(收开票!A:A,销售合同!A:A,收开票!F:F)</f>
        <v>8542581.1099999994</v>
      </c>
      <c r="N253" s="109">
        <f>SUMIF(收开票!A:A,销售合同!A:A,收开票!H:H)</f>
        <v>3395.59</v>
      </c>
      <c r="O253" s="109">
        <f>SUMIF(收开票!A:A,销售合同!A:A,收开票!I:I)</f>
        <v>8542581.1099999994</v>
      </c>
      <c r="P253" s="110">
        <f>SUMIF(收付款!A:A,销售合同!A:A,收付款!E:E)</f>
        <v>8542581.1099999994</v>
      </c>
      <c r="Q253" s="110">
        <f t="shared" si="21"/>
        <v>0</v>
      </c>
      <c r="R253" s="106"/>
      <c r="S253" s="111"/>
      <c r="T253" s="112"/>
      <c r="U253" s="112"/>
      <c r="V253" s="113">
        <v>42289</v>
      </c>
      <c r="W253" s="112"/>
      <c r="X253" s="112"/>
    </row>
    <row r="254" spans="1:24" ht="45.75" hidden="1" customHeight="1">
      <c r="A254" s="102" t="s">
        <v>4673</v>
      </c>
      <c r="B254" s="114" t="s">
        <v>485</v>
      </c>
      <c r="C254" s="114" t="s">
        <v>4223</v>
      </c>
      <c r="D254" s="517">
        <v>43101</v>
      </c>
      <c r="E254" s="103" t="s">
        <v>2763</v>
      </c>
      <c r="F254" s="107">
        <v>3000</v>
      </c>
      <c r="G254" s="107">
        <v>3101</v>
      </c>
      <c r="H254" s="107"/>
      <c r="I254" s="117">
        <f t="shared" si="22"/>
        <v>9303000</v>
      </c>
      <c r="J254" s="114" t="s">
        <v>2766</v>
      </c>
      <c r="K254" s="106">
        <f>SUMIF(收发货!A:A,销售合同!A:A,收发货!D:D)</f>
        <v>2250.54</v>
      </c>
      <c r="L254" s="109">
        <f>SUMIF(收开票!A:A,销售合同!A:A,收开票!E:E)</f>
        <v>2256.9699999999998</v>
      </c>
      <c r="M254" s="109">
        <f>SUMIF(收开票!A:A,销售合同!A:A,收开票!F:F)</f>
        <v>6723267.8300000001</v>
      </c>
      <c r="N254" s="109">
        <f>SUMIF(收开票!A:A,销售合同!A:A,收开票!H:H)</f>
        <v>2256.9699999999998</v>
      </c>
      <c r="O254" s="109">
        <f>SUMIF(收开票!A:A,销售合同!A:A,收开票!I:I)</f>
        <v>6723267.8300000001</v>
      </c>
      <c r="P254" s="110">
        <f>SUMIF(收付款!A:A,销售合同!A:A,收付款!E:E)</f>
        <v>6723267.8300000001</v>
      </c>
      <c r="Q254" s="110">
        <f t="shared" si="21"/>
        <v>0</v>
      </c>
      <c r="R254" s="161"/>
    </row>
    <row r="255" spans="1:24" ht="45.75" hidden="1" customHeight="1">
      <c r="A255" s="102" t="s">
        <v>4695</v>
      </c>
      <c r="B255" s="114" t="s">
        <v>485</v>
      </c>
      <c r="C255" s="114" t="s">
        <v>4223</v>
      </c>
      <c r="D255" s="517">
        <v>43132</v>
      </c>
      <c r="E255" s="103" t="s">
        <v>83</v>
      </c>
      <c r="F255" s="107">
        <v>2000</v>
      </c>
      <c r="G255" s="107">
        <v>3101</v>
      </c>
      <c r="H255" s="107"/>
      <c r="I255" s="117">
        <f t="shared" si="22"/>
        <v>6202000</v>
      </c>
      <c r="J255" s="114" t="s">
        <v>2766</v>
      </c>
      <c r="K255" s="106">
        <f>SUMIF(收发货!A:A,销售合同!A:A,收发货!D:D)</f>
        <v>1678.92</v>
      </c>
      <c r="L255" s="109">
        <f>SUMIF(收开票!A:A,销售合同!A:A,收开票!E:E)</f>
        <v>1545.6804000000002</v>
      </c>
      <c r="M255" s="109">
        <f>SUMIF(收开票!A:A,销售合同!A:A,收开票!F:F)</f>
        <v>4754618.0600000005</v>
      </c>
      <c r="N255" s="109">
        <f>SUMIF(收开票!A:A,销售合同!A:A,收开票!H:H)</f>
        <v>1545.6804000000002</v>
      </c>
      <c r="O255" s="109">
        <f>SUMIF(收开票!A:A,销售合同!A:A,收开票!I:I)</f>
        <v>4754618.0600000005</v>
      </c>
      <c r="P255" s="110">
        <f>SUMIF(收付款!A:A,销售合同!A:A,收付款!E:E)</f>
        <v>4754618.0599999996</v>
      </c>
      <c r="Q255" s="110">
        <f t="shared" si="21"/>
        <v>0</v>
      </c>
      <c r="R255" s="161"/>
    </row>
    <row r="256" spans="1:24" ht="35.1" hidden="1" customHeight="1">
      <c r="M256" s="101">
        <f>K254*G254</f>
        <v>6978924.54</v>
      </c>
    </row>
    <row r="257" spans="1:24" ht="35.1" hidden="1" customHeight="1">
      <c r="A257" s="102" t="s">
        <v>4958</v>
      </c>
      <c r="B257" s="103" t="s">
        <v>4410</v>
      </c>
      <c r="C257" s="103" t="s">
        <v>3272</v>
      </c>
      <c r="D257" s="517">
        <v>43131</v>
      </c>
      <c r="E257" s="114" t="s">
        <v>4616</v>
      </c>
      <c r="F257" s="9">
        <v>200</v>
      </c>
      <c r="G257" s="104">
        <v>1515</v>
      </c>
      <c r="H257" s="104" t="s">
        <v>2119</v>
      </c>
      <c r="I257" s="117">
        <f t="shared" ref="I257:I288" si="23">F257*G257</f>
        <v>303000</v>
      </c>
      <c r="J257" s="103" t="s">
        <v>4411</v>
      </c>
      <c r="K257" s="106">
        <f>SUMIF(收发货!A:A,销售合同!A:A,收发货!D:D)</f>
        <v>200</v>
      </c>
      <c r="L257" s="109">
        <f>SUMIF(收开票!A:A,销售合同!A:A,收开票!E:E)</f>
        <v>200</v>
      </c>
      <c r="M257" s="109">
        <f>SUMIF(收开票!A:A,销售合同!A:A,收开票!F:F)</f>
        <v>303000</v>
      </c>
      <c r="N257" s="109">
        <f>SUMIF(收开票!A:A,销售合同!A:A,收开票!H:H)</f>
        <v>200</v>
      </c>
      <c r="O257" s="109">
        <f>SUMIF(收开票!A:A,销售合同!A:A,收开票!I:I)</f>
        <v>303000</v>
      </c>
      <c r="P257" s="110">
        <f>SUMIF(收付款!A:A,销售合同!A:A,收付款!E:E)</f>
        <v>302991.69</v>
      </c>
      <c r="Q257" s="110">
        <f t="shared" ref="Q257:Q288" si="24">O257-P257</f>
        <v>8.3099999999976717</v>
      </c>
      <c r="R257" s="111">
        <f>SUMIF(收付款!A:A,销售合同!A:A,收付款!I:I)</f>
        <v>0</v>
      </c>
      <c r="S257" s="111">
        <f>SUMIF(收付款!A:A,销售合同!A:A,收付款!J:J)</f>
        <v>0</v>
      </c>
      <c r="T257" s="112"/>
      <c r="U257" s="112"/>
      <c r="V257" s="113"/>
      <c r="W257" s="112"/>
      <c r="X257" s="112"/>
    </row>
    <row r="258" spans="1:24" ht="35.1" hidden="1" customHeight="1">
      <c r="A258" s="102" t="s">
        <v>4662</v>
      </c>
      <c r="B258" s="103" t="s">
        <v>4410</v>
      </c>
      <c r="C258" s="103" t="s">
        <v>3272</v>
      </c>
      <c r="D258" s="517">
        <v>43137</v>
      </c>
      <c r="E258" s="114" t="s">
        <v>4320</v>
      </c>
      <c r="F258" s="9">
        <v>100</v>
      </c>
      <c r="G258" s="104">
        <v>1500</v>
      </c>
      <c r="H258" s="104" t="s">
        <v>2119</v>
      </c>
      <c r="I258" s="117">
        <f t="shared" si="23"/>
        <v>150000</v>
      </c>
      <c r="J258" s="103" t="s">
        <v>4411</v>
      </c>
      <c r="K258" s="106">
        <f>SUMIF(收发货!A:A,销售合同!A:A,收发货!D:D)</f>
        <v>100</v>
      </c>
      <c r="L258" s="109">
        <f>SUMIF(收开票!A:A,销售合同!A:A,收开票!E:E)</f>
        <v>100</v>
      </c>
      <c r="M258" s="109">
        <f>SUMIF(收开票!A:A,销售合同!A:A,收开票!F:F)</f>
        <v>150000</v>
      </c>
      <c r="N258" s="109">
        <f>SUMIF(收开票!A:A,销售合同!A:A,收开票!H:H)</f>
        <v>100</v>
      </c>
      <c r="O258" s="109">
        <f>SUMIF(收开票!A:A,销售合同!A:A,收开票!I:I)</f>
        <v>150000</v>
      </c>
      <c r="P258" s="110">
        <f>SUMIF(收付款!A:A,销售合同!A:A,收付款!E:E)</f>
        <v>150000</v>
      </c>
      <c r="Q258" s="110">
        <f t="shared" si="24"/>
        <v>0</v>
      </c>
      <c r="R258" s="111">
        <f>SUMIF(收付款!A:A,销售合同!A:A,收付款!I:I)</f>
        <v>0</v>
      </c>
      <c r="S258" s="111">
        <f>SUMIF(收付款!A:A,销售合同!A:A,收付款!J:J)</f>
        <v>0</v>
      </c>
      <c r="T258" s="112"/>
      <c r="U258" s="112"/>
      <c r="V258" s="113"/>
      <c r="W258" s="112"/>
      <c r="X258" s="112"/>
    </row>
    <row r="259" spans="1:24" ht="35.1" hidden="1" customHeight="1">
      <c r="A259" s="102" t="s">
        <v>4476</v>
      </c>
      <c r="B259" s="103" t="s">
        <v>4410</v>
      </c>
      <c r="C259" s="103" t="s">
        <v>3272</v>
      </c>
      <c r="D259" s="517">
        <v>43137</v>
      </c>
      <c r="E259" s="114" t="s">
        <v>4334</v>
      </c>
      <c r="F259" s="9">
        <v>75</v>
      </c>
      <c r="G259" s="104">
        <v>1525</v>
      </c>
      <c r="H259" s="104" t="s">
        <v>2119</v>
      </c>
      <c r="I259" s="117">
        <f t="shared" si="23"/>
        <v>114375</v>
      </c>
      <c r="J259" s="103" t="s">
        <v>4411</v>
      </c>
      <c r="K259" s="106">
        <f>SUMIF(收发货!A:A,销售合同!A:A,收发货!D:D)</f>
        <v>75</v>
      </c>
      <c r="L259" s="109">
        <f>SUMIF(收开票!A:A,销售合同!A:A,收开票!E:E)</f>
        <v>75</v>
      </c>
      <c r="M259" s="109">
        <f>SUMIF(收开票!A:A,销售合同!A:A,收开票!F:F)</f>
        <v>114375</v>
      </c>
      <c r="N259" s="109">
        <f>SUMIF(收开票!A:A,销售合同!A:A,收开票!H:H)</f>
        <v>75</v>
      </c>
      <c r="O259" s="109">
        <f>SUMIF(收开票!A:A,销售合同!A:A,收开票!I:I)</f>
        <v>114375</v>
      </c>
      <c r="P259" s="110">
        <f>SUMIF(收付款!A:A,销售合同!A:A,收付款!E:E)</f>
        <v>114366.7</v>
      </c>
      <c r="Q259" s="110">
        <f t="shared" si="24"/>
        <v>8.3000000000029104</v>
      </c>
      <c r="R259" s="111">
        <f>SUMIF(收付款!A:A,销售合同!A:A,收付款!I:I)</f>
        <v>0</v>
      </c>
      <c r="S259" s="111">
        <f>SUMIF(收付款!A:A,销售合同!A:A,收付款!J:J)</f>
        <v>0</v>
      </c>
      <c r="T259" s="112"/>
      <c r="U259" s="112"/>
      <c r="V259" s="113"/>
      <c r="W259" s="112"/>
      <c r="X259" s="112"/>
    </row>
    <row r="260" spans="1:24" ht="35.1" hidden="1" customHeight="1">
      <c r="A260" s="102" t="s">
        <v>4600</v>
      </c>
      <c r="B260" s="103" t="s">
        <v>4410</v>
      </c>
      <c r="C260" s="103" t="s">
        <v>3272</v>
      </c>
      <c r="D260" s="517">
        <v>43143</v>
      </c>
      <c r="E260" s="114" t="s">
        <v>4320</v>
      </c>
      <c r="F260" s="9">
        <v>200</v>
      </c>
      <c r="G260" s="104">
        <v>1450</v>
      </c>
      <c r="H260" s="104" t="s">
        <v>2119</v>
      </c>
      <c r="I260" s="117">
        <f t="shared" si="23"/>
        <v>290000</v>
      </c>
      <c r="J260" s="103" t="s">
        <v>4411</v>
      </c>
      <c r="K260" s="106">
        <f>SUMIF(收发货!A:A,销售合同!A:A,收发货!D:D)</f>
        <v>200</v>
      </c>
      <c r="L260" s="109">
        <f>SUMIF(收开票!A:A,销售合同!A:A,收开票!E:E)</f>
        <v>200</v>
      </c>
      <c r="M260" s="109">
        <f>SUMIF(收开票!A:A,销售合同!A:A,收开票!F:F)</f>
        <v>290000</v>
      </c>
      <c r="N260" s="109">
        <f>SUMIF(收开票!A:A,销售合同!A:A,收开票!H:H)</f>
        <v>200</v>
      </c>
      <c r="O260" s="109">
        <f>SUMIF(收开票!A:A,销售合同!A:A,收开票!I:I)</f>
        <v>290000</v>
      </c>
      <c r="P260" s="110">
        <f>SUMIF(收付款!A:A,销售合同!A:A,收付款!E:E)</f>
        <v>290000</v>
      </c>
      <c r="Q260" s="110">
        <f t="shared" si="24"/>
        <v>0</v>
      </c>
      <c r="R260" s="111">
        <f>SUMIF(收付款!A:A,销售合同!A:A,收付款!I:I)</f>
        <v>0</v>
      </c>
      <c r="S260" s="111">
        <f>SUMIF(收付款!A:A,销售合同!A:A,收付款!J:J)</f>
        <v>0</v>
      </c>
      <c r="T260" s="112"/>
      <c r="U260" s="112"/>
      <c r="V260" s="113"/>
      <c r="W260" s="112"/>
      <c r="X260" s="112"/>
    </row>
    <row r="261" spans="1:24" ht="35.1" hidden="1" customHeight="1">
      <c r="A261" s="102" t="s">
        <v>4601</v>
      </c>
      <c r="B261" s="103" t="s">
        <v>4410</v>
      </c>
      <c r="C261" s="103" t="s">
        <v>3272</v>
      </c>
      <c r="D261" s="517">
        <v>43143</v>
      </c>
      <c r="E261" s="114" t="s">
        <v>4320</v>
      </c>
      <c r="F261" s="9">
        <v>100</v>
      </c>
      <c r="G261" s="104">
        <v>1450</v>
      </c>
      <c r="H261" s="104" t="s">
        <v>2119</v>
      </c>
      <c r="I261" s="117">
        <f t="shared" si="23"/>
        <v>145000</v>
      </c>
      <c r="J261" s="103" t="s">
        <v>4411</v>
      </c>
      <c r="K261" s="106">
        <f>SUMIF(收发货!A:A,销售合同!A:A,收发货!D:D)</f>
        <v>100</v>
      </c>
      <c r="L261" s="109">
        <f>SUMIF(收开票!A:A,销售合同!A:A,收开票!E:E)</f>
        <v>100</v>
      </c>
      <c r="M261" s="109">
        <f>SUMIF(收开票!A:A,销售合同!A:A,收开票!F:F)</f>
        <v>145000</v>
      </c>
      <c r="N261" s="109">
        <f>SUMIF(收开票!A:A,销售合同!A:A,收开票!H:H)</f>
        <v>100</v>
      </c>
      <c r="O261" s="109">
        <f>SUMIF(收开票!A:A,销售合同!A:A,收开票!I:I)</f>
        <v>145000</v>
      </c>
      <c r="P261" s="110">
        <f>SUMIF(收付款!A:A,销售合同!A:A,收付款!E:E)</f>
        <v>145000</v>
      </c>
      <c r="Q261" s="110">
        <f t="shared" si="24"/>
        <v>0</v>
      </c>
      <c r="R261" s="111">
        <f>SUMIF(收付款!A:A,销售合同!A:A,收付款!I:I)</f>
        <v>0</v>
      </c>
      <c r="S261" s="111">
        <f>SUMIF(收付款!A:A,销售合同!A:A,收付款!J:J)</f>
        <v>0</v>
      </c>
      <c r="T261" s="112"/>
      <c r="U261" s="112"/>
      <c r="V261" s="113"/>
      <c r="W261" s="112"/>
      <c r="X261" s="112"/>
    </row>
    <row r="262" spans="1:24" ht="35.1" hidden="1" customHeight="1">
      <c r="A262" s="102" t="s">
        <v>4597</v>
      </c>
      <c r="B262" s="103" t="s">
        <v>4410</v>
      </c>
      <c r="C262" s="103" t="s">
        <v>3272</v>
      </c>
      <c r="D262" s="517">
        <v>43143</v>
      </c>
      <c r="E262" s="114" t="s">
        <v>4320</v>
      </c>
      <c r="F262" s="9">
        <v>100</v>
      </c>
      <c r="G262" s="104">
        <v>1440</v>
      </c>
      <c r="H262" s="104" t="s">
        <v>2119</v>
      </c>
      <c r="I262" s="117">
        <f t="shared" si="23"/>
        <v>144000</v>
      </c>
      <c r="J262" s="103" t="s">
        <v>4411</v>
      </c>
      <c r="K262" s="106">
        <f>SUMIF(收发货!A:A,销售合同!A:A,收发货!D:D)</f>
        <v>100</v>
      </c>
      <c r="L262" s="109">
        <f>SUMIF(收开票!A:A,销售合同!A:A,收开票!E:E)</f>
        <v>100</v>
      </c>
      <c r="M262" s="109">
        <f>SUMIF(收开票!A:A,销售合同!A:A,收开票!F:F)</f>
        <v>144000</v>
      </c>
      <c r="N262" s="109">
        <f>SUMIF(收开票!A:A,销售合同!A:A,收开票!H:H)</f>
        <v>100</v>
      </c>
      <c r="O262" s="109">
        <f>SUMIF(收开票!A:A,销售合同!A:A,收开票!I:I)</f>
        <v>144000</v>
      </c>
      <c r="P262" s="110">
        <f>SUMIF(收付款!A:A,销售合同!A:A,收付款!E:E)</f>
        <v>144000</v>
      </c>
      <c r="Q262" s="110">
        <f t="shared" si="24"/>
        <v>0</v>
      </c>
      <c r="R262" s="111">
        <f>SUMIF(收付款!A:A,销售合同!A:A,收付款!I:I)</f>
        <v>0</v>
      </c>
      <c r="S262" s="111">
        <f>SUMIF(收付款!A:A,销售合同!A:A,收付款!J:J)</f>
        <v>0</v>
      </c>
      <c r="T262" s="112"/>
      <c r="U262" s="112"/>
      <c r="V262" s="113"/>
      <c r="W262" s="112"/>
      <c r="X262" s="112"/>
    </row>
    <row r="263" spans="1:24" ht="35.1" hidden="1" customHeight="1">
      <c r="A263" s="102" t="s">
        <v>4598</v>
      </c>
      <c r="B263" s="103" t="s">
        <v>4410</v>
      </c>
      <c r="C263" s="103" t="s">
        <v>3272</v>
      </c>
      <c r="D263" s="517">
        <v>43143</v>
      </c>
      <c r="E263" s="114" t="s">
        <v>4320</v>
      </c>
      <c r="F263" s="9">
        <v>300</v>
      </c>
      <c r="G263" s="104">
        <v>1440</v>
      </c>
      <c r="H263" s="104" t="s">
        <v>2119</v>
      </c>
      <c r="I263" s="117">
        <f t="shared" si="23"/>
        <v>432000</v>
      </c>
      <c r="J263" s="103" t="s">
        <v>4411</v>
      </c>
      <c r="K263" s="106">
        <f>SUMIF(收发货!A:A,销售合同!A:A,收发货!D:D)</f>
        <v>300</v>
      </c>
      <c r="L263" s="109">
        <f>SUMIF(收开票!A:A,销售合同!A:A,收开票!E:E)</f>
        <v>300</v>
      </c>
      <c r="M263" s="109">
        <f>SUMIF(收开票!A:A,销售合同!A:A,收开票!F:F)</f>
        <v>432000</v>
      </c>
      <c r="N263" s="109">
        <f>SUMIF(收开票!A:A,销售合同!A:A,收开票!H:H)</f>
        <v>300</v>
      </c>
      <c r="O263" s="109">
        <f>SUMIF(收开票!A:A,销售合同!A:A,收开票!I:I)</f>
        <v>432000</v>
      </c>
      <c r="P263" s="110">
        <f>SUMIF(收付款!A:A,销售合同!A:A,收付款!E:E)</f>
        <v>432000</v>
      </c>
      <c r="Q263" s="110">
        <f t="shared" si="24"/>
        <v>0</v>
      </c>
      <c r="R263" s="111">
        <f>SUMIF(收付款!A:A,销售合同!A:A,收付款!I:I)</f>
        <v>0</v>
      </c>
      <c r="S263" s="111">
        <f>SUMIF(收付款!A:A,销售合同!A:A,收付款!J:J)</f>
        <v>0</v>
      </c>
      <c r="T263" s="112"/>
      <c r="U263" s="112"/>
      <c r="V263" s="113"/>
      <c r="W263" s="112"/>
      <c r="X263" s="112"/>
    </row>
    <row r="264" spans="1:24" ht="35.1" hidden="1" customHeight="1">
      <c r="A264" s="102" t="s">
        <v>4599</v>
      </c>
      <c r="B264" s="103" t="s">
        <v>4410</v>
      </c>
      <c r="C264" s="103" t="s">
        <v>3272</v>
      </c>
      <c r="D264" s="517">
        <v>43143</v>
      </c>
      <c r="E264" s="114" t="s">
        <v>4320</v>
      </c>
      <c r="F264" s="9">
        <v>300</v>
      </c>
      <c r="G264" s="104">
        <v>1440</v>
      </c>
      <c r="H264" s="104" t="s">
        <v>2119</v>
      </c>
      <c r="I264" s="117">
        <f t="shared" si="23"/>
        <v>432000</v>
      </c>
      <c r="J264" s="103" t="s">
        <v>4411</v>
      </c>
      <c r="K264" s="106">
        <f>SUMIF(收发货!A:A,销售合同!A:A,收发货!D:D)</f>
        <v>300</v>
      </c>
      <c r="L264" s="109">
        <f>SUMIF(收开票!A:A,销售合同!A:A,收开票!E:E)</f>
        <v>300</v>
      </c>
      <c r="M264" s="109">
        <f>SUMIF(收开票!A:A,销售合同!A:A,收开票!F:F)</f>
        <v>432000</v>
      </c>
      <c r="N264" s="109">
        <f>SUMIF(收开票!A:A,销售合同!A:A,收开票!H:H)</f>
        <v>300</v>
      </c>
      <c r="O264" s="109">
        <f>SUMIF(收开票!A:A,销售合同!A:A,收开票!I:I)</f>
        <v>432000</v>
      </c>
      <c r="P264" s="110">
        <f>SUMIF(收付款!A:A,销售合同!A:A,收付款!E:E)</f>
        <v>432000</v>
      </c>
      <c r="Q264" s="110">
        <f t="shared" si="24"/>
        <v>0</v>
      </c>
      <c r="R264" s="111">
        <f>SUMIF(收付款!A:A,销售合同!A:A,收付款!I:I)</f>
        <v>0</v>
      </c>
      <c r="S264" s="111">
        <f>SUMIF(收付款!A:A,销售合同!A:A,收付款!J:J)</f>
        <v>0</v>
      </c>
      <c r="T264" s="112"/>
      <c r="U264" s="112"/>
      <c r="V264" s="113"/>
      <c r="W264" s="112"/>
      <c r="X264" s="112"/>
    </row>
    <row r="265" spans="1:24" ht="35.1" hidden="1" customHeight="1">
      <c r="A265" s="102" t="s">
        <v>4594</v>
      </c>
      <c r="B265" s="103" t="s">
        <v>4410</v>
      </c>
      <c r="C265" s="103" t="s">
        <v>3272</v>
      </c>
      <c r="D265" s="517">
        <v>43143</v>
      </c>
      <c r="E265" s="114" t="s">
        <v>4320</v>
      </c>
      <c r="F265" s="9">
        <v>200</v>
      </c>
      <c r="G265" s="104">
        <v>1450</v>
      </c>
      <c r="H265" s="104" t="s">
        <v>2119</v>
      </c>
      <c r="I265" s="117">
        <f t="shared" si="23"/>
        <v>290000</v>
      </c>
      <c r="J265" s="103" t="s">
        <v>4411</v>
      </c>
      <c r="K265" s="106">
        <f>SUMIF(收发货!A:A,销售合同!A:A,收发货!D:D)</f>
        <v>200</v>
      </c>
      <c r="L265" s="109">
        <f>SUMIF(收开票!A:A,销售合同!A:A,收开票!E:E)</f>
        <v>200</v>
      </c>
      <c r="M265" s="109">
        <f>SUMIF(收开票!A:A,销售合同!A:A,收开票!F:F)</f>
        <v>290000</v>
      </c>
      <c r="N265" s="109">
        <f>SUMIF(收开票!A:A,销售合同!A:A,收开票!H:H)</f>
        <v>200</v>
      </c>
      <c r="O265" s="109">
        <f>SUMIF(收开票!A:A,销售合同!A:A,收开票!I:I)</f>
        <v>290000</v>
      </c>
      <c r="P265" s="110">
        <f>SUMIF(收付款!A:A,销售合同!A:A,收付款!E:E)</f>
        <v>290000</v>
      </c>
      <c r="Q265" s="110">
        <f t="shared" si="24"/>
        <v>0</v>
      </c>
      <c r="R265" s="111">
        <f>SUMIF(收付款!A:A,销售合同!A:A,收付款!I:I)</f>
        <v>0</v>
      </c>
      <c r="S265" s="111">
        <f>SUMIF(收付款!A:A,销售合同!A:A,收付款!J:J)</f>
        <v>0</v>
      </c>
      <c r="T265" s="112"/>
      <c r="U265" s="112"/>
      <c r="V265" s="113"/>
      <c r="W265" s="112"/>
      <c r="X265" s="112"/>
    </row>
    <row r="266" spans="1:24" ht="35.1" hidden="1" customHeight="1">
      <c r="A266" s="102" t="s">
        <v>4595</v>
      </c>
      <c r="B266" s="103" t="s">
        <v>4410</v>
      </c>
      <c r="C266" s="103" t="s">
        <v>3272</v>
      </c>
      <c r="D266" s="517">
        <v>43143</v>
      </c>
      <c r="E266" s="114" t="s">
        <v>4320</v>
      </c>
      <c r="F266" s="9">
        <v>200</v>
      </c>
      <c r="G266" s="104">
        <v>1450</v>
      </c>
      <c r="H266" s="104" t="s">
        <v>2119</v>
      </c>
      <c r="I266" s="117">
        <f t="shared" si="23"/>
        <v>290000</v>
      </c>
      <c r="J266" s="103" t="s">
        <v>4411</v>
      </c>
      <c r="K266" s="106">
        <f>SUMIF(收发货!A:A,销售合同!A:A,收发货!D:D)</f>
        <v>200</v>
      </c>
      <c r="L266" s="109">
        <f>SUMIF(收开票!A:A,销售合同!A:A,收开票!E:E)</f>
        <v>200</v>
      </c>
      <c r="M266" s="109">
        <f>SUMIF(收开票!A:A,销售合同!A:A,收开票!F:F)</f>
        <v>290000</v>
      </c>
      <c r="N266" s="109">
        <f>SUMIF(收开票!A:A,销售合同!A:A,收开票!H:H)</f>
        <v>200</v>
      </c>
      <c r="O266" s="109">
        <f>SUMIF(收开票!A:A,销售合同!A:A,收开票!I:I)</f>
        <v>290000</v>
      </c>
      <c r="P266" s="110">
        <f>SUMIF(收付款!A:A,销售合同!A:A,收付款!E:E)</f>
        <v>290000</v>
      </c>
      <c r="Q266" s="110">
        <f t="shared" si="24"/>
        <v>0</v>
      </c>
      <c r="R266" s="111">
        <f>SUMIF(收付款!A:A,销售合同!A:A,收付款!I:I)</f>
        <v>0</v>
      </c>
      <c r="S266" s="111">
        <f>SUMIF(收付款!A:A,销售合同!A:A,收付款!J:J)</f>
        <v>0</v>
      </c>
      <c r="T266" s="112"/>
      <c r="U266" s="112"/>
      <c r="V266" s="113"/>
      <c r="W266" s="112"/>
      <c r="X266" s="112"/>
    </row>
    <row r="267" spans="1:24" ht="35.1" hidden="1" customHeight="1">
      <c r="A267" s="102" t="s">
        <v>4596</v>
      </c>
      <c r="B267" s="103" t="s">
        <v>4410</v>
      </c>
      <c r="C267" s="103" t="s">
        <v>3272</v>
      </c>
      <c r="D267" s="517">
        <v>43143</v>
      </c>
      <c r="E267" s="114" t="s">
        <v>4320</v>
      </c>
      <c r="F267" s="9">
        <v>80</v>
      </c>
      <c r="G267" s="104">
        <v>1450</v>
      </c>
      <c r="H267" s="104" t="s">
        <v>2119</v>
      </c>
      <c r="I267" s="117">
        <f t="shared" si="23"/>
        <v>116000</v>
      </c>
      <c r="J267" s="103" t="s">
        <v>4411</v>
      </c>
      <c r="K267" s="106">
        <f>SUMIF(收发货!A:A,销售合同!A:A,收发货!D:D)</f>
        <v>80</v>
      </c>
      <c r="L267" s="109">
        <f>SUMIF(收开票!A:A,销售合同!A:A,收开票!E:E)</f>
        <v>80</v>
      </c>
      <c r="M267" s="109">
        <f>SUMIF(收开票!A:A,销售合同!A:A,收开票!F:F)</f>
        <v>116000</v>
      </c>
      <c r="N267" s="109">
        <f>SUMIF(收开票!A:A,销售合同!A:A,收开票!H:H)</f>
        <v>80</v>
      </c>
      <c r="O267" s="109">
        <f>SUMIF(收开票!A:A,销售合同!A:A,收开票!I:I)</f>
        <v>116000</v>
      </c>
      <c r="P267" s="110">
        <f>SUMIF(收付款!A:A,销售合同!A:A,收付款!E:E)</f>
        <v>116000</v>
      </c>
      <c r="Q267" s="110">
        <f t="shared" si="24"/>
        <v>0</v>
      </c>
      <c r="R267" s="111">
        <f>SUMIF(收付款!A:A,销售合同!A:A,收付款!I:I)</f>
        <v>0</v>
      </c>
      <c r="S267" s="111">
        <f>SUMIF(收付款!A:A,销售合同!A:A,收付款!J:J)</f>
        <v>0</v>
      </c>
      <c r="T267" s="112"/>
      <c r="U267" s="112"/>
      <c r="V267" s="113"/>
      <c r="W267" s="112"/>
      <c r="X267" s="112"/>
    </row>
    <row r="268" spans="1:24" ht="35.1" hidden="1" customHeight="1">
      <c r="A268" s="102" t="s">
        <v>4477</v>
      </c>
      <c r="B268" s="103" t="s">
        <v>4410</v>
      </c>
      <c r="C268" s="103" t="s">
        <v>3272</v>
      </c>
      <c r="D268" s="517">
        <v>43140</v>
      </c>
      <c r="E268" s="114" t="s">
        <v>758</v>
      </c>
      <c r="F268" s="9">
        <v>120</v>
      </c>
      <c r="G268" s="104">
        <v>1485</v>
      </c>
      <c r="H268" s="104" t="s">
        <v>2119</v>
      </c>
      <c r="I268" s="117">
        <f t="shared" si="23"/>
        <v>178200</v>
      </c>
      <c r="J268" s="103" t="s">
        <v>4411</v>
      </c>
      <c r="K268" s="106">
        <f>SUMIF(收发货!A:A,销售合同!A:A,收发货!D:D)</f>
        <v>120</v>
      </c>
      <c r="L268" s="109">
        <f>SUMIF(收开票!A:A,销售合同!A:A,收开票!E:E)</f>
        <v>120</v>
      </c>
      <c r="M268" s="109">
        <f>SUMIF(收开票!A:A,销售合同!A:A,收开票!F:F)</f>
        <v>178200</v>
      </c>
      <c r="N268" s="109">
        <f>SUMIF(收开票!A:A,销售合同!A:A,收开票!H:H)</f>
        <v>120</v>
      </c>
      <c r="O268" s="109">
        <f>SUMIF(收开票!A:A,销售合同!A:A,收开票!I:I)</f>
        <v>178200</v>
      </c>
      <c r="P268" s="110">
        <f>SUMIF(收付款!A:A,销售合同!A:A,收付款!E:E)</f>
        <v>178183.40000000002</v>
      </c>
      <c r="Q268" s="110">
        <f t="shared" si="24"/>
        <v>16.599999999976717</v>
      </c>
      <c r="R268" s="111">
        <f>SUMIF(收付款!A:A,销售合同!A:A,收付款!I:I)</f>
        <v>0</v>
      </c>
      <c r="S268" s="111">
        <f>SUMIF(收付款!A:A,销售合同!A:A,收付款!J:J)</f>
        <v>0</v>
      </c>
      <c r="T268" s="112"/>
      <c r="U268" s="112"/>
      <c r="V268" s="113"/>
      <c r="W268" s="112"/>
      <c r="X268" s="112"/>
    </row>
    <row r="269" spans="1:24" ht="35.1" hidden="1" customHeight="1">
      <c r="A269" s="142" t="s">
        <v>4698</v>
      </c>
      <c r="B269" s="103" t="s">
        <v>485</v>
      </c>
      <c r="C269" s="103" t="s">
        <v>60</v>
      </c>
      <c r="D269" s="518">
        <v>43132</v>
      </c>
      <c r="E269" s="103" t="s">
        <v>83</v>
      </c>
      <c r="F269" s="104">
        <v>230</v>
      </c>
      <c r="G269" s="104">
        <v>8550</v>
      </c>
      <c r="H269" s="104"/>
      <c r="I269" s="117">
        <f t="shared" si="23"/>
        <v>1966500</v>
      </c>
      <c r="J269" s="103" t="s">
        <v>149</v>
      </c>
      <c r="K269" s="106">
        <f>SUMIF(收发货!A:A,销售合同!A:A,收发货!D:D)</f>
        <v>213.5</v>
      </c>
      <c r="L269" s="110">
        <f>SUMIF(收开票!A:A,销售合同!A:A,收开票!E:E)</f>
        <v>217.63749999999999</v>
      </c>
      <c r="M269" s="110">
        <f>SUMIF(收开票!A:A,销售合同!A:A,收开票!F:F)</f>
        <v>1856702.87</v>
      </c>
      <c r="N269" s="451">
        <f>SUMIF(收开票!A:A,销售合同!A:A,收开票!H:H)</f>
        <v>217.63749999999999</v>
      </c>
      <c r="O269" s="110">
        <f>SUMIF(收开票!A:A,销售合同!A:A,收开票!I:I)</f>
        <v>1856702.87</v>
      </c>
      <c r="P269" s="110">
        <f>SUMIF(收付款!A:A,销售合同!A:A,收付款!E:E)</f>
        <v>1856702.87</v>
      </c>
      <c r="Q269" s="110">
        <f t="shared" si="24"/>
        <v>0</v>
      </c>
      <c r="R269" s="106"/>
      <c r="S269" s="111"/>
      <c r="T269" s="112"/>
      <c r="U269" s="112"/>
      <c r="V269" s="113">
        <v>42289</v>
      </c>
      <c r="W269" s="112"/>
      <c r="X269" s="112"/>
    </row>
    <row r="270" spans="1:24" ht="35.1" hidden="1" customHeight="1">
      <c r="A270" s="102" t="s">
        <v>4527</v>
      </c>
      <c r="B270" s="114" t="s">
        <v>147</v>
      </c>
      <c r="C270" s="114" t="s">
        <v>82</v>
      </c>
      <c r="D270" s="517">
        <v>43132</v>
      </c>
      <c r="E270" s="103" t="s">
        <v>83</v>
      </c>
      <c r="F270" s="107">
        <v>160</v>
      </c>
      <c r="G270" s="107">
        <v>14000</v>
      </c>
      <c r="H270" s="107"/>
      <c r="I270" s="117">
        <f t="shared" si="23"/>
        <v>2240000</v>
      </c>
      <c r="J270" s="114" t="s">
        <v>432</v>
      </c>
      <c r="K270" s="106">
        <f>SUMIF(收发货!A:A,销售合同!A:A,收发货!D:D)</f>
        <v>155</v>
      </c>
      <c r="L270" s="109">
        <f>SUMIF(收开票!A:A,销售合同!A:A,收开票!E:E)</f>
        <v>155.04300000000001</v>
      </c>
      <c r="M270" s="109">
        <f>SUMIF(收开票!A:A,销售合同!A:A,收开票!F:F)</f>
        <v>2170602</v>
      </c>
      <c r="N270" s="109">
        <f>SUMIF(收开票!A:A,销售合同!A:A,收开票!H:H)</f>
        <v>155.04300000000001</v>
      </c>
      <c r="O270" s="109">
        <f>SUMIF(收开票!A:A,销售合同!A:A,收开票!I:I)</f>
        <v>2170602</v>
      </c>
      <c r="P270" s="110">
        <f>SUMIF(收付款!A:A,销售合同!A:A,收付款!E:E)</f>
        <v>2170602</v>
      </c>
      <c r="Q270" s="110">
        <f t="shared" si="24"/>
        <v>0</v>
      </c>
      <c r="R270" s="106"/>
      <c r="S270" s="111"/>
      <c r="T270" s="112"/>
      <c r="U270" s="112"/>
      <c r="V270" s="113">
        <v>42289</v>
      </c>
      <c r="W270" s="112"/>
      <c r="X270" s="112"/>
    </row>
    <row r="271" spans="1:24" ht="35.1" hidden="1" customHeight="1">
      <c r="A271" s="102" t="s">
        <v>4583</v>
      </c>
      <c r="B271" s="114" t="s">
        <v>147</v>
      </c>
      <c r="C271" s="114" t="s">
        <v>240</v>
      </c>
      <c r="D271" s="517">
        <v>43161</v>
      </c>
      <c r="E271" s="103" t="s">
        <v>4584</v>
      </c>
      <c r="F271" s="107">
        <v>32</v>
      </c>
      <c r="G271" s="107">
        <v>13650</v>
      </c>
      <c r="H271" s="107"/>
      <c r="I271" s="117">
        <f t="shared" si="23"/>
        <v>436800</v>
      </c>
      <c r="J271" s="114" t="s">
        <v>3159</v>
      </c>
      <c r="K271" s="106">
        <f>SUMIF(收发货!A:A,销售合同!A:A,收发货!D:D)</f>
        <v>32</v>
      </c>
      <c r="L271" s="109">
        <f>SUMIF(收开票!A:A,销售合同!A:A,收开票!E:E)</f>
        <v>32</v>
      </c>
      <c r="M271" s="109">
        <f>SUMIF(收开票!A:A,销售合同!A:A,收开票!F:F)</f>
        <v>436800</v>
      </c>
      <c r="N271" s="109">
        <f>SUMIF(收开票!A:A,销售合同!A:A,收开票!H:H)</f>
        <v>32</v>
      </c>
      <c r="O271" s="109">
        <f>SUMIF(收开票!A:A,销售合同!A:A,收开票!I:I)</f>
        <v>436800</v>
      </c>
      <c r="P271" s="110">
        <f>SUMIF(收付款!A:A,销售合同!A:A,收付款!E:E)</f>
        <v>436800</v>
      </c>
      <c r="Q271" s="110">
        <f t="shared" si="24"/>
        <v>0</v>
      </c>
      <c r="R271" s="111">
        <f>SUMIF(收付款!A:A,销售合同!A:A,收付款!I:I)</f>
        <v>0</v>
      </c>
      <c r="S271" s="111">
        <f>SUMIF(收付款!A:A,销售合同!A:A,收付款!J:J)</f>
        <v>0</v>
      </c>
    </row>
    <row r="272" spans="1:24" ht="45.75" hidden="1" customHeight="1">
      <c r="A272" s="102" t="s">
        <v>4975</v>
      </c>
      <c r="B272" s="114" t="s">
        <v>485</v>
      </c>
      <c r="C272" s="114" t="s">
        <v>4223</v>
      </c>
      <c r="D272" s="517">
        <v>43160</v>
      </c>
      <c r="E272" s="103" t="s">
        <v>83</v>
      </c>
      <c r="F272" s="107">
        <v>2000</v>
      </c>
      <c r="G272" s="107">
        <v>3250</v>
      </c>
      <c r="H272" s="107"/>
      <c r="I272" s="117">
        <f t="shared" si="23"/>
        <v>6500000</v>
      </c>
      <c r="J272" s="114" t="s">
        <v>2766</v>
      </c>
      <c r="K272" s="106">
        <f>SUMIF(收发货!A:A,销售合同!A:A,收发货!D:D)</f>
        <v>2427.38</v>
      </c>
      <c r="L272" s="109">
        <f>SUMIF(收开票!A:A,销售合同!A:A,收开票!E:E)</f>
        <v>2521.7896000000001</v>
      </c>
      <c r="M272" s="109">
        <f>SUMIF(收开票!A:A,销售合同!A:A,收开票!F:F)</f>
        <v>8075879.1500000004</v>
      </c>
      <c r="N272" s="109">
        <f>SUMIF(收开票!A:A,销售合同!A:A,收开票!H:H)</f>
        <v>2521.7896000000001</v>
      </c>
      <c r="O272" s="109">
        <f>SUMIF(收开票!A:A,销售合同!A:A,收开票!I:I)</f>
        <v>8075879.1500000004</v>
      </c>
      <c r="P272" s="110">
        <f>SUMIF(收付款!A:A,销售合同!A:A,收付款!E:E)</f>
        <v>8075879.1500000004</v>
      </c>
      <c r="Q272" s="110">
        <f t="shared" si="24"/>
        <v>0</v>
      </c>
      <c r="R272" s="161"/>
    </row>
    <row r="273" spans="1:24" ht="45.75" hidden="1" customHeight="1">
      <c r="A273" s="102" t="s">
        <v>4818</v>
      </c>
      <c r="B273" s="114" t="s">
        <v>485</v>
      </c>
      <c r="C273" s="114" t="s">
        <v>4223</v>
      </c>
      <c r="D273" s="517">
        <v>43160</v>
      </c>
      <c r="E273" s="103" t="s">
        <v>4786</v>
      </c>
      <c r="F273" s="107">
        <v>54.99</v>
      </c>
      <c r="G273" s="107">
        <v>3145</v>
      </c>
      <c r="H273" s="107"/>
      <c r="I273" s="117">
        <f t="shared" si="23"/>
        <v>172943.55000000002</v>
      </c>
      <c r="J273" s="114" t="s">
        <v>4819</v>
      </c>
      <c r="K273" s="106">
        <f>SUMIF(收发货!A:A,销售合同!A:A,收发货!D:D)</f>
        <v>54.99</v>
      </c>
      <c r="L273" s="109">
        <f>SUMIF(收开票!A:A,销售合同!A:A,收开票!E:E)</f>
        <v>54.99</v>
      </c>
      <c r="M273" s="109">
        <f>SUMIF(收开票!A:A,销售合同!A:A,收开票!F:F)</f>
        <v>172943.55000000002</v>
      </c>
      <c r="N273" s="109">
        <f>SUMIF(收开票!A:A,销售合同!A:A,收开票!H:H)</f>
        <v>54.99</v>
      </c>
      <c r="O273" s="109">
        <f>SUMIF(收开票!A:A,销售合同!A:A,收开票!I:I)</f>
        <v>172943.55000000002</v>
      </c>
      <c r="P273" s="110">
        <f>SUMIF(收付款!A:A,销售合同!A:A,收付款!E:E)</f>
        <v>172943.55</v>
      </c>
      <c r="Q273" s="110">
        <f t="shared" si="24"/>
        <v>0</v>
      </c>
      <c r="R273" s="161"/>
    </row>
    <row r="274" spans="1:24" ht="35.1" hidden="1" customHeight="1">
      <c r="A274" s="142" t="s">
        <v>4826</v>
      </c>
      <c r="B274" s="103" t="s">
        <v>485</v>
      </c>
      <c r="C274" s="103" t="s">
        <v>60</v>
      </c>
      <c r="D274" s="518">
        <v>43160</v>
      </c>
      <c r="E274" s="103" t="s">
        <v>83</v>
      </c>
      <c r="F274" s="104">
        <v>1000</v>
      </c>
      <c r="G274" s="104">
        <v>8650</v>
      </c>
      <c r="H274" s="104"/>
      <c r="I274" s="117">
        <f t="shared" si="23"/>
        <v>8650000</v>
      </c>
      <c r="J274" s="103" t="s">
        <v>149</v>
      </c>
      <c r="K274" s="106">
        <f>SUMIF(收发货!A:A,销售合同!A:A,收发货!D:D)</f>
        <v>1000.5105</v>
      </c>
      <c r="L274" s="110">
        <f>SUMIF(收开票!A:A,销售合同!A:A,收开票!E:E)</f>
        <v>1008.5183</v>
      </c>
      <c r="M274" s="110">
        <f>SUMIF(收开票!A:A,销售合同!A:A,收开票!F:F)</f>
        <v>8723683.3000000007</v>
      </c>
      <c r="N274" s="451">
        <f>SUMIF(收开票!A:A,销售合同!A:A,收开票!H:H)</f>
        <v>1008.5183</v>
      </c>
      <c r="O274" s="110">
        <f>SUMIF(收开票!A:A,销售合同!A:A,收开票!I:I)</f>
        <v>8723683.3000000007</v>
      </c>
      <c r="P274" s="110">
        <f>SUMIF(收付款!A:A,销售合同!A:A,收付款!E:E)</f>
        <v>8723683.3000000007</v>
      </c>
      <c r="Q274" s="110">
        <f t="shared" si="24"/>
        <v>0</v>
      </c>
      <c r="R274" s="106"/>
      <c r="S274" s="111"/>
      <c r="T274" s="112"/>
      <c r="U274" s="112"/>
      <c r="V274" s="113">
        <v>42289</v>
      </c>
      <c r="W274" s="112"/>
      <c r="X274" s="112"/>
    </row>
    <row r="275" spans="1:24" ht="35.1" hidden="1" customHeight="1">
      <c r="A275" s="102" t="s">
        <v>4626</v>
      </c>
      <c r="B275" s="114" t="s">
        <v>147</v>
      </c>
      <c r="C275" s="114" t="s">
        <v>82</v>
      </c>
      <c r="D275" s="517">
        <v>43160</v>
      </c>
      <c r="E275" s="103" t="s">
        <v>83</v>
      </c>
      <c r="F275" s="107">
        <v>200</v>
      </c>
      <c r="G275" s="107">
        <v>14300</v>
      </c>
      <c r="H275" s="107"/>
      <c r="I275" s="117">
        <f t="shared" si="23"/>
        <v>2860000</v>
      </c>
      <c r="J275" s="114" t="s">
        <v>432</v>
      </c>
      <c r="K275" s="106">
        <f>SUMIF(收发货!A:A,销售合同!A:A,收发货!D:D)</f>
        <v>200</v>
      </c>
      <c r="L275" s="109">
        <f>SUMIF(收开票!A:A,销售合同!A:A,收开票!E:E)</f>
        <v>200.14</v>
      </c>
      <c r="M275" s="109">
        <f>SUMIF(收开票!A:A,销售合同!A:A,收开票!F:F)</f>
        <v>2862002</v>
      </c>
      <c r="N275" s="109">
        <f>SUMIF(收开票!A:A,销售合同!A:A,收开票!H:H)</f>
        <v>200.14</v>
      </c>
      <c r="O275" s="109">
        <f>SUMIF(收开票!A:A,销售合同!A:A,收开票!I:I)</f>
        <v>2862002</v>
      </c>
      <c r="P275" s="110">
        <f>SUMIF(收付款!A:A,销售合同!A:A,收付款!E:E)</f>
        <v>2862002</v>
      </c>
      <c r="Q275" s="110">
        <f t="shared" si="24"/>
        <v>0</v>
      </c>
      <c r="R275" s="106"/>
      <c r="S275" s="111"/>
      <c r="T275" s="112"/>
      <c r="U275" s="112"/>
      <c r="V275" s="113">
        <v>42289</v>
      </c>
      <c r="W275" s="112"/>
      <c r="X275" s="112"/>
    </row>
    <row r="276" spans="1:24" ht="35.1" hidden="1" customHeight="1">
      <c r="A276" s="102" t="s">
        <v>4995</v>
      </c>
      <c r="B276" s="114" t="s">
        <v>485</v>
      </c>
      <c r="C276" s="114" t="s">
        <v>106</v>
      </c>
      <c r="D276" s="517">
        <v>43160</v>
      </c>
      <c r="E276" s="118" t="s">
        <v>4755</v>
      </c>
      <c r="F276" s="107">
        <v>6000</v>
      </c>
      <c r="G276" s="107">
        <v>2800</v>
      </c>
      <c r="H276" s="107"/>
      <c r="I276" s="117">
        <f t="shared" si="23"/>
        <v>16800000</v>
      </c>
      <c r="J276" s="114" t="s">
        <v>4055</v>
      </c>
      <c r="K276" s="106">
        <f>SUMIF(收发货!A:A,销售合同!A:A,收发货!D:D)</f>
        <v>6120.78</v>
      </c>
      <c r="L276" s="109">
        <f>SUMIF(收开票!A:A,销售合同!A:A,收开票!E:E)</f>
        <v>6453.15</v>
      </c>
      <c r="M276" s="109">
        <f>SUMIF(收开票!A:A,销售合同!A:A,收开票!F:F)</f>
        <v>17278515.579999998</v>
      </c>
      <c r="N276" s="109">
        <f>SUMIF(收开票!A:A,销售合同!A:A,收开票!H:H)</f>
        <v>6453.15</v>
      </c>
      <c r="O276" s="109">
        <f>SUMIF(收开票!A:A,销售合同!A:A,收开票!I:I)</f>
        <v>17278515.579999998</v>
      </c>
      <c r="P276" s="110">
        <f>SUMIF(收付款!A:A,销售合同!A:A,收付款!E:E)</f>
        <v>17278515.579999998</v>
      </c>
      <c r="Q276" s="110">
        <f t="shared" si="24"/>
        <v>0</v>
      </c>
      <c r="R276" s="106"/>
      <c r="S276" s="111"/>
      <c r="T276" s="112"/>
      <c r="U276" s="112"/>
      <c r="V276" s="113">
        <v>42289</v>
      </c>
      <c r="W276" s="112"/>
      <c r="X276" s="112"/>
    </row>
    <row r="277" spans="1:24" ht="35.1" hidden="1" customHeight="1">
      <c r="A277" s="102" t="s">
        <v>4756</v>
      </c>
      <c r="B277" s="114" t="s">
        <v>147</v>
      </c>
      <c r="C277" s="114" t="s">
        <v>82</v>
      </c>
      <c r="D277" s="517">
        <v>43174</v>
      </c>
      <c r="E277" s="103" t="s">
        <v>83</v>
      </c>
      <c r="F277" s="107">
        <v>150</v>
      </c>
      <c r="G277" s="107">
        <v>14400</v>
      </c>
      <c r="H277" s="107"/>
      <c r="I277" s="117">
        <f t="shared" si="23"/>
        <v>2160000</v>
      </c>
      <c r="J277" s="114" t="s">
        <v>432</v>
      </c>
      <c r="K277" s="106">
        <f>SUMIF(收发货!A:A,销售合同!A:A,收发货!D:D)</f>
        <v>157</v>
      </c>
      <c r="L277" s="109">
        <f>SUMIF(收开票!A:A,销售合同!A:A,收开票!E:E)</f>
        <v>157.017</v>
      </c>
      <c r="M277" s="109">
        <f>SUMIF(收开票!A:A,销售合同!A:A,收开票!F:F)</f>
        <v>2261044.7999999998</v>
      </c>
      <c r="N277" s="109">
        <f>SUMIF(收开票!A:A,销售合同!A:A,收开票!H:H)</f>
        <v>157.017</v>
      </c>
      <c r="O277" s="109">
        <f>SUMIF(收开票!A:A,销售合同!A:A,收开票!I:I)</f>
        <v>2261044.7999999998</v>
      </c>
      <c r="P277" s="110">
        <f>SUMIF(收付款!A:A,销售合同!A:A,收付款!E:E)</f>
        <v>2261044.7999999998</v>
      </c>
      <c r="Q277" s="109">
        <f t="shared" si="24"/>
        <v>0</v>
      </c>
      <c r="R277" s="106"/>
      <c r="S277" s="111"/>
      <c r="T277" s="112"/>
      <c r="U277" s="112"/>
      <c r="V277" s="113">
        <v>42289</v>
      </c>
      <c r="W277" s="112"/>
      <c r="X277" s="112"/>
    </row>
    <row r="278" spans="1:24" ht="35.1" hidden="1" customHeight="1">
      <c r="A278" s="102" t="s">
        <v>5014</v>
      </c>
      <c r="B278" s="114" t="s">
        <v>147</v>
      </c>
      <c r="C278" s="114" t="s">
        <v>240</v>
      </c>
      <c r="D278" s="517">
        <v>43193</v>
      </c>
      <c r="E278" s="103" t="s">
        <v>75</v>
      </c>
      <c r="F278" s="107">
        <v>32</v>
      </c>
      <c r="G278" s="107">
        <v>12250</v>
      </c>
      <c r="H278" s="107"/>
      <c r="I278" s="117">
        <f t="shared" si="23"/>
        <v>392000</v>
      </c>
      <c r="J278" s="114" t="s">
        <v>3159</v>
      </c>
      <c r="K278" s="106">
        <f>SUMIF(收发货!A:A,销售合同!A:A,收发货!D:D)</f>
        <v>32</v>
      </c>
      <c r="L278" s="109">
        <f>SUMIF(收开票!A:A,销售合同!A:A,收开票!E:E)</f>
        <v>32</v>
      </c>
      <c r="M278" s="109">
        <f>SUMIF(收开票!A:A,销售合同!A:A,收开票!F:F)</f>
        <v>392000</v>
      </c>
      <c r="N278" s="109">
        <f>SUMIF(收开票!A:A,销售合同!A:A,收开票!H:H)</f>
        <v>32</v>
      </c>
      <c r="O278" s="109">
        <f>SUMIF(收开票!A:A,销售合同!A:A,收开票!I:I)</f>
        <v>392000</v>
      </c>
      <c r="P278" s="110">
        <f>SUMIF(收付款!A:A,销售合同!A:A,收付款!E:E)</f>
        <v>392000</v>
      </c>
      <c r="Q278" s="110">
        <f t="shared" si="24"/>
        <v>0</v>
      </c>
      <c r="R278" s="111">
        <f>SUMIF(收付款!A:A,销售合同!A:A,收付款!I:I)</f>
        <v>0</v>
      </c>
      <c r="S278" s="111">
        <f>SUMIF(收付款!A:A,销售合同!A:A,收付款!J:J)</f>
        <v>0</v>
      </c>
    </row>
    <row r="279" spans="1:24" ht="35.1" hidden="1" customHeight="1">
      <c r="A279" s="102" t="s">
        <v>5249</v>
      </c>
      <c r="B279" s="114" t="s">
        <v>485</v>
      </c>
      <c r="C279" s="114" t="s">
        <v>106</v>
      </c>
      <c r="D279" s="517">
        <v>43191</v>
      </c>
      <c r="E279" s="118" t="s">
        <v>168</v>
      </c>
      <c r="F279" s="107">
        <v>6000</v>
      </c>
      <c r="G279" s="107">
        <v>2500</v>
      </c>
      <c r="H279" s="107"/>
      <c r="I279" s="117">
        <f t="shared" si="23"/>
        <v>15000000</v>
      </c>
      <c r="J279" s="114" t="s">
        <v>4055</v>
      </c>
      <c r="K279" s="106">
        <f>SUMIF(收发货!A:A,销售合同!A:A,收发货!D:D)</f>
        <v>3603</v>
      </c>
      <c r="L279" s="109">
        <f>SUMIF(收开票!A:A,销售合同!A:A,收开票!E:E)</f>
        <v>3809.65</v>
      </c>
      <c r="M279" s="109">
        <f>SUMIF(收开票!A:A,销售合同!A:A,收开票!F:F)</f>
        <v>9603555.6100000013</v>
      </c>
      <c r="N279" s="109">
        <f>SUMIF(收开票!A:A,销售合同!A:A,收开票!H:H)</f>
        <v>3809.65</v>
      </c>
      <c r="O279" s="109">
        <f>SUMIF(收开票!A:A,销售合同!A:A,收开票!I:I)</f>
        <v>9603555.6100000013</v>
      </c>
      <c r="P279" s="110">
        <f>SUMIF(收付款!A:A,销售合同!A:A,收付款!E:E)</f>
        <v>9455422.0300000012</v>
      </c>
      <c r="Q279" s="110">
        <f t="shared" si="24"/>
        <v>148133.58000000007</v>
      </c>
      <c r="R279" s="106"/>
      <c r="S279" s="111"/>
      <c r="T279" s="112"/>
      <c r="U279" s="112"/>
      <c r="V279" s="113">
        <v>42289</v>
      </c>
      <c r="W279" s="112"/>
      <c r="X279" s="112"/>
    </row>
    <row r="280" spans="1:24" ht="35.1" hidden="1" customHeight="1">
      <c r="A280" s="102" t="s">
        <v>4734</v>
      </c>
      <c r="B280" s="103" t="s">
        <v>4410</v>
      </c>
      <c r="C280" s="103" t="s">
        <v>3272</v>
      </c>
      <c r="D280" s="517">
        <v>43178</v>
      </c>
      <c r="E280" s="114" t="s">
        <v>4334</v>
      </c>
      <c r="F280" s="9">
        <v>100</v>
      </c>
      <c r="G280" s="104">
        <v>1430</v>
      </c>
      <c r="H280" s="104" t="s">
        <v>2119</v>
      </c>
      <c r="I280" s="117">
        <f t="shared" si="23"/>
        <v>143000</v>
      </c>
      <c r="J280" s="103" t="s">
        <v>4411</v>
      </c>
      <c r="K280" s="106">
        <f>SUMIF(收发货!A:A,销售合同!A:A,收发货!D:D)</f>
        <v>100</v>
      </c>
      <c r="L280" s="109">
        <f>SUMIF(收开票!A:A,销售合同!A:A,收开票!E:E)</f>
        <v>100</v>
      </c>
      <c r="M280" s="109">
        <f>SUMIF(收开票!A:A,销售合同!A:A,收开票!F:F)</f>
        <v>143000</v>
      </c>
      <c r="N280" s="109">
        <f>SUMIF(收开票!A:A,销售合同!A:A,收开票!H:H)</f>
        <v>100</v>
      </c>
      <c r="O280" s="109">
        <f>SUMIF(收开票!A:A,销售合同!A:A,收开票!I:I)</f>
        <v>143000</v>
      </c>
      <c r="P280" s="110">
        <f>SUMIF(收付款!A:A,销售合同!A:A,收付款!E:E)</f>
        <v>142991.70000000001</v>
      </c>
      <c r="Q280" s="110">
        <f t="shared" si="24"/>
        <v>8.2999999999883585</v>
      </c>
      <c r="R280" s="111">
        <f>SUMIF(收付款!A:A,销售合同!A:A,收付款!I:I)</f>
        <v>0</v>
      </c>
      <c r="S280" s="111">
        <f>SUMIF(收付款!A:A,销售合同!A:A,收付款!J:J)</f>
        <v>0</v>
      </c>
      <c r="T280" s="112"/>
      <c r="U280" s="112"/>
      <c r="V280" s="113"/>
      <c r="W280" s="112"/>
      <c r="X280" s="112"/>
    </row>
    <row r="281" spans="1:24" ht="35.1" hidden="1" customHeight="1">
      <c r="A281" s="102" t="s">
        <v>4733</v>
      </c>
      <c r="B281" s="103" t="s">
        <v>4410</v>
      </c>
      <c r="C281" s="103" t="s">
        <v>3272</v>
      </c>
      <c r="D281" s="517">
        <v>43178</v>
      </c>
      <c r="E281" s="114" t="s">
        <v>5136</v>
      </c>
      <c r="F281" s="9">
        <v>100</v>
      </c>
      <c r="G281" s="104">
        <v>1430</v>
      </c>
      <c r="H281" s="104" t="s">
        <v>2119</v>
      </c>
      <c r="I281" s="117">
        <f t="shared" si="23"/>
        <v>143000</v>
      </c>
      <c r="J281" s="103" t="s">
        <v>4411</v>
      </c>
      <c r="K281" s="106">
        <f>SUMIF(收发货!A:A,销售合同!A:A,收发货!D:D)</f>
        <v>100</v>
      </c>
      <c r="L281" s="109">
        <f>SUMIF(收开票!A:A,销售合同!A:A,收开票!E:E)</f>
        <v>100</v>
      </c>
      <c r="M281" s="109">
        <f>SUMIF(收开票!A:A,销售合同!A:A,收开票!F:F)</f>
        <v>143000</v>
      </c>
      <c r="N281" s="109">
        <f>SUMIF(收开票!A:A,销售合同!A:A,收开票!H:H)</f>
        <v>100</v>
      </c>
      <c r="O281" s="109">
        <f>SUMIF(收开票!A:A,销售合同!A:A,收开票!I:I)</f>
        <v>143000</v>
      </c>
      <c r="P281" s="110">
        <f>SUMIF(收付款!A:A,销售合同!A:A,收付款!E:E)</f>
        <v>142991.70000000001</v>
      </c>
      <c r="Q281" s="110">
        <f t="shared" si="24"/>
        <v>8.2999999999883585</v>
      </c>
      <c r="R281" s="111">
        <f>SUMIF(收付款!A:A,销售合同!A:A,收付款!I:I)</f>
        <v>0</v>
      </c>
      <c r="S281" s="111">
        <f>SUMIF(收付款!A:A,销售合同!A:A,收付款!J:J)</f>
        <v>0</v>
      </c>
      <c r="T281" s="112"/>
      <c r="U281" s="112"/>
      <c r="V281" s="113"/>
      <c r="W281" s="112"/>
      <c r="X281" s="112"/>
    </row>
    <row r="282" spans="1:24" ht="35.1" hidden="1" customHeight="1">
      <c r="A282" s="102" t="s">
        <v>5378</v>
      </c>
      <c r="B282" s="103" t="s">
        <v>4410</v>
      </c>
      <c r="C282" s="103" t="s">
        <v>3272</v>
      </c>
      <c r="D282" s="517">
        <v>43187</v>
      </c>
      <c r="E282" s="114" t="s">
        <v>758</v>
      </c>
      <c r="F282" s="9">
        <v>40</v>
      </c>
      <c r="G282" s="104">
        <v>1475</v>
      </c>
      <c r="H282" s="104" t="s">
        <v>2119</v>
      </c>
      <c r="I282" s="117">
        <f t="shared" si="23"/>
        <v>59000</v>
      </c>
      <c r="J282" s="103" t="s">
        <v>4411</v>
      </c>
      <c r="K282" s="106">
        <f>SUMIF(收发货!A:A,销售合同!A:A,收发货!D:D)</f>
        <v>40</v>
      </c>
      <c r="L282" s="109">
        <f>SUMIF(收开票!A:A,销售合同!A:A,收开票!E:E)</f>
        <v>40</v>
      </c>
      <c r="M282" s="109">
        <f>SUMIF(收开票!A:A,销售合同!A:A,收开票!F:F)</f>
        <v>57525</v>
      </c>
      <c r="N282" s="109">
        <f>SUMIF(收开票!A:A,销售合同!A:A,收开票!H:H)</f>
        <v>40</v>
      </c>
      <c r="O282" s="109">
        <f>SUMIF(收开票!A:A,销售合同!A:A,收开票!I:I)</f>
        <v>57525</v>
      </c>
      <c r="P282" s="110">
        <f>SUMIF(收付款!A:A,销售合同!A:A,收付款!E:E)</f>
        <v>57508.399999999994</v>
      </c>
      <c r="Q282" s="110">
        <f t="shared" si="24"/>
        <v>16.600000000005821</v>
      </c>
      <c r="R282" s="111">
        <f>SUMIF(收付款!A:A,销售合同!A:A,收付款!I:I)</f>
        <v>0</v>
      </c>
      <c r="S282" s="111">
        <f>SUMIF(收付款!A:A,销售合同!A:A,收付款!J:J)</f>
        <v>0</v>
      </c>
      <c r="T282" s="112"/>
      <c r="U282" s="112"/>
      <c r="V282" s="113"/>
      <c r="W282" s="112"/>
      <c r="X282" s="112"/>
    </row>
    <row r="283" spans="1:24" ht="35.1" hidden="1" customHeight="1">
      <c r="A283" s="142" t="s">
        <v>5002</v>
      </c>
      <c r="B283" s="103" t="s">
        <v>485</v>
      </c>
      <c r="C283" s="103" t="s">
        <v>60</v>
      </c>
      <c r="D283" s="518">
        <v>43191</v>
      </c>
      <c r="E283" s="103" t="s">
        <v>83</v>
      </c>
      <c r="F283" s="104">
        <v>1000</v>
      </c>
      <c r="G283" s="104">
        <v>8350</v>
      </c>
      <c r="H283" s="104"/>
      <c r="I283" s="117">
        <f t="shared" si="23"/>
        <v>8350000</v>
      </c>
      <c r="J283" s="103" t="s">
        <v>149</v>
      </c>
      <c r="K283" s="106">
        <f>SUMIF(收发货!A:A,销售合同!A:A,收发货!D:D)</f>
        <v>815</v>
      </c>
      <c r="L283" s="110">
        <f>SUMIF(收开票!A:A,销售合同!A:A,收开票!E:E)</f>
        <v>815.94539999999995</v>
      </c>
      <c r="M283" s="110">
        <f>SUMIF(收开票!A:A,销售合同!A:A,收开票!F:F)</f>
        <v>6772930.1499999994</v>
      </c>
      <c r="N283" s="451">
        <f>SUMIF(收开票!A:A,销售合同!A:A,收开票!H:H)</f>
        <v>815.94539999999995</v>
      </c>
      <c r="O283" s="110">
        <f>SUMIF(收开票!A:A,销售合同!A:A,收开票!I:I)</f>
        <v>6772930.1499999994</v>
      </c>
      <c r="P283" s="110">
        <f>SUMIF(收付款!A:A,销售合同!A:A,收付款!E:E)</f>
        <v>6772930.1499999994</v>
      </c>
      <c r="Q283" s="110">
        <f t="shared" si="24"/>
        <v>0</v>
      </c>
      <c r="R283" s="106"/>
      <c r="S283" s="111"/>
      <c r="T283" s="112"/>
      <c r="U283" s="112"/>
      <c r="V283" s="113">
        <v>42289</v>
      </c>
      <c r="W283" s="112"/>
      <c r="X283" s="112"/>
    </row>
    <row r="284" spans="1:24" ht="45.75" hidden="1" customHeight="1">
      <c r="A284" s="102" t="s">
        <v>5019</v>
      </c>
      <c r="B284" s="114" t="s">
        <v>485</v>
      </c>
      <c r="C284" s="114" t="s">
        <v>4223</v>
      </c>
      <c r="D284" s="517">
        <v>43191</v>
      </c>
      <c r="E284" s="103" t="s">
        <v>4990</v>
      </c>
      <c r="F284" s="107">
        <v>2500</v>
      </c>
      <c r="G284" s="107">
        <v>2840</v>
      </c>
      <c r="H284" s="107"/>
      <c r="I284" s="117">
        <f t="shared" si="23"/>
        <v>7100000</v>
      </c>
      <c r="J284" s="114" t="s">
        <v>2766</v>
      </c>
      <c r="K284" s="106">
        <f>SUMIF(收发货!A:A,销售合同!A:A,收发货!D:D)</f>
        <v>2354.56</v>
      </c>
      <c r="L284" s="109">
        <f>SUMIF(收开票!A:A,销售合同!A:A,收开票!E:E)</f>
        <v>2349.2399999999998</v>
      </c>
      <c r="M284" s="109">
        <f>SUMIF(收开票!A:A,销售合同!A:A,收开票!F:F)</f>
        <v>6276370.9299999997</v>
      </c>
      <c r="N284" s="109">
        <f>SUMIF(收开票!A:A,销售合同!A:A,收开票!H:H)</f>
        <v>2349.2399999999998</v>
      </c>
      <c r="O284" s="109">
        <f>SUMIF(收开票!A:A,销售合同!A:A,收开票!I:I)</f>
        <v>6276370.9299999997</v>
      </c>
      <c r="P284" s="110">
        <f>SUMIF(收付款!A:A,销售合同!A:A,收付款!E:E)</f>
        <v>6276370.9299999997</v>
      </c>
      <c r="Q284" s="110">
        <f t="shared" si="24"/>
        <v>0</v>
      </c>
      <c r="R284" s="161"/>
    </row>
    <row r="285" spans="1:24" ht="35.1" hidden="1" customHeight="1">
      <c r="A285" s="102" t="s">
        <v>4966</v>
      </c>
      <c r="B285" s="114" t="s">
        <v>147</v>
      </c>
      <c r="C285" s="114" t="s">
        <v>82</v>
      </c>
      <c r="D285" s="517">
        <v>43191</v>
      </c>
      <c r="E285" s="103" t="s">
        <v>83</v>
      </c>
      <c r="F285" s="107">
        <v>210</v>
      </c>
      <c r="G285" s="107">
        <v>12200</v>
      </c>
      <c r="H285" s="107"/>
      <c r="I285" s="117">
        <f t="shared" si="23"/>
        <v>2562000</v>
      </c>
      <c r="J285" s="114" t="s">
        <v>432</v>
      </c>
      <c r="K285" s="106">
        <f>SUMIF(收发货!A:A,销售合同!A:A,收发货!D:D)</f>
        <v>210</v>
      </c>
      <c r="L285" s="109">
        <f>SUMIF(收开票!A:A,销售合同!A:A,收开票!E:E)</f>
        <v>209.822</v>
      </c>
      <c r="M285" s="109">
        <f>SUMIF(收开票!A:A,销售合同!A:A,收开票!F:F)</f>
        <v>2559828.4</v>
      </c>
      <c r="N285" s="109">
        <f>SUMIF(收开票!A:A,销售合同!A:A,收开票!H:H)</f>
        <v>209.822</v>
      </c>
      <c r="O285" s="109">
        <f>SUMIF(收开票!A:A,销售合同!A:A,收开票!I:I)</f>
        <v>2559828.4</v>
      </c>
      <c r="P285" s="110">
        <f>SUMIF(收付款!A:A,销售合同!A:A,收付款!E:E)</f>
        <v>2559828.4</v>
      </c>
      <c r="Q285" s="109">
        <f t="shared" si="24"/>
        <v>0</v>
      </c>
      <c r="R285" s="106"/>
      <c r="S285" s="111"/>
      <c r="T285" s="112"/>
      <c r="U285" s="112"/>
      <c r="V285" s="113">
        <v>42289</v>
      </c>
      <c r="W285" s="112"/>
      <c r="X285" s="112"/>
    </row>
    <row r="286" spans="1:24" ht="45.75" hidden="1" customHeight="1">
      <c r="A286" s="102" t="s">
        <v>5063</v>
      </c>
      <c r="B286" s="114" t="s">
        <v>485</v>
      </c>
      <c r="C286" s="114" t="s">
        <v>2765</v>
      </c>
      <c r="D286" s="517">
        <v>43205</v>
      </c>
      <c r="E286" s="103" t="s">
        <v>5064</v>
      </c>
      <c r="F286" s="107">
        <v>20000</v>
      </c>
      <c r="G286" s="107">
        <v>1277</v>
      </c>
      <c r="H286" s="107"/>
      <c r="I286" s="117">
        <f t="shared" si="23"/>
        <v>25540000</v>
      </c>
      <c r="J286" s="114" t="s">
        <v>2766</v>
      </c>
      <c r="K286" s="106">
        <f>SUMIF(收发货!A:A,销售合同!A:A,收发货!D:D)</f>
        <v>21906</v>
      </c>
      <c r="L286" s="109">
        <f>SUMIF(收开票!A:A,销售合同!A:A,收开票!E:E)</f>
        <v>21457.922999999999</v>
      </c>
      <c r="M286" s="109">
        <f>SUMIF(收开票!A:A,销售合同!A:A,收开票!F:F)</f>
        <v>27344538.670000002</v>
      </c>
      <c r="N286" s="109">
        <f>SUMIF(收开票!A:A,销售合同!A:A,收开票!H:H)</f>
        <v>21457.922999999999</v>
      </c>
      <c r="O286" s="109">
        <f>SUMIF(收开票!A:A,销售合同!A:A,收开票!I:I)</f>
        <v>27344538.670000002</v>
      </c>
      <c r="P286" s="110">
        <f>SUMIF(收付款!A:A,销售合同!A:A,收付款!E:E)</f>
        <v>27344538.670000002</v>
      </c>
      <c r="Q286" s="110">
        <f t="shared" si="24"/>
        <v>0</v>
      </c>
      <c r="R286" s="161"/>
    </row>
    <row r="287" spans="1:24" ht="35.1" hidden="1" customHeight="1">
      <c r="A287" s="102" t="s">
        <v>4890</v>
      </c>
      <c r="B287" s="103" t="s">
        <v>127</v>
      </c>
      <c r="C287" s="103" t="s">
        <v>3271</v>
      </c>
      <c r="D287" s="517">
        <v>43202</v>
      </c>
      <c r="E287" s="114" t="s">
        <v>3984</v>
      </c>
      <c r="F287" s="9">
        <v>100</v>
      </c>
      <c r="G287" s="104">
        <v>1280</v>
      </c>
      <c r="H287" s="104" t="s">
        <v>2119</v>
      </c>
      <c r="I287" s="117">
        <f t="shared" si="23"/>
        <v>128000</v>
      </c>
      <c r="J287" s="103" t="s">
        <v>988</v>
      </c>
      <c r="K287" s="106">
        <f>SUMIF(收发货!A:A,销售合同!A:A,收发货!D:D)</f>
        <v>100</v>
      </c>
      <c r="L287" s="109">
        <f>SUMIF(收开票!A:A,销售合同!A:A,收开票!E:E)</f>
        <v>100</v>
      </c>
      <c r="M287" s="109">
        <f>SUMIF(收开票!A:A,销售合同!A:A,收开票!F:F)</f>
        <v>128000</v>
      </c>
      <c r="N287" s="109">
        <f>SUMIF(收开票!A:A,销售合同!A:A,收开票!H:H)</f>
        <v>100</v>
      </c>
      <c r="O287" s="109">
        <f>SUMIF(收开票!A:A,销售合同!A:A,收开票!I:I)</f>
        <v>128000</v>
      </c>
      <c r="P287" s="110">
        <f>SUMIF(收付款!A:A,销售合同!A:A,收付款!E:E)</f>
        <v>128000</v>
      </c>
      <c r="Q287" s="110">
        <f t="shared" si="24"/>
        <v>0</v>
      </c>
      <c r="R287" s="111">
        <f>SUMIF(收付款!A:A,销售合同!A:A,收付款!I:I)</f>
        <v>0</v>
      </c>
      <c r="S287" s="111">
        <f>SUMIF(收付款!A:A,销售合同!A:A,收付款!J:J)</f>
        <v>0</v>
      </c>
      <c r="T287" s="112"/>
      <c r="U287" s="112"/>
      <c r="V287" s="113"/>
      <c r="W287" s="112"/>
      <c r="X287" s="112"/>
    </row>
    <row r="288" spans="1:24" ht="35.1" hidden="1" customHeight="1">
      <c r="A288" s="102" t="s">
        <v>5186</v>
      </c>
      <c r="B288" s="103" t="s">
        <v>127</v>
      </c>
      <c r="C288" s="103" t="s">
        <v>3271</v>
      </c>
      <c r="D288" s="517">
        <v>43209</v>
      </c>
      <c r="E288" s="114" t="s">
        <v>5178</v>
      </c>
      <c r="F288" s="9">
        <v>140</v>
      </c>
      <c r="G288" s="104">
        <v>1305</v>
      </c>
      <c r="H288" s="104" t="s">
        <v>2119</v>
      </c>
      <c r="I288" s="117">
        <f t="shared" si="23"/>
        <v>182700</v>
      </c>
      <c r="J288" s="103" t="s">
        <v>988</v>
      </c>
      <c r="K288" s="106">
        <f>SUMIF(收发货!A:A,销售合同!A:A,收发货!D:D)</f>
        <v>140</v>
      </c>
      <c r="L288" s="109">
        <f>SUMIF(收开票!A:A,销售合同!A:A,收开票!E:E)</f>
        <v>140</v>
      </c>
      <c r="M288" s="109">
        <f>SUMIF(收开票!A:A,销售合同!A:A,收开票!F:F)</f>
        <v>182700</v>
      </c>
      <c r="N288" s="109">
        <f>SUMIF(收开票!A:A,销售合同!A:A,收开票!H:H)</f>
        <v>140</v>
      </c>
      <c r="O288" s="109">
        <f>SUMIF(收开票!A:A,销售合同!A:A,收开票!I:I)</f>
        <v>182700</v>
      </c>
      <c r="P288" s="110">
        <f>SUMIF(收付款!A:A,销售合同!A:A,收付款!E:E)</f>
        <v>182671.7</v>
      </c>
      <c r="Q288" s="110">
        <f t="shared" si="24"/>
        <v>28.299999999988358</v>
      </c>
      <c r="R288" s="111">
        <f>SUMIF(收付款!A:A,销售合同!A:A,收付款!I:I)</f>
        <v>0</v>
      </c>
      <c r="S288" s="111">
        <f>SUMIF(收付款!A:A,销售合同!A:A,收付款!J:J)</f>
        <v>0</v>
      </c>
      <c r="T288" s="112"/>
      <c r="U288" s="112"/>
      <c r="V288" s="113"/>
      <c r="W288" s="112"/>
      <c r="X288" s="112"/>
    </row>
    <row r="289" spans="1:24" ht="35.1" hidden="1" customHeight="1">
      <c r="A289" s="102" t="s">
        <v>4891</v>
      </c>
      <c r="B289" s="103" t="s">
        <v>127</v>
      </c>
      <c r="C289" s="103" t="s">
        <v>3271</v>
      </c>
      <c r="D289" s="517">
        <v>43213</v>
      </c>
      <c r="E289" s="114" t="s">
        <v>2841</v>
      </c>
      <c r="F289" s="9">
        <v>60</v>
      </c>
      <c r="G289" s="104">
        <v>1280</v>
      </c>
      <c r="H289" s="104" t="s">
        <v>2119</v>
      </c>
      <c r="I289" s="117">
        <f t="shared" ref="I289:I317" si="25">F289*G289</f>
        <v>76800</v>
      </c>
      <c r="J289" s="103" t="s">
        <v>988</v>
      </c>
      <c r="K289" s="106">
        <f>SUMIF(收发货!A:A,销售合同!A:A,收发货!D:D)</f>
        <v>60</v>
      </c>
      <c r="L289" s="109">
        <f>SUMIF(收开票!A:A,销售合同!A:A,收开票!E:E)</f>
        <v>60</v>
      </c>
      <c r="M289" s="109">
        <f>SUMIF(收开票!A:A,销售合同!A:A,收开票!F:F)</f>
        <v>76800</v>
      </c>
      <c r="N289" s="109">
        <f>SUMIF(收开票!A:A,销售合同!A:A,收开票!H:H)</f>
        <v>60</v>
      </c>
      <c r="O289" s="109">
        <f>SUMIF(收开票!A:A,销售合同!A:A,收开票!I:I)</f>
        <v>76800</v>
      </c>
      <c r="P289" s="110">
        <f>SUMIF(收付款!A:A,销售合同!A:A,收付款!E:E)</f>
        <v>76800</v>
      </c>
      <c r="Q289" s="110">
        <f t="shared" ref="Q289:Q317" si="26">O289-P289</f>
        <v>0</v>
      </c>
      <c r="R289" s="111">
        <f>SUMIF(收付款!A:A,销售合同!A:A,收付款!I:I)</f>
        <v>0</v>
      </c>
      <c r="S289" s="111">
        <f>SUMIF(收付款!A:A,销售合同!A:A,收付款!J:J)</f>
        <v>0</v>
      </c>
      <c r="T289" s="112"/>
      <c r="U289" s="112"/>
      <c r="V289" s="113"/>
      <c r="W289" s="112"/>
      <c r="X289" s="112"/>
    </row>
    <row r="290" spans="1:24" ht="35.1" hidden="1" customHeight="1">
      <c r="A290" s="102" t="s">
        <v>5098</v>
      </c>
      <c r="B290" s="114" t="s">
        <v>147</v>
      </c>
      <c r="C290" s="114" t="s">
        <v>82</v>
      </c>
      <c r="D290" s="517">
        <v>43221</v>
      </c>
      <c r="E290" s="103" t="s">
        <v>5153</v>
      </c>
      <c r="F290" s="107">
        <v>300</v>
      </c>
      <c r="G290" s="107">
        <v>13300</v>
      </c>
      <c r="H290" s="107"/>
      <c r="I290" s="117">
        <f t="shared" si="25"/>
        <v>3990000</v>
      </c>
      <c r="J290" s="114" t="s">
        <v>432</v>
      </c>
      <c r="K290" s="106">
        <f>SUMIF(收发货!A:A,销售合同!A:A,收发货!D:D)</f>
        <v>286</v>
      </c>
      <c r="L290" s="109">
        <f>SUMIF(收开票!A:A,销售合同!A:A,收开票!E:E)</f>
        <v>285.60500000000002</v>
      </c>
      <c r="M290" s="109">
        <f>SUMIF(收开票!A:A,销售合同!A:A,收开票!F:F)</f>
        <v>3798546.5</v>
      </c>
      <c r="N290" s="109">
        <f>SUMIF(收开票!A:A,销售合同!A:A,收开票!H:H)</f>
        <v>285.60500000000002</v>
      </c>
      <c r="O290" s="109">
        <f>SUMIF(收开票!A:A,销售合同!A:A,收开票!I:I)</f>
        <v>3798546.5</v>
      </c>
      <c r="P290" s="110">
        <f>SUMIF(收付款!A:A,销售合同!A:A,收付款!E:E)</f>
        <v>3798546.5</v>
      </c>
      <c r="Q290" s="109">
        <f t="shared" si="26"/>
        <v>0</v>
      </c>
      <c r="R290" s="106"/>
      <c r="S290" s="111"/>
      <c r="T290" s="112"/>
      <c r="U290" s="112"/>
      <c r="V290" s="113">
        <v>42289</v>
      </c>
      <c r="W290" s="112"/>
      <c r="X290" s="112"/>
    </row>
    <row r="291" spans="1:24" ht="45.75" hidden="1" customHeight="1">
      <c r="A291" s="102" t="s">
        <v>5221</v>
      </c>
      <c r="B291" s="114" t="s">
        <v>485</v>
      </c>
      <c r="C291" s="114" t="s">
        <v>4223</v>
      </c>
      <c r="D291" s="517">
        <v>43221</v>
      </c>
      <c r="E291" s="103" t="s">
        <v>2967</v>
      </c>
      <c r="F291" s="107">
        <v>2500</v>
      </c>
      <c r="G291" s="107">
        <v>2791</v>
      </c>
      <c r="H291" s="107"/>
      <c r="I291" s="117">
        <f t="shared" si="25"/>
        <v>6977500</v>
      </c>
      <c r="J291" s="114" t="s">
        <v>2766</v>
      </c>
      <c r="K291" s="106">
        <f>SUMIF(收发货!A:A,销售合同!A:A,收发货!D:D)</f>
        <v>2214.23</v>
      </c>
      <c r="L291" s="109">
        <f>SUMIF(收开票!A:A,销售合同!A:A,收开票!E:E)</f>
        <v>2169.85</v>
      </c>
      <c r="M291" s="109">
        <f>SUMIF(收开票!A:A,销售合同!A:A,收开票!F:F)</f>
        <v>6007061.1100000003</v>
      </c>
      <c r="N291" s="109">
        <f>SUMIF(收开票!A:A,销售合同!A:A,收开票!H:H)</f>
        <v>2169.85</v>
      </c>
      <c r="O291" s="109">
        <f>SUMIF(收开票!A:A,销售合同!A:A,收开票!I:I)</f>
        <v>6007061.1100000003</v>
      </c>
      <c r="P291" s="110">
        <f>SUMIF(收付款!A:A,销售合同!A:A,收付款!E:E)</f>
        <v>6007061.1100000003</v>
      </c>
      <c r="Q291" s="110">
        <f t="shared" si="26"/>
        <v>0</v>
      </c>
      <c r="R291" s="161"/>
    </row>
    <row r="292" spans="1:24" ht="35.1" hidden="1" customHeight="1">
      <c r="A292" s="142" t="s">
        <v>5359</v>
      </c>
      <c r="B292" s="103" t="s">
        <v>485</v>
      </c>
      <c r="C292" s="103" t="s">
        <v>60</v>
      </c>
      <c r="D292" s="518">
        <v>43221</v>
      </c>
      <c r="E292" s="103" t="s">
        <v>5365</v>
      </c>
      <c r="F292" s="104">
        <v>500</v>
      </c>
      <c r="G292" s="104">
        <v>7830</v>
      </c>
      <c r="H292" s="104"/>
      <c r="I292" s="117">
        <f t="shared" si="25"/>
        <v>3915000</v>
      </c>
      <c r="J292" s="103" t="s">
        <v>149</v>
      </c>
      <c r="K292" s="106">
        <f>SUMIF(收发货!A:A,销售合同!A:A,收发货!D:D)</f>
        <v>490</v>
      </c>
      <c r="L292" s="110">
        <f>SUMIF(收开票!A:A,销售合同!A:A,收开票!E:E)</f>
        <v>496.1413</v>
      </c>
      <c r="M292" s="110">
        <f>SUMIF(收开票!A:A,销售合同!A:A,收开票!F:F)</f>
        <v>3783583.66</v>
      </c>
      <c r="N292" s="451">
        <f>SUMIF(收开票!A:A,销售合同!A:A,收开票!H:H)</f>
        <v>496.1413</v>
      </c>
      <c r="O292" s="110">
        <f>SUMIF(收开票!A:A,销售合同!A:A,收开票!I:I)</f>
        <v>3783583.66</v>
      </c>
      <c r="P292" s="110">
        <f>SUMIF(收付款!A:A,销售合同!A:A,收付款!E:E)</f>
        <v>3783583.6599999997</v>
      </c>
      <c r="Q292" s="110">
        <f t="shared" si="26"/>
        <v>0</v>
      </c>
      <c r="R292" s="106"/>
      <c r="S292" s="111"/>
      <c r="T292" s="112"/>
      <c r="U292" s="112"/>
      <c r="V292" s="113">
        <v>42289</v>
      </c>
      <c r="W292" s="112"/>
      <c r="X292" s="112"/>
    </row>
    <row r="293" spans="1:24" ht="35.1" hidden="1" customHeight="1">
      <c r="A293" s="102" t="s">
        <v>5039</v>
      </c>
      <c r="B293" s="114" t="s">
        <v>193</v>
      </c>
      <c r="C293" s="114" t="s">
        <v>194</v>
      </c>
      <c r="D293" s="517">
        <v>43202</v>
      </c>
      <c r="E293" s="118" t="s">
        <v>5043</v>
      </c>
      <c r="F293" s="107">
        <v>3</v>
      </c>
      <c r="G293" s="107">
        <v>11800</v>
      </c>
      <c r="H293" s="107"/>
      <c r="I293" s="122">
        <f t="shared" si="25"/>
        <v>35400</v>
      </c>
      <c r="J293" s="118" t="s">
        <v>619</v>
      </c>
      <c r="K293" s="106">
        <f>SUMIF(收发货!A:A,销售合同!A:A,收发货!D:D)</f>
        <v>3</v>
      </c>
      <c r="L293" s="107">
        <f>SUMIF(收开票!A:A,销售合同!A:A,收开票!E:E)</f>
        <v>3</v>
      </c>
      <c r="M293" s="108">
        <f>SUMIF(收开票!A:A,销售合同!A:A,收开票!F:F)</f>
        <v>35400</v>
      </c>
      <c r="N293" s="109">
        <f>SUMIF(收开票!A:A,销售合同!A:A,收开票!H:H)</f>
        <v>3</v>
      </c>
      <c r="O293" s="109">
        <f>SUMIF(收开票!A:A,销售合同!A:A,收开票!I:I)</f>
        <v>35400</v>
      </c>
      <c r="P293" s="110">
        <f>SUMIF(收付款!A:A,销售合同!A:A,收付款!E:E)</f>
        <v>35400</v>
      </c>
      <c r="Q293" s="110">
        <f t="shared" si="26"/>
        <v>0</v>
      </c>
      <c r="R293" s="111"/>
      <c r="S293" s="111">
        <f>SUMIF(收付款!A:A,销售合同!A:A,收付款!J:J)</f>
        <v>0</v>
      </c>
      <c r="T293" s="112"/>
      <c r="U293" s="112"/>
    </row>
    <row r="294" spans="1:24" ht="45.75" hidden="1" customHeight="1">
      <c r="A294" s="102" t="s">
        <v>5206</v>
      </c>
      <c r="B294" s="114" t="s">
        <v>5081</v>
      </c>
      <c r="C294" s="114" t="s">
        <v>5080</v>
      </c>
      <c r="D294" s="517">
        <v>43250</v>
      </c>
      <c r="E294" s="103" t="s">
        <v>5164</v>
      </c>
      <c r="F294" s="107">
        <v>300</v>
      </c>
      <c r="G294" s="107">
        <v>14050</v>
      </c>
      <c r="H294" s="107"/>
      <c r="I294" s="117">
        <f t="shared" si="25"/>
        <v>4215000</v>
      </c>
      <c r="J294" s="114" t="s">
        <v>5166</v>
      </c>
      <c r="K294" s="106">
        <f>SUMIF(收发货!A:A,销售合同!A:A,收发货!D:D)</f>
        <v>288</v>
      </c>
      <c r="L294" s="109">
        <f>SUMIF(收开票!A:A,销售合同!A:A,收开票!E:E)</f>
        <v>288.3999</v>
      </c>
      <c r="M294" s="109">
        <f>SUMIF(收开票!A:A,销售合同!A:A,收开票!F:F)</f>
        <v>4052018.6</v>
      </c>
      <c r="N294" s="109">
        <f>SUMIF(收开票!A:A,销售合同!A:A,收开票!H:H)</f>
        <v>288.3999</v>
      </c>
      <c r="O294" s="109">
        <f>SUMIF(收开票!A:A,销售合同!A:A,收开票!I:I)</f>
        <v>4052018.6</v>
      </c>
      <c r="P294" s="110">
        <f>SUMIF(收付款!A:A,销售合同!A:A,收付款!E:E)</f>
        <v>4052018.6</v>
      </c>
      <c r="Q294" s="110">
        <f t="shared" si="26"/>
        <v>0</v>
      </c>
      <c r="R294" s="161"/>
    </row>
    <row r="295" spans="1:24" ht="35.1" hidden="1" customHeight="1">
      <c r="A295" s="102" t="s">
        <v>5282</v>
      </c>
      <c r="B295" s="103" t="s">
        <v>127</v>
      </c>
      <c r="C295" s="103" t="s">
        <v>3271</v>
      </c>
      <c r="D295" s="517">
        <v>43243</v>
      </c>
      <c r="E295" s="114" t="s">
        <v>2841</v>
      </c>
      <c r="F295" s="9">
        <v>200</v>
      </c>
      <c r="G295" s="104">
        <v>1365</v>
      </c>
      <c r="H295" s="104" t="s">
        <v>2119</v>
      </c>
      <c r="I295" s="117">
        <f t="shared" si="25"/>
        <v>273000</v>
      </c>
      <c r="J295" s="103" t="s">
        <v>988</v>
      </c>
      <c r="K295" s="106">
        <f>SUMIF(收发货!A:A,销售合同!A:A,收发货!D:D)</f>
        <v>200</v>
      </c>
      <c r="L295" s="109">
        <f>SUMIF(收开票!A:A,销售合同!A:A,收开票!E:E)</f>
        <v>200</v>
      </c>
      <c r="M295" s="109">
        <f>SUMIF(收开票!A:A,销售合同!A:A,收开票!F:F)</f>
        <v>273000</v>
      </c>
      <c r="N295" s="109">
        <f>SUMIF(收开票!A:A,销售合同!A:A,收开票!H:H)</f>
        <v>200</v>
      </c>
      <c r="O295" s="109">
        <f>SUMIF(收开票!A:A,销售合同!A:A,收开票!I:I)</f>
        <v>273000</v>
      </c>
      <c r="P295" s="110">
        <f>SUMIF(收付款!A:A,销售合同!A:A,收付款!E:E)</f>
        <v>273000</v>
      </c>
      <c r="Q295" s="110">
        <f t="shared" si="26"/>
        <v>0</v>
      </c>
      <c r="R295" s="111">
        <f>SUMIF(收付款!A:A,销售合同!A:A,收付款!I:I)</f>
        <v>0</v>
      </c>
      <c r="S295" s="111">
        <f>SUMIF(收付款!A:A,销售合同!A:A,收付款!J:J)</f>
        <v>0</v>
      </c>
      <c r="T295" s="112"/>
      <c r="U295" s="112"/>
      <c r="V295" s="113"/>
      <c r="W295" s="112"/>
      <c r="X295" s="112"/>
    </row>
    <row r="296" spans="1:24" ht="35.1" hidden="1" customHeight="1">
      <c r="A296" s="142" t="s">
        <v>5241</v>
      </c>
      <c r="B296" s="103" t="s">
        <v>485</v>
      </c>
      <c r="C296" s="103" t="s">
        <v>60</v>
      </c>
      <c r="D296" s="518">
        <v>43252</v>
      </c>
      <c r="E296" s="103" t="s">
        <v>83</v>
      </c>
      <c r="F296" s="104">
        <v>120</v>
      </c>
      <c r="G296" s="104">
        <v>7480</v>
      </c>
      <c r="H296" s="104"/>
      <c r="I296" s="117">
        <f t="shared" si="25"/>
        <v>897600</v>
      </c>
      <c r="J296" s="103" t="s">
        <v>149</v>
      </c>
      <c r="K296" s="106">
        <f>SUMIF(收发货!A:A,销售合同!A:A,收发货!D:D)</f>
        <v>128</v>
      </c>
      <c r="L296" s="110">
        <f>SUMIF(收开票!A:A,销售合同!A:A,收开票!E:E)</f>
        <v>131.15700000000001</v>
      </c>
      <c r="M296" s="110">
        <f>SUMIF(收开票!A:A,销售合同!A:A,收开票!F:F)</f>
        <v>981054.36</v>
      </c>
      <c r="N296" s="451">
        <f>SUMIF(收开票!A:A,销售合同!A:A,收开票!H:H)</f>
        <v>131.15700000000001</v>
      </c>
      <c r="O296" s="110">
        <f>SUMIF(收开票!A:A,销售合同!A:A,收开票!I:I)</f>
        <v>981054.36</v>
      </c>
      <c r="P296" s="110">
        <f>SUMIF(收付款!A:A,销售合同!A:A,收付款!E:E)</f>
        <v>981054.36</v>
      </c>
      <c r="Q296" s="110">
        <f t="shared" si="26"/>
        <v>0</v>
      </c>
      <c r="R296" s="106"/>
      <c r="S296" s="111"/>
      <c r="T296" s="112"/>
      <c r="U296" s="112"/>
      <c r="V296" s="113">
        <v>42289</v>
      </c>
      <c r="W296" s="112"/>
      <c r="X296" s="112"/>
    </row>
    <row r="297" spans="1:24" ht="45.75" hidden="1" customHeight="1">
      <c r="A297" s="102" t="s">
        <v>5328</v>
      </c>
      <c r="B297" s="114" t="s">
        <v>485</v>
      </c>
      <c r="C297" s="114" t="s">
        <v>2765</v>
      </c>
      <c r="D297" s="517">
        <v>43262</v>
      </c>
      <c r="E297" s="103" t="s">
        <v>5284</v>
      </c>
      <c r="F297" s="107">
        <v>15000</v>
      </c>
      <c r="G297" s="107">
        <v>1296</v>
      </c>
      <c r="H297" s="107"/>
      <c r="I297" s="117">
        <f t="shared" si="25"/>
        <v>19440000</v>
      </c>
      <c r="J297" s="114" t="s">
        <v>2766</v>
      </c>
      <c r="K297" s="106">
        <f>SUMIF(收发货!A:A,销售合同!A:A,收发货!D:D)</f>
        <v>16000</v>
      </c>
      <c r="L297" s="109">
        <f>SUMIF(收开票!A:A,销售合同!A:A,收开票!E:E)</f>
        <v>15541.83</v>
      </c>
      <c r="M297" s="109">
        <f>SUMIF(收开票!A:A,销售合同!A:A,收开票!F:F)</f>
        <v>20100372.68</v>
      </c>
      <c r="N297" s="109">
        <f>SUMIF(收开票!A:A,销售合同!A:A,收开票!H:H)</f>
        <v>15541.83</v>
      </c>
      <c r="O297" s="109">
        <f>SUMIF(收开票!A:A,销售合同!A:A,收开票!I:I)</f>
        <v>20100372.68</v>
      </c>
      <c r="P297" s="110">
        <f>SUMIF(收付款!A:A,销售合同!A:A,收付款!E:E)</f>
        <v>20100372.68</v>
      </c>
      <c r="Q297" s="110">
        <f t="shared" si="26"/>
        <v>0</v>
      </c>
      <c r="R297" s="161"/>
    </row>
    <row r="298" spans="1:24" ht="35.1" hidden="1" customHeight="1">
      <c r="A298" s="102" t="s">
        <v>5371</v>
      </c>
      <c r="B298" s="103" t="s">
        <v>127</v>
      </c>
      <c r="C298" s="103" t="s">
        <v>3271</v>
      </c>
      <c r="D298" s="517">
        <v>43264</v>
      </c>
      <c r="E298" s="114" t="s">
        <v>3984</v>
      </c>
      <c r="F298" s="9">
        <v>40</v>
      </c>
      <c r="G298" s="104">
        <v>1435</v>
      </c>
      <c r="H298" s="104" t="s">
        <v>2119</v>
      </c>
      <c r="I298" s="117">
        <f t="shared" si="25"/>
        <v>57400</v>
      </c>
      <c r="J298" s="103" t="s">
        <v>988</v>
      </c>
      <c r="K298" s="106">
        <f>SUMIF(收发货!A:A,销售合同!A:A,收发货!D:D)</f>
        <v>40</v>
      </c>
      <c r="L298" s="109">
        <f>SUMIF(收开票!A:A,销售合同!A:A,收开票!E:E)</f>
        <v>40</v>
      </c>
      <c r="M298" s="109">
        <f>SUMIF(收开票!A:A,销售合同!A:A,收开票!F:F)</f>
        <v>57400</v>
      </c>
      <c r="N298" s="109">
        <f>SUMIF(收开票!A:A,销售合同!A:A,收开票!H:H)</f>
        <v>40</v>
      </c>
      <c r="O298" s="109">
        <f>SUMIF(收开票!A:A,销售合同!A:A,收开票!I:I)</f>
        <v>57400</v>
      </c>
      <c r="P298" s="110">
        <f>SUMIF(收付款!A:A,销售合同!A:A,收付款!E:E)</f>
        <v>57391.7</v>
      </c>
      <c r="Q298" s="110">
        <f t="shared" si="26"/>
        <v>8.3000000000029104</v>
      </c>
      <c r="R298" s="111">
        <f>SUMIF(收付款!A:A,销售合同!A:A,收付款!I:I)</f>
        <v>0</v>
      </c>
      <c r="S298" s="111">
        <f>SUMIF(收付款!A:A,销售合同!A:A,收付款!J:J)</f>
        <v>0</v>
      </c>
      <c r="T298" s="112"/>
      <c r="U298" s="112"/>
      <c r="V298" s="113"/>
      <c r="W298" s="112"/>
      <c r="X298" s="112"/>
    </row>
    <row r="299" spans="1:24" ht="35.1" hidden="1" customHeight="1">
      <c r="A299" s="102" t="s">
        <v>5380</v>
      </c>
      <c r="B299" s="103" t="s">
        <v>127</v>
      </c>
      <c r="C299" s="103" t="s">
        <v>3271</v>
      </c>
      <c r="D299" s="517">
        <v>43264</v>
      </c>
      <c r="E299" s="114" t="s">
        <v>5382</v>
      </c>
      <c r="F299" s="9">
        <v>200</v>
      </c>
      <c r="G299" s="104">
        <v>1356</v>
      </c>
      <c r="H299" s="104" t="s">
        <v>2119</v>
      </c>
      <c r="I299" s="117">
        <f t="shared" si="25"/>
        <v>271200</v>
      </c>
      <c r="J299" s="103" t="s">
        <v>988</v>
      </c>
      <c r="K299" s="106">
        <f>SUMIF(收发货!A:A,销售合同!A:A,收发货!D:D)</f>
        <v>200</v>
      </c>
      <c r="L299" s="109">
        <f>SUMIF(收开票!A:A,销售合同!A:A,收开票!E:E)</f>
        <v>200</v>
      </c>
      <c r="M299" s="109">
        <f>SUMIF(收开票!A:A,销售合同!A:A,收开票!F:F)</f>
        <v>271200</v>
      </c>
      <c r="N299" s="109">
        <f>SUMIF(收开票!A:A,销售合同!A:A,收开票!H:H)</f>
        <v>200</v>
      </c>
      <c r="O299" s="109">
        <f>SUMIF(收开票!A:A,销售合同!A:A,收开票!I:I)</f>
        <v>271200</v>
      </c>
      <c r="P299" s="110">
        <f>SUMIF(收付款!A:A,销售合同!A:A,收付款!E:E)</f>
        <v>271171.7</v>
      </c>
      <c r="Q299" s="110">
        <f t="shared" si="26"/>
        <v>28.299999999988358</v>
      </c>
      <c r="R299" s="111">
        <f>SUMIF(收付款!A:A,销售合同!A:A,收付款!I:I)</f>
        <v>0</v>
      </c>
      <c r="S299" s="111">
        <f>SUMIF(收付款!A:A,销售合同!A:A,收付款!J:J)</f>
        <v>0</v>
      </c>
      <c r="T299" s="112"/>
      <c r="U299" s="112"/>
      <c r="V299" s="113"/>
      <c r="W299" s="112"/>
      <c r="X299" s="112"/>
    </row>
    <row r="300" spans="1:24" ht="35.1" hidden="1" customHeight="1">
      <c r="A300" s="102" t="s">
        <v>5440</v>
      </c>
      <c r="B300" s="103" t="s">
        <v>127</v>
      </c>
      <c r="C300" s="103" t="s">
        <v>3271</v>
      </c>
      <c r="D300" s="517">
        <v>43264</v>
      </c>
      <c r="E300" s="114" t="s">
        <v>5178</v>
      </c>
      <c r="F300" s="9">
        <v>200</v>
      </c>
      <c r="G300" s="104">
        <v>1356</v>
      </c>
      <c r="H300" s="104" t="s">
        <v>2119</v>
      </c>
      <c r="I300" s="117">
        <f t="shared" si="25"/>
        <v>271200</v>
      </c>
      <c r="J300" s="103" t="s">
        <v>988</v>
      </c>
      <c r="K300" s="106">
        <f>SUMIF(收发货!A:A,销售合同!A:A,收发货!D:D)</f>
        <v>200</v>
      </c>
      <c r="L300" s="109">
        <f>SUMIF(收开票!A:A,销售合同!A:A,收开票!E:E)</f>
        <v>200</v>
      </c>
      <c r="M300" s="109">
        <f>SUMIF(收开票!A:A,销售合同!A:A,收开票!F:F)</f>
        <v>269000</v>
      </c>
      <c r="N300" s="109">
        <f>SUMIF(收开票!A:A,销售合同!A:A,收开票!H:H)</f>
        <v>200</v>
      </c>
      <c r="O300" s="109">
        <f>SUMIF(收开票!A:A,销售合同!A:A,收开票!I:I)</f>
        <v>269000</v>
      </c>
      <c r="P300" s="110">
        <f>SUMIF(收付款!A:A,销售合同!A:A,收付款!E:E)</f>
        <v>268971.7</v>
      </c>
      <c r="Q300" s="110">
        <f t="shared" si="26"/>
        <v>28.299999999988358</v>
      </c>
      <c r="R300" s="111">
        <f>SUMIF(收付款!A:A,销售合同!A:A,收付款!I:I)</f>
        <v>0</v>
      </c>
      <c r="S300" s="111">
        <f>SUMIF(收付款!A:A,销售合同!A:A,收付款!J:J)</f>
        <v>0</v>
      </c>
      <c r="T300" s="112"/>
      <c r="U300" s="112"/>
      <c r="V300" s="113"/>
      <c r="W300" s="112"/>
      <c r="X300" s="112"/>
    </row>
    <row r="301" spans="1:24" ht="35.1" hidden="1" customHeight="1">
      <c r="A301" s="102" t="s">
        <v>5180</v>
      </c>
      <c r="B301" s="103" t="s">
        <v>127</v>
      </c>
      <c r="C301" s="103" t="s">
        <v>3271</v>
      </c>
      <c r="D301" s="517">
        <v>43272</v>
      </c>
      <c r="E301" s="114" t="s">
        <v>3984</v>
      </c>
      <c r="F301" s="9">
        <v>100</v>
      </c>
      <c r="G301" s="104">
        <v>1345</v>
      </c>
      <c r="H301" s="104" t="s">
        <v>2119</v>
      </c>
      <c r="I301" s="117">
        <f t="shared" si="25"/>
        <v>134500</v>
      </c>
      <c r="J301" s="103" t="s">
        <v>988</v>
      </c>
      <c r="K301" s="106">
        <f>SUMIF(收发货!A:A,销售合同!A:A,收发货!D:D)</f>
        <v>100</v>
      </c>
      <c r="L301" s="109">
        <f>SUMIF(收开票!A:A,销售合同!A:A,收开票!E:E)</f>
        <v>100</v>
      </c>
      <c r="M301" s="109">
        <f>SUMIF(收开票!A:A,销售合同!A:A,收开票!F:F)</f>
        <v>134500</v>
      </c>
      <c r="N301" s="109">
        <f>SUMIF(收开票!A:A,销售合同!A:A,收开票!H:H)</f>
        <v>100</v>
      </c>
      <c r="O301" s="109">
        <f>SUMIF(收开票!A:A,销售合同!A:A,收开票!I:I)</f>
        <v>134500</v>
      </c>
      <c r="P301" s="110">
        <f>SUMIF(收付款!A:A,销售合同!A:A,收付款!E:E)</f>
        <v>134491.70000000001</v>
      </c>
      <c r="Q301" s="110">
        <f t="shared" si="26"/>
        <v>8.2999999999883585</v>
      </c>
      <c r="R301" s="111">
        <f>SUMIF(收付款!A:A,销售合同!A:A,收付款!I:I)</f>
        <v>0</v>
      </c>
      <c r="S301" s="111">
        <f>SUMIF(收付款!A:A,销售合同!A:A,收付款!J:J)</f>
        <v>0</v>
      </c>
      <c r="T301" s="112"/>
      <c r="U301" s="112"/>
      <c r="V301" s="113"/>
      <c r="W301" s="112"/>
      <c r="X301" s="112"/>
    </row>
    <row r="302" spans="1:24" ht="35.1" hidden="1" customHeight="1">
      <c r="A302" s="102" t="s">
        <v>5361</v>
      </c>
      <c r="B302" s="114" t="s">
        <v>147</v>
      </c>
      <c r="C302" s="114" t="s">
        <v>82</v>
      </c>
      <c r="D302" s="517">
        <v>43252</v>
      </c>
      <c r="E302" s="103" t="s">
        <v>83</v>
      </c>
      <c r="F302" s="107">
        <v>200</v>
      </c>
      <c r="G302" s="107">
        <v>14600</v>
      </c>
      <c r="H302" s="107"/>
      <c r="I302" s="117">
        <f t="shared" si="25"/>
        <v>2920000</v>
      </c>
      <c r="J302" s="114" t="s">
        <v>432</v>
      </c>
      <c r="K302" s="106">
        <f>SUMIF(收发货!A:A,销售合同!A:A,收发货!D:D)</f>
        <v>190</v>
      </c>
      <c r="L302" s="109">
        <f>SUMIF(收开票!A:A,销售合同!A:A,收开票!E:E)</f>
        <v>191.11699999999999</v>
      </c>
      <c r="M302" s="109">
        <f>SUMIF(收开票!A:A,销售合同!A:A,收开票!F:F)</f>
        <v>2767054.5999999996</v>
      </c>
      <c r="N302" s="109">
        <f>SUMIF(收开票!A:A,销售合同!A:A,收开票!H:H)</f>
        <v>191.11699999999999</v>
      </c>
      <c r="O302" s="109">
        <f>SUMIF(收开票!A:A,销售合同!A:A,收开票!I:I)</f>
        <v>2767054.5999999996</v>
      </c>
      <c r="P302" s="110">
        <f>SUMIF(收付款!A:A,销售合同!A:A,收付款!E:E)</f>
        <v>2767054.6</v>
      </c>
      <c r="Q302" s="109">
        <f t="shared" si="26"/>
        <v>0</v>
      </c>
      <c r="R302" s="106"/>
      <c r="S302" s="111"/>
      <c r="T302" s="112"/>
      <c r="U302" s="112"/>
      <c r="V302" s="113">
        <v>42289</v>
      </c>
      <c r="W302" s="112"/>
      <c r="X302" s="112"/>
    </row>
    <row r="303" spans="1:24" ht="35.1" hidden="1" customHeight="1">
      <c r="A303" s="142" t="s">
        <v>5240</v>
      </c>
      <c r="B303" s="103" t="s">
        <v>485</v>
      </c>
      <c r="C303" s="103" t="s">
        <v>60</v>
      </c>
      <c r="D303" s="518">
        <v>43282</v>
      </c>
      <c r="E303" s="103" t="s">
        <v>5409</v>
      </c>
      <c r="F303" s="104">
        <v>500</v>
      </c>
      <c r="G303" s="104">
        <v>8500</v>
      </c>
      <c r="H303" s="104"/>
      <c r="I303" s="117">
        <f t="shared" si="25"/>
        <v>4250000</v>
      </c>
      <c r="J303" s="103" t="s">
        <v>149</v>
      </c>
      <c r="K303" s="106">
        <f>SUMIF(收发货!A:A,销售合同!A:A,收发货!D:D)</f>
        <v>495</v>
      </c>
      <c r="L303" s="110">
        <f>SUMIF(收开票!A:A,销售合同!A:A,收开票!E:E)</f>
        <v>506.88929999999999</v>
      </c>
      <c r="M303" s="110">
        <f>SUMIF(收开票!A:A,销售合同!A:A,收开票!F:F)</f>
        <v>4287356.13</v>
      </c>
      <c r="N303" s="451">
        <f>SUMIF(收开票!A:A,销售合同!A:A,收开票!H:H)</f>
        <v>506.88929999999999</v>
      </c>
      <c r="O303" s="110">
        <f>SUMIF(收开票!A:A,销售合同!A:A,收开票!I:I)</f>
        <v>4287356.13</v>
      </c>
      <c r="P303" s="110">
        <f>SUMIF(收付款!A:A,销售合同!A:A,收付款!E:E)</f>
        <v>4287356.13</v>
      </c>
      <c r="Q303" s="110">
        <f>O303-P303</f>
        <v>0</v>
      </c>
      <c r="R303" s="106"/>
      <c r="S303" s="111"/>
      <c r="T303" s="112"/>
      <c r="U303" s="112"/>
      <c r="V303" s="113">
        <v>42289</v>
      </c>
      <c r="W303" s="112"/>
      <c r="X303" s="112"/>
    </row>
    <row r="304" spans="1:24" ht="45.75" hidden="1" customHeight="1">
      <c r="A304" s="102" t="s">
        <v>5337</v>
      </c>
      <c r="B304" s="114" t="s">
        <v>1882</v>
      </c>
      <c r="C304" s="114" t="s">
        <v>770</v>
      </c>
      <c r="D304" s="517">
        <v>43284</v>
      </c>
      <c r="E304" s="103" t="s">
        <v>3042</v>
      </c>
      <c r="F304" s="107">
        <v>96</v>
      </c>
      <c r="G304" s="107">
        <v>16300</v>
      </c>
      <c r="H304" s="107"/>
      <c r="I304" s="117">
        <f t="shared" si="25"/>
        <v>1564800</v>
      </c>
      <c r="J304" s="114" t="s">
        <v>5166</v>
      </c>
      <c r="K304" s="106">
        <f>SUMIF(收发货!A:A,销售合同!A:A,收发货!D:D)</f>
        <v>96</v>
      </c>
      <c r="L304" s="109">
        <f>SUMIF(收开票!A:A,销售合同!A:A,收开票!E:E)</f>
        <v>96.246099999999998</v>
      </c>
      <c r="M304" s="109">
        <f>SUMIF(收开票!A:A,销售合同!A:A,收开票!F:F)</f>
        <v>1568811.43</v>
      </c>
      <c r="N304" s="109">
        <f>SUMIF(收开票!A:A,销售合同!A:A,收开票!H:H)</f>
        <v>96.246099999999998</v>
      </c>
      <c r="O304" s="109">
        <f>SUMIF(收开票!A:A,销售合同!A:A,收开票!I:I)</f>
        <v>1568811.43</v>
      </c>
      <c r="P304" s="110">
        <f>SUMIF(收付款!A:A,销售合同!A:A,收付款!E:E)</f>
        <v>1568811.43</v>
      </c>
      <c r="Q304" s="110">
        <f t="shared" si="26"/>
        <v>0</v>
      </c>
      <c r="R304" s="161"/>
    </row>
    <row r="305" spans="1:24" ht="35.1" hidden="1" customHeight="1">
      <c r="A305" s="102" t="s">
        <v>5316</v>
      </c>
      <c r="B305" s="114" t="s">
        <v>147</v>
      </c>
      <c r="C305" s="114" t="s">
        <v>82</v>
      </c>
      <c r="D305" s="517">
        <v>43282</v>
      </c>
      <c r="E305" s="103" t="s">
        <v>83</v>
      </c>
      <c r="F305" s="107">
        <v>64</v>
      </c>
      <c r="G305" s="107">
        <v>16650</v>
      </c>
      <c r="H305" s="107"/>
      <c r="I305" s="117">
        <f t="shared" si="25"/>
        <v>1065600</v>
      </c>
      <c r="J305" s="114" t="s">
        <v>432</v>
      </c>
      <c r="K305" s="106">
        <f>SUMIF(收发货!A:A,销售合同!A:A,收发货!D:D)</f>
        <v>64</v>
      </c>
      <c r="L305" s="109">
        <f>SUMIF(收开票!A:A,销售合同!A:A,收开票!E:E)</f>
        <v>64.045000000000002</v>
      </c>
      <c r="M305" s="109">
        <f>SUMIF(收开票!A:A,销售合同!A:A,收开票!F:F)</f>
        <v>1066349.25</v>
      </c>
      <c r="N305" s="109">
        <f>SUMIF(收开票!A:A,销售合同!A:A,收开票!H:H)</f>
        <v>64.045000000000002</v>
      </c>
      <c r="O305" s="109">
        <f>SUMIF(收开票!A:A,销售合同!A:A,收开票!I:I)</f>
        <v>1066349.25</v>
      </c>
      <c r="P305" s="110">
        <f>SUMIF(收付款!A:A,销售合同!A:A,收付款!E:E)</f>
        <v>1066349.25</v>
      </c>
      <c r="Q305" s="109">
        <f t="shared" si="26"/>
        <v>0</v>
      </c>
      <c r="R305" s="106"/>
      <c r="S305" s="111"/>
      <c r="T305" s="112"/>
      <c r="U305" s="112"/>
      <c r="V305" s="113">
        <v>42289</v>
      </c>
      <c r="W305" s="112"/>
      <c r="X305" s="112"/>
    </row>
    <row r="306" spans="1:24" ht="35.1" hidden="1" customHeight="1">
      <c r="A306" s="102" t="s">
        <v>5503</v>
      </c>
      <c r="B306" s="114" t="s">
        <v>147</v>
      </c>
      <c r="C306" s="114" t="s">
        <v>82</v>
      </c>
      <c r="D306" s="517">
        <v>43301</v>
      </c>
      <c r="E306" s="103" t="s">
        <v>83</v>
      </c>
      <c r="F306" s="107">
        <v>96</v>
      </c>
      <c r="G306" s="107">
        <v>20400</v>
      </c>
      <c r="H306" s="107"/>
      <c r="I306" s="117">
        <f t="shared" si="25"/>
        <v>1958400</v>
      </c>
      <c r="J306" s="114" t="s">
        <v>432</v>
      </c>
      <c r="K306" s="106">
        <f>SUMIF(收发货!A:A,销售合同!A:A,收发货!D:D)</f>
        <v>97.579000000000008</v>
      </c>
      <c r="L306" s="109">
        <f>SUMIF(收开票!A:A,销售合同!A:A,收开票!E:E)</f>
        <v>97.664000000000001</v>
      </c>
      <c r="M306" s="109">
        <f>SUMIF(收开票!A:A,销售合同!A:A,收开票!F:F)</f>
        <v>1992345.6000000001</v>
      </c>
      <c r="N306" s="109">
        <f>SUMIF(收开票!A:A,销售合同!A:A,收开票!H:H)</f>
        <v>97.664000000000001</v>
      </c>
      <c r="O306" s="109">
        <f>SUMIF(收开票!A:A,销售合同!A:A,收开票!I:I)</f>
        <v>1992345.6000000001</v>
      </c>
      <c r="P306" s="110">
        <f>SUMIF(收付款!A:A,销售合同!A:A,收付款!E:E)</f>
        <v>1992345.5999999999</v>
      </c>
      <c r="Q306" s="109">
        <f t="shared" si="26"/>
        <v>0</v>
      </c>
      <c r="R306" s="106"/>
      <c r="S306" s="111"/>
      <c r="T306" s="112"/>
      <c r="U306" s="112"/>
      <c r="V306" s="113">
        <v>42289</v>
      </c>
      <c r="W306" s="112"/>
      <c r="X306" s="112"/>
    </row>
    <row r="307" spans="1:24" ht="45.75" hidden="1" customHeight="1">
      <c r="A307" s="102" t="s">
        <v>5447</v>
      </c>
      <c r="B307" s="114" t="s">
        <v>485</v>
      </c>
      <c r="C307" s="114" t="s">
        <v>4223</v>
      </c>
      <c r="D307" s="517">
        <v>43283</v>
      </c>
      <c r="E307" s="103" t="s">
        <v>4568</v>
      </c>
      <c r="F307" s="107">
        <v>152.53</v>
      </c>
      <c r="G307" s="107">
        <v>2817.525208</v>
      </c>
      <c r="H307" s="107"/>
      <c r="I307" s="117">
        <f t="shared" si="25"/>
        <v>429757.11997623998</v>
      </c>
      <c r="J307" s="114" t="s">
        <v>2766</v>
      </c>
      <c r="K307" s="106">
        <f>SUMIF(收发货!A:A,销售合同!A:A,收发货!D:D)</f>
        <v>152.53</v>
      </c>
      <c r="L307" s="109">
        <f>SUMIF(收开票!A:A,销售合同!A:A,收开票!E:E)</f>
        <v>152.53</v>
      </c>
      <c r="M307" s="109">
        <f>SUMIF(收开票!A:A,销售合同!A:A,收开票!F:F)</f>
        <v>429757.12</v>
      </c>
      <c r="N307" s="109">
        <f>SUMIF(收开票!A:A,销售合同!A:A,收开票!H:H)</f>
        <v>152.53</v>
      </c>
      <c r="O307" s="109">
        <f>SUMIF(收开票!A:A,销售合同!A:A,收开票!I:I)</f>
        <v>429757.12</v>
      </c>
      <c r="P307" s="110">
        <f>SUMIF(收付款!A:A,销售合同!A:A,收付款!E:E)</f>
        <v>429757.12</v>
      </c>
      <c r="Q307" s="110">
        <f t="shared" si="26"/>
        <v>0</v>
      </c>
      <c r="R307" s="161"/>
    </row>
    <row r="308" spans="1:24" ht="35.1" hidden="1" customHeight="1">
      <c r="A308" s="102" t="s">
        <v>5367</v>
      </c>
      <c r="B308" s="103" t="s">
        <v>127</v>
      </c>
      <c r="C308" s="103" t="s">
        <v>3271</v>
      </c>
      <c r="D308" s="517">
        <v>43304</v>
      </c>
      <c r="E308" s="114" t="s">
        <v>3984</v>
      </c>
      <c r="F308" s="9">
        <v>40</v>
      </c>
      <c r="G308" s="104">
        <v>1390</v>
      </c>
      <c r="H308" s="104" t="s">
        <v>2119</v>
      </c>
      <c r="I308" s="117">
        <f t="shared" si="25"/>
        <v>55600</v>
      </c>
      <c r="J308" s="103" t="s">
        <v>988</v>
      </c>
      <c r="K308" s="106">
        <f>SUMIF(收发货!A:A,销售合同!A:A,收发货!D:D)</f>
        <v>40</v>
      </c>
      <c r="L308" s="109">
        <f>SUMIF(收开票!A:A,销售合同!A:A,收开票!E:E)</f>
        <v>40</v>
      </c>
      <c r="M308" s="109">
        <f>SUMIF(收开票!A:A,销售合同!A:A,收开票!F:F)</f>
        <v>55600</v>
      </c>
      <c r="N308" s="109">
        <f>SUMIF(收开票!A:A,销售合同!A:A,收开票!H:H)</f>
        <v>40</v>
      </c>
      <c r="O308" s="109">
        <f>SUMIF(收开票!A:A,销售合同!A:A,收开票!I:I)</f>
        <v>55600</v>
      </c>
      <c r="P308" s="110">
        <f>SUMIF(收付款!A:A,销售合同!A:A,收付款!E:E)</f>
        <v>55591.7</v>
      </c>
      <c r="Q308" s="110">
        <f t="shared" si="26"/>
        <v>8.3000000000029104</v>
      </c>
      <c r="R308" s="111">
        <f>SUMIF(收付款!A:A,销售合同!A:A,收付款!I:I)</f>
        <v>0</v>
      </c>
      <c r="S308" s="111">
        <f>SUMIF(收付款!A:A,销售合同!A:A,收付款!J:J)</f>
        <v>0</v>
      </c>
      <c r="T308" s="112"/>
      <c r="U308" s="112"/>
      <c r="V308" s="113"/>
      <c r="W308" s="112"/>
      <c r="X308" s="112"/>
    </row>
    <row r="309" spans="1:24" ht="45.75" hidden="1" customHeight="1">
      <c r="A309" s="102" t="s">
        <v>5533</v>
      </c>
      <c r="B309" s="114" t="s">
        <v>485</v>
      </c>
      <c r="C309" s="114" t="s">
        <v>2765</v>
      </c>
      <c r="D309" s="517">
        <v>43354</v>
      </c>
      <c r="E309" s="103" t="s">
        <v>2763</v>
      </c>
      <c r="F309" s="107">
        <v>15000</v>
      </c>
      <c r="G309" s="107">
        <v>1359.7</v>
      </c>
      <c r="H309" s="107"/>
      <c r="I309" s="117">
        <f t="shared" si="25"/>
        <v>20395500</v>
      </c>
      <c r="J309" s="114" t="s">
        <v>2766</v>
      </c>
      <c r="K309" s="106">
        <f>SUMIF(收发货!A:A,销售合同!A:A,收发货!D:D)</f>
        <v>13993.466</v>
      </c>
      <c r="L309" s="109">
        <f>SUMIF(收开票!A:A,销售合同!A:A,收开票!E:E)</f>
        <v>13993.466</v>
      </c>
      <c r="M309" s="109">
        <f>SUMIF(收开票!A:A,销售合同!A:A,收开票!F:F)</f>
        <v>19015606.620000001</v>
      </c>
      <c r="N309" s="109">
        <f>SUMIF(收开票!A:A,销售合同!A:A,收开票!H:H)</f>
        <v>13993.466</v>
      </c>
      <c r="O309" s="109">
        <f>SUMIF(收开票!A:A,销售合同!A:A,收开票!I:I)</f>
        <v>19015606.620000001</v>
      </c>
      <c r="P309" s="110">
        <f>SUMIF(收付款!A:A,销售合同!A:A,收付款!E:E)</f>
        <v>19015606.620000001</v>
      </c>
      <c r="Q309" s="110">
        <f t="shared" si="26"/>
        <v>0</v>
      </c>
      <c r="R309" s="161"/>
    </row>
    <row r="310" spans="1:24" ht="35.1" hidden="1" customHeight="1">
      <c r="A310" s="102" t="s">
        <v>5515</v>
      </c>
      <c r="B310" s="114" t="s">
        <v>147</v>
      </c>
      <c r="C310" s="114" t="s">
        <v>82</v>
      </c>
      <c r="D310" s="517">
        <v>43344</v>
      </c>
      <c r="E310" s="103" t="s">
        <v>83</v>
      </c>
      <c r="F310" s="107">
        <v>260</v>
      </c>
      <c r="G310" s="107">
        <v>18150</v>
      </c>
      <c r="H310" s="107"/>
      <c r="I310" s="117">
        <f t="shared" si="25"/>
        <v>4719000</v>
      </c>
      <c r="J310" s="114" t="s">
        <v>432</v>
      </c>
      <c r="K310" s="106">
        <f>SUMIF(收发货!A:A,销售合同!A:A,收发货!D:D)</f>
        <v>260</v>
      </c>
      <c r="L310" s="109">
        <f>SUMIF(收开票!A:A,销售合同!A:A,收开票!E:E)</f>
        <v>260.392</v>
      </c>
      <c r="M310" s="109">
        <f>SUMIF(收开票!A:A,销售合同!A:A,收开票!F:F)</f>
        <v>4726114.8</v>
      </c>
      <c r="N310" s="109">
        <f>SUMIF(收开票!A:A,销售合同!A:A,收开票!H:H)</f>
        <v>260.392</v>
      </c>
      <c r="O310" s="109">
        <f>SUMIF(收开票!A:A,销售合同!A:A,收开票!I:I)</f>
        <v>4726114.8</v>
      </c>
      <c r="P310" s="110">
        <f>SUMIF(收付款!A:A,销售合同!A:A,收付款!E:E)</f>
        <v>4726114.8</v>
      </c>
      <c r="Q310" s="109">
        <f t="shared" si="26"/>
        <v>0</v>
      </c>
      <c r="R310" s="106"/>
      <c r="S310" s="111"/>
      <c r="T310" s="112"/>
      <c r="U310" s="112"/>
      <c r="V310" s="113">
        <v>42289</v>
      </c>
      <c r="W310" s="112"/>
      <c r="X310" s="112"/>
    </row>
    <row r="311" spans="1:24" ht="35.1" hidden="1" customHeight="1">
      <c r="A311" s="102" t="s">
        <v>5518</v>
      </c>
      <c r="B311" s="114" t="s">
        <v>147</v>
      </c>
      <c r="C311" s="114" t="s">
        <v>82</v>
      </c>
      <c r="D311" s="517">
        <v>43374</v>
      </c>
      <c r="E311" s="103" t="s">
        <v>83</v>
      </c>
      <c r="F311" s="107">
        <v>200</v>
      </c>
      <c r="G311" s="107">
        <v>19000</v>
      </c>
      <c r="H311" s="107"/>
      <c r="I311" s="117">
        <f t="shared" si="25"/>
        <v>3800000</v>
      </c>
      <c r="J311" s="114" t="s">
        <v>432</v>
      </c>
      <c r="K311" s="106">
        <f>SUMIF(收发货!A:A,销售合同!A:A,收发货!D:D)</f>
        <v>209</v>
      </c>
      <c r="L311" s="109">
        <f>SUMIF(收开票!A:A,销售合同!A:A,收开票!E:E)</f>
        <v>209.32400000000001</v>
      </c>
      <c r="M311" s="109">
        <f>SUMIF(收开票!A:A,销售合同!A:A,收开票!F:F)</f>
        <v>3977156</v>
      </c>
      <c r="N311" s="109">
        <f>SUMIF(收开票!A:A,销售合同!A:A,收开票!H:H)</f>
        <v>209.32400000000001</v>
      </c>
      <c r="O311" s="109">
        <f>SUMIF(收开票!A:A,销售合同!A:A,收开票!I:I)</f>
        <v>3977156</v>
      </c>
      <c r="P311" s="110">
        <f>SUMIF(收付款!A:A,销售合同!A:A,收付款!E:E)</f>
        <v>3977156</v>
      </c>
      <c r="Q311" s="109">
        <f t="shared" si="26"/>
        <v>0</v>
      </c>
      <c r="R311" s="106"/>
      <c r="S311" s="111"/>
      <c r="T311" s="112"/>
      <c r="U311" s="112"/>
      <c r="V311" s="113">
        <v>42289</v>
      </c>
      <c r="W311" s="112"/>
      <c r="X311" s="112"/>
    </row>
    <row r="312" spans="1:24" ht="45.75" hidden="1" customHeight="1">
      <c r="A312" s="102" t="s">
        <v>5519</v>
      </c>
      <c r="B312" s="114" t="s">
        <v>485</v>
      </c>
      <c r="C312" s="114" t="s">
        <v>2765</v>
      </c>
      <c r="D312" s="517">
        <v>43389</v>
      </c>
      <c r="E312" s="103" t="s">
        <v>2763</v>
      </c>
      <c r="F312" s="107">
        <v>12000</v>
      </c>
      <c r="G312" s="107">
        <v>1332.5</v>
      </c>
      <c r="H312" s="107"/>
      <c r="I312" s="117">
        <f t="shared" si="25"/>
        <v>15990000</v>
      </c>
      <c r="J312" s="114" t="s">
        <v>2766</v>
      </c>
      <c r="K312" s="106">
        <f>SUMIF(收发货!A:A,销售合同!A:A,收发货!D:D)</f>
        <v>13005</v>
      </c>
      <c r="L312" s="109">
        <f>SUMIF(收开票!A:A,销售合同!A:A,收开票!E:E)</f>
        <v>12901.550999999999</v>
      </c>
      <c r="M312" s="109">
        <f>SUMIF(收开票!A:A,销售合同!A:A,收开票!F:F)</f>
        <v>17181046.009999998</v>
      </c>
      <c r="N312" s="109">
        <f>SUMIF(收开票!A:A,销售合同!A:A,收开票!H:H)</f>
        <v>12901.550999999999</v>
      </c>
      <c r="O312" s="109">
        <f>SUMIF(收开票!A:A,销售合同!A:A,收开票!I:I)</f>
        <v>17181046.009999998</v>
      </c>
      <c r="P312" s="110">
        <f>SUMIF(收付款!A:A,销售合同!A:A,收付款!E:E)</f>
        <v>17181046.009999998</v>
      </c>
      <c r="Q312" s="110">
        <f t="shared" si="26"/>
        <v>0</v>
      </c>
      <c r="R312" s="161"/>
    </row>
    <row r="313" spans="1:24" ht="35.1" hidden="1" customHeight="1">
      <c r="A313" s="102" t="s">
        <v>5553</v>
      </c>
      <c r="B313" s="114" t="s">
        <v>147</v>
      </c>
      <c r="C313" s="114" t="s">
        <v>82</v>
      </c>
      <c r="D313" s="517">
        <v>43405</v>
      </c>
      <c r="E313" s="103" t="s">
        <v>83</v>
      </c>
      <c r="F313" s="107">
        <v>350</v>
      </c>
      <c r="G313" s="107">
        <v>16400</v>
      </c>
      <c r="H313" s="107"/>
      <c r="I313" s="117">
        <f t="shared" si="25"/>
        <v>5740000</v>
      </c>
      <c r="J313" s="114" t="s">
        <v>432</v>
      </c>
      <c r="K313" s="106">
        <f>SUMIF(收发货!A:A,销售合同!A:A,收发货!D:D)</f>
        <v>367</v>
      </c>
      <c r="L313" s="109">
        <f>SUMIF(收开票!A:A,销售合同!A:A,收开票!E:E)</f>
        <v>367.22900000000004</v>
      </c>
      <c r="M313" s="109">
        <f>SUMIF(收开票!A:A,销售合同!A:A,收开票!F:F)</f>
        <v>6021991.1799999997</v>
      </c>
      <c r="N313" s="109">
        <f>SUMIF(收开票!A:A,销售合同!A:A,收开票!H:H)</f>
        <v>367.22900000000004</v>
      </c>
      <c r="O313" s="109">
        <f>SUMIF(收开票!A:A,销售合同!A:A,收开票!I:I)</f>
        <v>6021991.1799999997</v>
      </c>
      <c r="P313" s="110">
        <f>SUMIF(收付款!A:A,销售合同!A:A,收付款!E:E)</f>
        <v>6021991.1799999997</v>
      </c>
      <c r="Q313" s="109">
        <f t="shared" si="26"/>
        <v>0</v>
      </c>
      <c r="R313" s="106"/>
      <c r="S313" s="111"/>
      <c r="T313" s="112"/>
      <c r="U313" s="112"/>
      <c r="V313" s="113">
        <v>42289</v>
      </c>
      <c r="W313" s="112"/>
      <c r="X313" s="112"/>
    </row>
    <row r="314" spans="1:24" ht="45.75" hidden="1" customHeight="1">
      <c r="A314" s="102" t="s">
        <v>5561</v>
      </c>
      <c r="B314" s="114" t="s">
        <v>147</v>
      </c>
      <c r="C314" s="114" t="s">
        <v>82</v>
      </c>
      <c r="D314" s="517">
        <v>43430</v>
      </c>
      <c r="E314" s="103" t="s">
        <v>3042</v>
      </c>
      <c r="F314" s="107">
        <v>96</v>
      </c>
      <c r="G314" s="107">
        <v>13000</v>
      </c>
      <c r="H314" s="107"/>
      <c r="I314" s="117">
        <f t="shared" si="25"/>
        <v>1248000</v>
      </c>
      <c r="J314" s="114" t="s">
        <v>5560</v>
      </c>
      <c r="K314" s="106">
        <f>SUMIF(收发货!A:A,销售合同!A:A,收发货!D:D)</f>
        <v>96</v>
      </c>
      <c r="L314" s="109">
        <f>SUMIF(收开票!A:A,销售合同!A:A,收开票!E:E)</f>
        <v>96.066000000000003</v>
      </c>
      <c r="M314" s="109">
        <f>SUMIF(收开票!A:A,销售合同!A:A,收开票!F:F)</f>
        <v>1248858</v>
      </c>
      <c r="N314" s="109">
        <f>SUMIF(收开票!A:A,销售合同!A:A,收开票!H:H)</f>
        <v>96.066000000000003</v>
      </c>
      <c r="O314" s="109">
        <f>SUMIF(收开票!A:A,销售合同!A:A,收开票!I:I)</f>
        <v>1248858</v>
      </c>
      <c r="P314" s="110">
        <f>SUMIF(收付款!A:A,销售合同!A:A,收付款!E:E)</f>
        <v>1248858</v>
      </c>
      <c r="Q314" s="110">
        <f t="shared" si="26"/>
        <v>0</v>
      </c>
      <c r="R314" s="161"/>
    </row>
    <row r="315" spans="1:24" ht="33" hidden="1" customHeight="1">
      <c r="A315" s="102" t="s">
        <v>5562</v>
      </c>
      <c r="B315" s="114" t="s">
        <v>147</v>
      </c>
      <c r="C315" s="114" t="s">
        <v>82</v>
      </c>
      <c r="D315" s="517">
        <v>43435</v>
      </c>
      <c r="E315" s="103" t="s">
        <v>83</v>
      </c>
      <c r="F315" s="107">
        <v>400</v>
      </c>
      <c r="G315" s="107">
        <v>13700</v>
      </c>
      <c r="H315" s="107"/>
      <c r="I315" s="117">
        <f t="shared" si="25"/>
        <v>5480000</v>
      </c>
      <c r="J315" s="114" t="s">
        <v>432</v>
      </c>
      <c r="K315" s="106">
        <f>SUMIF(收发货!A:A,销售合同!A:A,收发货!D:D)</f>
        <v>381</v>
      </c>
      <c r="L315" s="109">
        <f>SUMIF(收开票!A:A,销售合同!A:A,收开票!E:E)</f>
        <v>381.01299999999998</v>
      </c>
      <c r="M315" s="109">
        <f>SUMIF(收开票!A:A,销售合同!A:A,收开票!F:F)</f>
        <v>5219878.0999999996</v>
      </c>
      <c r="N315" s="109">
        <f>SUMIF(收开票!A:A,销售合同!A:A,收开票!H:H)</f>
        <v>381.01299999999998</v>
      </c>
      <c r="O315" s="109">
        <f>SUMIF(收开票!A:A,销售合同!A:A,收开票!I:I)</f>
        <v>5219878.0999999996</v>
      </c>
      <c r="P315" s="110">
        <f>SUMIF(收付款!A:A,销售合同!A:A,收付款!E:E)</f>
        <v>5219878.1000000006</v>
      </c>
      <c r="Q315" s="109">
        <f t="shared" si="26"/>
        <v>0</v>
      </c>
      <c r="R315" s="106"/>
      <c r="S315" s="111"/>
      <c r="T315" s="112"/>
      <c r="U315" s="112"/>
      <c r="V315" s="113">
        <v>42289</v>
      </c>
      <c r="W315" s="112"/>
      <c r="X315" s="112"/>
    </row>
    <row r="316" spans="1:24" ht="45.75" hidden="1" customHeight="1">
      <c r="A316" s="496" t="s">
        <v>5565</v>
      </c>
      <c r="B316" s="114" t="s">
        <v>147</v>
      </c>
      <c r="C316" s="114" t="s">
        <v>82</v>
      </c>
      <c r="D316" s="517">
        <v>43438</v>
      </c>
      <c r="E316" s="103" t="s">
        <v>3042</v>
      </c>
      <c r="F316" s="107">
        <v>96</v>
      </c>
      <c r="G316" s="107">
        <v>13250</v>
      </c>
      <c r="H316" s="107"/>
      <c r="I316" s="117">
        <f t="shared" si="25"/>
        <v>1272000</v>
      </c>
      <c r="J316" s="114" t="s">
        <v>5560</v>
      </c>
      <c r="K316" s="106">
        <f>SUMIF(收发货!A:A,销售合同!A:A,收发货!D:D)</f>
        <v>96</v>
      </c>
      <c r="L316" s="109">
        <f>SUMIF(收开票!A:A,销售合同!A:A,收开票!E:E)</f>
        <v>96.025999999999996</v>
      </c>
      <c r="M316" s="109">
        <f>SUMIF(收开票!A:A,销售合同!A:A,收开票!F:F)</f>
        <v>1272344.5</v>
      </c>
      <c r="N316" s="109">
        <f>SUMIF(收开票!A:A,销售合同!A:A,收开票!H:H)</f>
        <v>96.025999999999996</v>
      </c>
      <c r="O316" s="109">
        <f>SUMIF(收开票!A:A,销售合同!A:A,收开票!I:I)</f>
        <v>1272344.5</v>
      </c>
      <c r="P316" s="110">
        <f>SUMIF(收付款!A:A,销售合同!A:A,收付款!E:E)</f>
        <v>1272344.5</v>
      </c>
      <c r="Q316" s="110">
        <f t="shared" si="26"/>
        <v>0</v>
      </c>
      <c r="R316" s="161"/>
    </row>
    <row r="317" spans="1:24" ht="45.75" hidden="1" customHeight="1">
      <c r="A317" s="102" t="s">
        <v>5583</v>
      </c>
      <c r="B317" s="114" t="s">
        <v>485</v>
      </c>
      <c r="C317" s="114" t="s">
        <v>2765</v>
      </c>
      <c r="D317" s="517">
        <v>43458</v>
      </c>
      <c r="E317" s="103" t="s">
        <v>2763</v>
      </c>
      <c r="F317" s="107">
        <v>20000</v>
      </c>
      <c r="G317" s="107">
        <v>1181.75</v>
      </c>
      <c r="H317" s="107"/>
      <c r="I317" s="117">
        <f t="shared" si="25"/>
        <v>23635000</v>
      </c>
      <c r="J317" s="114" t="s">
        <v>2766</v>
      </c>
      <c r="K317" s="106">
        <f>SUMIF(收发货!A:A,销售合同!A:A,收发货!D:D)</f>
        <v>21994</v>
      </c>
      <c r="L317" s="109">
        <f>SUMIF(收开票!A:A,销售合同!A:A,收开票!E:E)</f>
        <v>21294.190999999999</v>
      </c>
      <c r="M317" s="109">
        <f>SUMIF(收开票!A:A,销售合同!A:A,收开票!F:F)</f>
        <v>24936688.699999999</v>
      </c>
      <c r="N317" s="109">
        <f>SUMIF(收开票!A:A,销售合同!A:A,收开票!H:H)</f>
        <v>21294.190999999999</v>
      </c>
      <c r="O317" s="109">
        <f>SUMIF(收开票!A:A,销售合同!A:A,收开票!I:I)</f>
        <v>24936688.700000003</v>
      </c>
      <c r="P317" s="110">
        <f>SUMIF(收付款!A:A,销售合同!A:A,收付款!E:E)</f>
        <v>24936688.700000003</v>
      </c>
      <c r="Q317" s="110">
        <f t="shared" si="26"/>
        <v>0</v>
      </c>
      <c r="R317" s="161"/>
    </row>
    <row r="318" spans="1:24" ht="45.75" customHeight="1">
      <c r="A318" s="124" t="s">
        <v>5595</v>
      </c>
      <c r="B318" s="114" t="s">
        <v>147</v>
      </c>
      <c r="C318" s="114" t="s">
        <v>82</v>
      </c>
      <c r="D318" s="517">
        <v>43467</v>
      </c>
      <c r="E318" s="103" t="s">
        <v>3042</v>
      </c>
      <c r="F318" s="107">
        <v>300</v>
      </c>
      <c r="G318" s="107">
        <v>13550</v>
      </c>
      <c r="H318" s="107"/>
      <c r="I318" s="117">
        <f t="shared" ref="I318:I319" si="27">F318*G318</f>
        <v>4065000</v>
      </c>
      <c r="J318" s="114" t="s">
        <v>5560</v>
      </c>
      <c r="K318" s="263">
        <f>SUMIF(收发货!A:A,销售合同!A:A,收发货!D:D)</f>
        <v>300</v>
      </c>
      <c r="L318" s="109">
        <f>SUMIF(收开票!A:A,销售合同!A:A,收开票!E:E)</f>
        <v>300.09300000000002</v>
      </c>
      <c r="M318" s="109">
        <f>SUMIF(收开票!A:A,销售合同!A:A,收开票!F:F)</f>
        <v>4066260.15</v>
      </c>
      <c r="N318" s="109">
        <f>SUMIF(收开票!A:A,销售合同!A:A,收开票!H:H)</f>
        <v>300.09300000000002</v>
      </c>
      <c r="O318" s="109">
        <f>SUMIF(收开票!A:A,销售合同!A:A,收开票!I:I)</f>
        <v>4066260.15</v>
      </c>
      <c r="P318" s="110">
        <f>SUMIF(收付款!A:A,销售合同!A:A,收付款!E:E)</f>
        <v>4066260.15</v>
      </c>
      <c r="Q318" s="110">
        <f t="shared" ref="Q318" si="28">O318-P318</f>
        <v>0</v>
      </c>
      <c r="R318" s="161"/>
    </row>
    <row r="319" spans="1:24" ht="33" customHeight="1">
      <c r="A319" s="102" t="s">
        <v>5598</v>
      </c>
      <c r="B319" s="114" t="s">
        <v>147</v>
      </c>
      <c r="C319" s="114" t="s">
        <v>82</v>
      </c>
      <c r="D319" s="517">
        <v>43466</v>
      </c>
      <c r="E319" s="103" t="s">
        <v>83</v>
      </c>
      <c r="F319" s="107">
        <v>450</v>
      </c>
      <c r="G319" s="107">
        <v>14200</v>
      </c>
      <c r="H319" s="107"/>
      <c r="I319" s="117">
        <f t="shared" si="27"/>
        <v>6390000</v>
      </c>
      <c r="J319" s="114" t="s">
        <v>432</v>
      </c>
      <c r="K319" s="263">
        <f>SUMIF(收发货!A:A,销售合同!A:A,收发货!D:D)</f>
        <v>428</v>
      </c>
      <c r="L319" s="109">
        <f>SUMIF(收开票!A:A,销售合同!A:A,收开票!E:E)</f>
        <v>428.11</v>
      </c>
      <c r="M319" s="109">
        <f>SUMIF(收开票!A:A,销售合同!A:A,收开票!F:F)</f>
        <v>6079162</v>
      </c>
      <c r="N319" s="109">
        <f>SUMIF(收开票!A:A,销售合同!A:A,收开票!H:H)</f>
        <v>428.11</v>
      </c>
      <c r="O319" s="109">
        <f>SUMIF(收开票!A:A,销售合同!A:A,收开票!I:I)</f>
        <v>6079162</v>
      </c>
      <c r="P319" s="110">
        <f>SUMIF(收付款!A:A,销售合同!A:A,收付款!E:E)</f>
        <v>6079162</v>
      </c>
      <c r="Q319" s="109">
        <f>O319-P319</f>
        <v>0</v>
      </c>
      <c r="R319" s="106"/>
      <c r="S319" s="111"/>
      <c r="T319" s="112"/>
      <c r="U319" s="112"/>
      <c r="V319" s="113">
        <v>42289</v>
      </c>
      <c r="W319" s="112"/>
      <c r="X319" s="112"/>
    </row>
    <row r="320" spans="1:24" ht="45.75" customHeight="1">
      <c r="A320" s="102" t="s">
        <v>5628</v>
      </c>
      <c r="B320" s="114" t="s">
        <v>147</v>
      </c>
      <c r="C320" s="114" t="s">
        <v>82</v>
      </c>
      <c r="D320" s="517">
        <v>43483</v>
      </c>
      <c r="E320" s="103" t="s">
        <v>3042</v>
      </c>
      <c r="F320" s="107">
        <v>32</v>
      </c>
      <c r="G320" s="107">
        <v>13800</v>
      </c>
      <c r="H320" s="107"/>
      <c r="I320" s="117">
        <f t="shared" ref="I320:I321" si="29">F320*G320</f>
        <v>441600</v>
      </c>
      <c r="J320" s="114" t="s">
        <v>5560</v>
      </c>
      <c r="K320" s="263">
        <f>SUMIF(收发货!A:A,销售合同!A:A,收发货!D:D)</f>
        <v>32</v>
      </c>
      <c r="L320" s="109">
        <f>SUMIF(收开票!A:A,销售合同!A:A,收开票!E:E)</f>
        <v>31.975999999999999</v>
      </c>
      <c r="M320" s="109">
        <f>SUMIF(收开票!A:A,销售合同!A:A,收开票!F:F)</f>
        <v>441268.8</v>
      </c>
      <c r="N320" s="109">
        <f>SUMIF(收开票!A:A,销售合同!A:A,收开票!H:H)</f>
        <v>31.975999999999999</v>
      </c>
      <c r="O320" s="109">
        <f>SUMIF(收开票!A:A,销售合同!A:A,收开票!I:I)</f>
        <v>441268.8</v>
      </c>
      <c r="P320" s="110">
        <f>SUMIF(收付款!A:A,销售合同!A:A,收付款!E:E)</f>
        <v>441268.8</v>
      </c>
      <c r="Q320" s="110">
        <f t="shared" ref="Q320:Q321" si="30">O320-P320</f>
        <v>0</v>
      </c>
      <c r="R320" s="161"/>
    </row>
    <row r="321" spans="1:24" ht="33" customHeight="1">
      <c r="A321" s="102" t="s">
        <v>5629</v>
      </c>
      <c r="B321" s="114" t="s">
        <v>147</v>
      </c>
      <c r="C321" s="114" t="s">
        <v>82</v>
      </c>
      <c r="D321" s="517">
        <v>43481</v>
      </c>
      <c r="E321" s="103" t="s">
        <v>83</v>
      </c>
      <c r="F321" s="107">
        <v>65</v>
      </c>
      <c r="G321" s="107">
        <v>14500</v>
      </c>
      <c r="H321" s="107"/>
      <c r="I321" s="117">
        <f t="shared" si="29"/>
        <v>942500</v>
      </c>
      <c r="J321" s="114" t="s">
        <v>432</v>
      </c>
      <c r="K321" s="263">
        <f>SUMIF(收发货!A:A,销售合同!A:A,收发货!D:D)</f>
        <v>65</v>
      </c>
      <c r="L321" s="109">
        <f>SUMIF(收开票!A:A,销售合同!A:A,收开票!E:E)</f>
        <v>65.003</v>
      </c>
      <c r="M321" s="109">
        <f>SUMIF(收开票!A:A,销售合同!A:A,收开票!F:F)</f>
        <v>942543.5</v>
      </c>
      <c r="N321" s="109">
        <f>SUMIF(收开票!A:A,销售合同!A:A,收开票!H:H)</f>
        <v>65.003</v>
      </c>
      <c r="O321" s="109">
        <f>SUMIF(收开票!A:A,销售合同!A:A,收开票!I:I)</f>
        <v>942543.5</v>
      </c>
      <c r="P321" s="110">
        <f>SUMIF(收付款!A:A,销售合同!A:A,收付款!E:E)</f>
        <v>942543.5</v>
      </c>
      <c r="Q321" s="109">
        <f t="shared" si="30"/>
        <v>0</v>
      </c>
      <c r="R321" s="106"/>
      <c r="S321" s="111"/>
      <c r="T321" s="112"/>
      <c r="U321" s="112"/>
      <c r="V321" s="113">
        <v>42289</v>
      </c>
      <c r="W321" s="112"/>
      <c r="X321" s="112"/>
    </row>
    <row r="322" spans="1:24" ht="33" customHeight="1">
      <c r="A322" s="102" t="s">
        <v>5630</v>
      </c>
      <c r="B322" s="114" t="s">
        <v>147</v>
      </c>
      <c r="C322" s="114" t="s">
        <v>82</v>
      </c>
      <c r="D322" s="517">
        <v>43497</v>
      </c>
      <c r="E322" s="103" t="s">
        <v>83</v>
      </c>
      <c r="F322" s="107">
        <v>320</v>
      </c>
      <c r="G322" s="107">
        <v>14500</v>
      </c>
      <c r="H322" s="107"/>
      <c r="I322" s="117">
        <f t="shared" ref="I322:I323" si="31">F322*G322</f>
        <v>4640000</v>
      </c>
      <c r="J322" s="114" t="s">
        <v>432</v>
      </c>
      <c r="K322" s="263">
        <f>SUMIF(收发货!A:A,销售合同!A:A,收发货!D:D)</f>
        <v>335</v>
      </c>
      <c r="L322" s="109">
        <f>SUMIF(收开票!A:A,销售合同!A:A,收开票!E:E)</f>
        <v>334.91699999999997</v>
      </c>
      <c r="M322" s="109">
        <f>SUMIF(收开票!A:A,销售合同!A:A,收开票!F:F)</f>
        <v>4856296.5</v>
      </c>
      <c r="N322" s="109">
        <f>SUMIF(收开票!A:A,销售合同!A:A,收开票!H:H)</f>
        <v>334.91699999999997</v>
      </c>
      <c r="O322" s="109">
        <f>SUMIF(收开票!A:A,销售合同!A:A,收开票!I:I)</f>
        <v>4856296.5</v>
      </c>
      <c r="P322" s="110">
        <f>SUMIF(收付款!A:A,销售合同!A:A,收付款!E:E)</f>
        <v>4856296.5</v>
      </c>
      <c r="Q322" s="109">
        <f t="shared" ref="Q322:Q323" si="32">O322-P322</f>
        <v>0</v>
      </c>
      <c r="R322" s="106"/>
      <c r="S322" s="111"/>
      <c r="T322" s="112"/>
      <c r="U322" s="112"/>
      <c r="V322" s="113">
        <v>42289</v>
      </c>
      <c r="W322" s="112"/>
      <c r="X322" s="112"/>
    </row>
    <row r="323" spans="1:24" ht="45.75" customHeight="1">
      <c r="A323" s="102" t="s">
        <v>5648</v>
      </c>
      <c r="B323" s="114" t="s">
        <v>147</v>
      </c>
      <c r="C323" s="114" t="s">
        <v>82</v>
      </c>
      <c r="D323" s="517">
        <v>43494</v>
      </c>
      <c r="E323" s="103" t="s">
        <v>3042</v>
      </c>
      <c r="F323" s="107">
        <v>320</v>
      </c>
      <c r="G323" s="107">
        <v>13650</v>
      </c>
      <c r="H323" s="107"/>
      <c r="I323" s="117">
        <f t="shared" si="31"/>
        <v>4368000</v>
      </c>
      <c r="J323" s="114" t="s">
        <v>5560</v>
      </c>
      <c r="K323" s="263">
        <f>SUMIF(收发货!A:A,销售合同!A:A,收发货!D:D)</f>
        <v>320</v>
      </c>
      <c r="L323" s="109">
        <f>SUMIF(收开票!A:A,销售合同!A:A,收开票!E:E)</f>
        <v>320.17</v>
      </c>
      <c r="M323" s="109">
        <f>SUMIF(收开票!A:A,销售合同!A:A,收开票!F:F)</f>
        <v>4370320.5</v>
      </c>
      <c r="N323" s="109">
        <f>SUMIF(收开票!A:A,销售合同!A:A,收开票!H:H)</f>
        <v>320.17</v>
      </c>
      <c r="O323" s="109">
        <f>SUMIF(收开票!A:A,销售合同!A:A,收开票!I:I)</f>
        <v>4370320.5</v>
      </c>
      <c r="P323" s="110">
        <f>SUMIF(收付款!A:A,销售合同!A:A,收付款!E:E)</f>
        <v>4370320.5</v>
      </c>
      <c r="Q323" s="110">
        <f t="shared" si="32"/>
        <v>0</v>
      </c>
      <c r="R323" s="161"/>
    </row>
    <row r="324" spans="1:24" ht="45.75" customHeight="1">
      <c r="A324" s="102" t="s">
        <v>5653</v>
      </c>
      <c r="B324" s="114" t="s">
        <v>147</v>
      </c>
      <c r="C324" s="114" t="s">
        <v>82</v>
      </c>
      <c r="D324" s="517">
        <v>43523</v>
      </c>
      <c r="E324" s="103" t="s">
        <v>3042</v>
      </c>
      <c r="F324" s="107">
        <v>380</v>
      </c>
      <c r="G324" s="107">
        <v>13650</v>
      </c>
      <c r="H324" s="107"/>
      <c r="I324" s="117">
        <f t="shared" ref="I324:I326" si="33">F324*G324</f>
        <v>5187000</v>
      </c>
      <c r="J324" s="114" t="s">
        <v>5560</v>
      </c>
      <c r="K324" s="263">
        <f>SUMIF(收发货!A:A,销售合同!A:A,收发货!D:D)</f>
        <v>398</v>
      </c>
      <c r="L324" s="109">
        <f>SUMIF(收开票!A:A,销售合同!A:A,收开票!E:E)</f>
        <v>398.14299999999997</v>
      </c>
      <c r="M324" s="109">
        <f>SUMIF(收开票!A:A,销售合同!A:A,收开票!F:F)</f>
        <v>5434651.9500000002</v>
      </c>
      <c r="N324" s="109">
        <f>SUMIF(收开票!A:A,销售合同!A:A,收开票!H:H)</f>
        <v>398.14299999999997</v>
      </c>
      <c r="O324" s="109">
        <f>SUMIF(收开票!A:A,销售合同!A:A,收开票!I:I)</f>
        <v>5434651.9500000002</v>
      </c>
      <c r="P324" s="110">
        <f>SUMIF(收付款!A:A,销售合同!A:A,收付款!E:E)</f>
        <v>5434651.9500000002</v>
      </c>
      <c r="Q324" s="110">
        <f t="shared" ref="Q324:Q326" si="34">O324-P324</f>
        <v>0</v>
      </c>
      <c r="R324" s="161"/>
    </row>
    <row r="325" spans="1:24" ht="33" customHeight="1">
      <c r="A325" s="102" t="s">
        <v>5671</v>
      </c>
      <c r="B325" s="114" t="s">
        <v>147</v>
      </c>
      <c r="C325" s="114" t="s">
        <v>82</v>
      </c>
      <c r="D325" s="517">
        <v>43525</v>
      </c>
      <c r="E325" s="103" t="s">
        <v>83</v>
      </c>
      <c r="F325" s="107">
        <v>560</v>
      </c>
      <c r="G325" s="107">
        <v>14500</v>
      </c>
      <c r="H325" s="107"/>
      <c r="I325" s="117">
        <f t="shared" si="33"/>
        <v>8120000</v>
      </c>
      <c r="J325" s="114" t="s">
        <v>432</v>
      </c>
      <c r="K325" s="263">
        <f>SUMIF(收发货!A:A,销售合同!A:A,收发货!D:D)</f>
        <v>587</v>
      </c>
      <c r="L325" s="109">
        <f>SUMIF(收开票!A:A,销售合同!A:A,收开票!E:E)</f>
        <v>586.78399999999999</v>
      </c>
      <c r="M325" s="109">
        <f>SUMIF(收开票!A:A,销售合同!A:A,收开票!F:F)</f>
        <v>8508368</v>
      </c>
      <c r="N325" s="109">
        <f>SUMIF(收开票!A:A,销售合同!A:A,收开票!H:H)</f>
        <v>586.78399999999999</v>
      </c>
      <c r="O325" s="109">
        <f>SUMIF(收开票!A:A,销售合同!A:A,收开票!I:I)</f>
        <v>8508368</v>
      </c>
      <c r="P325" s="110">
        <f>SUMIF(收付款!A:A,销售合同!A:A,收付款!E:E)</f>
        <v>8508368</v>
      </c>
      <c r="Q325" s="109">
        <f t="shared" si="34"/>
        <v>0</v>
      </c>
      <c r="R325" s="106"/>
      <c r="S325" s="111"/>
      <c r="T325" s="112"/>
      <c r="U325" s="112"/>
      <c r="V325" s="113">
        <v>42289</v>
      </c>
      <c r="W325" s="112"/>
      <c r="X325" s="112"/>
    </row>
    <row r="326" spans="1:24" ht="35.1" customHeight="1">
      <c r="A326" s="102" t="s">
        <v>5677</v>
      </c>
      <c r="B326" s="114" t="s">
        <v>147</v>
      </c>
      <c r="C326" s="114" t="s">
        <v>240</v>
      </c>
      <c r="D326" s="517">
        <v>43528</v>
      </c>
      <c r="E326" s="103" t="s">
        <v>75</v>
      </c>
      <c r="F326" s="498">
        <v>30</v>
      </c>
      <c r="G326" s="107">
        <v>13400</v>
      </c>
      <c r="H326" s="107"/>
      <c r="I326" s="117">
        <f t="shared" si="33"/>
        <v>402000</v>
      </c>
      <c r="J326" s="114" t="s">
        <v>3159</v>
      </c>
      <c r="K326" s="502">
        <f>SUMIF(收发货!A:A,销售合同!A:A,收发货!D:D)</f>
        <v>30</v>
      </c>
      <c r="L326" s="109">
        <f>SUMIF(收开票!A:A,销售合同!A:A,收开票!E:E)</f>
        <v>30</v>
      </c>
      <c r="M326" s="109">
        <f>SUMIF(收开票!A:A,销售合同!A:A,收开票!F:F)</f>
        <v>402000</v>
      </c>
      <c r="N326" s="109">
        <f>SUMIF(收开票!A:A,销售合同!A:A,收开票!H:H)</f>
        <v>30</v>
      </c>
      <c r="O326" s="109">
        <f>SUMIF(收开票!A:A,销售合同!A:A,收开票!I:I)</f>
        <v>402000</v>
      </c>
      <c r="P326" s="110">
        <f>SUMIF(收付款!A:A,销售合同!A:A,收付款!E:E)</f>
        <v>402000</v>
      </c>
      <c r="Q326" s="110">
        <f t="shared" si="34"/>
        <v>0</v>
      </c>
      <c r="R326" s="111">
        <f>SUMIF(收付款!A:A,销售合同!A:A,收付款!I:I)</f>
        <v>0</v>
      </c>
      <c r="S326" s="111">
        <f>SUMIF(收付款!A:A,销售合同!A:A,收付款!J:J)</f>
        <v>0</v>
      </c>
    </row>
    <row r="327" spans="1:24" ht="33" customHeight="1">
      <c r="A327" s="102" t="s">
        <v>5694</v>
      </c>
      <c r="B327" s="114" t="s">
        <v>147</v>
      </c>
      <c r="C327" s="114" t="s">
        <v>82</v>
      </c>
      <c r="D327" s="517">
        <v>43556</v>
      </c>
      <c r="E327" s="103" t="s">
        <v>83</v>
      </c>
      <c r="F327" s="107">
        <v>450</v>
      </c>
      <c r="G327" s="107">
        <v>13700</v>
      </c>
      <c r="H327" s="107"/>
      <c r="I327" s="117">
        <f t="shared" ref="I327:I328" si="35">F327*G327</f>
        <v>6165000</v>
      </c>
      <c r="J327" s="114" t="s">
        <v>432</v>
      </c>
      <c r="K327" s="263">
        <f>SUMIF(收发货!A:A,销售合同!A:A,收发货!D:D)</f>
        <v>430</v>
      </c>
      <c r="L327" s="109">
        <f>SUMIF(收开票!A:A,销售合同!A:A,收开票!E:E)</f>
        <v>429.86599999999999</v>
      </c>
      <c r="M327" s="109">
        <f>SUMIF(收开票!A:A,销售合同!A:A,收开票!F:F)</f>
        <v>5889164.2000000002</v>
      </c>
      <c r="N327" s="109">
        <f>SUMIF(收开票!A:A,销售合同!A:A,收开票!H:H)</f>
        <v>429.86599999999999</v>
      </c>
      <c r="O327" s="109">
        <f>SUMIF(收开票!A:A,销售合同!A:A,收开票!I:I)</f>
        <v>5889164.2000000002</v>
      </c>
      <c r="P327" s="110">
        <f>SUMIF(收付款!A:A,销售合同!A:A,收付款!E:E)</f>
        <v>5889164.2000000002</v>
      </c>
      <c r="Q327" s="109">
        <f t="shared" ref="Q327:Q328" si="36">O327-P327</f>
        <v>0</v>
      </c>
      <c r="R327" s="106"/>
      <c r="S327" s="111"/>
      <c r="T327" s="112"/>
      <c r="U327" s="112"/>
      <c r="V327" s="113"/>
      <c r="W327" s="112"/>
      <c r="X327" s="112"/>
    </row>
    <row r="328" spans="1:24" ht="45.75" customHeight="1">
      <c r="A328" s="102" t="s">
        <v>5721</v>
      </c>
      <c r="B328" s="114" t="s">
        <v>147</v>
      </c>
      <c r="C328" s="114" t="s">
        <v>82</v>
      </c>
      <c r="D328" s="517">
        <v>43559</v>
      </c>
      <c r="E328" s="103" t="s">
        <v>3042</v>
      </c>
      <c r="F328" s="107">
        <v>125</v>
      </c>
      <c r="G328" s="107">
        <v>13500</v>
      </c>
      <c r="H328" s="107"/>
      <c r="I328" s="117">
        <f t="shared" si="35"/>
        <v>1687500</v>
      </c>
      <c r="J328" s="114" t="s">
        <v>5732</v>
      </c>
      <c r="K328" s="263">
        <f>SUMIF(收发货!A:A,销售合同!A:A,收发货!D:D)</f>
        <v>125</v>
      </c>
      <c r="L328" s="109">
        <f>SUMIF(收开票!A:A,销售合同!A:A,收开票!E:E)</f>
        <v>124.92</v>
      </c>
      <c r="M328" s="109">
        <f>SUMIF(收开票!A:A,销售合同!A:A,收开票!F:F)</f>
        <v>1672013.1</v>
      </c>
      <c r="N328" s="109">
        <f>SUMIF(收开票!A:A,销售合同!A:A,收开票!H:H)</f>
        <v>124.92</v>
      </c>
      <c r="O328" s="109">
        <f>SUMIF(收开票!A:A,销售合同!A:A,收开票!I:I)</f>
        <v>1672013.1</v>
      </c>
      <c r="P328" s="110">
        <f>SUMIF(收付款!A:A,销售合同!A:A,收付款!E:E)</f>
        <v>1672013.1</v>
      </c>
      <c r="Q328" s="110">
        <f t="shared" si="36"/>
        <v>0</v>
      </c>
      <c r="R328" s="161"/>
    </row>
    <row r="329" spans="1:24" ht="45.75" customHeight="1">
      <c r="A329" s="102" t="s">
        <v>5722</v>
      </c>
      <c r="B329" s="114" t="s">
        <v>147</v>
      </c>
      <c r="C329" s="114" t="s">
        <v>82</v>
      </c>
      <c r="D329" s="517">
        <v>43571</v>
      </c>
      <c r="E329" s="103" t="s">
        <v>4795</v>
      </c>
      <c r="F329" s="107">
        <v>288</v>
      </c>
      <c r="G329" s="107">
        <v>13700</v>
      </c>
      <c r="H329" s="107"/>
      <c r="I329" s="117">
        <f t="shared" ref="I329:I331" si="37">F329*G329</f>
        <v>3945600</v>
      </c>
      <c r="J329" s="114" t="s">
        <v>5560</v>
      </c>
      <c r="K329" s="263">
        <f>SUMIF(收发货!A:A,销售合同!A:A,收发货!D:D)</f>
        <v>288</v>
      </c>
      <c r="L329" s="109">
        <f>SUMIF(收开票!A:A,销售合同!A:A,收开票!E:E)</f>
        <v>288</v>
      </c>
      <c r="M329" s="109">
        <f>SUMIF(收开票!A:A,销售合同!A:A,收开票!F:F)</f>
        <v>3945600</v>
      </c>
      <c r="N329" s="109">
        <f>SUMIF(收开票!A:A,销售合同!A:A,收开票!H:H)</f>
        <v>288</v>
      </c>
      <c r="O329" s="109">
        <f>SUMIF(收开票!A:A,销售合同!A:A,收开票!I:I)</f>
        <v>3945600</v>
      </c>
      <c r="P329" s="110">
        <f>SUMIF(收付款!A:A,销售合同!A:A,收付款!E:E)</f>
        <v>3945600</v>
      </c>
      <c r="Q329" s="110">
        <f t="shared" ref="Q329:Q331" si="38">O329-P329</f>
        <v>0</v>
      </c>
      <c r="R329" s="161"/>
    </row>
    <row r="330" spans="1:24" ht="45.75" customHeight="1">
      <c r="A330" s="102" t="s">
        <v>5753</v>
      </c>
      <c r="B330" s="114" t="s">
        <v>147</v>
      </c>
      <c r="C330" s="114" t="s">
        <v>82</v>
      </c>
      <c r="D330" s="517">
        <v>43583</v>
      </c>
      <c r="E330" s="103" t="s">
        <v>3042</v>
      </c>
      <c r="F330" s="107">
        <v>400</v>
      </c>
      <c r="G330" s="107">
        <v>14000</v>
      </c>
      <c r="H330" s="107"/>
      <c r="I330" s="117">
        <f t="shared" si="37"/>
        <v>5600000</v>
      </c>
      <c r="J330" s="114" t="s">
        <v>5732</v>
      </c>
      <c r="K330" s="263">
        <f>SUMIF(收发货!A:A,销售合同!A:A,收发货!D:D)</f>
        <v>381</v>
      </c>
      <c r="L330" s="109">
        <f>SUMIF(收开票!A:A,销售合同!A:A,收开票!E:E)</f>
        <v>381.07</v>
      </c>
      <c r="M330" s="109">
        <f>SUMIF(收开票!A:A,销售合同!A:A,收开票!F:F)</f>
        <v>5227687.4000000004</v>
      </c>
      <c r="N330" s="109">
        <f>SUMIF(收开票!A:A,销售合同!A:A,收开票!H:H)</f>
        <v>381.07</v>
      </c>
      <c r="O330" s="109">
        <f>SUMIF(收开票!A:A,销售合同!A:A,收开票!I:I)</f>
        <v>5227687.4000000004</v>
      </c>
      <c r="P330" s="110">
        <f>SUMIF(收付款!A:A,销售合同!A:A,收付款!E:E)</f>
        <v>5227687.4000000004</v>
      </c>
      <c r="Q330" s="110">
        <f>O330-P330</f>
        <v>0</v>
      </c>
      <c r="R330" s="161"/>
    </row>
    <row r="331" spans="1:24" ht="33" customHeight="1">
      <c r="A331" s="102" t="s">
        <v>5749</v>
      </c>
      <c r="B331" s="114" t="s">
        <v>147</v>
      </c>
      <c r="C331" s="114" t="s">
        <v>82</v>
      </c>
      <c r="D331" s="517">
        <v>43586</v>
      </c>
      <c r="E331" s="103" t="s">
        <v>83</v>
      </c>
      <c r="F331" s="107">
        <v>100</v>
      </c>
      <c r="G331" s="107">
        <v>13500</v>
      </c>
      <c r="H331" s="107" t="s">
        <v>5872</v>
      </c>
      <c r="I331" s="117">
        <f t="shared" si="37"/>
        <v>1350000</v>
      </c>
      <c r="J331" s="114" t="s">
        <v>432</v>
      </c>
      <c r="K331" s="263">
        <f>SUMIF(收发货!A:A,销售合同!A:A,收发货!D:D)</f>
        <v>96</v>
      </c>
      <c r="L331" s="109">
        <f>SUMIF(收开票!A:A,销售合同!A:A,收开票!E:E)</f>
        <v>96.046999999999997</v>
      </c>
      <c r="M331" s="109">
        <f>SUMIF(收开票!A:A,销售合同!A:A,收开票!F:F)</f>
        <v>1296634.5</v>
      </c>
      <c r="N331" s="109">
        <f>SUMIF(收开票!A:A,销售合同!A:A,收开票!H:H)</f>
        <v>96.046999999999997</v>
      </c>
      <c r="O331" s="109">
        <f>SUMIF(收开票!A:A,销售合同!A:A,收开票!I:I)</f>
        <v>1296634.5</v>
      </c>
      <c r="P331" s="110">
        <f>SUMIF(收付款!A:A,销售合同!A:A,收付款!E:E)</f>
        <v>1296634.5</v>
      </c>
      <c r="Q331" s="109">
        <f t="shared" si="38"/>
        <v>0</v>
      </c>
      <c r="R331" s="106"/>
      <c r="S331" s="111"/>
      <c r="T331" s="112"/>
      <c r="U331" s="112"/>
      <c r="V331" s="113"/>
      <c r="W331" s="112"/>
      <c r="X331" s="112"/>
    </row>
    <row r="332" spans="1:24" ht="33" customHeight="1">
      <c r="A332" s="102" t="s">
        <v>5750</v>
      </c>
      <c r="B332" s="114" t="s">
        <v>485</v>
      </c>
      <c r="C332" s="114" t="s">
        <v>60</v>
      </c>
      <c r="D332" s="517">
        <v>43586</v>
      </c>
      <c r="E332" s="103" t="s">
        <v>83</v>
      </c>
      <c r="F332" s="107">
        <v>400</v>
      </c>
      <c r="G332" s="107">
        <v>7530</v>
      </c>
      <c r="H332" s="107"/>
      <c r="I332" s="117">
        <f t="shared" ref="I332:I333" si="39">F332*G332</f>
        <v>3012000</v>
      </c>
      <c r="J332" s="114" t="s">
        <v>432</v>
      </c>
      <c r="K332" s="501">
        <f>SUMIF(收发货!A:A,销售合同!A:A,收发货!D:D)</f>
        <v>408</v>
      </c>
      <c r="L332" s="109">
        <f>SUMIF(收开票!A:A,销售合同!A:A,收开票!E:E)</f>
        <v>411.35669999999999</v>
      </c>
      <c r="M332" s="109">
        <f>SUMIF(收开票!A:A,销售合同!A:A,收开票!F:F)</f>
        <v>3069907.54</v>
      </c>
      <c r="N332" s="109">
        <f>SUMIF(收开票!A:A,销售合同!A:A,收开票!H:H)</f>
        <v>411.35669999999999</v>
      </c>
      <c r="O332" s="109">
        <f>SUMIF(收开票!A:A,销售合同!A:A,收开票!I:I)</f>
        <v>3069907.54</v>
      </c>
      <c r="P332" s="110">
        <f>SUMIF(收付款!A:A,销售合同!A:A,收付款!E:E)</f>
        <v>3069907.54</v>
      </c>
      <c r="Q332" s="109">
        <f t="shared" ref="Q332" si="40">O332-P332</f>
        <v>0</v>
      </c>
      <c r="R332" s="106"/>
      <c r="S332" s="111"/>
      <c r="T332" s="112"/>
      <c r="U332" s="112"/>
      <c r="V332" s="113"/>
      <c r="W332" s="112"/>
      <c r="X332" s="112"/>
    </row>
    <row r="333" spans="1:24" ht="33" customHeight="1">
      <c r="A333" s="102" t="s">
        <v>5754</v>
      </c>
      <c r="B333" s="114" t="s">
        <v>147</v>
      </c>
      <c r="C333" s="114" t="s">
        <v>82</v>
      </c>
      <c r="D333" s="517">
        <v>43598</v>
      </c>
      <c r="E333" s="103" t="s">
        <v>83</v>
      </c>
      <c r="F333" s="107">
        <v>700</v>
      </c>
      <c r="G333" s="107">
        <v>14150</v>
      </c>
      <c r="H333" s="107"/>
      <c r="I333" s="117">
        <f t="shared" si="39"/>
        <v>9905000</v>
      </c>
      <c r="J333" s="114" t="s">
        <v>432</v>
      </c>
      <c r="K333" s="263">
        <f>SUMIF(收发货!A:A,销售合同!A:A,收发货!D:D)</f>
        <v>731</v>
      </c>
      <c r="L333" s="109">
        <f>SUMIF(收开票!A:A,销售合同!A:A,收开票!E:E)</f>
        <v>730.7639999999999</v>
      </c>
      <c r="M333" s="109">
        <f>SUMIF(收开票!A:A,销售合同!A:A,收开票!F:F)</f>
        <v>10340310.6</v>
      </c>
      <c r="N333" s="109">
        <f>SUMIF(收开票!A:A,销售合同!A:A,收开票!H:H)</f>
        <v>730.7639999999999</v>
      </c>
      <c r="O333" s="109">
        <f>SUMIF(收开票!A:A,销售合同!A:A,收开票!I:I)</f>
        <v>10340310.6</v>
      </c>
      <c r="P333" s="110">
        <f>SUMIF(收付款!A:A,销售合同!A:A,收付款!E:E)</f>
        <v>10340310.6</v>
      </c>
      <c r="Q333" s="109">
        <f>O333-P333</f>
        <v>0</v>
      </c>
      <c r="R333" s="106"/>
      <c r="S333" s="111"/>
      <c r="T333" s="112"/>
      <c r="U333" s="112"/>
      <c r="V333" s="113"/>
      <c r="W333" s="112"/>
      <c r="X333" s="112"/>
    </row>
    <row r="334" spans="1:24" ht="45.75" customHeight="1">
      <c r="A334" s="102" t="s">
        <v>5766</v>
      </c>
      <c r="B334" s="114" t="s">
        <v>147</v>
      </c>
      <c r="C334" s="114" t="s">
        <v>82</v>
      </c>
      <c r="D334" s="517">
        <v>43601</v>
      </c>
      <c r="E334" s="103" t="s">
        <v>3042</v>
      </c>
      <c r="F334" s="107">
        <v>200</v>
      </c>
      <c r="G334" s="107">
        <v>13650</v>
      </c>
      <c r="H334" s="107"/>
      <c r="I334" s="117">
        <f t="shared" ref="I334" si="41">F334*G334</f>
        <v>2730000</v>
      </c>
      <c r="J334" s="114" t="s">
        <v>5834</v>
      </c>
      <c r="K334" s="263">
        <f>SUMIF(收发货!A:A,销售合同!A:A,收发货!D:D)</f>
        <v>200</v>
      </c>
      <c r="L334" s="109">
        <f>SUMIF(收开票!A:A,销售合同!A:A,收开票!E:E)</f>
        <v>199.94</v>
      </c>
      <c r="M334" s="109">
        <f>SUMIF(收开票!A:A,销售合同!A:A,收开票!F:F)</f>
        <v>2669199</v>
      </c>
      <c r="N334" s="109">
        <f>SUMIF(收开票!A:A,销售合同!A:A,收开票!H:H)</f>
        <v>199.94</v>
      </c>
      <c r="O334" s="109">
        <f>SUMIF(收开票!A:A,销售合同!A:A,收开票!I:I)</f>
        <v>2729181</v>
      </c>
      <c r="P334" s="110">
        <f>SUMIF(收付款!A:A,销售合同!A:A,收付款!E:E)</f>
        <v>2729181</v>
      </c>
      <c r="Q334" s="110">
        <f>O334-P334</f>
        <v>0</v>
      </c>
      <c r="R334" s="161"/>
    </row>
    <row r="335" spans="1:24" ht="45.75" customHeight="1">
      <c r="A335" s="102" t="s">
        <v>5760</v>
      </c>
      <c r="B335" s="114" t="s">
        <v>147</v>
      </c>
      <c r="C335" s="114" t="s">
        <v>82</v>
      </c>
      <c r="D335" s="517">
        <v>43601</v>
      </c>
      <c r="E335" s="103" t="s">
        <v>4795</v>
      </c>
      <c r="F335" s="107">
        <v>192</v>
      </c>
      <c r="G335" s="107">
        <v>13900</v>
      </c>
      <c r="H335" s="107"/>
      <c r="I335" s="117">
        <f>F335*G335</f>
        <v>2668800</v>
      </c>
      <c r="J335" s="114" t="s">
        <v>5761</v>
      </c>
      <c r="K335" s="263">
        <f>SUMIF(收发货!A:A,销售合同!A:A,收发货!D:D)</f>
        <v>192</v>
      </c>
      <c r="L335" s="109">
        <f>SUMIF(收开票!A:A,销售合同!A:A,收开票!E:E)</f>
        <v>192</v>
      </c>
      <c r="M335" s="109">
        <f>SUMIF(收开票!A:A,销售合同!A:A,收开票!F:F)</f>
        <v>2668800</v>
      </c>
      <c r="N335" s="109">
        <f>SUMIF(收开票!A:A,销售合同!A:A,收开票!H:H)</f>
        <v>192</v>
      </c>
      <c r="O335" s="109">
        <f>SUMIF(收开票!A:A,销售合同!A:A,收开票!I:I)</f>
        <v>2668800</v>
      </c>
      <c r="P335" s="110">
        <f>SUMIF(收付款!A:A,销售合同!A:A,收付款!E:E)</f>
        <v>2668800</v>
      </c>
      <c r="Q335" s="110">
        <f>O335-P335</f>
        <v>0</v>
      </c>
      <c r="R335" s="161"/>
    </row>
    <row r="336" spans="1:24" ht="33" customHeight="1">
      <c r="A336" s="102" t="s">
        <v>5804</v>
      </c>
      <c r="B336" s="114" t="s">
        <v>485</v>
      </c>
      <c r="C336" s="114" t="s">
        <v>60</v>
      </c>
      <c r="D336" s="517">
        <v>43617</v>
      </c>
      <c r="E336" s="103" t="s">
        <v>83</v>
      </c>
      <c r="F336" s="107">
        <v>300</v>
      </c>
      <c r="G336" s="107">
        <v>7570</v>
      </c>
      <c r="H336" s="107"/>
      <c r="I336" s="117">
        <f t="shared" ref="I336" si="42">F336*G336</f>
        <v>2271000</v>
      </c>
      <c r="J336" s="114" t="s">
        <v>432</v>
      </c>
      <c r="K336" s="106">
        <f>SUMIF(收发货!A:A,销售合同!A:A,收发货!D:D)</f>
        <v>300</v>
      </c>
      <c r="L336" s="109">
        <f>SUMIF(收开票!A:A,销售合同!A:A,收开票!E:E)</f>
        <v>299.76350000000002</v>
      </c>
      <c r="M336" s="109">
        <f>SUMIF(收开票!A:A,销售合同!A:A,收开票!F:F)</f>
        <v>2265230.5699999998</v>
      </c>
      <c r="N336" s="109">
        <f>SUMIF(收开票!A:A,销售合同!A:A,收开票!H:H)</f>
        <v>299.76350000000002</v>
      </c>
      <c r="O336" s="109">
        <f>SUMIF(收开票!A:A,销售合同!A:A,收开票!I:I)</f>
        <v>2265230.5699999998</v>
      </c>
      <c r="P336" s="110">
        <f>SUMIF(收付款!A:A,销售合同!A:A,收付款!E:E)</f>
        <v>2265230.5699999998</v>
      </c>
      <c r="Q336" s="109">
        <f t="shared" ref="Q336" si="43">O336-P336</f>
        <v>0</v>
      </c>
      <c r="R336" s="106"/>
      <c r="S336" s="111"/>
      <c r="T336" s="112"/>
      <c r="U336" s="112"/>
      <c r="V336" s="113"/>
      <c r="W336" s="112"/>
      <c r="X336" s="112"/>
    </row>
    <row r="337" spans="1:24" ht="45.75" customHeight="1">
      <c r="A337" s="102" t="s">
        <v>5811</v>
      </c>
      <c r="B337" s="114" t="s">
        <v>147</v>
      </c>
      <c r="C337" s="114" t="s">
        <v>82</v>
      </c>
      <c r="D337" s="517">
        <v>43626</v>
      </c>
      <c r="E337" s="103" t="s">
        <v>4795</v>
      </c>
      <c r="F337" s="107">
        <v>320</v>
      </c>
      <c r="G337" s="107">
        <v>13800</v>
      </c>
      <c r="H337" s="107"/>
      <c r="I337" s="117">
        <f>F337*G337</f>
        <v>4416000</v>
      </c>
      <c r="J337" s="114" t="s">
        <v>5761</v>
      </c>
      <c r="K337" s="263">
        <f>SUMIF(收发货!A:A,销售合同!A:A,收发货!D:D)</f>
        <v>320</v>
      </c>
      <c r="L337" s="109">
        <f>SUMIF(收开票!A:A,销售合同!A:A,收开票!E:E)</f>
        <v>320</v>
      </c>
      <c r="M337" s="109">
        <f>SUMIF(收开票!A:A,销售合同!A:A,收开票!F:F)</f>
        <v>4416000</v>
      </c>
      <c r="N337" s="109">
        <f>SUMIF(收开票!A:A,销售合同!A:A,收开票!H:H)</f>
        <v>320</v>
      </c>
      <c r="O337" s="109">
        <f>SUMIF(收开票!A:A,销售合同!A:A,收开票!I:I)</f>
        <v>4416000</v>
      </c>
      <c r="P337" s="110">
        <f>SUMIF(收付款!A:A,销售合同!A:A,收付款!E:E)</f>
        <v>4416000</v>
      </c>
      <c r="Q337" s="110">
        <f>O337-P337</f>
        <v>0</v>
      </c>
      <c r="R337" s="161"/>
    </row>
    <row r="338" spans="1:24" ht="33" customHeight="1">
      <c r="A338" s="102" t="s">
        <v>5809</v>
      </c>
      <c r="B338" s="114" t="s">
        <v>147</v>
      </c>
      <c r="C338" s="114" t="s">
        <v>82</v>
      </c>
      <c r="D338" s="517">
        <v>43617</v>
      </c>
      <c r="E338" s="103" t="s">
        <v>83</v>
      </c>
      <c r="F338" s="107">
        <v>100</v>
      </c>
      <c r="G338" s="107">
        <v>14050</v>
      </c>
      <c r="H338" s="107"/>
      <c r="I338" s="117">
        <f t="shared" ref="I338" si="44">F338*G338</f>
        <v>1405000</v>
      </c>
      <c r="J338" s="114" t="s">
        <v>432</v>
      </c>
      <c r="K338" s="263">
        <f>SUMIF(收发货!A:A,销售合同!A:A,收发货!D:D)</f>
        <v>104</v>
      </c>
      <c r="L338" s="109">
        <f>SUMIF(收开票!A:A,销售合同!A:A,收开票!E:E)</f>
        <v>104.033</v>
      </c>
      <c r="M338" s="109">
        <f>SUMIF(收开票!A:A,销售合同!A:A,收开票!F:F)</f>
        <v>1461663.65</v>
      </c>
      <c r="N338" s="109">
        <f>SUMIF(收开票!A:A,销售合同!A:A,收开票!H:H)</f>
        <v>104.033</v>
      </c>
      <c r="O338" s="109">
        <f>SUMIF(收开票!A:A,销售合同!A:A,收开票!I:I)</f>
        <v>1461663.65</v>
      </c>
      <c r="P338" s="110">
        <f>SUMIF(收付款!A:A,销售合同!A:A,收付款!E:E)</f>
        <v>1461663.65</v>
      </c>
      <c r="Q338" s="109">
        <f t="shared" ref="Q338" si="45">O338-P338</f>
        <v>0</v>
      </c>
      <c r="R338" s="106"/>
      <c r="S338" s="111"/>
      <c r="T338" s="112"/>
      <c r="U338" s="112"/>
      <c r="V338" s="113"/>
      <c r="W338" s="112"/>
      <c r="X338" s="112"/>
    </row>
    <row r="339" spans="1:24" s="550" customFormat="1" ht="33" customHeight="1">
      <c r="A339" s="255" t="s">
        <v>5818</v>
      </c>
      <c r="B339" s="464" t="s">
        <v>147</v>
      </c>
      <c r="C339" s="464" t="s">
        <v>82</v>
      </c>
      <c r="D339" s="542">
        <v>43647</v>
      </c>
      <c r="E339" s="464" t="s">
        <v>83</v>
      </c>
      <c r="F339" s="543">
        <v>900</v>
      </c>
      <c r="G339" s="543">
        <v>13950</v>
      </c>
      <c r="H339" s="543"/>
      <c r="I339" s="544">
        <f t="shared" ref="I339" si="46">F339*G339</f>
        <v>12555000</v>
      </c>
      <c r="J339" s="464" t="s">
        <v>432</v>
      </c>
      <c r="K339" s="545">
        <f>SUMIF(收发货!A:A,销售合同!A:A,收发货!D:D)</f>
        <v>944</v>
      </c>
      <c r="L339" s="546">
        <f>SUMIF(收开票!A:A,销售合同!A:A,收开票!E:E)</f>
        <v>944.38000000000011</v>
      </c>
      <c r="M339" s="546">
        <f>SUMIF(收开票!A:A,销售合同!A:A,收开票!F:F)</f>
        <v>13174100.999999998</v>
      </c>
      <c r="N339" s="546">
        <f>SUMIF(收开票!A:A,销售合同!A:A,收开票!H:H)</f>
        <v>944.38000000000011</v>
      </c>
      <c r="O339" s="546">
        <f>SUMIF(收开票!A:A,销售合同!A:A,收开票!I:I)</f>
        <v>13174100.999999998</v>
      </c>
      <c r="P339" s="546">
        <f>SUMIF(收付款!A:A,销售合同!A:A,收付款!E:E)</f>
        <v>13174101</v>
      </c>
      <c r="Q339" s="546">
        <f t="shared" ref="Q339" si="47">O339-P339</f>
        <v>0</v>
      </c>
      <c r="R339" s="545"/>
      <c r="S339" s="547"/>
      <c r="T339" s="548"/>
      <c r="U339" s="548"/>
      <c r="V339" s="549"/>
      <c r="W339" s="548"/>
      <c r="X339" s="548"/>
    </row>
    <row r="340" spans="1:24" ht="45.75" customHeight="1">
      <c r="A340" s="102" t="s">
        <v>5831</v>
      </c>
      <c r="B340" s="114" t="s">
        <v>147</v>
      </c>
      <c r="C340" s="114" t="s">
        <v>82</v>
      </c>
      <c r="D340" s="517">
        <v>43647</v>
      </c>
      <c r="E340" s="103" t="s">
        <v>4795</v>
      </c>
      <c r="F340" s="261">
        <v>186</v>
      </c>
      <c r="G340" s="107">
        <v>13800</v>
      </c>
      <c r="H340" s="107"/>
      <c r="I340" s="117">
        <f>F340*G340</f>
        <v>2566800</v>
      </c>
      <c r="J340" s="114" t="s">
        <v>5761</v>
      </c>
      <c r="K340" s="106">
        <f>SUMIF(收发货!A:A,销售合同!A:A,收发货!D:D)</f>
        <v>186</v>
      </c>
      <c r="L340" s="109">
        <f>SUMIF(收开票!A:A,销售合同!A:A,收开票!E:E)</f>
        <v>186</v>
      </c>
      <c r="M340" s="109">
        <f>SUMIF(收开票!A:A,销售合同!A:A,收开票!F:F)</f>
        <v>2566800</v>
      </c>
      <c r="N340" s="109">
        <f>SUMIF(收开票!A:A,销售合同!A:A,收开票!H:H)</f>
        <v>186</v>
      </c>
      <c r="O340" s="109">
        <f>SUMIF(收开票!A:A,销售合同!A:A,收开票!I:I)</f>
        <v>2566800</v>
      </c>
      <c r="P340" s="110">
        <f>SUMIF(收付款!A:A,销售合同!A:A,收付款!E:E)</f>
        <v>2566800</v>
      </c>
      <c r="Q340" s="110">
        <f>O340-P340</f>
        <v>0</v>
      </c>
      <c r="R340" s="161"/>
    </row>
    <row r="341" spans="1:24" ht="33" customHeight="1">
      <c r="A341" s="102" t="s">
        <v>5853</v>
      </c>
      <c r="B341" s="114" t="s">
        <v>485</v>
      </c>
      <c r="C341" s="114" t="s">
        <v>60</v>
      </c>
      <c r="D341" s="517">
        <v>43647</v>
      </c>
      <c r="E341" s="103" t="s">
        <v>83</v>
      </c>
      <c r="F341" s="107">
        <v>260</v>
      </c>
      <c r="G341" s="107">
        <v>7930</v>
      </c>
      <c r="H341" s="107"/>
      <c r="I341" s="117">
        <f t="shared" ref="I341" si="48">F341*G341</f>
        <v>2061800</v>
      </c>
      <c r="J341" s="114" t="s">
        <v>432</v>
      </c>
      <c r="K341" s="106">
        <f>SUMIF(收发货!A:A,销售合同!A:A,收发货!D:D)</f>
        <v>256</v>
      </c>
      <c r="L341" s="109">
        <f>SUMIF(收开票!A:A,销售合同!A:A,收开票!E:E)</f>
        <v>261.01769999999999</v>
      </c>
      <c r="M341" s="109">
        <f>SUMIF(收开票!A:A,销售合同!A:A,收开票!F:F)</f>
        <v>2069870.37</v>
      </c>
      <c r="N341" s="109">
        <f>SUMIF(收开票!A:A,销售合同!A:A,收开票!H:H)</f>
        <v>261.01769999999999</v>
      </c>
      <c r="O341" s="109">
        <f>SUMIF(收开票!A:A,销售合同!A:A,收开票!I:I)</f>
        <v>2069870.37</v>
      </c>
      <c r="P341" s="110">
        <f>SUMIF(收付款!A:A,销售合同!A:A,收付款!E:E)</f>
        <v>2069870.3699999999</v>
      </c>
      <c r="Q341" s="109">
        <f>O341-P341</f>
        <v>0</v>
      </c>
      <c r="R341" s="106"/>
      <c r="S341" s="111"/>
      <c r="T341" s="112"/>
      <c r="U341" s="112"/>
      <c r="V341" s="113"/>
      <c r="W341" s="112"/>
      <c r="X341" s="112"/>
    </row>
    <row r="342" spans="1:24" ht="45.75" customHeight="1">
      <c r="A342" s="102" t="s">
        <v>5910</v>
      </c>
      <c r="B342" s="114" t="s">
        <v>147</v>
      </c>
      <c r="C342" s="114" t="s">
        <v>82</v>
      </c>
      <c r="D342" s="517">
        <v>43668</v>
      </c>
      <c r="E342" s="103" t="s">
        <v>4795</v>
      </c>
      <c r="F342" s="498">
        <v>420</v>
      </c>
      <c r="G342" s="107">
        <v>13700</v>
      </c>
      <c r="H342" s="107"/>
      <c r="I342" s="117">
        <f>F342*G342</f>
        <v>5754000</v>
      </c>
      <c r="J342" s="114" t="s">
        <v>5761</v>
      </c>
      <c r="K342" s="106">
        <f>SUMIF(收发货!A:A,销售合同!A:A,收发货!D:D)</f>
        <v>420</v>
      </c>
      <c r="L342" s="109">
        <f>SUMIF(收开票!A:A,销售合同!A:A,收开票!E:E)</f>
        <v>420</v>
      </c>
      <c r="M342" s="109">
        <f>SUMIF(收开票!A:A,销售合同!A:A,收开票!F:F)</f>
        <v>5754000</v>
      </c>
      <c r="N342" s="109">
        <f>SUMIF(收开票!A:A,销售合同!A:A,收开票!H:H)</f>
        <v>420</v>
      </c>
      <c r="O342" s="109">
        <f>SUMIF(收开票!A:A,销售合同!A:A,收开票!I:I)</f>
        <v>5754000</v>
      </c>
      <c r="P342" s="110">
        <f>SUMIF(收付款!A:A,销售合同!A:A,收付款!E:E)</f>
        <v>5754000</v>
      </c>
      <c r="Q342" s="110">
        <f>O342-P342</f>
        <v>0</v>
      </c>
      <c r="R342" s="161"/>
    </row>
    <row r="343" spans="1:24" ht="45.75" customHeight="1">
      <c r="A343" s="102" t="s">
        <v>5903</v>
      </c>
      <c r="B343" s="114" t="s">
        <v>147</v>
      </c>
      <c r="C343" s="114" t="s">
        <v>82</v>
      </c>
      <c r="D343" s="517">
        <v>43678</v>
      </c>
      <c r="E343" s="103" t="s">
        <v>4795</v>
      </c>
      <c r="F343" s="498">
        <v>314</v>
      </c>
      <c r="G343" s="107">
        <v>13500</v>
      </c>
      <c r="H343" s="107"/>
      <c r="I343" s="117">
        <f>F343*G343</f>
        <v>4239000</v>
      </c>
      <c r="J343" s="114" t="s">
        <v>5761</v>
      </c>
      <c r="K343" s="106">
        <f>SUMIF(收发货!A:A,销售合同!A:A,收发货!D:D)</f>
        <v>314</v>
      </c>
      <c r="L343" s="109">
        <f>SUMIF(收开票!A:A,销售合同!A:A,收开票!E:E)</f>
        <v>314</v>
      </c>
      <c r="M343" s="109">
        <f>SUMIF(收开票!A:A,销售合同!A:A,收开票!F:F)</f>
        <v>4239000</v>
      </c>
      <c r="N343" s="109">
        <f>SUMIF(收开票!A:A,销售合同!A:A,收开票!H:H)</f>
        <v>314</v>
      </c>
      <c r="O343" s="109">
        <f>SUMIF(收开票!A:A,销售合同!A:A,收开票!I:I)</f>
        <v>4239000</v>
      </c>
      <c r="P343" s="110">
        <f>SUMIF(收付款!A:A,销售合同!A:A,收付款!E:E)</f>
        <v>4239000</v>
      </c>
      <c r="Q343" s="110">
        <f>O343-P343</f>
        <v>0</v>
      </c>
      <c r="R343" s="161"/>
    </row>
    <row r="344" spans="1:24" ht="33" customHeight="1">
      <c r="A344" s="102" t="s">
        <v>5987</v>
      </c>
      <c r="B344" s="114" t="s">
        <v>147</v>
      </c>
      <c r="C344" s="114" t="s">
        <v>82</v>
      </c>
      <c r="D344" s="517">
        <v>43678</v>
      </c>
      <c r="E344" s="103" t="s">
        <v>83</v>
      </c>
      <c r="F344" s="107">
        <v>600</v>
      </c>
      <c r="G344" s="107">
        <v>13380</v>
      </c>
      <c r="H344" s="107"/>
      <c r="I344" s="117">
        <f t="shared" ref="I344:I346" si="49">F344*G344</f>
        <v>8028000</v>
      </c>
      <c r="J344" s="114" t="s">
        <v>432</v>
      </c>
      <c r="K344" s="106">
        <f>SUMIF(收发货!A:A,销售合同!A:A,收发货!D:D)</f>
        <v>620</v>
      </c>
      <c r="L344" s="109">
        <f>SUMIF(收开票!A:A,销售合同!A:A,收开票!E:E)</f>
        <v>619.745</v>
      </c>
      <c r="M344" s="109">
        <f>SUMIF(收开票!A:A,销售合同!A:A,收开票!F:F)</f>
        <v>8292188.0999999996</v>
      </c>
      <c r="N344" s="109">
        <f>SUMIF(收开票!A:A,销售合同!A:A,收开票!H:H)</f>
        <v>619.745</v>
      </c>
      <c r="O344" s="109">
        <f>SUMIF(收开票!A:A,销售合同!A:A,收开票!I:I)</f>
        <v>8292188.0999999996</v>
      </c>
      <c r="P344" s="110">
        <f>SUMIF(收付款!A:A,销售合同!A:A,收付款!E:E)</f>
        <v>8292188.1000000006</v>
      </c>
      <c r="Q344" s="109">
        <f t="shared" ref="Q344" si="50">O344-P344</f>
        <v>0</v>
      </c>
      <c r="R344" s="106"/>
      <c r="S344" s="111"/>
      <c r="T344" s="112"/>
      <c r="U344" s="112"/>
      <c r="V344" s="113"/>
      <c r="W344" s="112"/>
      <c r="X344" s="112"/>
    </row>
    <row r="345" spans="1:24" ht="33" customHeight="1">
      <c r="A345" s="102" t="s">
        <v>5900</v>
      </c>
      <c r="B345" s="114" t="s">
        <v>485</v>
      </c>
      <c r="C345" s="114" t="s">
        <v>60</v>
      </c>
      <c r="D345" s="517">
        <v>43678</v>
      </c>
      <c r="E345" s="103" t="s">
        <v>83</v>
      </c>
      <c r="F345" s="107">
        <v>300</v>
      </c>
      <c r="G345" s="107">
        <v>7850</v>
      </c>
      <c r="H345" s="107"/>
      <c r="I345" s="117">
        <f t="shared" si="49"/>
        <v>2355000</v>
      </c>
      <c r="J345" s="114" t="s">
        <v>432</v>
      </c>
      <c r="K345" s="106">
        <f>SUMIF(收发货!A:A,销售合同!A:A,收发货!D:D)</f>
        <v>294</v>
      </c>
      <c r="L345" s="109">
        <f>SUMIF(收开票!A:A,销售合同!A:A,收开票!E:E)</f>
        <v>298.44260000000003</v>
      </c>
      <c r="M345" s="109">
        <f>SUMIF(收开票!A:A,销售合同!A:A,收开票!F:F)</f>
        <v>2342774.41</v>
      </c>
      <c r="N345" s="109">
        <f>SUMIF(收开票!A:A,销售合同!A:A,收开票!H:H)</f>
        <v>298.44260000000003</v>
      </c>
      <c r="O345" s="109">
        <f>SUMIF(收开票!A:A,销售合同!A:A,收开票!I:I)</f>
        <v>2342774.41</v>
      </c>
      <c r="P345" s="110">
        <f>SUMIF(收付款!A:A,销售合同!A:A,收付款!E:E)</f>
        <v>2342774.4099999997</v>
      </c>
      <c r="Q345" s="109">
        <f>O345-P345</f>
        <v>0</v>
      </c>
      <c r="R345" s="106"/>
      <c r="S345" s="111"/>
      <c r="T345" s="112"/>
      <c r="U345" s="112"/>
      <c r="V345" s="113"/>
      <c r="W345" s="112"/>
      <c r="X345" s="112"/>
    </row>
    <row r="346" spans="1:24" ht="45.75" customHeight="1">
      <c r="A346" s="102" t="s">
        <v>5912</v>
      </c>
      <c r="B346" s="114" t="s">
        <v>147</v>
      </c>
      <c r="C346" s="114" t="s">
        <v>82</v>
      </c>
      <c r="D346" s="517">
        <v>43690</v>
      </c>
      <c r="E346" s="103" t="s">
        <v>3042</v>
      </c>
      <c r="F346" s="107">
        <v>500</v>
      </c>
      <c r="G346" s="107">
        <v>12230</v>
      </c>
      <c r="H346" s="107"/>
      <c r="I346" s="117">
        <f t="shared" si="49"/>
        <v>6115000</v>
      </c>
      <c r="J346" s="114" t="s">
        <v>5913</v>
      </c>
      <c r="K346" s="263">
        <f>SUMIF(收发货!A:A,销售合同!A:A,收发货!D:D)</f>
        <v>518</v>
      </c>
      <c r="L346" s="109">
        <f>SUMIF(收开票!A:A,销售合同!A:A,收开票!E:E)</f>
        <v>517.83090000000004</v>
      </c>
      <c r="M346" s="109">
        <f>SUMIF(收开票!A:A,销售合同!A:A,收开票!F:F)</f>
        <v>6333070.8499999996</v>
      </c>
      <c r="N346" s="109">
        <f>SUMIF(收开票!A:A,销售合同!A:A,收开票!H:H)</f>
        <v>517.83090000000004</v>
      </c>
      <c r="O346" s="109">
        <f>SUMIF(收开票!A:A,销售合同!A:A,收开票!I:I)</f>
        <v>6333070.8499999996</v>
      </c>
      <c r="P346" s="110">
        <f>SUMIF(收付款!A:A,销售合同!A:A,收付款!E:E)</f>
        <v>6000000</v>
      </c>
      <c r="Q346" s="110">
        <f>O346-P346</f>
        <v>333070.84999999963</v>
      </c>
      <c r="R346" s="161"/>
    </row>
    <row r="347" spans="1:24" ht="45.75" customHeight="1">
      <c r="A347" s="102" t="s">
        <v>5981</v>
      </c>
      <c r="B347" s="114" t="s">
        <v>147</v>
      </c>
      <c r="C347" s="114" t="s">
        <v>82</v>
      </c>
      <c r="D347" s="517">
        <v>43713</v>
      </c>
      <c r="E347" s="103" t="s">
        <v>4795</v>
      </c>
      <c r="F347" s="498">
        <v>99</v>
      </c>
      <c r="G347" s="107">
        <v>11800</v>
      </c>
      <c r="H347" s="107"/>
      <c r="I347" s="117">
        <f>F347*G347</f>
        <v>1168200</v>
      </c>
      <c r="J347" s="114" t="s">
        <v>5761</v>
      </c>
      <c r="K347" s="106">
        <f>SUMIF(收发货!A:A,销售合同!A:A,收发货!D:D)</f>
        <v>98</v>
      </c>
      <c r="L347" s="109">
        <f>SUMIF(收开票!A:A,销售合同!A:A,收开票!E:E)</f>
        <v>98</v>
      </c>
      <c r="M347" s="109">
        <f>SUMIF(收开票!A:A,销售合同!A:A,收开票!F:F)</f>
        <v>1156400</v>
      </c>
      <c r="N347" s="109">
        <f>SUMIF(收开票!A:A,销售合同!A:A,收开票!H:H)</f>
        <v>98</v>
      </c>
      <c r="O347" s="109">
        <f>SUMIF(收开票!A:A,销售合同!A:A,收开票!I:I)</f>
        <v>1156400</v>
      </c>
      <c r="P347" s="110">
        <f>SUMIF(收付款!A:A,销售合同!A:A,收付款!E:E)</f>
        <v>1156400</v>
      </c>
      <c r="Q347" s="110">
        <f>O347-P347</f>
        <v>0</v>
      </c>
      <c r="R347" s="161"/>
    </row>
    <row r="348" spans="1:24" ht="45.75" customHeight="1">
      <c r="A348" s="102" t="s">
        <v>5949</v>
      </c>
      <c r="B348" s="114" t="s">
        <v>147</v>
      </c>
      <c r="C348" s="114" t="s">
        <v>82</v>
      </c>
      <c r="D348" s="517">
        <v>43714</v>
      </c>
      <c r="E348" s="103" t="s">
        <v>3042</v>
      </c>
      <c r="F348" s="107">
        <v>280</v>
      </c>
      <c r="G348" s="107">
        <v>11620</v>
      </c>
      <c r="H348" s="107"/>
      <c r="I348" s="117">
        <f t="shared" ref="I348:I349" si="51">F348*G348</f>
        <v>3253600</v>
      </c>
      <c r="J348" s="114" t="s">
        <v>5950</v>
      </c>
      <c r="K348" s="263">
        <f>SUMIF(收发货!A:A,销售合同!A:A,收发货!D:D)</f>
        <v>280</v>
      </c>
      <c r="L348" s="109">
        <f>SUMIF(收开票!A:A,销售合同!A:A,收开票!E:E)</f>
        <v>279.77179999999998</v>
      </c>
      <c r="M348" s="109">
        <f>SUMIF(收开票!A:A,销售合同!A:A,收开票!F:F)</f>
        <v>3250948.32</v>
      </c>
      <c r="N348" s="109">
        <f>SUMIF(收开票!A:A,销售合同!A:A,收开票!H:H)</f>
        <v>279.77179999999998</v>
      </c>
      <c r="O348" s="109">
        <f>SUMIF(收开票!A:A,销售合同!A:A,收开票!I:I)</f>
        <v>3250948.32</v>
      </c>
      <c r="P348" s="110">
        <f>SUMIF(收付款!A:A,销售合同!A:A,收付款!E:E)</f>
        <v>3250000</v>
      </c>
      <c r="Q348" s="110">
        <f>O348-P348</f>
        <v>948.31999999983236</v>
      </c>
      <c r="R348" s="161"/>
    </row>
    <row r="349" spans="1:24" ht="33" customHeight="1">
      <c r="A349" s="102" t="s">
        <v>5951</v>
      </c>
      <c r="B349" s="114" t="s">
        <v>147</v>
      </c>
      <c r="C349" s="114" t="s">
        <v>82</v>
      </c>
      <c r="D349" s="517">
        <v>43709</v>
      </c>
      <c r="E349" s="103" t="s">
        <v>83</v>
      </c>
      <c r="F349" s="107">
        <v>320</v>
      </c>
      <c r="G349" s="107">
        <v>11720</v>
      </c>
      <c r="H349" s="107"/>
      <c r="I349" s="117">
        <f t="shared" si="51"/>
        <v>3750400</v>
      </c>
      <c r="J349" s="114" t="s">
        <v>432</v>
      </c>
      <c r="K349" s="106">
        <f>SUMIF(收发货!A:A,销售合同!A:A,收发货!D:D)</f>
        <v>310</v>
      </c>
      <c r="L349" s="109">
        <f>SUMIF(收开票!A:A,销售合同!A:A,收开票!E:E)</f>
        <v>309.84199999999998</v>
      </c>
      <c r="M349" s="109">
        <f>SUMIF(收开票!A:A,销售合同!A:A,收开票!F:F)</f>
        <v>3631348.2399999998</v>
      </c>
      <c r="N349" s="109">
        <f>SUMIF(收开票!A:A,销售合同!A:A,收开票!H:H)</f>
        <v>309.84199999999998</v>
      </c>
      <c r="O349" s="109">
        <f>SUMIF(收开票!A:A,销售合同!A:A,收开票!I:I)</f>
        <v>3631348.2399999998</v>
      </c>
      <c r="P349" s="110">
        <f>SUMIF(收付款!A:A,销售合同!A:A,收付款!E:E)</f>
        <v>3631348.24</v>
      </c>
      <c r="Q349" s="109">
        <f t="shared" ref="Q349" si="52">O349-P349</f>
        <v>0</v>
      </c>
      <c r="R349" s="106"/>
      <c r="S349" s="111"/>
      <c r="T349" s="112"/>
      <c r="U349" s="112"/>
      <c r="V349" s="113"/>
      <c r="W349" s="112"/>
      <c r="X349" s="112"/>
    </row>
    <row r="350" spans="1:24" ht="45.75" customHeight="1">
      <c r="A350" s="102" t="s">
        <v>5974</v>
      </c>
      <c r="B350" s="114" t="s">
        <v>147</v>
      </c>
      <c r="C350" s="114" t="s">
        <v>82</v>
      </c>
      <c r="D350" s="517">
        <v>43718</v>
      </c>
      <c r="E350" s="103" t="s">
        <v>4795</v>
      </c>
      <c r="F350" s="498">
        <v>512</v>
      </c>
      <c r="G350" s="107">
        <v>11800</v>
      </c>
      <c r="H350" s="107"/>
      <c r="I350" s="117">
        <f>F350*G350</f>
        <v>6041600</v>
      </c>
      <c r="J350" s="114" t="s">
        <v>5761</v>
      </c>
      <c r="K350" s="106">
        <f>SUMIF(收发货!A:A,销售合同!A:A,收发货!D:D)</f>
        <v>512</v>
      </c>
      <c r="L350" s="109">
        <f>SUMIF(收开票!A:A,销售合同!A:A,收开票!E:E)</f>
        <v>512</v>
      </c>
      <c r="M350" s="109">
        <f>SUMIF(收开票!A:A,销售合同!A:A,收开票!F:F)</f>
        <v>6041600</v>
      </c>
      <c r="N350" s="109">
        <f>SUMIF(收开票!A:A,销售合同!A:A,收开票!H:H)</f>
        <v>512</v>
      </c>
      <c r="O350" s="109">
        <f>SUMIF(收开票!A:A,销售合同!A:A,收开票!I:I)</f>
        <v>6041600</v>
      </c>
      <c r="P350" s="110">
        <f>SUMIF(收付款!A:A,销售合同!A:A,收付款!E:E)</f>
        <v>6041600</v>
      </c>
      <c r="Q350" s="110">
        <f>O350-P350</f>
        <v>0</v>
      </c>
      <c r="R350" s="161"/>
    </row>
    <row r="351" spans="1:24" ht="33" customHeight="1">
      <c r="A351" s="102" t="s">
        <v>5985</v>
      </c>
      <c r="B351" s="114" t="s">
        <v>485</v>
      </c>
      <c r="C351" s="114" t="s">
        <v>60</v>
      </c>
      <c r="D351" s="517">
        <v>43709</v>
      </c>
      <c r="E351" s="103" t="s">
        <v>83</v>
      </c>
      <c r="F351" s="107">
        <v>500</v>
      </c>
      <c r="G351" s="107">
        <v>7620</v>
      </c>
      <c r="H351" s="107"/>
      <c r="I351" s="117">
        <f t="shared" ref="I351:I352" si="53">F351*G351</f>
        <v>3810000</v>
      </c>
      <c r="J351" s="114" t="s">
        <v>432</v>
      </c>
      <c r="K351" s="106">
        <f>SUMIF(收发货!A:A,销售合同!A:A,收发货!D:D)</f>
        <v>500</v>
      </c>
      <c r="L351" s="109">
        <f>SUMIF(收开票!A:A,销售合同!A:A,收开票!E:E)</f>
        <v>506.36220000000003</v>
      </c>
      <c r="M351" s="109">
        <f>SUMIF(收开票!A:A,销售合同!A:A,收开票!F:F)</f>
        <v>3858479.96</v>
      </c>
      <c r="N351" s="109">
        <f>SUMIF(收开票!A:A,销售合同!A:A,收开票!H:H)</f>
        <v>506.36220000000003</v>
      </c>
      <c r="O351" s="109">
        <f>SUMIF(收开票!A:A,销售合同!A:A,收开票!I:I)</f>
        <v>3858479.96</v>
      </c>
      <c r="P351" s="110">
        <f>SUMIF(收付款!A:A,销售合同!A:A,收付款!E:E)</f>
        <v>3858479.96</v>
      </c>
      <c r="Q351" s="109">
        <f>O351-P351</f>
        <v>0</v>
      </c>
      <c r="R351" s="106"/>
      <c r="S351" s="111"/>
      <c r="T351" s="112"/>
      <c r="U351" s="112"/>
      <c r="V351" s="113"/>
      <c r="W351" s="112"/>
      <c r="X351" s="112"/>
    </row>
    <row r="352" spans="1:24" ht="33" customHeight="1">
      <c r="A352" s="102" t="s">
        <v>6020</v>
      </c>
      <c r="B352" s="114" t="s">
        <v>147</v>
      </c>
      <c r="C352" s="114" t="s">
        <v>82</v>
      </c>
      <c r="D352" s="517">
        <v>43739</v>
      </c>
      <c r="E352" s="103" t="s">
        <v>83</v>
      </c>
      <c r="F352" s="107">
        <v>210</v>
      </c>
      <c r="G352" s="498">
        <v>12040</v>
      </c>
      <c r="H352" s="107"/>
      <c r="I352" s="117">
        <f t="shared" si="53"/>
        <v>2528400</v>
      </c>
      <c r="J352" s="114" t="s">
        <v>432</v>
      </c>
      <c r="K352" s="106">
        <f>SUMIF(收发货!A:A,销售合同!A:A,收发货!D:D)</f>
        <v>210</v>
      </c>
      <c r="L352" s="109">
        <f>SUMIF(收开票!A:A,销售合同!A:A,收开票!E:E)</f>
        <v>209.56200000000001</v>
      </c>
      <c r="M352" s="109">
        <f>SUMIF(收开票!A:A,销售合同!A:A,收开票!F:F)</f>
        <v>2523126.48</v>
      </c>
      <c r="N352" s="109">
        <f>SUMIF(收开票!A:A,销售合同!A:A,收开票!H:H)</f>
        <v>209.56200000000001</v>
      </c>
      <c r="O352" s="109">
        <f>SUMIF(收开票!A:A,销售合同!A:A,收开票!I:I)</f>
        <v>2523126.48</v>
      </c>
      <c r="P352" s="110">
        <f>SUMIF(收付款!A:A,销售合同!A:A,收付款!E:E)</f>
        <v>2523126.48</v>
      </c>
      <c r="Q352" s="109">
        <f t="shared" ref="Q352" si="54">O352-P352</f>
        <v>0</v>
      </c>
      <c r="R352" s="106"/>
      <c r="S352" s="111"/>
      <c r="T352" s="112"/>
      <c r="U352" s="112"/>
      <c r="V352" s="113"/>
      <c r="W352" s="112"/>
      <c r="X352" s="112"/>
    </row>
    <row r="353" spans="1:24" ht="33" customHeight="1">
      <c r="A353" s="102" t="s">
        <v>6030</v>
      </c>
      <c r="B353" s="114" t="s">
        <v>485</v>
      </c>
      <c r="C353" s="114" t="s">
        <v>60</v>
      </c>
      <c r="D353" s="517">
        <v>43739</v>
      </c>
      <c r="E353" s="103" t="s">
        <v>83</v>
      </c>
      <c r="F353" s="107">
        <v>300</v>
      </c>
      <c r="G353" s="107">
        <v>7200</v>
      </c>
      <c r="H353" s="107"/>
      <c r="I353" s="117">
        <f t="shared" ref="I353:I354" si="55">F353*G353</f>
        <v>2160000</v>
      </c>
      <c r="J353" s="114" t="s">
        <v>432</v>
      </c>
      <c r="K353" s="106">
        <f>SUMIF(收发货!A:A,销售合同!A:A,收发货!D:D)</f>
        <v>299.42</v>
      </c>
      <c r="L353" s="109">
        <f>SUMIF(收开票!A:A,销售合同!A:A,收开票!E:E)</f>
        <v>302.32960000000003</v>
      </c>
      <c r="M353" s="109">
        <f>SUMIF(收开票!A:A,销售合同!A:A,收开票!F:F)</f>
        <v>2173880.11</v>
      </c>
      <c r="N353" s="109">
        <f>SUMIF(收开票!A:A,销售合同!A:A,收开票!H:H)</f>
        <v>302.32960000000003</v>
      </c>
      <c r="O353" s="109">
        <f>SUMIF(收开票!A:A,销售合同!A:A,收开票!I:I)</f>
        <v>2173880.11</v>
      </c>
      <c r="P353" s="110">
        <f>SUMIF(收付款!A:A,销售合同!A:A,收付款!E:E)</f>
        <v>2173880.11</v>
      </c>
      <c r="Q353" s="109">
        <f>O353-P353</f>
        <v>0</v>
      </c>
      <c r="R353" s="106"/>
      <c r="S353" s="111"/>
      <c r="T353" s="112"/>
      <c r="U353" s="112"/>
      <c r="V353" s="113"/>
      <c r="W353" s="112"/>
      <c r="X353" s="112"/>
    </row>
    <row r="354" spans="1:24" ht="33" customHeight="1">
      <c r="A354" s="102" t="s">
        <v>6052</v>
      </c>
      <c r="B354" s="114" t="s">
        <v>485</v>
      </c>
      <c r="C354" s="114" t="s">
        <v>82</v>
      </c>
      <c r="D354" s="517">
        <v>43770</v>
      </c>
      <c r="E354" s="103" t="s">
        <v>83</v>
      </c>
      <c r="F354" s="107">
        <v>450</v>
      </c>
      <c r="G354" s="498">
        <v>11900</v>
      </c>
      <c r="H354" s="107"/>
      <c r="I354" s="117">
        <f t="shared" si="55"/>
        <v>5355000</v>
      </c>
      <c r="J354" s="114" t="s">
        <v>432</v>
      </c>
      <c r="K354" s="106">
        <f>SUMIF(收发货!A:A,销售合同!A:A,收发货!D:D)</f>
        <v>470</v>
      </c>
      <c r="L354" s="109">
        <f>SUMIF(收开票!A:A,销售合同!A:A,收开票!E:E)</f>
        <v>470.01329999999996</v>
      </c>
      <c r="M354" s="109">
        <f>SUMIF(收开票!A:A,销售合同!A:A,收开票!F:F)</f>
        <v>5593158.2699999996</v>
      </c>
      <c r="N354" s="109">
        <f>SUMIF(收开票!A:A,销售合同!A:A,收开票!H:H)</f>
        <v>470.01329999999996</v>
      </c>
      <c r="O354" s="109">
        <f>SUMIF(收开票!A:A,销售合同!A:A,收开票!I:I)</f>
        <v>5593158.2699999996</v>
      </c>
      <c r="P354" s="110">
        <f>SUMIF(收付款!A:A,销售合同!A:A,收付款!E:E)</f>
        <v>4578241.5999999996</v>
      </c>
      <c r="Q354" s="109">
        <f t="shared" ref="Q354" si="56">O354-P354</f>
        <v>1014916.6699999999</v>
      </c>
      <c r="R354" s="106"/>
      <c r="S354" s="111"/>
      <c r="T354" s="112"/>
      <c r="U354" s="112"/>
      <c r="V354" s="113"/>
      <c r="W354" s="112"/>
      <c r="X354" s="112"/>
    </row>
    <row r="355" spans="1:24" ht="33" customHeight="1">
      <c r="A355" s="102" t="s">
        <v>6080</v>
      </c>
      <c r="B355" s="114" t="s">
        <v>485</v>
      </c>
      <c r="C355" s="114" t="s">
        <v>60</v>
      </c>
      <c r="D355" s="517">
        <v>43770</v>
      </c>
      <c r="E355" s="103" t="s">
        <v>83</v>
      </c>
      <c r="F355" s="107">
        <v>300</v>
      </c>
      <c r="G355" s="107">
        <v>5930</v>
      </c>
      <c r="H355" s="107"/>
      <c r="I355" s="117">
        <f t="shared" ref="I355" si="57">F355*G355</f>
        <v>1779000</v>
      </c>
      <c r="J355" s="114" t="s">
        <v>432</v>
      </c>
      <c r="K355" s="106">
        <f>SUMIF(收发货!A:A,销售合同!A:A,收发货!D:D)</f>
        <v>300</v>
      </c>
      <c r="L355" s="109">
        <f>SUMIF(收开票!A:A,销售合同!A:A,收开票!E:E)</f>
        <v>309.30059999999997</v>
      </c>
      <c r="M355" s="109">
        <f>SUMIF(收开票!A:A,销售合同!A:A,收开票!F:F)</f>
        <v>1823172.27</v>
      </c>
      <c r="N355" s="109">
        <f>SUMIF(收开票!A:A,销售合同!A:A,收开票!H:H)</f>
        <v>309.30059999999997</v>
      </c>
      <c r="O355" s="109">
        <f>SUMIF(收开票!A:A,销售合同!A:A,收开票!I:I)</f>
        <v>1823172.27</v>
      </c>
      <c r="P355" s="110">
        <f>SUMIF(收付款!A:A,销售合同!A:A,收付款!E:E)</f>
        <v>0</v>
      </c>
      <c r="Q355" s="109">
        <f>O355-P355</f>
        <v>1823172.27</v>
      </c>
      <c r="R355" s="106"/>
      <c r="S355" s="111"/>
      <c r="T355" s="112"/>
      <c r="U355" s="112"/>
      <c r="V355" s="113"/>
      <c r="W355" s="112"/>
      <c r="X355" s="112"/>
    </row>
    <row r="1048521" spans="17:17" ht="35.1" customHeight="1">
      <c r="Q1048521" s="93"/>
    </row>
    <row r="1048522" spans="17:17" ht="35.1" customHeight="1">
      <c r="Q1048522" s="110"/>
    </row>
    <row r="1048523" spans="17:17" ht="35.1" customHeight="1">
      <c r="Q1048523" s="110"/>
    </row>
    <row r="1048524" spans="17:17" ht="35.1" customHeight="1">
      <c r="Q1048524" s="110"/>
    </row>
    <row r="1048525" spans="17:17" ht="35.1" customHeight="1">
      <c r="Q1048525" s="110"/>
    </row>
    <row r="1048526" spans="17:17" ht="35.1" customHeight="1">
      <c r="Q1048526" s="110"/>
    </row>
    <row r="1048527" spans="17:17" ht="35.1" customHeight="1">
      <c r="Q1048527" s="110"/>
    </row>
  </sheetData>
  <autoFilter ref="A1:X354" xr:uid="{00000000-0009-0000-0000-000000000000}">
    <filterColumn colId="3">
      <filters>
        <dateGroupItem year="2019" dateTimeGrouping="year"/>
      </filters>
    </filterColumn>
    <sortState xmlns:xlrd2="http://schemas.microsoft.com/office/spreadsheetml/2017/richdata2" ref="A2:X316">
      <sortCondition sortBy="cellColor" ref="A1:A316" dxfId="110"/>
    </sortState>
  </autoFilter>
  <phoneticPr fontId="14" type="noConversion"/>
  <conditionalFormatting sqref="Q2:Q317 Q345:Q346 Q348:Q351 Q356:Q1048576">
    <cfRule type="cellIs" dxfId="109" priority="61" operator="notEqual">
      <formula>0</formula>
    </cfRule>
  </conditionalFormatting>
  <conditionalFormatting sqref="Q318">
    <cfRule type="cellIs" dxfId="108" priority="60" operator="notEqual">
      <formula>0</formula>
    </cfRule>
  </conditionalFormatting>
  <conditionalFormatting sqref="Q319">
    <cfRule type="cellIs" dxfId="107" priority="59" operator="notEqual">
      <formula>0</formula>
    </cfRule>
  </conditionalFormatting>
  <conditionalFormatting sqref="Q320">
    <cfRule type="cellIs" dxfId="106" priority="58" operator="notEqual">
      <formula>0</formula>
    </cfRule>
  </conditionalFormatting>
  <conditionalFormatting sqref="Q321">
    <cfRule type="cellIs" dxfId="105" priority="57" operator="notEqual">
      <formula>0</formula>
    </cfRule>
  </conditionalFormatting>
  <conditionalFormatting sqref="Q322">
    <cfRule type="cellIs" dxfId="104" priority="56" operator="notEqual">
      <formula>0</formula>
    </cfRule>
  </conditionalFormatting>
  <conditionalFormatting sqref="Q323">
    <cfRule type="cellIs" dxfId="103" priority="55" operator="notEqual">
      <formula>0</formula>
    </cfRule>
  </conditionalFormatting>
  <conditionalFormatting sqref="Q324">
    <cfRule type="cellIs" dxfId="102" priority="54" operator="notEqual">
      <formula>0</formula>
    </cfRule>
  </conditionalFormatting>
  <conditionalFormatting sqref="Q325">
    <cfRule type="cellIs" dxfId="101" priority="53" operator="notEqual">
      <formula>0</formula>
    </cfRule>
  </conditionalFormatting>
  <conditionalFormatting sqref="Q326">
    <cfRule type="cellIs" dxfId="100" priority="52" operator="notEqual">
      <formula>0</formula>
    </cfRule>
  </conditionalFormatting>
  <conditionalFormatting sqref="Q327">
    <cfRule type="cellIs" dxfId="99" priority="51" operator="notEqual">
      <formula>0</formula>
    </cfRule>
  </conditionalFormatting>
  <conditionalFormatting sqref="Q328">
    <cfRule type="cellIs" dxfId="98" priority="50" operator="notEqual">
      <formula>0</formula>
    </cfRule>
  </conditionalFormatting>
  <conditionalFormatting sqref="Q329">
    <cfRule type="cellIs" dxfId="97" priority="49" operator="notEqual">
      <formula>0</formula>
    </cfRule>
  </conditionalFormatting>
  <conditionalFormatting sqref="Q330">
    <cfRule type="cellIs" dxfId="96" priority="48" operator="notEqual">
      <formula>0</formula>
    </cfRule>
  </conditionalFormatting>
  <conditionalFormatting sqref="Q331">
    <cfRule type="cellIs" dxfId="95" priority="47" operator="notEqual">
      <formula>0</formula>
    </cfRule>
  </conditionalFormatting>
  <conditionalFormatting sqref="Q332">
    <cfRule type="cellIs" dxfId="94" priority="46" operator="notEqual">
      <formula>0</formula>
    </cfRule>
  </conditionalFormatting>
  <conditionalFormatting sqref="Q333">
    <cfRule type="cellIs" dxfId="93" priority="45" operator="notEqual">
      <formula>0</formula>
    </cfRule>
  </conditionalFormatting>
  <conditionalFormatting sqref="Q335">
    <cfRule type="cellIs" dxfId="92" priority="43" operator="notEqual">
      <formula>0</formula>
    </cfRule>
  </conditionalFormatting>
  <conditionalFormatting sqref="Q335">
    <cfRule type="cellIs" dxfId="91" priority="42" operator="notEqual">
      <formula>0</formula>
    </cfRule>
  </conditionalFormatting>
  <conditionalFormatting sqref="Q335">
    <cfRule type="cellIs" dxfId="90" priority="41" operator="notEqual">
      <formula>0</formula>
    </cfRule>
  </conditionalFormatting>
  <conditionalFormatting sqref="Q334">
    <cfRule type="cellIs" dxfId="89" priority="40" operator="notEqual">
      <formula>0</formula>
    </cfRule>
  </conditionalFormatting>
  <conditionalFormatting sqref="Q336">
    <cfRule type="cellIs" dxfId="88" priority="39" operator="notEqual">
      <formula>0</formula>
    </cfRule>
  </conditionalFormatting>
  <conditionalFormatting sqref="Q337">
    <cfRule type="cellIs" dxfId="87" priority="38" operator="notEqual">
      <formula>0</formula>
    </cfRule>
  </conditionalFormatting>
  <conditionalFormatting sqref="Q337">
    <cfRule type="cellIs" dxfId="86" priority="37" operator="notEqual">
      <formula>0</formula>
    </cfRule>
  </conditionalFormatting>
  <conditionalFormatting sqref="Q337">
    <cfRule type="cellIs" dxfId="85" priority="36" operator="notEqual">
      <formula>0</formula>
    </cfRule>
  </conditionalFormatting>
  <conditionalFormatting sqref="Q338">
    <cfRule type="cellIs" dxfId="84" priority="35" operator="notEqual">
      <formula>0</formula>
    </cfRule>
  </conditionalFormatting>
  <conditionalFormatting sqref="Q339">
    <cfRule type="cellIs" dxfId="83" priority="34" operator="notEqual">
      <formula>0</formula>
    </cfRule>
  </conditionalFormatting>
  <conditionalFormatting sqref="Q340">
    <cfRule type="cellIs" dxfId="82" priority="33" operator="notEqual">
      <formula>0</formula>
    </cfRule>
  </conditionalFormatting>
  <conditionalFormatting sqref="Q340">
    <cfRule type="cellIs" dxfId="81" priority="32" operator="notEqual">
      <formula>0</formula>
    </cfRule>
  </conditionalFormatting>
  <conditionalFormatting sqref="Q340">
    <cfRule type="cellIs" dxfId="80" priority="31" operator="notEqual">
      <formula>0</formula>
    </cfRule>
  </conditionalFormatting>
  <conditionalFormatting sqref="Q341">
    <cfRule type="cellIs" dxfId="79" priority="30" operator="notEqual">
      <formula>0</formula>
    </cfRule>
  </conditionalFormatting>
  <conditionalFormatting sqref="Q342">
    <cfRule type="cellIs" dxfId="78" priority="29" operator="notEqual">
      <formula>0</formula>
    </cfRule>
  </conditionalFormatting>
  <conditionalFormatting sqref="Q342">
    <cfRule type="cellIs" dxfId="77" priority="28" operator="notEqual">
      <formula>0</formula>
    </cfRule>
  </conditionalFormatting>
  <conditionalFormatting sqref="Q342">
    <cfRule type="cellIs" dxfId="76" priority="27" operator="notEqual">
      <formula>0</formula>
    </cfRule>
  </conditionalFormatting>
  <conditionalFormatting sqref="Q343">
    <cfRule type="cellIs" dxfId="75" priority="26" operator="notEqual">
      <formula>0</formula>
    </cfRule>
  </conditionalFormatting>
  <conditionalFormatting sqref="Q343">
    <cfRule type="cellIs" dxfId="74" priority="25" operator="notEqual">
      <formula>0</formula>
    </cfRule>
  </conditionalFormatting>
  <conditionalFormatting sqref="Q343">
    <cfRule type="cellIs" dxfId="73" priority="24" operator="notEqual">
      <formula>0</formula>
    </cfRule>
  </conditionalFormatting>
  <conditionalFormatting sqref="Q344">
    <cfRule type="cellIs" dxfId="72" priority="22" operator="notEqual">
      <formula>0</formula>
    </cfRule>
  </conditionalFormatting>
  <conditionalFormatting sqref="Q345">
    <cfRule type="cellIs" dxfId="71" priority="21" operator="notEqual">
      <formula>0</formula>
    </cfRule>
  </conditionalFormatting>
  <conditionalFormatting sqref="Q346">
    <cfRule type="cellIs" dxfId="70" priority="20" operator="notEqual">
      <formula>0</formula>
    </cfRule>
  </conditionalFormatting>
  <conditionalFormatting sqref="Q347">
    <cfRule type="cellIs" dxfId="69" priority="19" operator="notEqual">
      <formula>0</formula>
    </cfRule>
  </conditionalFormatting>
  <conditionalFormatting sqref="Q347">
    <cfRule type="cellIs" dxfId="68" priority="18" operator="notEqual">
      <formula>0</formula>
    </cfRule>
  </conditionalFormatting>
  <conditionalFormatting sqref="Q347">
    <cfRule type="cellIs" dxfId="67" priority="17" operator="notEqual">
      <formula>0</formula>
    </cfRule>
  </conditionalFormatting>
  <conditionalFormatting sqref="Q348">
    <cfRule type="cellIs" dxfId="66" priority="16" operator="notEqual">
      <formula>0</formula>
    </cfRule>
  </conditionalFormatting>
  <conditionalFormatting sqref="Q349">
    <cfRule type="cellIs" dxfId="65" priority="15" operator="notEqual">
      <formula>0</formula>
    </cfRule>
  </conditionalFormatting>
  <conditionalFormatting sqref="Q350">
    <cfRule type="cellIs" dxfId="64" priority="14" operator="notEqual">
      <formula>0</formula>
    </cfRule>
  </conditionalFormatting>
  <conditionalFormatting sqref="Q350">
    <cfRule type="cellIs" dxfId="63" priority="13" operator="notEqual">
      <formula>0</formula>
    </cfRule>
  </conditionalFormatting>
  <conditionalFormatting sqref="Q350">
    <cfRule type="cellIs" dxfId="62" priority="12" operator="notEqual">
      <formula>0</formula>
    </cfRule>
  </conditionalFormatting>
  <conditionalFormatting sqref="Q351">
    <cfRule type="cellIs" dxfId="61" priority="11" operator="notEqual">
      <formula>0</formula>
    </cfRule>
  </conditionalFormatting>
  <conditionalFormatting sqref="Q352">
    <cfRule type="cellIs" dxfId="60" priority="10" operator="notEqual">
      <formula>0</formula>
    </cfRule>
  </conditionalFormatting>
  <conditionalFormatting sqref="Q352">
    <cfRule type="cellIs" dxfId="59" priority="9" operator="notEqual">
      <formula>0</formula>
    </cfRule>
  </conditionalFormatting>
  <conditionalFormatting sqref="Q353">
    <cfRule type="cellIs" dxfId="58" priority="8" operator="notEqual">
      <formula>0</formula>
    </cfRule>
  </conditionalFormatting>
  <conditionalFormatting sqref="Q353">
    <cfRule type="cellIs" dxfId="57" priority="7" operator="notEqual">
      <formula>0</formula>
    </cfRule>
  </conditionalFormatting>
  <conditionalFormatting sqref="Q354">
    <cfRule type="cellIs" dxfId="56" priority="6" operator="notEqual">
      <formula>0</formula>
    </cfRule>
  </conditionalFormatting>
  <conditionalFormatting sqref="Q354">
    <cfRule type="cellIs" dxfId="55" priority="5" operator="notEqual">
      <formula>0</formula>
    </cfRule>
  </conditionalFormatting>
  <conditionalFormatting sqref="Q355">
    <cfRule type="cellIs" dxfId="54" priority="4" operator="notEqual">
      <formula>0</formula>
    </cfRule>
  </conditionalFormatting>
  <conditionalFormatting sqref="Q355">
    <cfRule type="cellIs" dxfId="53" priority="3" operator="notEqual">
      <formula>0</formula>
    </cfRule>
  </conditionalFormatting>
  <pageMargins left="0.31496062992125984" right="0.31496062992125984" top="0.74803149606299213" bottom="0.74803149606299213" header="0.31496062992125984" footer="0.31496062992125984"/>
  <pageSetup paperSize="9" scale="9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197"/>
  <sheetViews>
    <sheetView workbookViewId="0">
      <pane ySplit="1" topLeftCell="A176" activePane="bottomLeft" state="frozen"/>
      <selection pane="bottomLeft" activeCell="F191" activeCellId="2" sqref="A191 E191 F191"/>
    </sheetView>
  </sheetViews>
  <sheetFormatPr defaultRowHeight="24.95" customHeight="1"/>
  <cols>
    <col min="1" max="1" width="15" bestFit="1" customWidth="1"/>
    <col min="2" max="2" width="7.25" customWidth="1"/>
    <col min="3" max="3" width="11.5" customWidth="1"/>
    <col min="4" max="4" width="25.5" customWidth="1"/>
    <col min="5" max="5" width="11.375" customWidth="1"/>
    <col min="6" max="6" width="13.875" customWidth="1"/>
    <col min="7" max="7" width="15.5" customWidth="1"/>
    <col min="9" max="9" width="23.75" customWidth="1"/>
    <col min="10" max="10" width="11.5" bestFit="1" customWidth="1"/>
    <col min="11" max="12" width="12.125" customWidth="1"/>
    <col min="13" max="13" width="9.75" style="375" customWidth="1"/>
    <col min="14" max="14" width="11.625" bestFit="1" customWidth="1"/>
    <col min="15" max="15" width="14.875" bestFit="1" customWidth="1"/>
  </cols>
  <sheetData>
    <row r="1" spans="1:13" s="56" customFormat="1" ht="24.95" customHeight="1">
      <c r="A1" s="15" t="s">
        <v>11</v>
      </c>
      <c r="B1" s="15" t="s">
        <v>410</v>
      </c>
      <c r="C1" s="15" t="s">
        <v>14</v>
      </c>
      <c r="D1" s="15" t="s">
        <v>407</v>
      </c>
      <c r="E1" s="14" t="s">
        <v>414</v>
      </c>
      <c r="F1" s="14" t="s">
        <v>625</v>
      </c>
      <c r="G1" s="14" t="s">
        <v>408</v>
      </c>
      <c r="H1" s="14" t="s">
        <v>409</v>
      </c>
      <c r="I1" s="14" t="s">
        <v>411</v>
      </c>
      <c r="J1" s="14" t="s">
        <v>414</v>
      </c>
      <c r="K1" s="14" t="s">
        <v>3035</v>
      </c>
      <c r="L1" s="14" t="s">
        <v>609</v>
      </c>
      <c r="M1" s="374" t="s">
        <v>3278</v>
      </c>
    </row>
    <row r="2" spans="1:13" s="56" customFormat="1" ht="24.95" customHeight="1">
      <c r="A2" s="61"/>
      <c r="B2" s="66"/>
      <c r="C2" s="64">
        <v>42004</v>
      </c>
      <c r="D2" s="66" t="s">
        <v>617</v>
      </c>
      <c r="E2" s="67">
        <v>39</v>
      </c>
      <c r="F2" s="67">
        <v>9139</v>
      </c>
      <c r="G2" s="62"/>
      <c r="H2" s="62"/>
      <c r="I2" s="62"/>
      <c r="J2" s="62"/>
      <c r="K2" s="62"/>
      <c r="L2" s="62"/>
      <c r="M2" s="374" t="s">
        <v>627</v>
      </c>
    </row>
    <row r="3" spans="1:13" ht="24.95" customHeight="1">
      <c r="A3" s="13" t="s">
        <v>102</v>
      </c>
      <c r="B3" s="6" t="s">
        <v>103</v>
      </c>
      <c r="C3" s="7">
        <v>42342</v>
      </c>
      <c r="D3" s="6" t="s">
        <v>104</v>
      </c>
      <c r="E3" s="9">
        <v>40</v>
      </c>
      <c r="F3" s="9"/>
      <c r="G3" s="51" t="s">
        <v>138</v>
      </c>
      <c r="H3" s="6" t="s">
        <v>103</v>
      </c>
      <c r="I3" s="52" t="s">
        <v>139</v>
      </c>
      <c r="J3" s="9">
        <v>40</v>
      </c>
      <c r="K3" s="9">
        <v>40</v>
      </c>
      <c r="L3" s="9">
        <f>E3-K3</f>
        <v>0</v>
      </c>
    </row>
    <row r="4" spans="1:13" ht="24.95" customHeight="1">
      <c r="A4" s="13" t="s">
        <v>117</v>
      </c>
      <c r="B4" s="6" t="s">
        <v>103</v>
      </c>
      <c r="C4" s="7">
        <v>42359</v>
      </c>
      <c r="D4" s="6" t="s">
        <v>104</v>
      </c>
      <c r="E4" s="9">
        <v>40</v>
      </c>
      <c r="F4" s="9"/>
      <c r="G4" s="51" t="s">
        <v>136</v>
      </c>
      <c r="H4" s="6" t="s">
        <v>103</v>
      </c>
      <c r="I4" s="52" t="s">
        <v>139</v>
      </c>
      <c r="J4" s="9">
        <v>40</v>
      </c>
      <c r="K4" s="9">
        <v>40</v>
      </c>
      <c r="L4" s="9">
        <f>L3+E4-K4</f>
        <v>0</v>
      </c>
    </row>
    <row r="5" spans="1:13" ht="24.95" customHeight="1">
      <c r="A5" s="13" t="s">
        <v>192</v>
      </c>
      <c r="B5" s="6" t="s">
        <v>194</v>
      </c>
      <c r="C5" s="7">
        <v>42388</v>
      </c>
      <c r="D5" s="6" t="s">
        <v>195</v>
      </c>
      <c r="E5" s="9">
        <v>60</v>
      </c>
      <c r="F5" s="9"/>
      <c r="G5" s="51" t="s">
        <v>271</v>
      </c>
      <c r="H5" s="6" t="s">
        <v>194</v>
      </c>
      <c r="I5" s="53" t="s">
        <v>274</v>
      </c>
      <c r="J5" s="9">
        <v>60</v>
      </c>
      <c r="K5" s="9">
        <v>60</v>
      </c>
      <c r="L5" s="9">
        <f t="shared" ref="L5:L68" si="0">L4+E5-K5</f>
        <v>0</v>
      </c>
    </row>
    <row r="6" spans="1:13" ht="24.95" customHeight="1">
      <c r="A6" s="13" t="s">
        <v>256</v>
      </c>
      <c r="B6" s="6" t="s">
        <v>194</v>
      </c>
      <c r="C6" s="7">
        <v>42397</v>
      </c>
      <c r="D6" s="6" t="s">
        <v>238</v>
      </c>
      <c r="E6" s="9">
        <v>200</v>
      </c>
      <c r="F6" s="9"/>
      <c r="G6" s="51" t="s">
        <v>258</v>
      </c>
      <c r="H6" s="6" t="s">
        <v>412</v>
      </c>
      <c r="I6" s="53" t="s">
        <v>259</v>
      </c>
      <c r="J6" s="9">
        <v>200</v>
      </c>
      <c r="K6" s="9">
        <v>200</v>
      </c>
      <c r="L6" s="9">
        <f t="shared" si="0"/>
        <v>0</v>
      </c>
    </row>
    <row r="7" spans="1:13" ht="24.95" customHeight="1">
      <c r="A7" s="13" t="s">
        <v>235</v>
      </c>
      <c r="B7" s="6" t="s">
        <v>194</v>
      </c>
      <c r="C7" s="7">
        <v>42396</v>
      </c>
      <c r="D7" s="6" t="s">
        <v>238</v>
      </c>
      <c r="E7" s="9">
        <v>95</v>
      </c>
      <c r="F7" s="9"/>
      <c r="G7" s="54" t="s">
        <v>606</v>
      </c>
      <c r="H7" s="6" t="s">
        <v>412</v>
      </c>
      <c r="I7" s="53" t="s">
        <v>413</v>
      </c>
      <c r="J7" s="9">
        <v>100</v>
      </c>
      <c r="K7" s="9">
        <v>95</v>
      </c>
      <c r="L7" s="9">
        <f t="shared" si="0"/>
        <v>0</v>
      </c>
    </row>
    <row r="8" spans="1:13" ht="24.95" customHeight="1">
      <c r="A8" s="13" t="s">
        <v>235</v>
      </c>
      <c r="B8" s="6" t="s">
        <v>194</v>
      </c>
      <c r="C8" s="7">
        <v>42396</v>
      </c>
      <c r="D8" s="6" t="s">
        <v>238</v>
      </c>
      <c r="E8" s="9">
        <v>25</v>
      </c>
      <c r="F8" s="9"/>
      <c r="G8" s="59" t="s">
        <v>607</v>
      </c>
      <c r="H8" s="59" t="s">
        <v>628</v>
      </c>
      <c r="I8" s="59" t="s">
        <v>629</v>
      </c>
      <c r="J8" s="9">
        <v>80</v>
      </c>
      <c r="K8" s="9">
        <v>80</v>
      </c>
      <c r="L8" s="9">
        <f t="shared" si="0"/>
        <v>-55</v>
      </c>
    </row>
    <row r="9" spans="1:13" ht="24.95" customHeight="1">
      <c r="A9" s="13"/>
      <c r="B9" s="63" t="s">
        <v>194</v>
      </c>
      <c r="C9" s="64">
        <v>42428</v>
      </c>
      <c r="D9" s="63" t="s">
        <v>626</v>
      </c>
      <c r="E9" s="65">
        <v>55</v>
      </c>
      <c r="F9" s="65">
        <v>10083</v>
      </c>
      <c r="G9" s="59"/>
      <c r="H9" s="59"/>
      <c r="I9" s="59"/>
      <c r="J9" s="9"/>
      <c r="K9" s="9"/>
      <c r="L9" s="9">
        <f t="shared" si="0"/>
        <v>0</v>
      </c>
    </row>
    <row r="10" spans="1:13" ht="24.95" customHeight="1">
      <c r="A10" s="13" t="s">
        <v>610</v>
      </c>
      <c r="B10" s="6" t="s">
        <v>194</v>
      </c>
      <c r="C10" s="7">
        <v>42472</v>
      </c>
      <c r="D10" s="6" t="s">
        <v>195</v>
      </c>
      <c r="E10" s="9">
        <v>60</v>
      </c>
      <c r="F10" s="9"/>
      <c r="G10" s="51" t="s">
        <v>611</v>
      </c>
      <c r="H10" s="6" t="s">
        <v>194</v>
      </c>
      <c r="I10" s="57" t="s">
        <v>274</v>
      </c>
      <c r="J10" s="58">
        <v>60</v>
      </c>
      <c r="K10" s="9">
        <v>60</v>
      </c>
      <c r="L10" s="9">
        <f t="shared" si="0"/>
        <v>0</v>
      </c>
    </row>
    <row r="11" spans="1:13" ht="24.95" customHeight="1">
      <c r="A11" s="13" t="s">
        <v>655</v>
      </c>
      <c r="B11" s="6" t="s">
        <v>194</v>
      </c>
      <c r="C11" s="7">
        <v>42479</v>
      </c>
      <c r="D11" s="6" t="s">
        <v>654</v>
      </c>
      <c r="E11" s="9">
        <v>140</v>
      </c>
      <c r="F11" s="9"/>
      <c r="G11" s="51" t="s">
        <v>656</v>
      </c>
      <c r="H11" s="6" t="s">
        <v>194</v>
      </c>
      <c r="I11" s="57" t="s">
        <v>274</v>
      </c>
      <c r="J11" s="58">
        <v>140</v>
      </c>
      <c r="K11" s="9">
        <v>140</v>
      </c>
      <c r="L11" s="9">
        <f t="shared" si="0"/>
        <v>0</v>
      </c>
    </row>
    <row r="12" spans="1:13" ht="24.95" customHeight="1">
      <c r="A12" s="13"/>
      <c r="B12" s="6"/>
      <c r="C12" s="7"/>
      <c r="D12" s="6"/>
      <c r="E12" s="9"/>
      <c r="F12" s="9"/>
      <c r="G12" s="51" t="s">
        <v>608</v>
      </c>
      <c r="H12" s="6" t="s">
        <v>412</v>
      </c>
      <c r="I12" s="57" t="s">
        <v>413</v>
      </c>
      <c r="J12" s="58">
        <v>200</v>
      </c>
      <c r="K12" s="9">
        <v>210</v>
      </c>
      <c r="L12" s="9">
        <f t="shared" si="0"/>
        <v>-210</v>
      </c>
    </row>
    <row r="13" spans="1:13" ht="24.95" customHeight="1">
      <c r="A13" s="55"/>
      <c r="B13" s="63" t="s">
        <v>194</v>
      </c>
      <c r="C13" s="64">
        <v>42489</v>
      </c>
      <c r="D13" s="63" t="s">
        <v>626</v>
      </c>
      <c r="E13" s="65">
        <v>210</v>
      </c>
      <c r="F13" s="65">
        <v>9933</v>
      </c>
      <c r="G13" s="55"/>
      <c r="H13" s="55"/>
      <c r="I13" s="55"/>
      <c r="J13" s="55"/>
      <c r="K13" s="55"/>
      <c r="L13" s="9">
        <f t="shared" si="0"/>
        <v>0</v>
      </c>
    </row>
    <row r="14" spans="1:13" ht="24.95" customHeight="1">
      <c r="A14" s="13" t="s">
        <v>853</v>
      </c>
      <c r="B14" s="6" t="s">
        <v>852</v>
      </c>
      <c r="C14" s="7">
        <v>42501</v>
      </c>
      <c r="D14" s="6" t="s">
        <v>851</v>
      </c>
      <c r="E14" s="9">
        <v>80</v>
      </c>
      <c r="F14" s="9"/>
      <c r="G14" s="51" t="s">
        <v>855</v>
      </c>
      <c r="H14" s="6" t="s">
        <v>412</v>
      </c>
      <c r="I14" s="57" t="s">
        <v>413</v>
      </c>
      <c r="J14" s="58">
        <v>240</v>
      </c>
      <c r="K14" s="9">
        <v>252</v>
      </c>
      <c r="L14" s="9">
        <f t="shared" si="0"/>
        <v>-172</v>
      </c>
    </row>
    <row r="15" spans="1:13" ht="24.95" customHeight="1">
      <c r="A15" s="13" t="s">
        <v>923</v>
      </c>
      <c r="B15" s="6" t="s">
        <v>194</v>
      </c>
      <c r="C15" s="7">
        <v>42513</v>
      </c>
      <c r="D15" s="6" t="s">
        <v>851</v>
      </c>
      <c r="E15" s="9">
        <v>70</v>
      </c>
      <c r="F15" s="9"/>
      <c r="G15" s="51"/>
      <c r="H15" s="6"/>
      <c r="I15" s="57"/>
      <c r="J15" s="58"/>
      <c r="K15" s="9"/>
      <c r="L15" s="9">
        <f t="shared" si="0"/>
        <v>-102</v>
      </c>
    </row>
    <row r="16" spans="1:13" ht="24.95" customHeight="1">
      <c r="A16" s="13"/>
      <c r="B16" s="63" t="s">
        <v>194</v>
      </c>
      <c r="C16" s="64">
        <v>42520</v>
      </c>
      <c r="D16" s="63" t="s">
        <v>626</v>
      </c>
      <c r="E16" s="65">
        <v>102</v>
      </c>
      <c r="F16" s="65">
        <v>9800</v>
      </c>
      <c r="G16" s="51"/>
      <c r="H16" s="6"/>
      <c r="I16" s="57"/>
      <c r="J16" s="58"/>
      <c r="K16" s="9"/>
      <c r="L16" s="9">
        <f t="shared" si="0"/>
        <v>0</v>
      </c>
    </row>
    <row r="17" spans="1:13" s="56" customFormat="1" ht="24.95" customHeight="1">
      <c r="A17" s="13" t="s">
        <v>873</v>
      </c>
      <c r="B17" s="6" t="s">
        <v>194</v>
      </c>
      <c r="C17" s="7">
        <v>42506</v>
      </c>
      <c r="D17" s="6" t="s">
        <v>195</v>
      </c>
      <c r="E17" s="9">
        <v>160</v>
      </c>
      <c r="F17" s="9"/>
      <c r="G17" s="51" t="s">
        <v>1059</v>
      </c>
      <c r="H17" s="6" t="s">
        <v>194</v>
      </c>
      <c r="I17" s="57" t="s">
        <v>274</v>
      </c>
      <c r="J17" s="58">
        <v>160</v>
      </c>
      <c r="K17" s="9">
        <v>160</v>
      </c>
      <c r="L17" s="9">
        <f t="shared" si="0"/>
        <v>0</v>
      </c>
      <c r="M17" s="375"/>
    </row>
    <row r="18" spans="1:13" s="56" customFormat="1" ht="24.95" customHeight="1">
      <c r="A18" s="13" t="s">
        <v>874</v>
      </c>
      <c r="B18" s="6" t="s">
        <v>194</v>
      </c>
      <c r="C18" s="7">
        <v>42507</v>
      </c>
      <c r="D18" s="6" t="s">
        <v>875</v>
      </c>
      <c r="E18" s="9">
        <v>40</v>
      </c>
      <c r="F18" s="9"/>
      <c r="G18" s="51" t="s">
        <v>1060</v>
      </c>
      <c r="H18" s="6" t="s">
        <v>194</v>
      </c>
      <c r="I18" s="57" t="s">
        <v>274</v>
      </c>
      <c r="J18" s="58">
        <v>40</v>
      </c>
      <c r="K18" s="9">
        <v>40</v>
      </c>
      <c r="L18" s="9">
        <f t="shared" si="0"/>
        <v>0</v>
      </c>
      <c r="M18" s="375"/>
    </row>
    <row r="19" spans="1:13" s="56" customFormat="1" ht="24.95" customHeight="1">
      <c r="A19" s="13" t="s">
        <v>1087</v>
      </c>
      <c r="B19" s="6" t="s">
        <v>194</v>
      </c>
      <c r="C19" s="7">
        <v>42536</v>
      </c>
      <c r="D19" s="6" t="s">
        <v>195</v>
      </c>
      <c r="E19" s="9">
        <v>120</v>
      </c>
      <c r="F19" s="9"/>
      <c r="G19" s="51" t="s">
        <v>983</v>
      </c>
      <c r="H19" s="6" t="s">
        <v>194</v>
      </c>
      <c r="I19" s="57" t="s">
        <v>274</v>
      </c>
      <c r="J19" s="60">
        <v>120</v>
      </c>
      <c r="K19" s="60">
        <v>120</v>
      </c>
      <c r="L19" s="9">
        <f t="shared" si="0"/>
        <v>0</v>
      </c>
      <c r="M19" s="375"/>
    </row>
    <row r="20" spans="1:13" s="56" customFormat="1" ht="24.95" customHeight="1">
      <c r="A20" s="13" t="s">
        <v>1090</v>
      </c>
      <c r="B20" s="6" t="s">
        <v>194</v>
      </c>
      <c r="C20" s="7">
        <v>42536</v>
      </c>
      <c r="D20" s="6" t="s">
        <v>1089</v>
      </c>
      <c r="E20" s="9">
        <v>40</v>
      </c>
      <c r="F20" s="9"/>
      <c r="G20" s="51" t="s">
        <v>985</v>
      </c>
      <c r="H20" s="6" t="s">
        <v>194</v>
      </c>
      <c r="I20" s="57" t="s">
        <v>274</v>
      </c>
      <c r="J20" s="60">
        <v>40</v>
      </c>
      <c r="K20" s="60">
        <v>40</v>
      </c>
      <c r="L20" s="9">
        <f t="shared" si="0"/>
        <v>0</v>
      </c>
      <c r="M20" s="375"/>
    </row>
    <row r="21" spans="1:13" s="56" customFormat="1" ht="24.95" customHeight="1">
      <c r="A21" s="13" t="s">
        <v>1091</v>
      </c>
      <c r="B21" s="6" t="s">
        <v>194</v>
      </c>
      <c r="C21" s="7">
        <v>42536</v>
      </c>
      <c r="D21" s="6" t="s">
        <v>1089</v>
      </c>
      <c r="E21" s="9">
        <v>160</v>
      </c>
      <c r="F21" s="9"/>
      <c r="G21" s="51" t="s">
        <v>987</v>
      </c>
      <c r="H21" s="6" t="s">
        <v>194</v>
      </c>
      <c r="I21" s="57" t="s">
        <v>274</v>
      </c>
      <c r="J21" s="60">
        <v>60</v>
      </c>
      <c r="K21" s="60">
        <v>60</v>
      </c>
      <c r="L21" s="9">
        <f t="shared" si="0"/>
        <v>100</v>
      </c>
      <c r="M21" s="375"/>
    </row>
    <row r="22" spans="1:13" s="56" customFormat="1" ht="24.95" customHeight="1">
      <c r="A22" s="13"/>
      <c r="B22" s="6"/>
      <c r="C22" s="7"/>
      <c r="D22" s="6"/>
      <c r="E22" s="9"/>
      <c r="F22" s="9"/>
      <c r="G22" s="51" t="s">
        <v>989</v>
      </c>
      <c r="H22" s="6" t="s">
        <v>194</v>
      </c>
      <c r="I22" s="57" t="s">
        <v>274</v>
      </c>
      <c r="J22" s="60">
        <v>60</v>
      </c>
      <c r="K22" s="60">
        <v>60</v>
      </c>
      <c r="L22" s="9">
        <f t="shared" si="0"/>
        <v>40</v>
      </c>
      <c r="M22" s="375"/>
    </row>
    <row r="23" spans="1:13" s="56" customFormat="1" ht="24.95" customHeight="1">
      <c r="A23" s="13"/>
      <c r="B23" s="6"/>
      <c r="C23" s="7"/>
      <c r="D23" s="6"/>
      <c r="E23" s="9"/>
      <c r="F23" s="9"/>
      <c r="G23" s="51" t="s">
        <v>991</v>
      </c>
      <c r="H23" s="6" t="s">
        <v>194</v>
      </c>
      <c r="I23" s="57" t="s">
        <v>274</v>
      </c>
      <c r="J23" s="60">
        <v>40</v>
      </c>
      <c r="K23" s="60">
        <v>40</v>
      </c>
      <c r="L23" s="9">
        <f t="shared" si="0"/>
        <v>0</v>
      </c>
      <c r="M23" s="375"/>
    </row>
    <row r="24" spans="1:13" ht="24.95" customHeight="1">
      <c r="A24" s="13" t="s">
        <v>1016</v>
      </c>
      <c r="B24" s="6" t="s">
        <v>194</v>
      </c>
      <c r="C24" s="7">
        <v>42523</v>
      </c>
      <c r="D24" s="6" t="s">
        <v>851</v>
      </c>
      <c r="E24" s="9">
        <v>72</v>
      </c>
      <c r="F24" s="9"/>
      <c r="G24" s="51" t="s">
        <v>1020</v>
      </c>
      <c r="H24" s="6" t="s">
        <v>412</v>
      </c>
      <c r="I24" s="57" t="s">
        <v>413</v>
      </c>
      <c r="J24" s="58">
        <v>300</v>
      </c>
      <c r="K24" s="9">
        <v>285</v>
      </c>
      <c r="L24" s="9">
        <f t="shared" si="0"/>
        <v>-213</v>
      </c>
    </row>
    <row r="25" spans="1:13" ht="24.95" customHeight="1">
      <c r="A25" s="13" t="s">
        <v>1092</v>
      </c>
      <c r="B25" s="6" t="s">
        <v>1093</v>
      </c>
      <c r="C25" s="7">
        <v>42533</v>
      </c>
      <c r="D25" s="6" t="s">
        <v>1094</v>
      </c>
      <c r="E25" s="9">
        <v>37</v>
      </c>
      <c r="F25" s="9"/>
      <c r="G25" s="51" t="s">
        <v>1095</v>
      </c>
      <c r="H25" s="6" t="s">
        <v>412</v>
      </c>
      <c r="I25" s="57" t="s">
        <v>1096</v>
      </c>
      <c r="J25" s="58">
        <v>25</v>
      </c>
      <c r="K25" s="9">
        <v>25</v>
      </c>
      <c r="L25" s="9">
        <f t="shared" si="0"/>
        <v>-201</v>
      </c>
    </row>
    <row r="26" spans="1:13" ht="24.95" customHeight="1">
      <c r="A26" s="13" t="s">
        <v>1062</v>
      </c>
      <c r="B26" s="6" t="s">
        <v>194</v>
      </c>
      <c r="C26" s="7">
        <v>42533</v>
      </c>
      <c r="D26" s="6" t="s">
        <v>259</v>
      </c>
      <c r="E26" s="9">
        <v>105</v>
      </c>
      <c r="F26" s="9"/>
      <c r="G26" s="51" t="s">
        <v>1109</v>
      </c>
      <c r="H26" s="6" t="s">
        <v>412</v>
      </c>
      <c r="I26" s="57" t="s">
        <v>413</v>
      </c>
      <c r="J26" s="58">
        <v>200</v>
      </c>
      <c r="K26" s="9">
        <v>209</v>
      </c>
      <c r="L26" s="9">
        <f t="shared" si="0"/>
        <v>-305</v>
      </c>
    </row>
    <row r="27" spans="1:13" ht="24.95" customHeight="1">
      <c r="A27" s="13" t="s">
        <v>1121</v>
      </c>
      <c r="B27" s="6" t="s">
        <v>194</v>
      </c>
      <c r="C27" s="7">
        <v>42541</v>
      </c>
      <c r="D27" s="6" t="s">
        <v>259</v>
      </c>
      <c r="E27" s="9">
        <v>80</v>
      </c>
      <c r="F27" s="9"/>
      <c r="G27" s="51"/>
      <c r="H27" s="6"/>
      <c r="I27" s="57"/>
      <c r="J27" s="58"/>
      <c r="K27" s="9"/>
      <c r="L27" s="9">
        <f t="shared" si="0"/>
        <v>-225</v>
      </c>
    </row>
    <row r="28" spans="1:13" ht="24.95" customHeight="1">
      <c r="A28" s="13" t="s">
        <v>1124</v>
      </c>
      <c r="B28" s="6" t="s">
        <v>194</v>
      </c>
      <c r="C28" s="7">
        <v>42543</v>
      </c>
      <c r="D28" s="6" t="s">
        <v>851</v>
      </c>
      <c r="E28" s="9">
        <v>112</v>
      </c>
      <c r="F28" s="9"/>
      <c r="G28" s="51"/>
      <c r="H28" s="6"/>
      <c r="I28" s="57"/>
      <c r="J28" s="58"/>
      <c r="K28" s="9"/>
      <c r="L28" s="9">
        <f t="shared" si="0"/>
        <v>-113</v>
      </c>
    </row>
    <row r="29" spans="1:13" ht="24.95" customHeight="1">
      <c r="A29" s="13"/>
      <c r="B29" s="63" t="s">
        <v>194</v>
      </c>
      <c r="C29" s="64" t="s">
        <v>1252</v>
      </c>
      <c r="D29" s="63" t="s">
        <v>626</v>
      </c>
      <c r="E29" s="65">
        <v>113</v>
      </c>
      <c r="F29" s="65">
        <v>9800</v>
      </c>
      <c r="G29" s="51"/>
      <c r="H29" s="6"/>
      <c r="I29" s="57"/>
      <c r="J29" s="58"/>
      <c r="K29" s="9"/>
      <c r="L29" s="9">
        <f t="shared" si="0"/>
        <v>0</v>
      </c>
    </row>
    <row r="30" spans="1:13" ht="24.95" customHeight="1">
      <c r="A30" s="13" t="s">
        <v>1223</v>
      </c>
      <c r="B30" s="6" t="s">
        <v>194</v>
      </c>
      <c r="C30" s="7">
        <v>42555</v>
      </c>
      <c r="D30" s="6" t="s">
        <v>851</v>
      </c>
      <c r="E30" s="9">
        <v>37</v>
      </c>
      <c r="F30" s="9"/>
      <c r="G30" s="51" t="s">
        <v>1221</v>
      </c>
      <c r="H30" s="59" t="s">
        <v>240</v>
      </c>
      <c r="I30" s="52" t="s">
        <v>75</v>
      </c>
      <c r="J30" s="58">
        <v>37</v>
      </c>
      <c r="K30" s="9">
        <v>37</v>
      </c>
      <c r="L30" s="9">
        <f t="shared" si="0"/>
        <v>0</v>
      </c>
    </row>
    <row r="31" spans="1:13" ht="24.95" customHeight="1">
      <c r="A31" s="13" t="s">
        <v>1477</v>
      </c>
      <c r="B31" s="6" t="s">
        <v>194</v>
      </c>
      <c r="C31" s="7">
        <v>42562</v>
      </c>
      <c r="D31" s="6" t="s">
        <v>875</v>
      </c>
      <c r="E31" s="9">
        <v>200</v>
      </c>
      <c r="F31" s="9"/>
      <c r="G31" s="102" t="s">
        <v>1221</v>
      </c>
      <c r="H31" s="59" t="s">
        <v>240</v>
      </c>
      <c r="I31" s="57" t="s">
        <v>274</v>
      </c>
      <c r="J31" s="58">
        <v>200</v>
      </c>
      <c r="K31" s="9">
        <v>200</v>
      </c>
      <c r="L31" s="9">
        <f t="shared" si="0"/>
        <v>0</v>
      </c>
    </row>
    <row r="32" spans="1:13" ht="24.95" customHeight="1">
      <c r="A32" s="13"/>
      <c r="B32" s="63" t="s">
        <v>194</v>
      </c>
      <c r="C32" s="64">
        <v>42582</v>
      </c>
      <c r="D32" s="63" t="s">
        <v>626</v>
      </c>
      <c r="E32" s="65">
        <v>143</v>
      </c>
      <c r="F32" s="65">
        <v>9800</v>
      </c>
      <c r="G32" s="102" t="s">
        <v>1217</v>
      </c>
      <c r="H32" s="114" t="s">
        <v>82</v>
      </c>
      <c r="I32" s="118" t="s">
        <v>168</v>
      </c>
      <c r="J32" s="58">
        <v>150</v>
      </c>
      <c r="K32" s="9">
        <v>143</v>
      </c>
      <c r="L32" s="9">
        <f t="shared" si="0"/>
        <v>0</v>
      </c>
    </row>
    <row r="33" spans="1:12" ht="24.95" customHeight="1">
      <c r="A33" s="13" t="s">
        <v>1823</v>
      </c>
      <c r="B33" s="6" t="s">
        <v>194</v>
      </c>
      <c r="C33" s="7">
        <v>42592</v>
      </c>
      <c r="D33" s="6" t="s">
        <v>851</v>
      </c>
      <c r="E33" s="9">
        <v>38</v>
      </c>
      <c r="F33" s="9"/>
      <c r="G33" s="102" t="s">
        <v>1498</v>
      </c>
      <c r="H33" s="114" t="s">
        <v>82</v>
      </c>
      <c r="I33" s="118" t="s">
        <v>168</v>
      </c>
      <c r="J33" s="107">
        <v>240</v>
      </c>
      <c r="K33" s="9">
        <v>229</v>
      </c>
      <c r="L33" s="9">
        <f t="shared" si="0"/>
        <v>-191</v>
      </c>
    </row>
    <row r="34" spans="1:12" ht="24.95" customHeight="1">
      <c r="A34" s="13" t="s">
        <v>1609</v>
      </c>
      <c r="B34" s="6" t="s">
        <v>194</v>
      </c>
      <c r="C34" s="7">
        <v>42599</v>
      </c>
      <c r="D34" s="6" t="s">
        <v>1610</v>
      </c>
      <c r="E34" s="9">
        <v>38</v>
      </c>
      <c r="F34" s="9"/>
      <c r="G34" s="102" t="s">
        <v>1749</v>
      </c>
      <c r="H34" s="103" t="s">
        <v>240</v>
      </c>
      <c r="I34" s="114" t="s">
        <v>474</v>
      </c>
      <c r="J34" s="104">
        <v>140</v>
      </c>
      <c r="K34" s="104">
        <v>140</v>
      </c>
      <c r="L34" s="9">
        <f t="shared" si="0"/>
        <v>-293</v>
      </c>
    </row>
    <row r="35" spans="1:12" ht="24.95" customHeight="1">
      <c r="A35" s="13" t="s">
        <v>1636</v>
      </c>
      <c r="B35" s="6" t="s">
        <v>194</v>
      </c>
      <c r="C35" s="7">
        <v>42604</v>
      </c>
      <c r="D35" s="6" t="s">
        <v>1638</v>
      </c>
      <c r="E35" s="9">
        <v>38</v>
      </c>
      <c r="F35" s="9"/>
      <c r="G35" s="102" t="s">
        <v>1750</v>
      </c>
      <c r="H35" s="103" t="s">
        <v>240</v>
      </c>
      <c r="I35" s="114" t="s">
        <v>474</v>
      </c>
      <c r="J35" s="104">
        <v>60</v>
      </c>
      <c r="K35" s="104">
        <v>60</v>
      </c>
      <c r="L35" s="9">
        <f t="shared" si="0"/>
        <v>-315</v>
      </c>
    </row>
    <row r="36" spans="1:12" ht="24.95" customHeight="1">
      <c r="A36" s="13" t="s">
        <v>1747</v>
      </c>
      <c r="B36" s="6" t="s">
        <v>194</v>
      </c>
      <c r="C36" s="7">
        <v>42586</v>
      </c>
      <c r="D36" s="6" t="s">
        <v>875</v>
      </c>
      <c r="E36" s="9">
        <v>140</v>
      </c>
      <c r="F36" s="9"/>
      <c r="G36" s="51"/>
      <c r="H36" s="6"/>
      <c r="I36" s="57"/>
      <c r="J36" s="58"/>
      <c r="K36" s="9"/>
      <c r="L36" s="9">
        <f t="shared" si="0"/>
        <v>-175</v>
      </c>
    </row>
    <row r="37" spans="1:12" ht="24.95" customHeight="1">
      <c r="A37" s="13" t="s">
        <v>1748</v>
      </c>
      <c r="B37" s="6" t="s">
        <v>194</v>
      </c>
      <c r="C37" s="7">
        <v>42586</v>
      </c>
      <c r="D37" s="6" t="s">
        <v>875</v>
      </c>
      <c r="E37" s="9">
        <v>60</v>
      </c>
      <c r="F37" s="9"/>
      <c r="G37" s="51"/>
      <c r="H37" s="6"/>
      <c r="I37" s="57"/>
      <c r="J37" s="58"/>
      <c r="K37" s="9"/>
      <c r="L37" s="9">
        <f t="shared" si="0"/>
        <v>-115</v>
      </c>
    </row>
    <row r="38" spans="1:12" ht="24.95" customHeight="1">
      <c r="A38" s="13" t="s">
        <v>1773</v>
      </c>
      <c r="B38" s="6" t="s">
        <v>194</v>
      </c>
      <c r="C38" s="7">
        <v>42608</v>
      </c>
      <c r="D38" s="6" t="s">
        <v>1638</v>
      </c>
      <c r="E38" s="9">
        <v>38</v>
      </c>
      <c r="F38" s="9"/>
      <c r="G38" s="51"/>
      <c r="H38" s="6"/>
      <c r="I38" s="57"/>
      <c r="J38" s="58"/>
      <c r="K38" s="9"/>
      <c r="L38" s="9">
        <f t="shared" si="0"/>
        <v>-77</v>
      </c>
    </row>
    <row r="39" spans="1:12" ht="24.95" customHeight="1">
      <c r="A39" s="13"/>
      <c r="B39" s="63" t="s">
        <v>194</v>
      </c>
      <c r="C39" s="64">
        <v>42613</v>
      </c>
      <c r="D39" s="63" t="s">
        <v>626</v>
      </c>
      <c r="E39" s="65">
        <v>77</v>
      </c>
      <c r="F39" s="65">
        <v>9983</v>
      </c>
      <c r="G39" s="51"/>
      <c r="H39" s="6"/>
      <c r="I39" s="57"/>
      <c r="J39" s="58"/>
      <c r="K39" s="9"/>
      <c r="L39" s="9">
        <f t="shared" si="0"/>
        <v>0</v>
      </c>
    </row>
    <row r="40" spans="1:12" ht="24.95" customHeight="1">
      <c r="A40" s="13" t="s">
        <v>2520</v>
      </c>
      <c r="B40" s="6" t="s">
        <v>2521</v>
      </c>
      <c r="C40" s="7">
        <v>42634</v>
      </c>
      <c r="D40" s="6" t="s">
        <v>2522</v>
      </c>
      <c r="E40" s="9">
        <v>100</v>
      </c>
      <c r="F40" s="9"/>
      <c r="G40" s="102" t="s">
        <v>2523</v>
      </c>
      <c r="H40" s="114" t="s">
        <v>2524</v>
      </c>
      <c r="I40" s="103" t="s">
        <v>2525</v>
      </c>
      <c r="J40" s="58">
        <v>36</v>
      </c>
      <c r="K40" s="9">
        <v>36</v>
      </c>
      <c r="L40" s="9">
        <f t="shared" si="0"/>
        <v>64</v>
      </c>
    </row>
    <row r="41" spans="1:12" ht="24.95" customHeight="1">
      <c r="A41" s="13"/>
      <c r="B41" s="63"/>
      <c r="C41" s="64">
        <v>42643</v>
      </c>
      <c r="D41" s="63" t="s">
        <v>2526</v>
      </c>
      <c r="E41" s="65">
        <v>36</v>
      </c>
      <c r="F41" s="65">
        <v>10910</v>
      </c>
      <c r="G41" s="102" t="s">
        <v>2527</v>
      </c>
      <c r="H41" s="114" t="s">
        <v>2524</v>
      </c>
      <c r="I41" s="103" t="s">
        <v>2528</v>
      </c>
      <c r="J41" s="58">
        <v>100</v>
      </c>
      <c r="K41" s="9">
        <v>100</v>
      </c>
      <c r="L41" s="9">
        <f t="shared" si="0"/>
        <v>0</v>
      </c>
    </row>
    <row r="42" spans="1:12" ht="24.95" customHeight="1">
      <c r="A42" s="13"/>
      <c r="B42" s="63"/>
      <c r="C42" s="323">
        <v>42643</v>
      </c>
      <c r="D42" s="324"/>
      <c r="E42" s="325">
        <v>161.25800000000001</v>
      </c>
      <c r="F42" s="325">
        <v>9932.535326086956</v>
      </c>
      <c r="G42" s="102"/>
      <c r="H42" s="114"/>
      <c r="I42" s="103"/>
      <c r="J42" s="58"/>
      <c r="K42" s="9"/>
      <c r="L42" s="9">
        <f t="shared" si="0"/>
        <v>161.25800000000001</v>
      </c>
    </row>
    <row r="43" spans="1:12" ht="24.95" customHeight="1">
      <c r="A43" s="13" t="s">
        <v>2529</v>
      </c>
      <c r="B43" s="6" t="s">
        <v>2530</v>
      </c>
      <c r="C43" s="7">
        <v>42660</v>
      </c>
      <c r="D43" s="6" t="s">
        <v>2531</v>
      </c>
      <c r="E43" s="9">
        <v>60</v>
      </c>
      <c r="F43" s="10">
        <v>10500</v>
      </c>
      <c r="G43" s="102" t="s">
        <v>2532</v>
      </c>
      <c r="H43" s="114" t="s">
        <v>2533</v>
      </c>
      <c r="I43" s="103" t="s">
        <v>2528</v>
      </c>
      <c r="J43" s="107">
        <v>60</v>
      </c>
      <c r="K43" s="107">
        <v>60</v>
      </c>
      <c r="L43" s="9">
        <f t="shared" si="0"/>
        <v>161.25800000000001</v>
      </c>
    </row>
    <row r="44" spans="1:12" ht="24.95" customHeight="1">
      <c r="A44" s="13"/>
      <c r="B44" s="6"/>
      <c r="C44" s="236"/>
      <c r="D44" s="6"/>
      <c r="E44" s="9"/>
      <c r="F44" s="55"/>
      <c r="G44" s="102" t="s">
        <v>2534</v>
      </c>
      <c r="H44" s="114" t="s">
        <v>2524</v>
      </c>
      <c r="I44" s="103" t="s">
        <v>2525</v>
      </c>
      <c r="J44" s="107">
        <v>32</v>
      </c>
      <c r="K44" s="107">
        <v>32</v>
      </c>
      <c r="L44" s="9">
        <f t="shared" si="0"/>
        <v>129.25800000000001</v>
      </c>
    </row>
    <row r="45" spans="1:12" ht="24.95" customHeight="1">
      <c r="A45" s="13"/>
      <c r="B45" s="63"/>
      <c r="C45" s="64">
        <v>42674</v>
      </c>
      <c r="D45" s="63" t="s">
        <v>2526</v>
      </c>
      <c r="E45" s="65">
        <v>129.6899999999996</v>
      </c>
      <c r="F45" s="65">
        <v>11106</v>
      </c>
      <c r="G45" s="102" t="s">
        <v>2535</v>
      </c>
      <c r="H45" s="114" t="s">
        <v>2536</v>
      </c>
      <c r="I45" s="103" t="s">
        <v>2537</v>
      </c>
      <c r="J45" s="107">
        <v>120</v>
      </c>
      <c r="K45" s="107">
        <v>115</v>
      </c>
      <c r="L45" s="9">
        <f t="shared" si="0"/>
        <v>143.94799999999964</v>
      </c>
    </row>
    <row r="46" spans="1:12" ht="24.95" customHeight="1">
      <c r="A46" s="13" t="s">
        <v>2538</v>
      </c>
      <c r="B46" s="6" t="s">
        <v>2521</v>
      </c>
      <c r="C46" s="7">
        <v>42682</v>
      </c>
      <c r="D46" s="6" t="s">
        <v>2539</v>
      </c>
      <c r="E46" s="9">
        <v>30</v>
      </c>
      <c r="F46" s="10">
        <v>13340</v>
      </c>
      <c r="G46" s="102" t="s">
        <v>2540</v>
      </c>
      <c r="H46" s="114" t="s">
        <v>2524</v>
      </c>
      <c r="I46" s="103" t="s">
        <v>2541</v>
      </c>
      <c r="J46" s="107">
        <v>30</v>
      </c>
      <c r="K46" s="107">
        <v>30</v>
      </c>
      <c r="L46" s="9">
        <f t="shared" si="0"/>
        <v>143.94799999999964</v>
      </c>
    </row>
    <row r="47" spans="1:12" ht="24.95" customHeight="1">
      <c r="A47" s="13" t="s">
        <v>2542</v>
      </c>
      <c r="B47" s="6" t="s">
        <v>2521</v>
      </c>
      <c r="C47" s="7">
        <v>42704</v>
      </c>
      <c r="D47" s="6" t="s">
        <v>2543</v>
      </c>
      <c r="E47" s="9">
        <v>64</v>
      </c>
      <c r="F47" s="10">
        <v>14500</v>
      </c>
      <c r="G47" s="102" t="s">
        <v>2544</v>
      </c>
      <c r="H47" s="114" t="s">
        <v>2524</v>
      </c>
      <c r="I47" s="103" t="s">
        <v>2525</v>
      </c>
      <c r="J47" s="107">
        <v>30</v>
      </c>
      <c r="K47" s="107">
        <v>30</v>
      </c>
      <c r="L47" s="9">
        <f t="shared" si="0"/>
        <v>177.94799999999964</v>
      </c>
    </row>
    <row r="48" spans="1:12" ht="28.5" customHeight="1">
      <c r="A48" s="13"/>
      <c r="B48" s="63"/>
      <c r="C48" s="64">
        <v>42704</v>
      </c>
      <c r="D48" s="63" t="s">
        <v>2526</v>
      </c>
      <c r="E48" s="65">
        <v>82.567000000000235</v>
      </c>
      <c r="F48" s="65">
        <v>12870</v>
      </c>
      <c r="G48" s="102" t="s">
        <v>2545</v>
      </c>
      <c r="H48" s="114" t="s">
        <v>2546</v>
      </c>
      <c r="I48" s="103" t="s">
        <v>2537</v>
      </c>
      <c r="J48" s="107">
        <v>150</v>
      </c>
      <c r="K48" s="107">
        <v>143</v>
      </c>
      <c r="L48" s="9">
        <f t="shared" si="0"/>
        <v>117.51499999999987</v>
      </c>
    </row>
    <row r="49" spans="1:15" ht="24.95" customHeight="1">
      <c r="A49" s="13" t="s">
        <v>2576</v>
      </c>
      <c r="B49" s="6" t="s">
        <v>2521</v>
      </c>
      <c r="C49" s="7">
        <v>42732</v>
      </c>
      <c r="D49" s="6" t="s">
        <v>654</v>
      </c>
      <c r="E49" s="9">
        <v>32</v>
      </c>
      <c r="F49" s="10">
        <v>15650</v>
      </c>
      <c r="G49" s="102" t="s">
        <v>2572</v>
      </c>
      <c r="H49" s="114" t="s">
        <v>82</v>
      </c>
      <c r="I49" s="103" t="s">
        <v>321</v>
      </c>
      <c r="J49" s="107">
        <v>120</v>
      </c>
      <c r="K49" s="107">
        <v>115</v>
      </c>
      <c r="L49" s="9">
        <f t="shared" si="0"/>
        <v>34.514999999999873</v>
      </c>
    </row>
    <row r="50" spans="1:15" ht="24.95" customHeight="1">
      <c r="A50" s="13"/>
      <c r="B50" s="63"/>
      <c r="C50" s="64">
        <v>42735</v>
      </c>
      <c r="D50" s="63" t="s">
        <v>2640</v>
      </c>
      <c r="E50" s="65">
        <v>125.64</v>
      </c>
      <c r="F50" s="65">
        <v>16145</v>
      </c>
      <c r="G50" s="102" t="s">
        <v>2578</v>
      </c>
      <c r="H50" s="114" t="s">
        <v>240</v>
      </c>
      <c r="I50" s="103" t="s">
        <v>75</v>
      </c>
      <c r="J50" s="107">
        <v>32</v>
      </c>
      <c r="K50" s="107">
        <v>32</v>
      </c>
      <c r="L50" s="9">
        <f t="shared" si="0"/>
        <v>128.15499999999986</v>
      </c>
    </row>
    <row r="51" spans="1:15" s="342" customFormat="1" ht="33.75" customHeight="1">
      <c r="A51" s="338"/>
      <c r="B51" s="339"/>
      <c r="C51" s="340"/>
      <c r="D51" s="344" t="s">
        <v>2750</v>
      </c>
      <c r="E51" s="343">
        <v>14.494999999999999</v>
      </c>
      <c r="F51" s="343">
        <v>10883.26</v>
      </c>
      <c r="G51" s="258"/>
      <c r="H51" s="259"/>
      <c r="I51" s="259"/>
      <c r="J51" s="261"/>
      <c r="K51" s="261"/>
      <c r="L51" s="341">
        <f t="shared" si="0"/>
        <v>142.64999999999986</v>
      </c>
      <c r="M51" s="376"/>
    </row>
    <row r="52" spans="1:15" ht="28.5" customHeight="1">
      <c r="A52" s="13" t="s">
        <v>2580</v>
      </c>
      <c r="B52" s="6" t="s">
        <v>194</v>
      </c>
      <c r="C52" s="7">
        <v>42709</v>
      </c>
      <c r="D52" s="6" t="s">
        <v>2011</v>
      </c>
      <c r="E52" s="9">
        <v>128</v>
      </c>
      <c r="F52" s="10">
        <v>16145</v>
      </c>
      <c r="G52" s="102" t="s">
        <v>2616</v>
      </c>
      <c r="H52" s="103" t="s">
        <v>82</v>
      </c>
      <c r="I52" s="103" t="s">
        <v>278</v>
      </c>
      <c r="J52" s="107">
        <v>128</v>
      </c>
      <c r="K52" s="107">
        <v>128</v>
      </c>
      <c r="L52" s="9">
        <f t="shared" si="0"/>
        <v>142.64999999999986</v>
      </c>
    </row>
    <row r="53" spans="1:15" ht="24.95" customHeight="1">
      <c r="A53" s="13" t="s">
        <v>2648</v>
      </c>
      <c r="B53" s="6" t="s">
        <v>194</v>
      </c>
      <c r="C53" s="7">
        <v>42752</v>
      </c>
      <c r="D53" s="6" t="s">
        <v>851</v>
      </c>
      <c r="E53" s="9">
        <v>96</v>
      </c>
      <c r="F53" s="10">
        <v>13200</v>
      </c>
      <c r="G53" s="102" t="s">
        <v>2584</v>
      </c>
      <c r="H53" s="114" t="s">
        <v>82</v>
      </c>
      <c r="I53" s="118" t="s">
        <v>168</v>
      </c>
      <c r="J53" s="107">
        <v>120</v>
      </c>
      <c r="K53" s="107">
        <v>125</v>
      </c>
      <c r="L53" s="9">
        <f t="shared" si="0"/>
        <v>113.64999999999986</v>
      </c>
    </row>
    <row r="54" spans="1:15" ht="24.95" customHeight="1">
      <c r="A54" s="13" t="s">
        <v>2652</v>
      </c>
      <c r="B54" s="6" t="s">
        <v>194</v>
      </c>
      <c r="C54" s="7">
        <v>42752</v>
      </c>
      <c r="D54" s="6" t="s">
        <v>2653</v>
      </c>
      <c r="E54" s="9">
        <v>32</v>
      </c>
      <c r="F54" s="10">
        <v>13000</v>
      </c>
      <c r="G54" s="102"/>
      <c r="H54" s="103"/>
      <c r="I54" s="103"/>
      <c r="J54" s="107"/>
      <c r="K54" s="107"/>
      <c r="L54" s="9">
        <f t="shared" si="0"/>
        <v>145.64999999999986</v>
      </c>
    </row>
    <row r="55" spans="1:15" ht="24.95" customHeight="1">
      <c r="A55" s="13"/>
      <c r="B55" s="6"/>
      <c r="C55" s="64">
        <v>42766</v>
      </c>
      <c r="D55" s="63" t="s">
        <v>2748</v>
      </c>
      <c r="E55" s="65">
        <v>37.936100000000003</v>
      </c>
      <c r="F55" s="337">
        <v>13363</v>
      </c>
      <c r="G55" s="102"/>
      <c r="H55" s="103"/>
      <c r="I55" s="103"/>
      <c r="J55" s="107"/>
      <c r="K55" s="107"/>
      <c r="L55" s="361">
        <f t="shared" si="0"/>
        <v>183.58609999999987</v>
      </c>
      <c r="N55" s="398"/>
      <c r="O55" s="398"/>
    </row>
    <row r="56" spans="1:15" ht="24.95" customHeight="1">
      <c r="A56" s="13" t="s">
        <v>2749</v>
      </c>
      <c r="B56" s="6" t="s">
        <v>194</v>
      </c>
      <c r="C56" s="7">
        <v>42767</v>
      </c>
      <c r="D56" s="6" t="s">
        <v>2011</v>
      </c>
      <c r="E56" s="9">
        <v>64</v>
      </c>
      <c r="F56" s="10"/>
      <c r="G56" s="102"/>
      <c r="H56" s="114"/>
      <c r="I56" s="118"/>
      <c r="J56" s="107"/>
      <c r="K56" s="107"/>
      <c r="L56" s="9">
        <f t="shared" si="0"/>
        <v>247.58609999999987</v>
      </c>
    </row>
    <row r="57" spans="1:15" s="342" customFormat="1" ht="24.95" customHeight="1">
      <c r="A57" s="338" t="s">
        <v>2701</v>
      </c>
      <c r="B57" s="339" t="s">
        <v>194</v>
      </c>
      <c r="C57" s="340">
        <v>42767</v>
      </c>
      <c r="D57" s="339" t="s">
        <v>2336</v>
      </c>
      <c r="E57" s="341">
        <v>128</v>
      </c>
      <c r="F57" s="397">
        <v>13350</v>
      </c>
      <c r="G57" s="258" t="s">
        <v>2696</v>
      </c>
      <c r="H57" s="259" t="s">
        <v>82</v>
      </c>
      <c r="I57" s="260" t="s">
        <v>168</v>
      </c>
      <c r="J57" s="261">
        <v>240</v>
      </c>
      <c r="K57" s="261">
        <v>251</v>
      </c>
      <c r="L57" s="341">
        <f t="shared" si="0"/>
        <v>124.58609999999987</v>
      </c>
      <c r="M57" s="376"/>
    </row>
    <row r="58" spans="1:15" ht="24.95" customHeight="1">
      <c r="C58" s="64">
        <v>42794</v>
      </c>
      <c r="D58" s="63" t="s">
        <v>165</v>
      </c>
      <c r="E58" s="65">
        <v>66.999099999999999</v>
      </c>
      <c r="F58" s="337">
        <v>12834</v>
      </c>
      <c r="G58" s="102"/>
      <c r="H58" s="103"/>
      <c r="I58" s="103"/>
      <c r="J58" s="107"/>
      <c r="K58" s="107"/>
      <c r="L58" s="361">
        <f t="shared" si="0"/>
        <v>191.58519999999987</v>
      </c>
      <c r="N58" s="398"/>
      <c r="O58" s="398"/>
    </row>
    <row r="59" spans="1:15" ht="24.95" customHeight="1">
      <c r="A59" s="13" t="s">
        <v>2885</v>
      </c>
      <c r="B59" s="6" t="s">
        <v>2886</v>
      </c>
      <c r="C59" s="7">
        <v>42801</v>
      </c>
      <c r="D59" s="6" t="s">
        <v>2887</v>
      </c>
      <c r="E59" s="9">
        <v>64</v>
      </c>
      <c r="F59" s="10">
        <v>12380</v>
      </c>
      <c r="G59" s="102" t="s">
        <v>2913</v>
      </c>
      <c r="H59" s="114" t="s">
        <v>240</v>
      </c>
      <c r="I59" s="103" t="s">
        <v>2914</v>
      </c>
      <c r="J59" s="107">
        <v>32</v>
      </c>
      <c r="K59" s="107">
        <v>32</v>
      </c>
      <c r="L59" s="9">
        <f t="shared" si="0"/>
        <v>223.58519999999987</v>
      </c>
    </row>
    <row r="60" spans="1:15" ht="24.95" customHeight="1">
      <c r="A60" s="13" t="s">
        <v>2891</v>
      </c>
      <c r="B60" s="6" t="s">
        <v>194</v>
      </c>
      <c r="C60" s="7">
        <v>42811</v>
      </c>
      <c r="D60" s="6" t="s">
        <v>2892</v>
      </c>
      <c r="E60" s="9">
        <v>100</v>
      </c>
      <c r="F60" s="10">
        <v>12600</v>
      </c>
      <c r="G60" s="102" t="s">
        <v>2972</v>
      </c>
      <c r="H60" s="114" t="s">
        <v>240</v>
      </c>
      <c r="I60" s="103" t="s">
        <v>624</v>
      </c>
      <c r="J60" s="107">
        <v>3</v>
      </c>
      <c r="K60" s="107">
        <v>3</v>
      </c>
      <c r="L60" s="9">
        <f>L59+E60-K60</f>
        <v>320.58519999999987</v>
      </c>
    </row>
    <row r="61" spans="1:15" ht="24.95" customHeight="1">
      <c r="A61" s="13"/>
      <c r="B61" s="6"/>
      <c r="C61" s="7"/>
      <c r="D61" s="6"/>
      <c r="E61" s="9"/>
      <c r="F61" s="10"/>
      <c r="G61" s="102" t="s">
        <v>2903</v>
      </c>
      <c r="H61" s="114" t="s">
        <v>82</v>
      </c>
      <c r="I61" s="103" t="s">
        <v>321</v>
      </c>
      <c r="J61" s="107">
        <v>200</v>
      </c>
      <c r="K61" s="107">
        <v>191</v>
      </c>
      <c r="L61" s="9">
        <f t="shared" si="0"/>
        <v>129.58519999999987</v>
      </c>
    </row>
    <row r="62" spans="1:15" ht="24.95" customHeight="1">
      <c r="A62" s="13"/>
      <c r="B62" s="6"/>
      <c r="C62" s="64">
        <v>42825</v>
      </c>
      <c r="D62" s="63" t="s">
        <v>165</v>
      </c>
      <c r="E62" s="65">
        <v>124.22</v>
      </c>
      <c r="F62" s="337">
        <v>12380</v>
      </c>
      <c r="G62" s="102"/>
      <c r="H62" s="114"/>
      <c r="I62" s="103"/>
      <c r="J62" s="107"/>
      <c r="K62" s="107"/>
      <c r="L62" s="361">
        <f t="shared" si="0"/>
        <v>253.80519999999987</v>
      </c>
    </row>
    <row r="63" spans="1:15" s="56" customFormat="1" ht="24.95" customHeight="1">
      <c r="A63" s="13" t="s">
        <v>2973</v>
      </c>
      <c r="B63" s="6" t="s">
        <v>1158</v>
      </c>
      <c r="C63" s="7">
        <v>42810</v>
      </c>
      <c r="D63" s="6" t="s">
        <v>2974</v>
      </c>
      <c r="E63" s="9">
        <v>200</v>
      </c>
      <c r="F63" s="10">
        <v>12500</v>
      </c>
      <c r="G63" s="102" t="s">
        <v>3032</v>
      </c>
      <c r="H63" s="114" t="s">
        <v>240</v>
      </c>
      <c r="I63" s="103" t="s">
        <v>75</v>
      </c>
      <c r="J63" s="107">
        <v>30</v>
      </c>
      <c r="K63" s="107">
        <v>30</v>
      </c>
      <c r="L63" s="9">
        <f t="shared" si="0"/>
        <v>423.8051999999999</v>
      </c>
      <c r="M63" s="374"/>
    </row>
    <row r="64" spans="1:15" s="56" customFormat="1" ht="24.95" customHeight="1">
      <c r="A64" s="13" t="s">
        <v>2982</v>
      </c>
      <c r="B64" s="6" t="s">
        <v>1158</v>
      </c>
      <c r="C64" s="7">
        <v>42830</v>
      </c>
      <c r="D64" s="6" t="s">
        <v>2011</v>
      </c>
      <c r="E64" s="9">
        <v>64</v>
      </c>
      <c r="F64" s="10">
        <v>12874</v>
      </c>
      <c r="G64" s="102" t="s">
        <v>3039</v>
      </c>
      <c r="H64" s="114" t="s">
        <v>1158</v>
      </c>
      <c r="I64" s="114" t="s">
        <v>3041</v>
      </c>
      <c r="J64" s="107">
        <v>96</v>
      </c>
      <c r="K64" s="107">
        <v>96</v>
      </c>
      <c r="L64" s="9">
        <f t="shared" si="0"/>
        <v>391.8051999999999</v>
      </c>
      <c r="M64" s="374"/>
    </row>
    <row r="65" spans="1:13" s="56" customFormat="1" ht="24.95" customHeight="1">
      <c r="A65" s="13"/>
      <c r="B65" s="6"/>
      <c r="C65" s="7"/>
      <c r="D65" s="6"/>
      <c r="E65" s="9"/>
      <c r="F65" s="10"/>
      <c r="G65" s="102" t="s">
        <v>3064</v>
      </c>
      <c r="H65" s="114" t="s">
        <v>1158</v>
      </c>
      <c r="I65" s="114" t="s">
        <v>3066</v>
      </c>
      <c r="J65" s="107">
        <v>128</v>
      </c>
      <c r="K65" s="107">
        <v>128</v>
      </c>
      <c r="L65" s="9">
        <f t="shared" si="0"/>
        <v>263.8051999999999</v>
      </c>
      <c r="M65" s="374"/>
    </row>
    <row r="66" spans="1:13" s="56" customFormat="1" ht="24.95" customHeight="1">
      <c r="A66" s="13"/>
      <c r="B66" s="6"/>
      <c r="C66" s="7"/>
      <c r="D66" s="6"/>
      <c r="E66" s="9"/>
      <c r="F66" s="10"/>
      <c r="G66" s="102" t="s">
        <v>3085</v>
      </c>
      <c r="H66" s="114" t="s">
        <v>240</v>
      </c>
      <c r="I66" s="103" t="s">
        <v>2914</v>
      </c>
      <c r="J66" s="107">
        <v>32</v>
      </c>
      <c r="K66" s="107">
        <v>32</v>
      </c>
      <c r="L66" s="9">
        <f t="shared" si="0"/>
        <v>231.8051999999999</v>
      </c>
      <c r="M66" s="374"/>
    </row>
    <row r="67" spans="1:13" s="56" customFormat="1" ht="24.95" customHeight="1">
      <c r="A67" s="13"/>
      <c r="B67" s="6"/>
      <c r="C67" s="64">
        <v>42855</v>
      </c>
      <c r="D67" s="63" t="s">
        <v>3014</v>
      </c>
      <c r="E67" s="65">
        <v>13.88</v>
      </c>
      <c r="F67" s="337">
        <v>12874</v>
      </c>
      <c r="G67" s="102" t="s">
        <v>3089</v>
      </c>
      <c r="H67" s="114" t="s">
        <v>194</v>
      </c>
      <c r="I67" s="118" t="s">
        <v>621</v>
      </c>
      <c r="J67" s="107">
        <v>2</v>
      </c>
      <c r="K67" s="107">
        <v>2</v>
      </c>
      <c r="L67" s="9">
        <f t="shared" si="0"/>
        <v>243.6851999999999</v>
      </c>
      <c r="M67" s="374"/>
    </row>
    <row r="68" spans="1:13" s="56" customFormat="1" ht="24.95" customHeight="1">
      <c r="A68" s="13" t="s">
        <v>3091</v>
      </c>
      <c r="B68" s="6" t="s">
        <v>194</v>
      </c>
      <c r="C68" s="7">
        <v>42856</v>
      </c>
      <c r="D68" s="6" t="s">
        <v>2011</v>
      </c>
      <c r="E68" s="9">
        <v>96</v>
      </c>
      <c r="F68" s="10">
        <v>12960</v>
      </c>
      <c r="G68" s="102" t="s">
        <v>3090</v>
      </c>
      <c r="H68" s="114" t="s">
        <v>82</v>
      </c>
      <c r="I68" s="118" t="s">
        <v>168</v>
      </c>
      <c r="J68" s="107">
        <v>320</v>
      </c>
      <c r="K68" s="107">
        <v>335</v>
      </c>
      <c r="L68" s="9">
        <f t="shared" si="0"/>
        <v>4.6851999999998952</v>
      </c>
      <c r="M68" s="374">
        <v>14500</v>
      </c>
    </row>
    <row r="69" spans="1:13" s="56" customFormat="1" ht="24.95" customHeight="1">
      <c r="A69" s="13" t="s">
        <v>3132</v>
      </c>
      <c r="B69" s="6" t="s">
        <v>194</v>
      </c>
      <c r="C69" s="7">
        <v>42864</v>
      </c>
      <c r="D69" s="6" t="s">
        <v>3133</v>
      </c>
      <c r="E69" s="9">
        <v>64</v>
      </c>
      <c r="F69" s="10">
        <v>13450</v>
      </c>
      <c r="G69" s="102" t="s">
        <v>3148</v>
      </c>
      <c r="H69" s="114" t="s">
        <v>82</v>
      </c>
      <c r="I69" s="118" t="s">
        <v>168</v>
      </c>
      <c r="J69" s="107">
        <v>200</v>
      </c>
      <c r="K69" s="107">
        <v>209</v>
      </c>
      <c r="L69" s="9">
        <f t="shared" ref="L69:L100" si="1">L68+E69-K69</f>
        <v>-140.3148000000001</v>
      </c>
      <c r="M69" s="374">
        <v>14600</v>
      </c>
    </row>
    <row r="70" spans="1:13" s="56" customFormat="1" ht="24.95" customHeight="1">
      <c r="A70" s="13" t="s">
        <v>3135</v>
      </c>
      <c r="B70" s="6" t="s">
        <v>194</v>
      </c>
      <c r="C70" s="7">
        <v>42864</v>
      </c>
      <c r="D70" s="6" t="s">
        <v>3136</v>
      </c>
      <c r="E70" s="9">
        <v>32</v>
      </c>
      <c r="F70" s="10">
        <v>13550</v>
      </c>
      <c r="G70" s="102"/>
      <c r="H70" s="114"/>
      <c r="I70" s="103"/>
      <c r="J70" s="107"/>
      <c r="K70" s="107"/>
      <c r="L70" s="9">
        <f t="shared" si="1"/>
        <v>-108.3148000000001</v>
      </c>
      <c r="M70" s="374"/>
    </row>
    <row r="71" spans="1:13" s="56" customFormat="1" ht="24.95" customHeight="1">
      <c r="A71" s="13" t="s">
        <v>3152</v>
      </c>
      <c r="B71" s="6" t="s">
        <v>194</v>
      </c>
      <c r="C71" s="7">
        <v>42877</v>
      </c>
      <c r="D71" s="6" t="s">
        <v>3133</v>
      </c>
      <c r="E71" s="9">
        <v>64</v>
      </c>
      <c r="F71" s="10">
        <v>12500</v>
      </c>
      <c r="G71" s="102"/>
      <c r="H71" s="114"/>
      <c r="I71" s="103"/>
      <c r="J71" s="107"/>
      <c r="K71" s="107"/>
      <c r="L71" s="9">
        <f t="shared" si="1"/>
        <v>-44.314800000000105</v>
      </c>
      <c r="M71" s="374"/>
    </row>
    <row r="72" spans="1:13" s="56" customFormat="1" ht="24.95" customHeight="1">
      <c r="A72" s="13"/>
      <c r="B72" s="6"/>
      <c r="C72" s="64">
        <v>42886</v>
      </c>
      <c r="D72" s="63" t="s">
        <v>626</v>
      </c>
      <c r="E72" s="65">
        <v>58</v>
      </c>
      <c r="F72" s="337">
        <v>12960</v>
      </c>
      <c r="G72" s="102"/>
      <c r="H72" s="114"/>
      <c r="I72" s="118"/>
      <c r="J72" s="107"/>
      <c r="K72" s="107"/>
      <c r="L72" s="9">
        <f t="shared" si="1"/>
        <v>13.685199999999895</v>
      </c>
      <c r="M72" s="374"/>
    </row>
    <row r="73" spans="1:13" s="56" customFormat="1" ht="24.95" customHeight="1">
      <c r="A73" s="13"/>
      <c r="B73" s="6"/>
      <c r="C73" s="64"/>
      <c r="D73" s="63" t="s">
        <v>3428</v>
      </c>
      <c r="E73" s="65">
        <v>-0.42799999999999999</v>
      </c>
      <c r="F73" s="337">
        <v>12960</v>
      </c>
      <c r="G73" s="102"/>
      <c r="H73" s="114"/>
      <c r="I73" s="118"/>
      <c r="J73" s="107"/>
      <c r="K73" s="107"/>
      <c r="L73" s="9">
        <f t="shared" si="1"/>
        <v>13.257199999999894</v>
      </c>
      <c r="M73" s="374"/>
    </row>
    <row r="74" spans="1:13" s="56" customFormat="1" ht="24.95" customHeight="1">
      <c r="A74" s="13" t="s">
        <v>3156</v>
      </c>
      <c r="B74" s="6" t="s">
        <v>194</v>
      </c>
      <c r="C74" s="7">
        <v>42886</v>
      </c>
      <c r="D74" s="6" t="s">
        <v>3133</v>
      </c>
      <c r="E74" s="9">
        <v>32</v>
      </c>
      <c r="F74" s="10">
        <v>11900</v>
      </c>
      <c r="G74" s="102" t="s">
        <v>3158</v>
      </c>
      <c r="H74" s="114" t="s">
        <v>240</v>
      </c>
      <c r="I74" s="103" t="s">
        <v>75</v>
      </c>
      <c r="J74" s="107">
        <v>32</v>
      </c>
      <c r="K74" s="107">
        <v>32</v>
      </c>
      <c r="L74" s="9">
        <f t="shared" si="1"/>
        <v>13.257199999999898</v>
      </c>
      <c r="M74" s="374">
        <v>12050</v>
      </c>
    </row>
    <row r="75" spans="1:13" s="56" customFormat="1" ht="24.95" customHeight="1">
      <c r="A75" s="13" t="s">
        <v>3199</v>
      </c>
      <c r="B75" s="6" t="s">
        <v>194</v>
      </c>
      <c r="C75" s="7">
        <v>42891</v>
      </c>
      <c r="D75" s="6" t="s">
        <v>2011</v>
      </c>
      <c r="E75" s="9">
        <v>64</v>
      </c>
      <c r="F75" s="10">
        <v>11032</v>
      </c>
      <c r="G75" s="102" t="s">
        <v>3222</v>
      </c>
      <c r="H75" s="114" t="s">
        <v>82</v>
      </c>
      <c r="I75" s="118" t="s">
        <v>168</v>
      </c>
      <c r="J75" s="107">
        <v>320</v>
      </c>
      <c r="K75" s="107">
        <v>335</v>
      </c>
      <c r="L75" s="9">
        <f t="shared" si="1"/>
        <v>-257.7428000000001</v>
      </c>
      <c r="M75" s="374">
        <v>13400</v>
      </c>
    </row>
    <row r="76" spans="1:13" s="56" customFormat="1" ht="24.95" customHeight="1">
      <c r="A76" s="13" t="s">
        <v>3204</v>
      </c>
      <c r="B76" s="6" t="s">
        <v>194</v>
      </c>
      <c r="C76" s="7">
        <v>42891</v>
      </c>
      <c r="D76" s="6" t="s">
        <v>3202</v>
      </c>
      <c r="E76" s="9">
        <v>96</v>
      </c>
      <c r="F76" s="10">
        <v>11600</v>
      </c>
      <c r="G76" s="102" t="s">
        <v>3155</v>
      </c>
      <c r="H76" s="114" t="s">
        <v>82</v>
      </c>
      <c r="I76" s="118" t="s">
        <v>168</v>
      </c>
      <c r="J76" s="107">
        <v>150</v>
      </c>
      <c r="K76" s="107">
        <v>143</v>
      </c>
      <c r="L76" s="9">
        <f t="shared" si="1"/>
        <v>-304.7428000000001</v>
      </c>
      <c r="M76" s="374">
        <v>11800</v>
      </c>
    </row>
    <row r="77" spans="1:13" s="56" customFormat="1" ht="24.95" customHeight="1">
      <c r="A77" s="13" t="s">
        <v>3217</v>
      </c>
      <c r="B77" s="6" t="s">
        <v>3218</v>
      </c>
      <c r="C77" s="7">
        <v>42898</v>
      </c>
      <c r="D77" s="6" t="s">
        <v>3219</v>
      </c>
      <c r="E77" s="9">
        <v>64</v>
      </c>
      <c r="F77" s="10">
        <v>11100</v>
      </c>
      <c r="G77" s="102"/>
      <c r="H77" s="114"/>
      <c r="I77" s="118"/>
      <c r="J77" s="107"/>
      <c r="K77" s="107"/>
      <c r="L77" s="9">
        <f t="shared" si="1"/>
        <v>-240.7428000000001</v>
      </c>
      <c r="M77" s="374"/>
    </row>
    <row r="78" spans="1:13" s="56" customFormat="1" ht="24.95" customHeight="1">
      <c r="A78" s="13" t="s">
        <v>3247</v>
      </c>
      <c r="B78" s="6" t="s">
        <v>3248</v>
      </c>
      <c r="C78" s="7">
        <v>42898</v>
      </c>
      <c r="D78" s="6" t="s">
        <v>3249</v>
      </c>
      <c r="E78" s="9">
        <v>96</v>
      </c>
      <c r="F78" s="10">
        <v>11050</v>
      </c>
      <c r="G78" s="102"/>
      <c r="H78" s="114"/>
      <c r="I78" s="118"/>
      <c r="J78" s="107"/>
      <c r="K78" s="107"/>
      <c r="L78" s="9">
        <f t="shared" si="1"/>
        <v>-144.7428000000001</v>
      </c>
      <c r="M78" s="374"/>
    </row>
    <row r="79" spans="1:13" s="56" customFormat="1" ht="24.95" customHeight="1">
      <c r="A79" s="13" t="s">
        <v>3250</v>
      </c>
      <c r="B79" s="6" t="s">
        <v>3248</v>
      </c>
      <c r="C79" s="7">
        <v>42907</v>
      </c>
      <c r="D79" s="6" t="s">
        <v>3251</v>
      </c>
      <c r="E79" s="9">
        <v>64</v>
      </c>
      <c r="F79" s="10">
        <v>10700</v>
      </c>
      <c r="G79" s="102"/>
      <c r="H79" s="114"/>
      <c r="I79" s="118"/>
      <c r="J79" s="107"/>
      <c r="K79" s="107"/>
      <c r="L79" s="9">
        <f t="shared" si="1"/>
        <v>-80.742800000000102</v>
      </c>
      <c r="M79" s="374"/>
    </row>
    <row r="80" spans="1:13" s="56" customFormat="1" ht="24.95" customHeight="1">
      <c r="A80" s="13" t="s">
        <v>3252</v>
      </c>
      <c r="B80" s="6" t="s">
        <v>3253</v>
      </c>
      <c r="C80" s="7">
        <v>42912</v>
      </c>
      <c r="D80" s="6" t="s">
        <v>3251</v>
      </c>
      <c r="E80" s="9">
        <v>64</v>
      </c>
      <c r="F80" s="10">
        <v>10730</v>
      </c>
      <c r="G80" s="102"/>
      <c r="H80" s="114"/>
      <c r="I80" s="118"/>
      <c r="J80" s="107"/>
      <c r="K80" s="107"/>
      <c r="L80" s="9">
        <f t="shared" si="1"/>
        <v>-16.742800000000102</v>
      </c>
      <c r="M80" s="374"/>
    </row>
    <row r="81" spans="1:14" s="56" customFormat="1" ht="24.95" customHeight="1">
      <c r="A81" s="13"/>
      <c r="B81" s="6"/>
      <c r="C81" s="64">
        <v>42916</v>
      </c>
      <c r="D81" s="63" t="s">
        <v>626</v>
      </c>
      <c r="E81" s="65">
        <v>65.043999999999997</v>
      </c>
      <c r="F81" s="337">
        <v>11032</v>
      </c>
      <c r="G81" s="102"/>
      <c r="H81" s="114"/>
      <c r="I81" s="118"/>
      <c r="J81" s="107"/>
      <c r="K81" s="107"/>
      <c r="L81" s="9">
        <f t="shared" si="1"/>
        <v>48.301199999999895</v>
      </c>
      <c r="M81" s="374"/>
    </row>
    <row r="82" spans="1:14" s="56" customFormat="1" ht="24.95" customHeight="1">
      <c r="A82" s="13" t="s">
        <v>3259</v>
      </c>
      <c r="B82" s="6" t="s">
        <v>193</v>
      </c>
      <c r="C82" s="7">
        <v>42919</v>
      </c>
      <c r="D82" s="7" t="s">
        <v>2011</v>
      </c>
      <c r="E82" s="9">
        <v>64</v>
      </c>
      <c r="F82" s="10">
        <v>10200</v>
      </c>
      <c r="G82" s="102" t="s">
        <v>3242</v>
      </c>
      <c r="H82" s="114" t="s">
        <v>82</v>
      </c>
      <c r="I82" s="103" t="s">
        <v>83</v>
      </c>
      <c r="J82" s="107">
        <v>500</v>
      </c>
      <c r="K82" s="107">
        <v>525</v>
      </c>
      <c r="L82" s="9">
        <f t="shared" si="1"/>
        <v>-412.69880000000012</v>
      </c>
      <c r="M82" s="374">
        <v>12000</v>
      </c>
    </row>
    <row r="83" spans="1:14" s="56" customFormat="1" ht="24.95" customHeight="1">
      <c r="A83" s="13" t="s">
        <v>3280</v>
      </c>
      <c r="B83" s="6" t="s">
        <v>193</v>
      </c>
      <c r="C83" s="7">
        <v>42920</v>
      </c>
      <c r="D83" s="6" t="s">
        <v>3237</v>
      </c>
      <c r="E83" s="9">
        <v>96</v>
      </c>
      <c r="F83" s="10">
        <v>10400</v>
      </c>
      <c r="G83" s="102" t="s">
        <v>3505</v>
      </c>
      <c r="H83" s="114" t="s">
        <v>82</v>
      </c>
      <c r="I83" s="103" t="s">
        <v>83</v>
      </c>
      <c r="J83" s="107">
        <v>160</v>
      </c>
      <c r="K83" s="107">
        <v>167</v>
      </c>
      <c r="L83" s="9">
        <f t="shared" si="1"/>
        <v>-483.69880000000012</v>
      </c>
      <c r="M83" s="374">
        <v>11500</v>
      </c>
    </row>
    <row r="84" spans="1:14" s="56" customFormat="1" ht="24.95" customHeight="1">
      <c r="A84" s="13" t="s">
        <v>3301</v>
      </c>
      <c r="B84" s="6" t="s">
        <v>193</v>
      </c>
      <c r="C84" s="7">
        <v>42920</v>
      </c>
      <c r="D84" s="6" t="s">
        <v>654</v>
      </c>
      <c r="E84" s="9">
        <v>64</v>
      </c>
      <c r="F84" s="10">
        <v>10720</v>
      </c>
      <c r="G84" s="102"/>
      <c r="H84" s="114"/>
      <c r="I84" s="118"/>
      <c r="J84" s="107"/>
      <c r="K84" s="107"/>
      <c r="L84" s="9">
        <f t="shared" si="1"/>
        <v>-419.69880000000012</v>
      </c>
      <c r="M84" s="374"/>
    </row>
    <row r="85" spans="1:14" s="56" customFormat="1" ht="24.95" customHeight="1">
      <c r="A85" s="13" t="s">
        <v>3337</v>
      </c>
      <c r="B85" s="6" t="s">
        <v>193</v>
      </c>
      <c r="C85" s="7">
        <v>42920</v>
      </c>
      <c r="D85" s="6" t="s">
        <v>3237</v>
      </c>
      <c r="E85" s="9">
        <v>160</v>
      </c>
      <c r="F85" s="10">
        <v>10250</v>
      </c>
      <c r="G85" s="102"/>
      <c r="H85" s="114"/>
      <c r="I85" s="118"/>
      <c r="J85" s="107"/>
      <c r="K85" s="107"/>
      <c r="L85" s="9">
        <f t="shared" si="1"/>
        <v>-259.69880000000012</v>
      </c>
      <c r="M85" s="374"/>
    </row>
    <row r="86" spans="1:14" s="56" customFormat="1" ht="24.95" customHeight="1">
      <c r="A86" s="13" t="s">
        <v>3358</v>
      </c>
      <c r="B86" s="6" t="s">
        <v>193</v>
      </c>
      <c r="C86" s="7">
        <v>42928</v>
      </c>
      <c r="D86" s="6" t="s">
        <v>654</v>
      </c>
      <c r="E86" s="9">
        <v>64</v>
      </c>
      <c r="F86" s="10">
        <v>10520</v>
      </c>
      <c r="G86" s="102"/>
      <c r="H86" s="114"/>
      <c r="I86" s="118"/>
      <c r="J86" s="107"/>
      <c r="K86" s="107"/>
      <c r="L86" s="9">
        <f t="shared" si="1"/>
        <v>-195.69880000000012</v>
      </c>
      <c r="M86" s="374"/>
    </row>
    <row r="87" spans="1:14" s="56" customFormat="1" ht="24.95" customHeight="1">
      <c r="A87" s="13" t="s">
        <v>3359</v>
      </c>
      <c r="B87" s="6" t="s">
        <v>193</v>
      </c>
      <c r="C87" s="7">
        <v>42928</v>
      </c>
      <c r="D87" s="6" t="s">
        <v>3360</v>
      </c>
      <c r="E87" s="9">
        <v>32</v>
      </c>
      <c r="F87" s="10">
        <v>10200</v>
      </c>
      <c r="G87" s="102"/>
      <c r="H87" s="114"/>
      <c r="I87" s="118"/>
      <c r="J87" s="107"/>
      <c r="K87" s="107"/>
      <c r="L87" s="9">
        <f t="shared" si="1"/>
        <v>-163.69880000000012</v>
      </c>
      <c r="M87" s="374"/>
    </row>
    <row r="88" spans="1:14" s="56" customFormat="1" ht="24.95" customHeight="1">
      <c r="A88" s="377"/>
      <c r="B88" s="378"/>
      <c r="C88" s="379"/>
      <c r="D88" s="378"/>
      <c r="E88" s="380"/>
      <c r="F88" s="381"/>
      <c r="G88" s="382"/>
      <c r="H88" s="383"/>
      <c r="I88" s="384"/>
      <c r="J88" s="385"/>
      <c r="K88" s="385"/>
      <c r="L88" s="9">
        <f t="shared" si="1"/>
        <v>-163.69880000000012</v>
      </c>
      <c r="M88" s="9">
        <v>1.3531</v>
      </c>
      <c r="N88" s="9">
        <f>L88-M88</f>
        <v>-165.05190000000013</v>
      </c>
    </row>
    <row r="89" spans="1:14" s="56" customFormat="1" ht="24.95" customHeight="1">
      <c r="A89" s="13" t="s">
        <v>3363</v>
      </c>
      <c r="B89" s="6" t="s">
        <v>193</v>
      </c>
      <c r="C89" s="7">
        <v>42929</v>
      </c>
      <c r="D89" s="6" t="s">
        <v>3237</v>
      </c>
      <c r="E89" s="9">
        <v>320</v>
      </c>
      <c r="F89" s="10">
        <v>10150</v>
      </c>
      <c r="G89" s="102"/>
      <c r="H89" s="114"/>
      <c r="I89" s="118"/>
      <c r="J89" s="107"/>
      <c r="K89" s="107"/>
      <c r="L89" s="9">
        <f t="shared" si="1"/>
        <v>156.30119999999988</v>
      </c>
      <c r="M89" s="374"/>
    </row>
    <row r="90" spans="1:14" s="56" customFormat="1" ht="24.95" customHeight="1">
      <c r="A90" s="13" t="s">
        <v>3364</v>
      </c>
      <c r="B90" s="6" t="s">
        <v>193</v>
      </c>
      <c r="C90" s="7">
        <v>42929</v>
      </c>
      <c r="D90" s="6" t="s">
        <v>654</v>
      </c>
      <c r="E90" s="9">
        <v>64</v>
      </c>
      <c r="F90" s="10">
        <v>10520</v>
      </c>
      <c r="G90" s="102"/>
      <c r="H90" s="114"/>
      <c r="I90" s="118"/>
      <c r="J90" s="107"/>
      <c r="K90" s="107"/>
      <c r="L90" s="9">
        <f t="shared" si="1"/>
        <v>220.30119999999988</v>
      </c>
      <c r="M90" s="374"/>
    </row>
    <row r="91" spans="1:14" s="56" customFormat="1" ht="24.95" customHeight="1">
      <c r="A91" s="13"/>
      <c r="B91" s="6"/>
      <c r="C91" s="64">
        <v>42947</v>
      </c>
      <c r="D91" s="63" t="s">
        <v>626</v>
      </c>
      <c r="E91" s="65">
        <v>117.084</v>
      </c>
      <c r="F91" s="337">
        <v>10200</v>
      </c>
      <c r="G91" s="102"/>
      <c r="H91" s="114"/>
      <c r="I91" s="118"/>
      <c r="J91" s="107"/>
      <c r="K91" s="107"/>
      <c r="L91" s="9">
        <f t="shared" si="1"/>
        <v>337.38519999999988</v>
      </c>
      <c r="M91" s="374"/>
    </row>
    <row r="92" spans="1:14" s="56" customFormat="1" ht="24.95" customHeight="1">
      <c r="A92" s="13" t="s">
        <v>3500</v>
      </c>
      <c r="B92" s="6" t="s">
        <v>193</v>
      </c>
      <c r="C92" s="7">
        <v>42947</v>
      </c>
      <c r="D92" s="7" t="s">
        <v>2011</v>
      </c>
      <c r="E92" s="9">
        <v>200</v>
      </c>
      <c r="F92" s="10">
        <v>10509</v>
      </c>
      <c r="G92" s="102" t="s">
        <v>3504</v>
      </c>
      <c r="H92" s="114" t="s">
        <v>82</v>
      </c>
      <c r="I92" s="118" t="s">
        <v>83</v>
      </c>
      <c r="J92" s="107">
        <v>120</v>
      </c>
      <c r="K92" s="107">
        <v>124</v>
      </c>
      <c r="L92" s="9">
        <f t="shared" si="1"/>
        <v>413.38519999999994</v>
      </c>
      <c r="M92" s="374">
        <v>11650</v>
      </c>
    </row>
    <row r="93" spans="1:14" s="56" customFormat="1" ht="24.95" customHeight="1">
      <c r="A93" s="338" t="s">
        <v>3520</v>
      </c>
      <c r="B93" s="339" t="s">
        <v>193</v>
      </c>
      <c r="C93" s="340">
        <v>42948</v>
      </c>
      <c r="D93" s="339" t="s">
        <v>3043</v>
      </c>
      <c r="E93" s="341">
        <v>150</v>
      </c>
      <c r="F93" s="397">
        <v>10350</v>
      </c>
      <c r="G93" s="258" t="s">
        <v>3503</v>
      </c>
      <c r="H93" s="259" t="s">
        <v>3502</v>
      </c>
      <c r="I93" s="260" t="s">
        <v>3067</v>
      </c>
      <c r="J93" s="261">
        <v>150</v>
      </c>
      <c r="K93" s="261">
        <v>150</v>
      </c>
      <c r="L93" s="9">
        <f t="shared" si="1"/>
        <v>413.38519999999994</v>
      </c>
      <c r="M93" s="374">
        <v>11150</v>
      </c>
    </row>
    <row r="94" spans="1:14" s="56" customFormat="1" ht="24.95" customHeight="1">
      <c r="A94" s="13" t="s">
        <v>3522</v>
      </c>
      <c r="B94" s="6" t="s">
        <v>193</v>
      </c>
      <c r="C94" s="7">
        <v>42948</v>
      </c>
      <c r="D94" s="6" t="s">
        <v>3237</v>
      </c>
      <c r="E94" s="9">
        <v>96</v>
      </c>
      <c r="F94" s="10">
        <v>10450</v>
      </c>
      <c r="G94" s="102" t="s">
        <v>3555</v>
      </c>
      <c r="H94" s="114" t="s">
        <v>240</v>
      </c>
      <c r="I94" s="118" t="s">
        <v>624</v>
      </c>
      <c r="J94" s="107">
        <v>2</v>
      </c>
      <c r="K94" s="107">
        <v>2</v>
      </c>
      <c r="L94" s="9">
        <f t="shared" si="1"/>
        <v>507.38519999999994</v>
      </c>
      <c r="M94" s="374"/>
    </row>
    <row r="95" spans="1:14" s="56" customFormat="1" ht="24.95" customHeight="1">
      <c r="A95" s="13" t="s">
        <v>3676</v>
      </c>
      <c r="B95" s="6" t="s">
        <v>147</v>
      </c>
      <c r="C95" s="7">
        <v>42972</v>
      </c>
      <c r="D95" s="6" t="s">
        <v>3677</v>
      </c>
      <c r="E95" s="9">
        <v>32</v>
      </c>
      <c r="F95" s="10">
        <v>10600</v>
      </c>
      <c r="G95" s="102"/>
      <c r="H95" s="114"/>
      <c r="I95" s="118"/>
      <c r="J95" s="107"/>
      <c r="K95" s="107"/>
      <c r="L95" s="9">
        <f t="shared" si="1"/>
        <v>539.38519999999994</v>
      </c>
      <c r="M95" s="374"/>
    </row>
    <row r="96" spans="1:14" s="56" customFormat="1" ht="24.95" customHeight="1">
      <c r="A96" s="13"/>
      <c r="B96" s="6"/>
      <c r="C96" s="64">
        <v>42978</v>
      </c>
      <c r="D96" s="63" t="s">
        <v>626</v>
      </c>
      <c r="E96" s="65">
        <v>39.363999999999997</v>
      </c>
      <c r="F96" s="337">
        <v>10509</v>
      </c>
      <c r="G96" s="102"/>
      <c r="H96" s="114"/>
      <c r="I96" s="118"/>
      <c r="J96" s="107"/>
      <c r="K96" s="107"/>
      <c r="L96" s="9">
        <f t="shared" si="1"/>
        <v>578.74919999999997</v>
      </c>
      <c r="M96" s="374"/>
    </row>
    <row r="97" spans="1:13" s="56" customFormat="1" ht="24.95" customHeight="1">
      <c r="A97" s="13" t="s">
        <v>3714</v>
      </c>
      <c r="B97" s="6" t="s">
        <v>193</v>
      </c>
      <c r="C97" s="7">
        <v>42978</v>
      </c>
      <c r="D97" s="7" t="s">
        <v>2011</v>
      </c>
      <c r="E97" s="9">
        <v>96</v>
      </c>
      <c r="F97" s="10">
        <v>10809</v>
      </c>
      <c r="G97" s="102" t="s">
        <v>3663</v>
      </c>
      <c r="H97" s="114" t="s">
        <v>3664</v>
      </c>
      <c r="I97" s="118" t="s">
        <v>3665</v>
      </c>
      <c r="J97" s="107">
        <v>90</v>
      </c>
      <c r="K97" s="107">
        <v>90</v>
      </c>
      <c r="L97" s="9">
        <f t="shared" si="1"/>
        <v>584.74919999999997</v>
      </c>
      <c r="M97" s="374">
        <v>11700</v>
      </c>
    </row>
    <row r="98" spans="1:13" s="56" customFormat="1" ht="24.95" customHeight="1">
      <c r="A98" s="13"/>
      <c r="B98" s="6"/>
      <c r="C98" s="64">
        <v>43008</v>
      </c>
      <c r="D98" s="63" t="s">
        <v>626</v>
      </c>
      <c r="E98" s="65">
        <v>62.64</v>
      </c>
      <c r="F98" s="337">
        <v>10809</v>
      </c>
      <c r="G98" s="102" t="s">
        <v>3756</v>
      </c>
      <c r="H98" s="114" t="s">
        <v>240</v>
      </c>
      <c r="I98" s="103" t="s">
        <v>75</v>
      </c>
      <c r="J98" s="107">
        <v>32</v>
      </c>
      <c r="K98" s="107">
        <v>32</v>
      </c>
      <c r="L98" s="9">
        <f t="shared" si="1"/>
        <v>615.38919999999996</v>
      </c>
      <c r="M98" s="374"/>
    </row>
    <row r="99" spans="1:13" s="56" customFormat="1" ht="24.95" customHeight="1">
      <c r="A99" s="13" t="s">
        <v>3951</v>
      </c>
      <c r="B99" s="6" t="s">
        <v>193</v>
      </c>
      <c r="C99" s="7">
        <v>43008</v>
      </c>
      <c r="D99" s="7" t="s">
        <v>2011</v>
      </c>
      <c r="E99" s="9">
        <v>32</v>
      </c>
      <c r="F99" s="434">
        <v>11223.53</v>
      </c>
      <c r="G99" s="102" t="s">
        <v>3789</v>
      </c>
      <c r="H99" s="114" t="s">
        <v>82</v>
      </c>
      <c r="I99" s="118" t="s">
        <v>83</v>
      </c>
      <c r="J99" s="107">
        <v>200</v>
      </c>
      <c r="K99" s="107">
        <v>210</v>
      </c>
      <c r="L99" s="9">
        <f t="shared" si="1"/>
        <v>437.38919999999996</v>
      </c>
      <c r="M99" s="374">
        <v>12250</v>
      </c>
    </row>
    <row r="100" spans="1:13" s="56" customFormat="1" ht="24.95" customHeight="1">
      <c r="A100" s="13" t="s">
        <v>3911</v>
      </c>
      <c r="B100" s="6" t="s">
        <v>193</v>
      </c>
      <c r="C100" s="7">
        <v>43026</v>
      </c>
      <c r="D100" s="6" t="s">
        <v>3912</v>
      </c>
      <c r="E100" s="9">
        <v>64</v>
      </c>
      <c r="F100" s="10">
        <v>11900</v>
      </c>
      <c r="G100" s="102" t="s">
        <v>3890</v>
      </c>
      <c r="H100" s="114" t="s">
        <v>82</v>
      </c>
      <c r="I100" s="118" t="s">
        <v>83</v>
      </c>
      <c r="J100" s="107">
        <v>200</v>
      </c>
      <c r="K100" s="107">
        <v>200</v>
      </c>
      <c r="L100" s="9">
        <f t="shared" si="1"/>
        <v>301.38919999999996</v>
      </c>
      <c r="M100" s="374">
        <v>12250</v>
      </c>
    </row>
    <row r="101" spans="1:13" s="56" customFormat="1" ht="24.95" customHeight="1">
      <c r="A101" s="13" t="s">
        <v>3914</v>
      </c>
      <c r="B101" s="6" t="s">
        <v>193</v>
      </c>
      <c r="C101" s="7">
        <v>43026</v>
      </c>
      <c r="D101" s="6" t="s">
        <v>3915</v>
      </c>
      <c r="E101" s="9">
        <v>96</v>
      </c>
      <c r="F101" s="10">
        <v>11900</v>
      </c>
      <c r="G101" s="272"/>
      <c r="H101" s="272"/>
      <c r="I101" s="118"/>
      <c r="J101" s="107"/>
      <c r="K101" s="107"/>
      <c r="L101" s="9">
        <f>L100+E101-K101</f>
        <v>397.38919999999996</v>
      </c>
      <c r="M101" s="374"/>
    </row>
    <row r="102" spans="1:13" s="56" customFormat="1" ht="24.95" customHeight="1">
      <c r="A102" s="13"/>
      <c r="B102" s="6"/>
      <c r="C102" s="7"/>
      <c r="D102" s="6"/>
      <c r="E102" s="9"/>
      <c r="F102" s="10"/>
      <c r="G102" s="272"/>
      <c r="H102" s="272"/>
      <c r="I102" s="118"/>
      <c r="J102" s="107"/>
      <c r="K102" s="107"/>
      <c r="L102" s="9">
        <f>L101+E102-K102</f>
        <v>397.38919999999996</v>
      </c>
      <c r="M102" s="374"/>
    </row>
    <row r="103" spans="1:13" ht="24.95" customHeight="1">
      <c r="A103" s="13"/>
      <c r="B103" s="6"/>
      <c r="C103" s="64">
        <v>43039</v>
      </c>
      <c r="D103" s="63" t="s">
        <v>626</v>
      </c>
      <c r="E103" s="65">
        <v>85.674999999999997</v>
      </c>
      <c r="F103" s="337">
        <v>11223.53</v>
      </c>
      <c r="G103" s="55"/>
      <c r="H103" s="55"/>
      <c r="I103" s="55"/>
      <c r="J103" s="55"/>
      <c r="K103" s="55"/>
      <c r="L103" s="9">
        <f t="shared" ref="L103:L109" si="2">L102+E103-K103</f>
        <v>483.06419999999997</v>
      </c>
    </row>
    <row r="104" spans="1:13" ht="24.95" customHeight="1">
      <c r="A104" s="55"/>
      <c r="B104" s="55"/>
      <c r="C104" s="64">
        <v>43069</v>
      </c>
      <c r="D104" s="63" t="s">
        <v>626</v>
      </c>
      <c r="E104" s="65">
        <v>76.762</v>
      </c>
      <c r="F104" s="337">
        <v>10931.82</v>
      </c>
      <c r="G104" s="55"/>
      <c r="H104" s="55"/>
      <c r="I104" s="55"/>
      <c r="J104" s="55"/>
      <c r="K104" s="55"/>
      <c r="L104" s="9">
        <f t="shared" si="2"/>
        <v>559.82619999999997</v>
      </c>
    </row>
    <row r="105" spans="1:13" ht="24.95" customHeight="1">
      <c r="A105" s="55"/>
      <c r="B105" s="55"/>
      <c r="C105" s="55"/>
      <c r="D105" s="55"/>
      <c r="E105" s="55"/>
      <c r="F105" s="55"/>
      <c r="G105" s="102" t="s">
        <v>4027</v>
      </c>
      <c r="H105" s="114" t="s">
        <v>240</v>
      </c>
      <c r="I105" s="103" t="s">
        <v>1231</v>
      </c>
      <c r="J105" s="107">
        <v>31</v>
      </c>
      <c r="K105" s="106">
        <v>31</v>
      </c>
      <c r="L105" s="9">
        <f t="shared" si="2"/>
        <v>528.82619999999997</v>
      </c>
    </row>
    <row r="106" spans="1:13" ht="24.95" customHeight="1">
      <c r="A106" s="55"/>
      <c r="B106" s="55"/>
      <c r="C106" s="55"/>
      <c r="D106" s="55"/>
      <c r="E106" s="55"/>
      <c r="F106" s="55"/>
      <c r="G106" s="102" t="s">
        <v>4063</v>
      </c>
      <c r="H106" s="114" t="s">
        <v>82</v>
      </c>
      <c r="I106" s="103" t="s">
        <v>83</v>
      </c>
      <c r="J106" s="107">
        <v>200</v>
      </c>
      <c r="K106" s="106">
        <v>200</v>
      </c>
      <c r="L106" s="9">
        <f t="shared" si="2"/>
        <v>328.82619999999997</v>
      </c>
    </row>
    <row r="107" spans="1:13" ht="24.95" customHeight="1">
      <c r="A107" s="55"/>
      <c r="B107" s="55"/>
      <c r="C107" s="55"/>
      <c r="D107" s="55"/>
      <c r="E107" s="55"/>
      <c r="F107" s="55"/>
      <c r="G107" s="102" t="s">
        <v>4062</v>
      </c>
      <c r="H107" s="114" t="s">
        <v>194</v>
      </c>
      <c r="I107" s="118" t="s">
        <v>621</v>
      </c>
      <c r="J107" s="107">
        <v>3</v>
      </c>
      <c r="K107" s="106">
        <v>3</v>
      </c>
      <c r="L107" s="9">
        <f t="shared" si="2"/>
        <v>325.82619999999997</v>
      </c>
    </row>
    <row r="108" spans="1:13" ht="24.95" customHeight="1">
      <c r="A108" s="55"/>
      <c r="B108" s="55"/>
      <c r="C108" s="55"/>
      <c r="D108" s="55"/>
      <c r="E108" s="55"/>
      <c r="F108" s="55"/>
      <c r="G108" s="102" t="s">
        <v>4297</v>
      </c>
      <c r="H108" s="114" t="s">
        <v>82</v>
      </c>
      <c r="I108" s="103" t="s">
        <v>83</v>
      </c>
      <c r="J108" s="107">
        <v>90</v>
      </c>
      <c r="K108" s="106">
        <v>90</v>
      </c>
      <c r="L108" s="9">
        <f t="shared" si="2"/>
        <v>235.82619999999997</v>
      </c>
    </row>
    <row r="109" spans="1:13" ht="24.95" customHeight="1">
      <c r="A109" s="55"/>
      <c r="B109" s="55"/>
      <c r="C109" s="55"/>
      <c r="D109" s="55"/>
      <c r="E109" s="55"/>
      <c r="F109" s="55"/>
      <c r="G109" s="102" t="s">
        <v>4233</v>
      </c>
      <c r="H109" s="114" t="s">
        <v>194</v>
      </c>
      <c r="I109" s="118" t="s">
        <v>621</v>
      </c>
      <c r="J109" s="107">
        <v>3</v>
      </c>
      <c r="K109" s="106">
        <v>3</v>
      </c>
      <c r="L109" s="9">
        <f t="shared" si="2"/>
        <v>232.82619999999997</v>
      </c>
    </row>
    <row r="110" spans="1:13" ht="24.95" customHeight="1">
      <c r="A110" s="55"/>
      <c r="B110" s="55"/>
      <c r="C110" s="55"/>
      <c r="D110" s="55"/>
      <c r="E110" s="55"/>
      <c r="F110" s="55"/>
      <c r="G110" s="102" t="s">
        <v>4241</v>
      </c>
      <c r="H110" s="114" t="s">
        <v>194</v>
      </c>
      <c r="I110" s="118" t="s">
        <v>4240</v>
      </c>
      <c r="J110" s="107">
        <v>40</v>
      </c>
      <c r="K110" s="106">
        <v>40</v>
      </c>
      <c r="L110" s="9">
        <f>L109+E110-K110</f>
        <v>192.82619999999997</v>
      </c>
    </row>
    <row r="111" spans="1:13" ht="24.95" customHeight="1">
      <c r="C111" s="64">
        <v>43100</v>
      </c>
      <c r="D111" s="63" t="s">
        <v>626</v>
      </c>
      <c r="E111" s="65">
        <v>74.715100000000007</v>
      </c>
      <c r="F111" s="337">
        <v>10523.81</v>
      </c>
      <c r="G111" s="55"/>
      <c r="H111" s="55"/>
      <c r="I111" s="55"/>
      <c r="J111" s="55"/>
      <c r="K111" s="55"/>
      <c r="L111" s="9">
        <f t="shared" ref="L111:L130" si="3">L110+E111-K111</f>
        <v>267.54129999999998</v>
      </c>
    </row>
    <row r="112" spans="1:13" ht="24.95" customHeight="1">
      <c r="A112" s="13" t="s">
        <v>4388</v>
      </c>
      <c r="B112" s="6" t="s">
        <v>147</v>
      </c>
      <c r="C112" s="7">
        <v>43109</v>
      </c>
      <c r="D112" s="6" t="s">
        <v>4370</v>
      </c>
      <c r="E112" s="9">
        <v>64</v>
      </c>
      <c r="F112" s="10">
        <v>11850</v>
      </c>
      <c r="G112" s="102" t="s">
        <v>4296</v>
      </c>
      <c r="H112" s="114" t="s">
        <v>82</v>
      </c>
      <c r="I112" s="103" t="s">
        <v>83</v>
      </c>
      <c r="J112" s="106">
        <v>400</v>
      </c>
      <c r="K112" s="106">
        <v>384</v>
      </c>
      <c r="L112" s="9">
        <f>L111+E112-K112</f>
        <v>-52.458700000000022</v>
      </c>
      <c r="M112"/>
    </row>
    <row r="113" spans="1:13" ht="24.95" customHeight="1">
      <c r="A113" s="391" t="s">
        <v>4557</v>
      </c>
      <c r="B113" s="392" t="s">
        <v>147</v>
      </c>
      <c r="C113" s="431">
        <v>43117</v>
      </c>
      <c r="D113" s="392" t="s">
        <v>4558</v>
      </c>
      <c r="E113" s="433">
        <v>160</v>
      </c>
      <c r="F113" s="434">
        <v>11800</v>
      </c>
      <c r="G113" s="55"/>
      <c r="H113" s="55"/>
      <c r="I113" s="55"/>
      <c r="J113" s="55"/>
      <c r="K113" s="55"/>
      <c r="L113" s="9">
        <f t="shared" si="3"/>
        <v>107.54129999999998</v>
      </c>
      <c r="M113"/>
    </row>
    <row r="114" spans="1:13" ht="24.95" customHeight="1">
      <c r="A114" s="13" t="s">
        <v>4555</v>
      </c>
      <c r="B114" s="6" t="s">
        <v>147</v>
      </c>
      <c r="C114" s="7">
        <v>43130</v>
      </c>
      <c r="D114" s="6" t="s">
        <v>2011</v>
      </c>
      <c r="E114" s="9">
        <v>64</v>
      </c>
      <c r="F114" s="10">
        <v>13094.12</v>
      </c>
      <c r="G114" s="55"/>
      <c r="H114" s="55"/>
      <c r="I114" s="55"/>
      <c r="J114" s="55"/>
      <c r="K114" s="55"/>
      <c r="L114" s="9">
        <f t="shared" si="3"/>
        <v>171.54129999999998</v>
      </c>
      <c r="M114"/>
    </row>
    <row r="115" spans="1:13" ht="24.95" customHeight="1">
      <c r="C115" s="64">
        <v>43131</v>
      </c>
      <c r="D115" s="63" t="s">
        <v>626</v>
      </c>
      <c r="E115" s="65">
        <v>52</v>
      </c>
      <c r="F115" s="337">
        <v>11855</v>
      </c>
      <c r="G115" s="102" t="s">
        <v>4527</v>
      </c>
      <c r="H115" s="114" t="s">
        <v>82</v>
      </c>
      <c r="I115" s="103" t="s">
        <v>83</v>
      </c>
      <c r="J115" s="106">
        <v>160</v>
      </c>
      <c r="K115" s="106">
        <v>155</v>
      </c>
      <c r="L115" s="9">
        <f t="shared" si="3"/>
        <v>68.541299999999978</v>
      </c>
      <c r="M115"/>
    </row>
    <row r="116" spans="1:13" ht="24.95" customHeight="1">
      <c r="C116" s="64">
        <v>43159</v>
      </c>
      <c r="D116" s="63" t="s">
        <v>626</v>
      </c>
      <c r="E116" s="65">
        <v>52.654999999999973</v>
      </c>
      <c r="F116" s="337">
        <v>13094.12</v>
      </c>
      <c r="G116" s="55"/>
      <c r="H116" s="55"/>
      <c r="I116" s="55"/>
      <c r="J116" s="55"/>
      <c r="K116" s="55"/>
      <c r="L116" s="9">
        <f t="shared" si="3"/>
        <v>121.19629999999995</v>
      </c>
      <c r="M116"/>
    </row>
    <row r="117" spans="1:13" ht="24.95" customHeight="1">
      <c r="A117" s="13" t="s">
        <v>4796</v>
      </c>
      <c r="B117" s="6" t="s">
        <v>147</v>
      </c>
      <c r="C117" s="7">
        <v>43160</v>
      </c>
      <c r="D117" s="6" t="s">
        <v>2011</v>
      </c>
      <c r="E117" s="9">
        <v>160</v>
      </c>
      <c r="F117" s="10">
        <v>13286.36</v>
      </c>
      <c r="G117" s="102" t="s">
        <v>4534</v>
      </c>
      <c r="H117" s="114" t="s">
        <v>240</v>
      </c>
      <c r="I117" s="103" t="s">
        <v>75</v>
      </c>
      <c r="J117" s="106">
        <v>32</v>
      </c>
      <c r="K117" s="106">
        <v>32</v>
      </c>
      <c r="L117" s="9">
        <f t="shared" si="3"/>
        <v>249.19629999999995</v>
      </c>
      <c r="M117"/>
    </row>
    <row r="118" spans="1:13" ht="24.95" customHeight="1">
      <c r="A118" s="13" t="s">
        <v>4533</v>
      </c>
      <c r="B118" s="6" t="s">
        <v>147</v>
      </c>
      <c r="C118" s="7">
        <v>43160</v>
      </c>
      <c r="D118" s="6" t="s">
        <v>2011</v>
      </c>
      <c r="E118" s="9">
        <v>32</v>
      </c>
      <c r="F118" s="10">
        <v>13400</v>
      </c>
      <c r="G118" s="102" t="s">
        <v>4585</v>
      </c>
      <c r="H118" s="114" t="s">
        <v>82</v>
      </c>
      <c r="I118" s="103" t="s">
        <v>83</v>
      </c>
      <c r="J118" s="106">
        <v>200</v>
      </c>
      <c r="K118" s="106">
        <v>200</v>
      </c>
      <c r="L118" s="9">
        <f t="shared" si="3"/>
        <v>81.196299999999951</v>
      </c>
    </row>
    <row r="119" spans="1:13" ht="24.95" customHeight="1">
      <c r="A119" s="13" t="s">
        <v>4710</v>
      </c>
      <c r="B119" s="6" t="s">
        <v>147</v>
      </c>
      <c r="C119" s="7">
        <v>43160</v>
      </c>
      <c r="D119" s="6" t="s">
        <v>4712</v>
      </c>
      <c r="E119" s="9">
        <v>64</v>
      </c>
      <c r="F119" s="10">
        <v>13250</v>
      </c>
      <c r="G119" s="102" t="s">
        <v>4756</v>
      </c>
      <c r="H119" s="114" t="s">
        <v>82</v>
      </c>
      <c r="I119" s="103" t="s">
        <v>83</v>
      </c>
      <c r="J119" s="106">
        <v>150</v>
      </c>
      <c r="K119" s="106">
        <v>157</v>
      </c>
      <c r="L119" s="9">
        <f t="shared" si="3"/>
        <v>-11.803700000000049</v>
      </c>
    </row>
    <row r="120" spans="1:13" ht="24.95" customHeight="1">
      <c r="C120" s="64">
        <v>43190</v>
      </c>
      <c r="D120" s="63" t="s">
        <v>626</v>
      </c>
      <c r="E120" s="65">
        <v>69</v>
      </c>
      <c r="F120" s="337">
        <v>13286.36</v>
      </c>
      <c r="G120" s="55"/>
      <c r="H120" s="55"/>
      <c r="I120" s="55"/>
      <c r="J120" s="55"/>
      <c r="K120" s="55"/>
      <c r="L120" s="9">
        <f t="shared" si="3"/>
        <v>57.196299999999951</v>
      </c>
    </row>
    <row r="121" spans="1:13" ht="24.95" customHeight="1">
      <c r="A121" s="13" t="s">
        <v>4715</v>
      </c>
      <c r="B121" s="6" t="s">
        <v>147</v>
      </c>
      <c r="C121" s="7">
        <v>43193</v>
      </c>
      <c r="D121" s="6" t="s">
        <v>4720</v>
      </c>
      <c r="E121" s="9">
        <v>32</v>
      </c>
      <c r="F121" s="10">
        <v>12150</v>
      </c>
      <c r="G121" s="102" t="s">
        <v>4705</v>
      </c>
      <c r="H121" s="114" t="s">
        <v>240</v>
      </c>
      <c r="I121" s="103" t="s">
        <v>75</v>
      </c>
      <c r="J121" s="106">
        <v>32</v>
      </c>
      <c r="K121" s="106">
        <v>32</v>
      </c>
      <c r="L121" s="9">
        <f t="shared" si="3"/>
        <v>57.196299999999951</v>
      </c>
    </row>
    <row r="122" spans="1:13" ht="24.95" customHeight="1">
      <c r="A122" s="13" t="s">
        <v>4721</v>
      </c>
      <c r="B122" s="6" t="s">
        <v>147</v>
      </c>
      <c r="C122" s="7">
        <v>43192</v>
      </c>
      <c r="D122" s="6" t="s">
        <v>2011</v>
      </c>
      <c r="E122" s="9">
        <v>96</v>
      </c>
      <c r="F122" s="10">
        <v>12000</v>
      </c>
      <c r="G122" s="102" t="s">
        <v>4855</v>
      </c>
      <c r="H122" s="114" t="s">
        <v>82</v>
      </c>
      <c r="I122" s="103" t="s">
        <v>83</v>
      </c>
      <c r="J122" s="109">
        <v>210</v>
      </c>
      <c r="K122" s="106">
        <v>209.822</v>
      </c>
      <c r="L122" s="9">
        <f t="shared" si="3"/>
        <v>-56.625700000000052</v>
      </c>
    </row>
    <row r="123" spans="1:13" ht="24.95" customHeight="1">
      <c r="A123" s="55"/>
      <c r="B123" s="55"/>
      <c r="C123" s="64">
        <v>43220</v>
      </c>
      <c r="D123" s="63" t="s">
        <v>626</v>
      </c>
      <c r="E123" s="65">
        <v>52.872999999999998</v>
      </c>
      <c r="F123" s="337">
        <v>11745</v>
      </c>
      <c r="G123" s="55"/>
      <c r="H123" s="55"/>
      <c r="I123" s="55"/>
      <c r="J123" s="55"/>
      <c r="K123" s="55"/>
      <c r="L123" s="9">
        <f t="shared" si="3"/>
        <v>-3.7527000000000541</v>
      </c>
    </row>
    <row r="124" spans="1:13" ht="24.95" customHeight="1">
      <c r="A124" s="13" t="s">
        <v>5009</v>
      </c>
      <c r="B124" s="6" t="s">
        <v>147</v>
      </c>
      <c r="C124" s="7">
        <v>43230</v>
      </c>
      <c r="D124" s="6" t="s">
        <v>4720</v>
      </c>
      <c r="E124" s="9">
        <v>96</v>
      </c>
      <c r="F124" s="10">
        <v>11850</v>
      </c>
      <c r="G124" s="102" t="s">
        <v>5098</v>
      </c>
      <c r="H124" s="115" t="s">
        <v>5524</v>
      </c>
      <c r="I124" s="103" t="s">
        <v>83</v>
      </c>
      <c r="J124" s="106">
        <v>286</v>
      </c>
      <c r="K124" s="106">
        <v>285.60500000000002</v>
      </c>
      <c r="L124" s="9">
        <f t="shared" si="3"/>
        <v>-193.35770000000008</v>
      </c>
    </row>
    <row r="125" spans="1:13" ht="24.95" customHeight="1">
      <c r="A125" s="13" t="s">
        <v>5086</v>
      </c>
      <c r="B125" s="6" t="s">
        <v>147</v>
      </c>
      <c r="C125" s="7">
        <v>43228</v>
      </c>
      <c r="D125" s="6" t="s">
        <v>2011</v>
      </c>
      <c r="E125" s="9">
        <v>96</v>
      </c>
      <c r="F125" s="10">
        <v>12036.36</v>
      </c>
      <c r="G125" s="102" t="s">
        <v>5039</v>
      </c>
      <c r="H125" s="115" t="s">
        <v>5525</v>
      </c>
      <c r="I125" s="118" t="s">
        <v>621</v>
      </c>
      <c r="J125" s="106">
        <v>3</v>
      </c>
      <c r="K125" s="106">
        <v>3</v>
      </c>
      <c r="L125" s="9">
        <f t="shared" si="3"/>
        <v>-100.35770000000008</v>
      </c>
    </row>
    <row r="126" spans="1:13" ht="24.95" customHeight="1">
      <c r="A126" s="13" t="s">
        <v>5030</v>
      </c>
      <c r="B126" s="6" t="s">
        <v>147</v>
      </c>
      <c r="C126" s="7">
        <v>43227</v>
      </c>
      <c r="D126" s="6" t="s">
        <v>4720</v>
      </c>
      <c r="E126" s="9">
        <v>64</v>
      </c>
      <c r="F126" s="10">
        <v>11900</v>
      </c>
      <c r="G126" s="55"/>
      <c r="H126" s="55"/>
      <c r="I126" s="55"/>
      <c r="J126" s="55"/>
      <c r="K126" s="55"/>
      <c r="L126" s="9">
        <f t="shared" si="3"/>
        <v>-36.357700000000079</v>
      </c>
    </row>
    <row r="127" spans="1:13" ht="24.95" customHeight="1">
      <c r="A127" s="13" t="s">
        <v>5087</v>
      </c>
      <c r="B127" s="6" t="s">
        <v>147</v>
      </c>
      <c r="C127" s="7">
        <v>43250</v>
      </c>
      <c r="D127" s="6" t="s">
        <v>4720</v>
      </c>
      <c r="E127" s="9">
        <v>300</v>
      </c>
      <c r="F127" s="10">
        <v>13700</v>
      </c>
      <c r="G127" s="102" t="s">
        <v>5079</v>
      </c>
      <c r="H127" s="115" t="s">
        <v>5524</v>
      </c>
      <c r="I127" s="103" t="s">
        <v>3042</v>
      </c>
      <c r="J127" s="106">
        <v>300</v>
      </c>
      <c r="K127" s="106">
        <v>288.39999999999998</v>
      </c>
      <c r="L127" s="9">
        <f t="shared" si="3"/>
        <v>-24.757700000000057</v>
      </c>
    </row>
    <row r="128" spans="1:13" ht="24.95" customHeight="1">
      <c r="A128" s="55"/>
      <c r="B128" s="55"/>
      <c r="C128" s="64">
        <v>43251</v>
      </c>
      <c r="D128" s="63" t="s">
        <v>626</v>
      </c>
      <c r="E128" s="65">
        <v>31.463000000000001</v>
      </c>
      <c r="F128" s="337">
        <v>12036.36</v>
      </c>
      <c r="G128" s="55"/>
      <c r="H128" s="55"/>
      <c r="I128" s="55"/>
      <c r="J128" s="55"/>
      <c r="K128" s="55"/>
      <c r="L128" s="9">
        <f t="shared" si="3"/>
        <v>6.7052999999999443</v>
      </c>
    </row>
    <row r="129" spans="1:14" ht="24.95" customHeight="1">
      <c r="A129" s="55"/>
      <c r="B129" s="55"/>
      <c r="C129" s="64">
        <v>43251</v>
      </c>
      <c r="D129" s="63" t="s">
        <v>5154</v>
      </c>
      <c r="E129" s="65">
        <v>-10</v>
      </c>
      <c r="F129" s="337">
        <v>11855</v>
      </c>
      <c r="G129" s="55"/>
      <c r="H129" s="55"/>
      <c r="I129" s="55"/>
      <c r="J129" s="55"/>
      <c r="K129" s="55"/>
      <c r="L129" s="9">
        <f t="shared" si="3"/>
        <v>-3.2947000000000557</v>
      </c>
      <c r="M129"/>
      <c r="N129" s="375"/>
    </row>
    <row r="130" spans="1:14" ht="24.95" customHeight="1">
      <c r="A130" s="465"/>
      <c r="B130" s="465"/>
      <c r="C130" s="466"/>
      <c r="D130" s="469" t="s">
        <v>5253</v>
      </c>
      <c r="E130" s="467">
        <v>12.0717</v>
      </c>
      <c r="F130" s="468"/>
      <c r="L130" s="9">
        <f t="shared" si="3"/>
        <v>8.7769999999999442</v>
      </c>
      <c r="M130" s="470" t="s">
        <v>5254</v>
      </c>
      <c r="N130" s="375"/>
    </row>
    <row r="131" spans="1:14" ht="24.95" customHeight="1">
      <c r="A131" s="273" t="s">
        <v>5089</v>
      </c>
      <c r="B131" s="274" t="s">
        <v>147</v>
      </c>
      <c r="C131" s="275">
        <v>43252</v>
      </c>
      <c r="D131" s="274" t="s">
        <v>4720</v>
      </c>
      <c r="E131" s="277">
        <v>64</v>
      </c>
      <c r="F131" s="278">
        <v>13400</v>
      </c>
      <c r="G131" s="102" t="s">
        <v>5210</v>
      </c>
      <c r="H131" s="114" t="s">
        <v>82</v>
      </c>
      <c r="I131" s="103" t="s">
        <v>83</v>
      </c>
      <c r="J131" s="107">
        <v>200</v>
      </c>
      <c r="K131" s="109">
        <v>191.11699999999999</v>
      </c>
      <c r="L131" s="9">
        <f>L130+E131-K131</f>
        <v>-118.34000000000005</v>
      </c>
      <c r="M131"/>
      <c r="N131" s="375"/>
    </row>
    <row r="132" spans="1:14" ht="24.95" customHeight="1">
      <c r="A132" s="13" t="s">
        <v>5083</v>
      </c>
      <c r="B132" s="6" t="s">
        <v>147</v>
      </c>
      <c r="C132" s="7">
        <v>43255</v>
      </c>
      <c r="D132" s="6" t="s">
        <v>2011</v>
      </c>
      <c r="E132" s="9"/>
      <c r="F132" s="10">
        <v>13300</v>
      </c>
      <c r="G132" s="55"/>
      <c r="H132" s="55"/>
      <c r="I132" s="55"/>
      <c r="J132" s="55"/>
      <c r="K132" s="55"/>
      <c r="L132" s="9">
        <f>L131+E132-K132</f>
        <v>-118.34000000000005</v>
      </c>
    </row>
    <row r="133" spans="1:14" ht="24.95" customHeight="1">
      <c r="A133" s="13"/>
      <c r="B133" s="6"/>
      <c r="C133" s="7">
        <v>43281</v>
      </c>
      <c r="D133" s="6" t="s">
        <v>5523</v>
      </c>
      <c r="E133" s="9">
        <v>33.604999999999997</v>
      </c>
      <c r="F133" s="10">
        <v>13715</v>
      </c>
      <c r="G133" s="55"/>
      <c r="H133" s="55"/>
      <c r="I133" s="55"/>
      <c r="J133" s="55"/>
      <c r="K133" s="55"/>
      <c r="L133" s="9">
        <f t="shared" ref="L133:L138" si="4">L132+E133-K133</f>
        <v>-84.735000000000042</v>
      </c>
    </row>
    <row r="134" spans="1:14" ht="24.95" customHeight="1">
      <c r="A134" s="13" t="s">
        <v>5262</v>
      </c>
      <c r="B134" s="6" t="s">
        <v>147</v>
      </c>
      <c r="C134" s="7">
        <v>43284</v>
      </c>
      <c r="D134" s="6" t="s">
        <v>4720</v>
      </c>
      <c r="E134" s="9">
        <v>96</v>
      </c>
      <c r="F134" s="10">
        <v>15950</v>
      </c>
      <c r="G134" s="102" t="s">
        <v>5263</v>
      </c>
      <c r="H134" s="114" t="s">
        <v>82</v>
      </c>
      <c r="I134" s="103" t="s">
        <v>3042</v>
      </c>
      <c r="J134" s="107">
        <v>96</v>
      </c>
      <c r="K134" s="109">
        <v>96.246099999999998</v>
      </c>
      <c r="L134" s="9">
        <f t="shared" si="4"/>
        <v>-84.98110000000004</v>
      </c>
    </row>
    <row r="135" spans="1:14" ht="24.95" customHeight="1">
      <c r="A135" s="13" t="s">
        <v>5255</v>
      </c>
      <c r="B135" s="6" t="s">
        <v>147</v>
      </c>
      <c r="C135" s="7">
        <v>43284</v>
      </c>
      <c r="D135" s="6" t="s">
        <v>4720</v>
      </c>
      <c r="E135" s="9">
        <v>64</v>
      </c>
      <c r="F135" s="10">
        <v>16000</v>
      </c>
      <c r="G135" s="102" t="s">
        <v>5316</v>
      </c>
      <c r="H135" s="114" t="s">
        <v>82</v>
      </c>
      <c r="I135" s="103" t="s">
        <v>83</v>
      </c>
      <c r="J135" s="107">
        <v>64</v>
      </c>
      <c r="K135" s="109">
        <v>64.045000000000002</v>
      </c>
      <c r="L135" s="9">
        <f t="shared" si="4"/>
        <v>-85.026100000000042</v>
      </c>
    </row>
    <row r="136" spans="1:14" ht="24.95" customHeight="1">
      <c r="A136" s="13" t="s">
        <v>5304</v>
      </c>
      <c r="B136" s="6" t="s">
        <v>147</v>
      </c>
      <c r="C136" s="7">
        <v>43293</v>
      </c>
      <c r="D136" s="6" t="s">
        <v>4720</v>
      </c>
      <c r="E136" s="9">
        <v>96</v>
      </c>
      <c r="F136" s="10">
        <v>17800</v>
      </c>
      <c r="G136" s="102" t="s">
        <v>5402</v>
      </c>
      <c r="H136" s="114" t="s">
        <v>82</v>
      </c>
      <c r="I136" s="103" t="s">
        <v>83</v>
      </c>
      <c r="J136" s="107">
        <v>96</v>
      </c>
      <c r="K136" s="109">
        <v>97.664000000000001</v>
      </c>
      <c r="L136" s="9">
        <f t="shared" si="4"/>
        <v>-86.690100000000044</v>
      </c>
    </row>
    <row r="137" spans="1:14" ht="24.95" customHeight="1">
      <c r="A137" s="13" t="s">
        <v>5405</v>
      </c>
      <c r="B137" s="6" t="s">
        <v>147</v>
      </c>
      <c r="C137" s="7">
        <v>43301</v>
      </c>
      <c r="D137" s="6" t="s">
        <v>4720</v>
      </c>
      <c r="E137" s="9">
        <v>33.579000000000001</v>
      </c>
      <c r="F137" s="10">
        <v>20000</v>
      </c>
      <c r="G137" s="55"/>
      <c r="H137" s="55"/>
      <c r="I137" s="55"/>
      <c r="J137" s="55"/>
      <c r="K137" s="55"/>
      <c r="L137" s="9">
        <f t="shared" si="4"/>
        <v>-53.111100000000043</v>
      </c>
    </row>
    <row r="138" spans="1:14" ht="24.95" customHeight="1">
      <c r="A138" s="13" t="s">
        <v>5416</v>
      </c>
      <c r="B138" s="6" t="s">
        <v>147</v>
      </c>
      <c r="C138" s="7">
        <v>43304</v>
      </c>
      <c r="D138" s="6" t="s">
        <v>4720</v>
      </c>
      <c r="E138" s="9">
        <v>32</v>
      </c>
      <c r="F138" s="10">
        <v>19350</v>
      </c>
      <c r="G138" s="55"/>
      <c r="H138" s="55"/>
      <c r="I138" s="55"/>
      <c r="J138" s="55"/>
      <c r="K138" s="55"/>
      <c r="L138" s="9">
        <f t="shared" si="4"/>
        <v>-21.111100000000043</v>
      </c>
    </row>
    <row r="139" spans="1:14" ht="24.95" customHeight="1">
      <c r="A139" s="13"/>
      <c r="B139" s="6"/>
      <c r="C139" s="7">
        <v>43312</v>
      </c>
      <c r="D139" s="6" t="s">
        <v>5523</v>
      </c>
      <c r="E139" s="9">
        <v>14</v>
      </c>
      <c r="F139" s="10">
        <v>17455.560000000001</v>
      </c>
      <c r="G139" s="55"/>
      <c r="H139" s="55"/>
      <c r="I139" s="55"/>
      <c r="J139" s="55"/>
      <c r="K139" s="55"/>
      <c r="L139" s="9">
        <f t="shared" ref="L139:L146" si="5">L138+E139-K139</f>
        <v>-7.1111000000000431</v>
      </c>
    </row>
    <row r="140" spans="1:14" ht="24.95" customHeight="1">
      <c r="A140" s="13"/>
      <c r="B140" s="6"/>
      <c r="C140" s="7">
        <v>43343</v>
      </c>
      <c r="D140" s="6" t="s">
        <v>5523</v>
      </c>
      <c r="E140" s="9">
        <v>61.744</v>
      </c>
      <c r="F140" s="10">
        <v>15416.04</v>
      </c>
      <c r="G140" s="55"/>
      <c r="H140" s="55"/>
      <c r="I140" s="55"/>
      <c r="J140" s="55"/>
      <c r="K140" s="55"/>
      <c r="L140" s="9">
        <f t="shared" si="5"/>
        <v>54.632899999999957</v>
      </c>
    </row>
    <row r="141" spans="1:14" ht="24.95" customHeight="1">
      <c r="A141" s="13" t="s">
        <v>5475</v>
      </c>
      <c r="B141" s="6" t="s">
        <v>147</v>
      </c>
      <c r="C141" s="7">
        <v>43346</v>
      </c>
      <c r="D141" s="6" t="s">
        <v>4720</v>
      </c>
      <c r="E141" s="9">
        <v>200</v>
      </c>
      <c r="F141" s="10">
        <v>17400</v>
      </c>
      <c r="G141" s="102" t="s">
        <v>5507</v>
      </c>
      <c r="H141" s="114" t="s">
        <v>82</v>
      </c>
      <c r="I141" s="103" t="s">
        <v>83</v>
      </c>
      <c r="J141" s="107">
        <v>260</v>
      </c>
      <c r="K141" s="109">
        <v>260.392</v>
      </c>
      <c r="L141" s="9">
        <f t="shared" si="5"/>
        <v>-5.7591000000000463</v>
      </c>
    </row>
    <row r="142" spans="1:14" ht="24.95" customHeight="1">
      <c r="A142" s="13" t="s">
        <v>5494</v>
      </c>
      <c r="B142" s="6" t="s">
        <v>147</v>
      </c>
      <c r="C142" s="7">
        <v>43373</v>
      </c>
      <c r="D142" s="6" t="s">
        <v>4720</v>
      </c>
      <c r="E142" s="9">
        <v>64</v>
      </c>
      <c r="F142" s="10">
        <v>18250</v>
      </c>
      <c r="G142" s="55"/>
      <c r="H142" s="55"/>
      <c r="I142" s="55"/>
      <c r="J142" s="55"/>
      <c r="K142" s="55"/>
      <c r="L142" s="9">
        <f t="shared" si="5"/>
        <v>58.240899999999954</v>
      </c>
    </row>
    <row r="143" spans="1:14" ht="24.95" customHeight="1">
      <c r="A143" s="484"/>
      <c r="B143" s="484"/>
      <c r="C143" s="340">
        <v>43373</v>
      </c>
      <c r="D143" s="339" t="s">
        <v>5523</v>
      </c>
      <c r="E143" s="341">
        <v>64.380099999999999</v>
      </c>
      <c r="F143" s="397">
        <v>17514.29</v>
      </c>
      <c r="G143" s="484"/>
      <c r="H143" s="484"/>
      <c r="I143" s="484"/>
      <c r="J143" s="484"/>
      <c r="K143" s="484"/>
      <c r="L143" s="341">
        <f t="shared" si="5"/>
        <v>122.62099999999995</v>
      </c>
    </row>
    <row r="144" spans="1:14" ht="24.95" customHeight="1">
      <c r="A144" s="13" t="s">
        <v>5526</v>
      </c>
      <c r="B144" s="6" t="s">
        <v>147</v>
      </c>
      <c r="C144" s="7">
        <v>43398</v>
      </c>
      <c r="D144" s="6" t="s">
        <v>4720</v>
      </c>
      <c r="E144" s="9">
        <v>32</v>
      </c>
      <c r="F144" s="10">
        <v>17000</v>
      </c>
      <c r="G144" s="102" t="s">
        <v>5518</v>
      </c>
      <c r="H144" s="114" t="s">
        <v>82</v>
      </c>
      <c r="I144" s="103" t="s">
        <v>83</v>
      </c>
      <c r="J144" s="107">
        <v>200</v>
      </c>
      <c r="K144" s="109">
        <v>209.32</v>
      </c>
      <c r="L144" s="9">
        <f t="shared" si="5"/>
        <v>-54.699000000000041</v>
      </c>
    </row>
    <row r="145" spans="1:13" ht="24.95" customHeight="1">
      <c r="A145" s="13"/>
      <c r="B145" s="6"/>
      <c r="C145" s="7"/>
      <c r="D145" s="6"/>
      <c r="E145" s="9"/>
      <c r="F145" s="10"/>
      <c r="G145" s="55"/>
      <c r="H145" s="55"/>
      <c r="I145" s="55"/>
      <c r="J145" s="55"/>
      <c r="K145" s="55"/>
      <c r="L145" s="9">
        <f t="shared" si="5"/>
        <v>-54.699000000000041</v>
      </c>
    </row>
    <row r="146" spans="1:13" ht="24.95" customHeight="1">
      <c r="A146" s="484"/>
      <c r="B146" s="484"/>
      <c r="C146" s="340">
        <v>43404</v>
      </c>
      <c r="D146" s="339" t="s">
        <v>5523</v>
      </c>
      <c r="E146" s="341">
        <v>46.588000000000001</v>
      </c>
      <c r="F146" s="397">
        <v>16872.78</v>
      </c>
      <c r="G146" s="484"/>
      <c r="H146" s="484"/>
      <c r="I146" s="484"/>
      <c r="J146" s="484"/>
      <c r="K146" s="484"/>
      <c r="L146" s="341">
        <f t="shared" si="5"/>
        <v>-8.1110000000000397</v>
      </c>
    </row>
    <row r="147" spans="1:13" ht="24.95" customHeight="1">
      <c r="A147" s="13" t="s">
        <v>5550</v>
      </c>
      <c r="B147" s="6" t="s">
        <v>147</v>
      </c>
      <c r="C147" s="7">
        <v>43404</v>
      </c>
      <c r="D147" s="6" t="s">
        <v>4720</v>
      </c>
      <c r="E147" s="9">
        <v>350</v>
      </c>
      <c r="F147" s="10">
        <v>15650</v>
      </c>
      <c r="G147" s="102" t="s">
        <v>5553</v>
      </c>
      <c r="H147" s="114" t="s">
        <v>82</v>
      </c>
      <c r="I147" s="103" t="s">
        <v>83</v>
      </c>
      <c r="J147" s="107">
        <v>350</v>
      </c>
      <c r="K147" s="109">
        <v>367.23</v>
      </c>
      <c r="L147" s="9">
        <f t="shared" ref="L147:L148" si="6">L146+E147-K147</f>
        <v>-25.341000000000065</v>
      </c>
    </row>
    <row r="148" spans="1:13" ht="24.95" customHeight="1">
      <c r="A148" s="13" t="s">
        <v>5558</v>
      </c>
      <c r="B148" s="6" t="s">
        <v>147</v>
      </c>
      <c r="C148" s="7">
        <v>43430</v>
      </c>
      <c r="D148" s="6" t="s">
        <v>4720</v>
      </c>
      <c r="E148" s="9">
        <v>464</v>
      </c>
      <c r="F148" s="10">
        <v>12950</v>
      </c>
      <c r="G148" s="102" t="s">
        <v>5561</v>
      </c>
      <c r="H148" s="114" t="s">
        <v>82</v>
      </c>
      <c r="I148" s="103" t="s">
        <v>3042</v>
      </c>
      <c r="J148" s="107">
        <v>96</v>
      </c>
      <c r="K148" s="109">
        <v>96.07</v>
      </c>
      <c r="L148" s="9">
        <f t="shared" si="6"/>
        <v>342.58899999999994</v>
      </c>
    </row>
    <row r="149" spans="1:13" ht="24.95" customHeight="1">
      <c r="A149" s="484"/>
      <c r="B149" s="484"/>
      <c r="C149" s="340">
        <v>43434</v>
      </c>
      <c r="D149" s="339" t="s">
        <v>5523</v>
      </c>
      <c r="E149" s="341">
        <v>52.914000000000001</v>
      </c>
      <c r="F149" s="397">
        <v>13204.55</v>
      </c>
      <c r="G149" s="484"/>
      <c r="H149" s="484"/>
      <c r="I149" s="484"/>
      <c r="J149" s="484"/>
      <c r="K149" s="265"/>
      <c r="L149" s="341">
        <f>L148+E149-K149</f>
        <v>395.50299999999993</v>
      </c>
    </row>
    <row r="150" spans="1:13" ht="24.95" customHeight="1">
      <c r="A150" s="13" t="s">
        <v>5564</v>
      </c>
      <c r="B150" s="6" t="s">
        <v>147</v>
      </c>
      <c r="C150" s="7">
        <v>43438</v>
      </c>
      <c r="D150" s="6" t="s">
        <v>4720</v>
      </c>
      <c r="E150" s="9">
        <v>96</v>
      </c>
      <c r="F150" s="10">
        <v>13200</v>
      </c>
      <c r="G150" s="102" t="s">
        <v>5565</v>
      </c>
      <c r="H150" s="114" t="s">
        <v>82</v>
      </c>
      <c r="I150" s="103" t="s">
        <v>3042</v>
      </c>
      <c r="J150" s="107">
        <v>96</v>
      </c>
      <c r="K150" s="109">
        <v>96.03</v>
      </c>
      <c r="L150" s="9">
        <f>L149+E150-K150</f>
        <v>395.47299999999996</v>
      </c>
    </row>
    <row r="151" spans="1:13" ht="24.95" customHeight="1">
      <c r="A151" s="484"/>
      <c r="B151" s="484"/>
      <c r="C151" s="340">
        <v>43465</v>
      </c>
      <c r="D151" s="339" t="s">
        <v>5523</v>
      </c>
      <c r="E151" s="341">
        <v>83</v>
      </c>
      <c r="F151" s="397">
        <v>13110</v>
      </c>
      <c r="G151" s="102" t="s">
        <v>5562</v>
      </c>
      <c r="H151" s="114" t="s">
        <v>82</v>
      </c>
      <c r="I151" s="103" t="s">
        <v>83</v>
      </c>
      <c r="J151" s="107">
        <v>400</v>
      </c>
      <c r="K151" s="109">
        <v>381.01</v>
      </c>
      <c r="L151" s="9">
        <f>L150+E151-K151</f>
        <v>97.462999999999965</v>
      </c>
    </row>
    <row r="152" spans="1:13" ht="24.95" customHeight="1">
      <c r="A152" s="13" t="s">
        <v>5596</v>
      </c>
      <c r="B152" s="6" t="s">
        <v>147</v>
      </c>
      <c r="C152" s="7">
        <v>43467</v>
      </c>
      <c r="D152" s="6" t="s">
        <v>4720</v>
      </c>
      <c r="E152" s="9">
        <v>300</v>
      </c>
      <c r="F152" s="10">
        <v>13550</v>
      </c>
      <c r="G152" s="102" t="s">
        <v>5595</v>
      </c>
      <c r="H152" s="114" t="s">
        <v>82</v>
      </c>
      <c r="I152" s="103" t="s">
        <v>3042</v>
      </c>
      <c r="J152" s="107">
        <v>300</v>
      </c>
      <c r="K152" s="109">
        <v>300.09300000000002</v>
      </c>
      <c r="L152" s="9">
        <f t="shared" ref="L152:L176" si="7">L151+E152-K152</f>
        <v>97.369999999999948</v>
      </c>
    </row>
    <row r="153" spans="1:13" ht="24.95" customHeight="1">
      <c r="A153" s="13" t="s">
        <v>5597</v>
      </c>
      <c r="B153" s="6" t="s">
        <v>147</v>
      </c>
      <c r="C153" s="7">
        <v>43467</v>
      </c>
      <c r="D153" s="6" t="s">
        <v>4720</v>
      </c>
      <c r="E153" s="9">
        <v>300</v>
      </c>
      <c r="F153" s="10">
        <v>13500</v>
      </c>
      <c r="G153" s="102" t="s">
        <v>5598</v>
      </c>
      <c r="H153" s="114" t="s">
        <v>82</v>
      </c>
      <c r="I153" s="103" t="s">
        <v>83</v>
      </c>
      <c r="J153" s="107">
        <v>450</v>
      </c>
      <c r="K153" s="109">
        <v>428.11</v>
      </c>
      <c r="L153" s="9">
        <f t="shared" si="7"/>
        <v>-30.740000000000066</v>
      </c>
      <c r="M153"/>
    </row>
    <row r="154" spans="1:13" ht="24.95" customHeight="1">
      <c r="A154" s="13" t="s">
        <v>5689</v>
      </c>
      <c r="B154" s="6" t="s">
        <v>147</v>
      </c>
      <c r="C154" s="7">
        <v>43482</v>
      </c>
      <c r="D154" s="6" t="s">
        <v>4720</v>
      </c>
      <c r="E154" s="9">
        <v>96</v>
      </c>
      <c r="F154" s="10">
        <v>13750</v>
      </c>
      <c r="G154" s="102" t="s">
        <v>5628</v>
      </c>
      <c r="H154" s="114" t="s">
        <v>82</v>
      </c>
      <c r="I154" s="103" t="s">
        <v>3042</v>
      </c>
      <c r="J154" s="107">
        <v>32</v>
      </c>
      <c r="K154" s="109">
        <v>31.975999999999999</v>
      </c>
      <c r="L154" s="9">
        <f t="shared" si="7"/>
        <v>33.283999999999935</v>
      </c>
      <c r="M154"/>
    </row>
    <row r="155" spans="1:13" ht="24.95" customHeight="1">
      <c r="A155" s="484"/>
      <c r="B155" s="484"/>
      <c r="C155" s="340">
        <v>43496</v>
      </c>
      <c r="D155" s="339" t="s">
        <v>5523</v>
      </c>
      <c r="E155" s="341">
        <v>99.77</v>
      </c>
      <c r="F155" s="397">
        <v>13231.82</v>
      </c>
      <c r="G155" s="102" t="s">
        <v>5629</v>
      </c>
      <c r="H155" s="114" t="s">
        <v>82</v>
      </c>
      <c r="I155" s="103" t="s">
        <v>83</v>
      </c>
      <c r="J155" s="107">
        <v>65</v>
      </c>
      <c r="K155" s="109">
        <v>65.003</v>
      </c>
      <c r="L155" s="9">
        <f t="shared" si="7"/>
        <v>68.050999999999917</v>
      </c>
      <c r="M155"/>
    </row>
    <row r="156" spans="1:13" ht="24.95" customHeight="1">
      <c r="A156" s="13" t="s">
        <v>5647</v>
      </c>
      <c r="B156" s="6" t="s">
        <v>147</v>
      </c>
      <c r="C156" s="7">
        <v>43497</v>
      </c>
      <c r="D156" s="6" t="s">
        <v>4720</v>
      </c>
      <c r="E156" s="9">
        <v>640</v>
      </c>
      <c r="F156" s="10">
        <v>13700</v>
      </c>
      <c r="G156" s="102" t="s">
        <v>5630</v>
      </c>
      <c r="H156" s="114" t="s">
        <v>82</v>
      </c>
      <c r="I156" s="103" t="s">
        <v>83</v>
      </c>
      <c r="J156" s="107">
        <v>320</v>
      </c>
      <c r="K156" s="109">
        <v>334.91699999999997</v>
      </c>
      <c r="L156" s="9">
        <f t="shared" si="7"/>
        <v>373.13399999999996</v>
      </c>
      <c r="M156"/>
    </row>
    <row r="157" spans="1:13" ht="24.95" customHeight="1">
      <c r="A157" s="13" t="s">
        <v>5654</v>
      </c>
      <c r="B157" s="6" t="s">
        <v>147</v>
      </c>
      <c r="C157" s="7">
        <v>43522</v>
      </c>
      <c r="D157" s="6" t="s">
        <v>4720</v>
      </c>
      <c r="E157" s="9">
        <v>898</v>
      </c>
      <c r="F157" s="10">
        <v>13400</v>
      </c>
      <c r="G157" s="102" t="s">
        <v>5648</v>
      </c>
      <c r="H157" s="114" t="s">
        <v>82</v>
      </c>
      <c r="I157" s="103" t="s">
        <v>3042</v>
      </c>
      <c r="J157" s="107">
        <v>320</v>
      </c>
      <c r="K157" s="109">
        <v>320.17</v>
      </c>
      <c r="L157" s="9">
        <f t="shared" si="7"/>
        <v>950.96399999999994</v>
      </c>
      <c r="M157"/>
    </row>
    <row r="158" spans="1:13" ht="24.95" customHeight="1">
      <c r="A158" s="484"/>
      <c r="B158" s="484"/>
      <c r="C158" s="340">
        <v>43524</v>
      </c>
      <c r="D158" s="339" t="s">
        <v>5523</v>
      </c>
      <c r="E158" s="341">
        <v>49.94</v>
      </c>
      <c r="F158" s="397">
        <v>13300</v>
      </c>
      <c r="G158" s="102" t="s">
        <v>5653</v>
      </c>
      <c r="H158" s="114" t="s">
        <v>82</v>
      </c>
      <c r="I158" s="103" t="s">
        <v>3042</v>
      </c>
      <c r="J158" s="107">
        <v>380</v>
      </c>
      <c r="K158" s="109">
        <v>398.14299999999997</v>
      </c>
      <c r="L158" s="9">
        <f t="shared" si="7"/>
        <v>602.76099999999997</v>
      </c>
      <c r="M158"/>
    </row>
    <row r="159" spans="1:13" ht="24.95" customHeight="1">
      <c r="A159" s="13" t="s">
        <v>5674</v>
      </c>
      <c r="B159" s="6" t="s">
        <v>485</v>
      </c>
      <c r="C159" s="7">
        <v>43528</v>
      </c>
      <c r="D159" s="6" t="s">
        <v>5655</v>
      </c>
      <c r="E159" s="9">
        <v>192</v>
      </c>
      <c r="F159" s="10">
        <v>13014</v>
      </c>
      <c r="G159" s="102" t="s">
        <v>5671</v>
      </c>
      <c r="H159" s="114" t="s">
        <v>82</v>
      </c>
      <c r="I159" s="103" t="s">
        <v>83</v>
      </c>
      <c r="J159" s="107">
        <v>560</v>
      </c>
      <c r="K159" s="109">
        <v>586.78399999999999</v>
      </c>
      <c r="L159" s="9">
        <f t="shared" si="7"/>
        <v>207.97699999999998</v>
      </c>
    </row>
    <row r="160" spans="1:13" ht="24.95" customHeight="1">
      <c r="A160" s="484"/>
      <c r="B160" s="484"/>
      <c r="C160" s="340">
        <v>43555</v>
      </c>
      <c r="D160" s="339" t="s">
        <v>5523</v>
      </c>
      <c r="E160" s="341">
        <v>102.85</v>
      </c>
      <c r="F160" s="397">
        <v>13200</v>
      </c>
      <c r="G160" s="102" t="s">
        <v>5677</v>
      </c>
      <c r="H160" s="114" t="s">
        <v>240</v>
      </c>
      <c r="I160" s="103" t="s">
        <v>75</v>
      </c>
      <c r="J160" s="107">
        <v>30</v>
      </c>
      <c r="K160" s="109">
        <v>30</v>
      </c>
      <c r="L160" s="9">
        <f t="shared" si="7"/>
        <v>280.827</v>
      </c>
    </row>
    <row r="161" spans="1:13" ht="24.95" customHeight="1">
      <c r="A161" s="13" t="s">
        <v>5701</v>
      </c>
      <c r="B161" s="6" t="s">
        <v>485</v>
      </c>
      <c r="C161" s="7">
        <v>43558</v>
      </c>
      <c r="D161" s="6" t="s">
        <v>5655</v>
      </c>
      <c r="E161" s="504">
        <v>192</v>
      </c>
      <c r="F161" s="505">
        <v>13267</v>
      </c>
      <c r="G161" s="102" t="s">
        <v>5694</v>
      </c>
      <c r="H161" s="114" t="s">
        <v>82</v>
      </c>
      <c r="I161" s="103" t="s">
        <v>83</v>
      </c>
      <c r="J161" s="107">
        <v>450</v>
      </c>
      <c r="K161" s="109">
        <v>429.86599999999999</v>
      </c>
      <c r="L161" s="9">
        <f t="shared" si="7"/>
        <v>42.961000000000013</v>
      </c>
    </row>
    <row r="162" spans="1:13" ht="24.95" customHeight="1">
      <c r="A162" s="13" t="s">
        <v>5705</v>
      </c>
      <c r="B162" s="6" t="s">
        <v>147</v>
      </c>
      <c r="C162" s="7">
        <v>43559</v>
      </c>
      <c r="D162" s="6" t="s">
        <v>4720</v>
      </c>
      <c r="E162" s="504">
        <v>425</v>
      </c>
      <c r="F162" s="505">
        <v>13200</v>
      </c>
      <c r="G162" s="102" t="s">
        <v>5721</v>
      </c>
      <c r="H162" s="114" t="s">
        <v>82</v>
      </c>
      <c r="I162" s="103" t="s">
        <v>3042</v>
      </c>
      <c r="J162" s="107">
        <v>125</v>
      </c>
      <c r="K162" s="109">
        <v>124.92</v>
      </c>
      <c r="L162" s="9">
        <f t="shared" si="7"/>
        <v>343.041</v>
      </c>
    </row>
    <row r="163" spans="1:13" ht="24.95" customHeight="1">
      <c r="A163" s="13" t="s">
        <v>5715</v>
      </c>
      <c r="B163" s="6" t="s">
        <v>485</v>
      </c>
      <c r="C163" s="7">
        <v>43574</v>
      </c>
      <c r="D163" s="6" t="s">
        <v>5716</v>
      </c>
      <c r="E163" s="504">
        <v>288</v>
      </c>
      <c r="F163" s="505">
        <v>13320</v>
      </c>
      <c r="G163" s="102" t="s">
        <v>5722</v>
      </c>
      <c r="H163" s="114" t="s">
        <v>82</v>
      </c>
      <c r="I163" s="103" t="s">
        <v>4795</v>
      </c>
      <c r="J163" s="107">
        <v>288</v>
      </c>
      <c r="K163" s="109">
        <v>288</v>
      </c>
      <c r="L163" s="9">
        <f t="shared" si="7"/>
        <v>343.04099999999994</v>
      </c>
    </row>
    <row r="164" spans="1:13" ht="24.95" customHeight="1">
      <c r="A164" s="13" t="s">
        <v>5733</v>
      </c>
      <c r="B164" s="6" t="s">
        <v>147</v>
      </c>
      <c r="C164" s="7">
        <v>43583</v>
      </c>
      <c r="D164" s="6" t="s">
        <v>4720</v>
      </c>
      <c r="E164" s="504">
        <v>400</v>
      </c>
      <c r="F164" s="505">
        <v>13400</v>
      </c>
      <c r="G164" s="102" t="s">
        <v>5753</v>
      </c>
      <c r="H164" s="114" t="s">
        <v>82</v>
      </c>
      <c r="I164" s="103" t="s">
        <v>3042</v>
      </c>
      <c r="J164" s="107">
        <v>400</v>
      </c>
      <c r="K164" s="109">
        <v>381.07</v>
      </c>
      <c r="L164" s="9">
        <f t="shared" si="7"/>
        <v>361.97099999999995</v>
      </c>
    </row>
    <row r="165" spans="1:13" ht="24.95" customHeight="1">
      <c r="A165" s="406"/>
      <c r="B165" s="63"/>
      <c r="C165" s="64">
        <v>43585</v>
      </c>
      <c r="D165" s="63" t="s">
        <v>5864</v>
      </c>
      <c r="E165" s="65">
        <v>83.698000000000107</v>
      </c>
      <c r="F165" s="337">
        <v>13127.27</v>
      </c>
      <c r="G165" s="102"/>
      <c r="H165" s="114"/>
      <c r="I165" s="103"/>
      <c r="J165" s="107"/>
      <c r="K165" s="109"/>
      <c r="L165" s="9">
        <f t="shared" si="7"/>
        <v>445.66900000000004</v>
      </c>
    </row>
    <row r="166" spans="1:13" ht="24.95" customHeight="1">
      <c r="A166" s="13" t="s">
        <v>5740</v>
      </c>
      <c r="B166" s="6" t="s">
        <v>485</v>
      </c>
      <c r="C166" s="7">
        <v>43593</v>
      </c>
      <c r="D166" s="6" t="s">
        <v>5655</v>
      </c>
      <c r="E166" s="504">
        <v>192</v>
      </c>
      <c r="F166" s="505">
        <v>13200</v>
      </c>
      <c r="G166" s="102" t="s">
        <v>5749</v>
      </c>
      <c r="H166" s="114" t="s">
        <v>82</v>
      </c>
      <c r="I166" s="103" t="s">
        <v>83</v>
      </c>
      <c r="J166" s="107">
        <v>100</v>
      </c>
      <c r="K166" s="109">
        <v>96.046999999999997</v>
      </c>
      <c r="L166" s="9">
        <f t="shared" si="7"/>
        <v>541.62200000000007</v>
      </c>
    </row>
    <row r="167" spans="1:13" ht="24.95" customHeight="1">
      <c r="A167" s="13" t="s">
        <v>5758</v>
      </c>
      <c r="B167" s="6" t="s">
        <v>147</v>
      </c>
      <c r="C167" s="7">
        <v>43601</v>
      </c>
      <c r="D167" s="6" t="s">
        <v>4720</v>
      </c>
      <c r="E167" s="504">
        <v>600</v>
      </c>
      <c r="F167" s="505">
        <v>13400</v>
      </c>
      <c r="G167" s="102"/>
      <c r="H167" s="114"/>
      <c r="I167" s="103"/>
      <c r="J167" s="107"/>
      <c r="K167" s="109"/>
      <c r="L167" s="9">
        <f t="shared" si="7"/>
        <v>1141.6220000000001</v>
      </c>
    </row>
    <row r="168" spans="1:13" ht="24.95" customHeight="1">
      <c r="A168" s="13" t="s">
        <v>5759</v>
      </c>
      <c r="B168" s="6" t="s">
        <v>485</v>
      </c>
      <c r="C168" s="7">
        <v>43601</v>
      </c>
      <c r="D168" s="6" t="s">
        <v>5716</v>
      </c>
      <c r="E168" s="504">
        <v>192</v>
      </c>
      <c r="F168" s="505">
        <v>13520</v>
      </c>
      <c r="G168" s="102" t="s">
        <v>5754</v>
      </c>
      <c r="H168" s="114" t="s">
        <v>82</v>
      </c>
      <c r="I168" s="103" t="s">
        <v>83</v>
      </c>
      <c r="J168" s="107">
        <v>700</v>
      </c>
      <c r="K168" s="109">
        <v>730.7639999999999</v>
      </c>
      <c r="L168" s="9">
        <f>L167+E168-K168</f>
        <v>602.85800000000017</v>
      </c>
    </row>
    <row r="169" spans="1:13" ht="24.95" customHeight="1">
      <c r="G169" s="102" t="s">
        <v>5766</v>
      </c>
      <c r="H169" s="114" t="s">
        <v>82</v>
      </c>
      <c r="I169" s="103" t="s">
        <v>3042</v>
      </c>
      <c r="J169" s="107">
        <v>200</v>
      </c>
      <c r="K169" s="109">
        <v>199.94</v>
      </c>
      <c r="L169" s="9">
        <f>L168+E169-K169</f>
        <v>402.91800000000018</v>
      </c>
    </row>
    <row r="170" spans="1:13" ht="24.95" customHeight="1">
      <c r="G170" s="102" t="s">
        <v>5760</v>
      </c>
      <c r="H170" s="114" t="s">
        <v>82</v>
      </c>
      <c r="I170" s="103" t="s">
        <v>4795</v>
      </c>
      <c r="J170" s="107">
        <v>192</v>
      </c>
      <c r="K170" s="109">
        <v>192</v>
      </c>
      <c r="L170" s="9">
        <f t="shared" si="7"/>
        <v>210.91800000000018</v>
      </c>
    </row>
    <row r="171" spans="1:13" ht="24.95" customHeight="1">
      <c r="A171" s="416"/>
      <c r="B171" s="416"/>
      <c r="C171" s="64">
        <v>43616</v>
      </c>
      <c r="D171" s="63" t="s">
        <v>5864</v>
      </c>
      <c r="E171" s="65">
        <f>111.078-11</f>
        <v>100.078</v>
      </c>
      <c r="F171" s="337">
        <v>13238.1</v>
      </c>
      <c r="G171" s="102"/>
      <c r="H171" s="114"/>
      <c r="I171" s="103"/>
      <c r="J171" s="107"/>
      <c r="K171" s="109"/>
      <c r="L171" s="9">
        <f t="shared" si="7"/>
        <v>310.99600000000021</v>
      </c>
    </row>
    <row r="172" spans="1:13" ht="24.95" customHeight="1" thickBot="1">
      <c r="A172" s="562" t="s">
        <v>5795</v>
      </c>
      <c r="B172" s="562" t="s">
        <v>485</v>
      </c>
      <c r="C172" s="564">
        <v>43619</v>
      </c>
      <c r="D172" s="562" t="s">
        <v>5655</v>
      </c>
      <c r="E172" s="510">
        <f>192-E173</f>
        <v>113.03700000000001</v>
      </c>
      <c r="F172" s="567">
        <v>13150</v>
      </c>
      <c r="G172" s="102"/>
      <c r="H172" s="114"/>
      <c r="I172" s="103"/>
      <c r="J172" s="107"/>
      <c r="K172" s="109"/>
      <c r="L172" s="9">
        <f t="shared" si="7"/>
        <v>424.03300000000024</v>
      </c>
    </row>
    <row r="173" spans="1:13" ht="24.95" customHeight="1">
      <c r="A173" s="563"/>
      <c r="B173" s="563"/>
      <c r="C173" s="565"/>
      <c r="D173" s="566"/>
      <c r="E173" s="511">
        <v>78.962999999999994</v>
      </c>
      <c r="F173" s="568"/>
      <c r="G173" s="102"/>
      <c r="H173" s="114"/>
      <c r="I173" s="103"/>
      <c r="J173" s="107"/>
      <c r="K173" s="109"/>
      <c r="L173" s="9">
        <f t="shared" si="7"/>
        <v>502.99600000000021</v>
      </c>
    </row>
    <row r="174" spans="1:13" ht="24.95" customHeight="1">
      <c r="A174" s="13" t="s">
        <v>5810</v>
      </c>
      <c r="B174" s="6" t="s">
        <v>485</v>
      </c>
      <c r="C174" s="7">
        <v>43627</v>
      </c>
      <c r="D174" s="506" t="s">
        <v>5716</v>
      </c>
      <c r="E174" s="512">
        <v>320</v>
      </c>
      <c r="F174" s="508">
        <v>13420</v>
      </c>
      <c r="G174" s="102" t="s">
        <v>5811</v>
      </c>
      <c r="H174" s="114" t="s">
        <v>82</v>
      </c>
      <c r="I174" s="103" t="s">
        <v>4795</v>
      </c>
      <c r="J174" s="107">
        <v>320</v>
      </c>
      <c r="K174" s="109">
        <v>320</v>
      </c>
      <c r="L174" s="9">
        <f t="shared" si="7"/>
        <v>502.99600000000021</v>
      </c>
    </row>
    <row r="175" spans="1:13" ht="24.95" customHeight="1">
      <c r="A175" s="13"/>
      <c r="B175" s="6"/>
      <c r="C175" s="7"/>
      <c r="D175" s="506"/>
      <c r="E175" s="512"/>
      <c r="F175" s="508"/>
      <c r="G175" s="102" t="s">
        <v>5809</v>
      </c>
      <c r="H175" s="114" t="s">
        <v>82</v>
      </c>
      <c r="I175" s="103" t="s">
        <v>83</v>
      </c>
      <c r="J175" s="107">
        <v>100</v>
      </c>
      <c r="K175" s="109">
        <v>104.033</v>
      </c>
      <c r="L175" s="9">
        <f t="shared" si="7"/>
        <v>398.96300000000019</v>
      </c>
    </row>
    <row r="176" spans="1:13" ht="24.95" customHeight="1">
      <c r="A176" s="406"/>
      <c r="B176" s="63"/>
      <c r="C176" s="64">
        <v>43646</v>
      </c>
      <c r="D176" s="507" t="s">
        <v>5864</v>
      </c>
      <c r="E176" s="512">
        <v>72.841999999999999</v>
      </c>
      <c r="F176" s="509">
        <v>13200</v>
      </c>
      <c r="G176" s="102"/>
      <c r="H176" s="114"/>
      <c r="I176" s="103"/>
      <c r="J176" s="107"/>
      <c r="K176" s="109"/>
      <c r="L176" s="9">
        <f t="shared" si="7"/>
        <v>471.80500000000018</v>
      </c>
      <c r="M176" s="375" t="s">
        <v>5865</v>
      </c>
    </row>
    <row r="177" spans="1:13" ht="24.95" customHeight="1" thickBot="1">
      <c r="A177" s="406"/>
      <c r="B177" s="63"/>
      <c r="C177" s="64"/>
      <c r="D177" s="507" t="s">
        <v>5866</v>
      </c>
      <c r="E177" s="513">
        <v>3.4590000000000001</v>
      </c>
      <c r="F177" s="509">
        <f>F176</f>
        <v>13200</v>
      </c>
      <c r="G177" s="102"/>
      <c r="H177" s="114"/>
      <c r="I177" s="103"/>
      <c r="J177" s="107"/>
      <c r="K177" s="109"/>
      <c r="L177" s="343">
        <f>L176+E177-K177</f>
        <v>475.26400000000018</v>
      </c>
    </row>
    <row r="178" spans="1:13" ht="24.95" customHeight="1">
      <c r="A178" s="13"/>
      <c r="B178" s="6"/>
      <c r="C178" s="7"/>
      <c r="D178" s="6"/>
      <c r="E178" s="553"/>
      <c r="F178" s="505"/>
      <c r="G178" s="102"/>
      <c r="H178" s="114"/>
      <c r="I178" s="103"/>
      <c r="J178" s="107"/>
      <c r="K178" s="109"/>
      <c r="L178" s="9">
        <f>L177+E178-K178</f>
        <v>475.26400000000018</v>
      </c>
    </row>
    <row r="179" spans="1:13" ht="24.95" customHeight="1">
      <c r="A179" s="13" t="s">
        <v>5830</v>
      </c>
      <c r="B179" s="6" t="s">
        <v>485</v>
      </c>
      <c r="C179" s="7">
        <v>43647</v>
      </c>
      <c r="D179" s="6" t="s">
        <v>5716</v>
      </c>
      <c r="E179" s="504">
        <v>186</v>
      </c>
      <c r="F179" s="505">
        <v>13420</v>
      </c>
      <c r="G179" s="496" t="s">
        <v>5818</v>
      </c>
      <c r="H179" s="551" t="s">
        <v>82</v>
      </c>
      <c r="I179" s="551" t="s">
        <v>83</v>
      </c>
      <c r="J179" s="498">
        <v>900</v>
      </c>
      <c r="K179" s="555">
        <v>944.38000000000011</v>
      </c>
      <c r="L179" s="9">
        <f t="shared" ref="L179:L186" si="8">L178+E179-K179</f>
        <v>-283.11599999999999</v>
      </c>
    </row>
    <row r="180" spans="1:13" ht="24.95" customHeight="1">
      <c r="A180" s="13" t="s">
        <v>5840</v>
      </c>
      <c r="B180" s="6" t="s">
        <v>147</v>
      </c>
      <c r="C180" s="7">
        <v>43650</v>
      </c>
      <c r="D180" s="6" t="s">
        <v>4720</v>
      </c>
      <c r="E180" s="553">
        <v>400</v>
      </c>
      <c r="F180" s="505">
        <v>13300</v>
      </c>
      <c r="G180" s="496" t="s">
        <v>5831</v>
      </c>
      <c r="H180" s="551" t="s">
        <v>82</v>
      </c>
      <c r="I180" s="551" t="s">
        <v>4795</v>
      </c>
      <c r="J180" s="498">
        <v>186</v>
      </c>
      <c r="K180" s="552">
        <v>186</v>
      </c>
      <c r="L180" s="9">
        <f t="shared" si="8"/>
        <v>-69.115999999999985</v>
      </c>
    </row>
    <row r="181" spans="1:13" ht="24.95" customHeight="1">
      <c r="A181" s="13" t="s">
        <v>5841</v>
      </c>
      <c r="B181" s="6" t="s">
        <v>147</v>
      </c>
      <c r="C181" s="7">
        <v>43650</v>
      </c>
      <c r="D181" s="6" t="s">
        <v>3043</v>
      </c>
      <c r="E181" s="553">
        <v>288</v>
      </c>
      <c r="F181" s="505">
        <v>13350</v>
      </c>
      <c r="G181" s="496" t="s">
        <v>5859</v>
      </c>
      <c r="H181" s="551" t="s">
        <v>82</v>
      </c>
      <c r="I181" s="551" t="s">
        <v>4795</v>
      </c>
      <c r="J181" s="498">
        <v>420</v>
      </c>
      <c r="K181" s="555">
        <v>420</v>
      </c>
      <c r="L181" s="9">
        <f t="shared" si="8"/>
        <v>-201.11599999999999</v>
      </c>
    </row>
    <row r="182" spans="1:13" ht="24.95" customHeight="1">
      <c r="A182" s="13" t="s">
        <v>5858</v>
      </c>
      <c r="B182" s="6" t="s">
        <v>485</v>
      </c>
      <c r="C182" s="7">
        <v>43668</v>
      </c>
      <c r="D182" s="6" t="s">
        <v>5716</v>
      </c>
      <c r="E182" s="553">
        <v>420</v>
      </c>
      <c r="F182" s="505">
        <v>13320</v>
      </c>
      <c r="G182" s="496"/>
      <c r="H182" s="551"/>
      <c r="I182" s="551"/>
      <c r="J182" s="498"/>
      <c r="K182" s="555"/>
      <c r="L182" s="9">
        <f t="shared" si="8"/>
        <v>218.88400000000001</v>
      </c>
    </row>
    <row r="183" spans="1:13" ht="24.95" customHeight="1">
      <c r="A183" s="406"/>
      <c r="B183" s="63"/>
      <c r="C183" s="64">
        <v>43677</v>
      </c>
      <c r="D183" s="507" t="s">
        <v>626</v>
      </c>
      <c r="E183" s="554">
        <v>95.79</v>
      </c>
      <c r="F183" s="337">
        <v>13086.96</v>
      </c>
      <c r="G183" s="124"/>
      <c r="H183" s="184"/>
      <c r="I183" s="184"/>
      <c r="J183" s="186"/>
      <c r="K183" s="558"/>
      <c r="L183" s="343">
        <f t="shared" si="8"/>
        <v>314.67400000000004</v>
      </c>
      <c r="M183" s="375" t="s">
        <v>6061</v>
      </c>
    </row>
    <row r="184" spans="1:13" ht="24.95" customHeight="1">
      <c r="A184" s="538" t="s">
        <v>5905</v>
      </c>
      <c r="B184" s="539" t="s">
        <v>485</v>
      </c>
      <c r="C184" s="540">
        <v>43678</v>
      </c>
      <c r="D184" s="539" t="s">
        <v>5716</v>
      </c>
      <c r="E184" s="556">
        <v>314</v>
      </c>
      <c r="F184" s="505">
        <v>13140</v>
      </c>
      <c r="G184" s="496" t="s">
        <v>5880</v>
      </c>
      <c r="H184" s="551" t="s">
        <v>82</v>
      </c>
      <c r="I184" s="551" t="s">
        <v>4795</v>
      </c>
      <c r="J184" s="498">
        <v>314</v>
      </c>
      <c r="K184" s="555">
        <v>314</v>
      </c>
      <c r="L184" s="9">
        <f t="shared" si="8"/>
        <v>314.67399999999998</v>
      </c>
    </row>
    <row r="185" spans="1:13" ht="24.95" customHeight="1">
      <c r="A185" s="13" t="s">
        <v>5819</v>
      </c>
      <c r="B185" s="6" t="s">
        <v>485</v>
      </c>
      <c r="C185" s="7">
        <v>43643</v>
      </c>
      <c r="D185" s="6" t="s">
        <v>5655</v>
      </c>
      <c r="E185" s="553">
        <v>192</v>
      </c>
      <c r="F185" s="505">
        <v>13200</v>
      </c>
      <c r="G185" s="496" t="s">
        <v>5881</v>
      </c>
      <c r="H185" s="551" t="s">
        <v>82</v>
      </c>
      <c r="I185" s="551" t="s">
        <v>83</v>
      </c>
      <c r="J185" s="498">
        <v>600</v>
      </c>
      <c r="K185" s="555">
        <v>619.745</v>
      </c>
      <c r="L185" s="9">
        <f t="shared" si="8"/>
        <v>-113.07100000000003</v>
      </c>
    </row>
    <row r="186" spans="1:13" ht="24.95" customHeight="1">
      <c r="A186" s="13" t="s">
        <v>5916</v>
      </c>
      <c r="B186" s="6" t="s">
        <v>485</v>
      </c>
      <c r="C186" s="7">
        <v>43690</v>
      </c>
      <c r="D186" s="6" t="s">
        <v>4720</v>
      </c>
      <c r="E186" s="557">
        <v>600</v>
      </c>
      <c r="F186" s="10">
        <v>12000</v>
      </c>
      <c r="G186" s="102" t="s">
        <v>5912</v>
      </c>
      <c r="H186" s="114" t="s">
        <v>82</v>
      </c>
      <c r="I186" s="103" t="s">
        <v>3042</v>
      </c>
      <c r="J186" s="107">
        <v>500</v>
      </c>
      <c r="K186" s="559">
        <v>517.83090000000004</v>
      </c>
      <c r="L186" s="9">
        <f t="shared" si="8"/>
        <v>-30.901900000000069</v>
      </c>
    </row>
    <row r="187" spans="1:13" ht="24.95" customHeight="1">
      <c r="A187" s="406"/>
      <c r="B187" s="63"/>
      <c r="C187" s="64">
        <v>43708</v>
      </c>
      <c r="D187" s="507" t="s">
        <v>626</v>
      </c>
      <c r="E187" s="554">
        <v>104.96</v>
      </c>
      <c r="F187" s="337">
        <v>11781.82</v>
      </c>
      <c r="G187" s="124"/>
      <c r="H187" s="184"/>
      <c r="I187" s="184"/>
      <c r="J187" s="186"/>
      <c r="K187" s="190"/>
      <c r="L187" s="343">
        <f>L186+E187-K187</f>
        <v>74.058099999999925</v>
      </c>
      <c r="M187" s="375" t="s">
        <v>6062</v>
      </c>
    </row>
    <row r="188" spans="1:13" ht="24.95" customHeight="1">
      <c r="A188" s="13" t="s">
        <v>5956</v>
      </c>
      <c r="B188" s="6" t="s">
        <v>485</v>
      </c>
      <c r="C188" s="7">
        <v>43717</v>
      </c>
      <c r="D188" s="6" t="s">
        <v>4720</v>
      </c>
      <c r="E188" s="557">
        <v>600</v>
      </c>
      <c r="F188" s="10">
        <v>11450</v>
      </c>
      <c r="G188" s="102" t="s">
        <v>5981</v>
      </c>
      <c r="H188" s="114" t="s">
        <v>82</v>
      </c>
      <c r="I188" s="103" t="s">
        <v>4795</v>
      </c>
      <c r="J188" s="498">
        <v>99</v>
      </c>
      <c r="K188" s="559">
        <v>98</v>
      </c>
      <c r="L188" s="504">
        <f>L187+E188-K188</f>
        <v>576.05809999999997</v>
      </c>
    </row>
    <row r="189" spans="1:13" ht="24.95" customHeight="1">
      <c r="A189" s="13" t="s">
        <v>5965</v>
      </c>
      <c r="B189" s="6" t="s">
        <v>485</v>
      </c>
      <c r="C189" s="7">
        <v>43689</v>
      </c>
      <c r="D189" s="6" t="s">
        <v>5655</v>
      </c>
      <c r="E189" s="557">
        <v>192</v>
      </c>
      <c r="F189" s="10">
        <v>11200</v>
      </c>
      <c r="G189" s="102" t="s">
        <v>5949</v>
      </c>
      <c r="H189" s="114" t="s">
        <v>82</v>
      </c>
      <c r="I189" s="103" t="s">
        <v>3042</v>
      </c>
      <c r="J189" s="107">
        <v>280</v>
      </c>
      <c r="K189" s="559">
        <v>279.77179999999998</v>
      </c>
      <c r="L189" s="504">
        <f t="shared" ref="L189:L194" si="9">L188+E189-K189</f>
        <v>488.28629999999998</v>
      </c>
    </row>
    <row r="190" spans="1:13" ht="24.95" customHeight="1">
      <c r="A190" s="13" t="s">
        <v>5996</v>
      </c>
      <c r="B190" s="6" t="s">
        <v>485</v>
      </c>
      <c r="C190" s="7">
        <v>43714</v>
      </c>
      <c r="D190" s="6" t="s">
        <v>5716</v>
      </c>
      <c r="E190" s="557">
        <v>98</v>
      </c>
      <c r="F190" s="10">
        <v>11440</v>
      </c>
      <c r="G190" s="102" t="s">
        <v>5951</v>
      </c>
      <c r="H190" s="114" t="s">
        <v>82</v>
      </c>
      <c r="I190" s="103" t="s">
        <v>83</v>
      </c>
      <c r="J190" s="107">
        <v>320</v>
      </c>
      <c r="K190" s="559">
        <v>309.84199999999998</v>
      </c>
      <c r="L190" s="504">
        <f t="shared" si="9"/>
        <v>276.4443</v>
      </c>
    </row>
    <row r="191" spans="1:13" ht="24.95" customHeight="1">
      <c r="A191" s="13" t="s">
        <v>5975</v>
      </c>
      <c r="B191" s="6" t="s">
        <v>485</v>
      </c>
      <c r="C191" s="7">
        <v>43717</v>
      </c>
      <c r="D191" s="6" t="s">
        <v>5716</v>
      </c>
      <c r="E191" s="557">
        <v>512</v>
      </c>
      <c r="F191" s="10">
        <v>11440</v>
      </c>
      <c r="G191" s="102" t="s">
        <v>5974</v>
      </c>
      <c r="H191" s="114" t="s">
        <v>82</v>
      </c>
      <c r="I191" s="103" t="s">
        <v>4795</v>
      </c>
      <c r="J191" s="498">
        <v>512</v>
      </c>
      <c r="K191" s="559">
        <v>512</v>
      </c>
      <c r="L191" s="504">
        <f t="shared" si="9"/>
        <v>276.4443</v>
      </c>
    </row>
    <row r="192" spans="1:13" ht="24.95" customHeight="1">
      <c r="A192" s="416"/>
      <c r="B192" s="416"/>
      <c r="C192" s="64">
        <v>43738</v>
      </c>
      <c r="D192" s="507" t="s">
        <v>626</v>
      </c>
      <c r="E192" s="467">
        <v>58.37</v>
      </c>
      <c r="F192" s="337">
        <v>11200</v>
      </c>
      <c r="G192" s="102"/>
      <c r="H192" s="114"/>
      <c r="I192" s="103"/>
      <c r="J192" s="107"/>
      <c r="K192" s="109"/>
      <c r="L192" s="504">
        <f>L191+E192-K192</f>
        <v>334.8143</v>
      </c>
    </row>
    <row r="193" spans="1:12" ht="24.95" customHeight="1">
      <c r="A193" s="13" t="s">
        <v>5977</v>
      </c>
      <c r="B193" s="6" t="s">
        <v>485</v>
      </c>
      <c r="C193" s="7">
        <v>43714</v>
      </c>
      <c r="D193" s="6" t="s">
        <v>5655</v>
      </c>
      <c r="E193" s="541">
        <v>192</v>
      </c>
      <c r="F193" s="10">
        <v>11200</v>
      </c>
      <c r="G193" s="102" t="s">
        <v>6020</v>
      </c>
      <c r="H193" s="114" t="s">
        <v>82</v>
      </c>
      <c r="I193" s="103" t="s">
        <v>83</v>
      </c>
      <c r="J193" s="107">
        <v>210</v>
      </c>
      <c r="K193" s="109">
        <v>209.56200000000001</v>
      </c>
      <c r="L193" s="504">
        <f>L192+E193-K193</f>
        <v>317.25229999999999</v>
      </c>
    </row>
    <row r="194" spans="1:12" ht="24.95" customHeight="1">
      <c r="G194" s="102" t="s">
        <v>6052</v>
      </c>
      <c r="H194" s="114" t="s">
        <v>82</v>
      </c>
      <c r="I194" s="103" t="s">
        <v>83</v>
      </c>
      <c r="J194" s="107">
        <v>450</v>
      </c>
      <c r="K194" s="109">
        <v>267.11919999999998</v>
      </c>
      <c r="L194" s="504">
        <f t="shared" si="9"/>
        <v>50.133100000000013</v>
      </c>
    </row>
    <row r="195" spans="1:12" ht="24.95" customHeight="1">
      <c r="G195" s="55"/>
      <c r="H195" s="55"/>
      <c r="I195" s="55"/>
      <c r="J195" s="55"/>
      <c r="K195" s="55"/>
      <c r="L195" s="9"/>
    </row>
    <row r="196" spans="1:12" ht="24.95" customHeight="1">
      <c r="G196" s="55"/>
      <c r="H196" s="55"/>
      <c r="I196" s="55"/>
      <c r="J196" s="55"/>
      <c r="K196" s="55"/>
      <c r="L196" s="9"/>
    </row>
    <row r="197" spans="1:12" ht="24.95" customHeight="1">
      <c r="G197" s="55"/>
      <c r="H197" s="55"/>
      <c r="I197" s="55"/>
      <c r="J197" s="55"/>
      <c r="K197" s="55"/>
      <c r="L197" s="9"/>
    </row>
  </sheetData>
  <autoFilter ref="A1:K1" xr:uid="{00000000-0009-0000-0000-000009000000}"/>
  <mergeCells count="5">
    <mergeCell ref="A172:A173"/>
    <mergeCell ref="B172:B173"/>
    <mergeCell ref="C172:C173"/>
    <mergeCell ref="D172:D173"/>
    <mergeCell ref="F172:F173"/>
  </mergeCells>
  <phoneticPr fontId="10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M71"/>
  <sheetViews>
    <sheetView topLeftCell="A40" workbookViewId="0">
      <selection activeCell="F70" sqref="F70"/>
    </sheetView>
  </sheetViews>
  <sheetFormatPr defaultRowHeight="13.5"/>
  <cols>
    <col min="1" max="1" width="15.75" customWidth="1"/>
    <col min="2" max="2" width="19.125" customWidth="1"/>
    <col min="3" max="3" width="16.25" customWidth="1"/>
    <col min="4" max="4" width="22.625" customWidth="1"/>
    <col min="6" max="6" width="17.5" customWidth="1"/>
    <col min="7" max="7" width="19" customWidth="1"/>
    <col min="8" max="8" width="16.125" customWidth="1"/>
    <col min="9" max="9" width="18.875" customWidth="1"/>
    <col min="10" max="10" width="8.5" customWidth="1"/>
    <col min="11" max="11" width="11.25" customWidth="1"/>
    <col min="12" max="12" width="4.625" customWidth="1"/>
    <col min="13" max="13" width="16" bestFit="1" customWidth="1"/>
  </cols>
  <sheetData>
    <row r="1" spans="1:9" s="249" customFormat="1" ht="24.95" customHeight="1">
      <c r="A1" s="243" t="s">
        <v>246</v>
      </c>
      <c r="B1" s="76" t="s">
        <v>247</v>
      </c>
      <c r="C1" s="76" t="s">
        <v>248</v>
      </c>
      <c r="D1" s="244" t="s">
        <v>249</v>
      </c>
      <c r="E1" s="245" t="s">
        <v>250</v>
      </c>
      <c r="F1" s="246" t="s">
        <v>251</v>
      </c>
      <c r="G1" s="244" t="s">
        <v>252</v>
      </c>
      <c r="H1" s="247" t="s">
        <v>245</v>
      </c>
      <c r="I1" s="248" t="str">
        <f>HYPERLINK("#往来帐款明细表！A1","返回目录")</f>
        <v>返回目录</v>
      </c>
    </row>
    <row r="2" spans="1:9" s="251" customFormat="1" ht="15">
      <c r="A2" s="222">
        <v>42445</v>
      </c>
      <c r="B2" s="223" t="s">
        <v>2743</v>
      </c>
      <c r="C2" s="219"/>
      <c r="D2" s="224"/>
      <c r="E2" s="225"/>
      <c r="F2" s="224"/>
      <c r="G2" s="226"/>
      <c r="H2" s="250">
        <v>13764.138000006787</v>
      </c>
    </row>
    <row r="3" spans="1:9" s="251" customFormat="1" ht="15">
      <c r="A3" s="222">
        <v>42475</v>
      </c>
      <c r="B3" s="223" t="s">
        <v>60</v>
      </c>
      <c r="C3" s="219" t="s">
        <v>453</v>
      </c>
      <c r="D3" s="224">
        <v>1068.0696</v>
      </c>
      <c r="E3" s="225"/>
      <c r="F3" s="224">
        <v>5660768.8799999999</v>
      </c>
      <c r="G3" s="226"/>
      <c r="H3" s="250">
        <f>H2+F3-G3</f>
        <v>5674533.0180000067</v>
      </c>
    </row>
    <row r="4" spans="1:9" s="251" customFormat="1" ht="15">
      <c r="A4" s="222">
        <v>42494</v>
      </c>
      <c r="B4" s="223"/>
      <c r="C4" s="219"/>
      <c r="D4" s="224"/>
      <c r="E4" s="225"/>
      <c r="F4" s="224"/>
      <c r="G4" s="327">
        <v>5000000</v>
      </c>
      <c r="H4" s="250">
        <f t="shared" ref="H4:H62" si="0">H3+F4-G4</f>
        <v>674533.01800000668</v>
      </c>
    </row>
    <row r="5" spans="1:9" s="251" customFormat="1" ht="15">
      <c r="A5" s="222">
        <v>42495</v>
      </c>
      <c r="B5" s="223" t="s">
        <v>60</v>
      </c>
      <c r="C5" s="219" t="s">
        <v>744</v>
      </c>
      <c r="D5" s="224">
        <v>386.91520000000003</v>
      </c>
      <c r="E5" s="225"/>
      <c r="F5" s="224">
        <v>2050650.56</v>
      </c>
      <c r="G5" s="226"/>
      <c r="H5" s="250">
        <f t="shared" si="0"/>
        <v>2725183.5780000067</v>
      </c>
    </row>
    <row r="6" spans="1:9" s="251" customFormat="1" ht="15">
      <c r="A6" s="222">
        <v>42495</v>
      </c>
      <c r="B6" s="223" t="s">
        <v>60</v>
      </c>
      <c r="C6" s="219" t="s">
        <v>745</v>
      </c>
      <c r="D6" s="224">
        <v>79.8964</v>
      </c>
      <c r="E6" s="225"/>
      <c r="F6" s="224">
        <v>467393.94</v>
      </c>
      <c r="G6" s="226"/>
      <c r="H6" s="250">
        <f t="shared" si="0"/>
        <v>3192577.5180000067</v>
      </c>
    </row>
    <row r="7" spans="1:9" s="251" customFormat="1" ht="15">
      <c r="A7" s="222">
        <v>42496</v>
      </c>
      <c r="B7" s="223" t="s">
        <v>60</v>
      </c>
      <c r="C7" s="219" t="s">
        <v>745</v>
      </c>
      <c r="D7" s="224">
        <v>790.11810000000003</v>
      </c>
      <c r="E7" s="225"/>
      <c r="F7" s="224">
        <v>4622190.8899999997</v>
      </c>
      <c r="G7" s="226"/>
      <c r="H7" s="250">
        <f t="shared" si="0"/>
        <v>7814768.4080000063</v>
      </c>
    </row>
    <row r="8" spans="1:9" s="251" customFormat="1" ht="15">
      <c r="A8" s="222">
        <v>42515</v>
      </c>
      <c r="B8" s="223"/>
      <c r="C8" s="219"/>
      <c r="D8" s="224"/>
      <c r="E8" s="225"/>
      <c r="F8" s="224"/>
      <c r="G8" s="327">
        <v>7500000</v>
      </c>
      <c r="H8" s="250">
        <f t="shared" si="0"/>
        <v>314768.40800000634</v>
      </c>
    </row>
    <row r="9" spans="1:9" s="251" customFormat="1" ht="15">
      <c r="A9" s="222">
        <v>42523</v>
      </c>
      <c r="B9" s="223" t="s">
        <v>60</v>
      </c>
      <c r="C9" s="219" t="s">
        <v>545</v>
      </c>
      <c r="D9" s="224">
        <v>698.90329999999994</v>
      </c>
      <c r="E9" s="225"/>
      <c r="F9" s="311">
        <v>4088584.31</v>
      </c>
      <c r="G9" s="226"/>
      <c r="H9" s="250">
        <f t="shared" si="0"/>
        <v>4403352.7180000059</v>
      </c>
    </row>
    <row r="10" spans="1:9" s="251" customFormat="1" ht="15">
      <c r="A10" s="222">
        <v>42523</v>
      </c>
      <c r="B10" s="223" t="s">
        <v>60</v>
      </c>
      <c r="C10" s="219" t="s">
        <v>804</v>
      </c>
      <c r="D10" s="224">
        <v>515.42960000000005</v>
      </c>
      <c r="E10" s="225"/>
      <c r="F10" s="311">
        <v>2809091.32</v>
      </c>
      <c r="G10" s="226"/>
      <c r="H10" s="250">
        <f t="shared" si="0"/>
        <v>7212444.0380000062</v>
      </c>
    </row>
    <row r="11" spans="1:9" s="251" customFormat="1" ht="15">
      <c r="A11" s="222">
        <v>42538</v>
      </c>
      <c r="B11" s="223"/>
      <c r="C11" s="219"/>
      <c r="D11" s="224"/>
      <c r="E11" s="225"/>
      <c r="F11" s="311"/>
      <c r="G11" s="327">
        <v>7000000</v>
      </c>
      <c r="H11" s="250">
        <f t="shared" si="0"/>
        <v>212444.03800000623</v>
      </c>
    </row>
    <row r="12" spans="1:9" s="251" customFormat="1" ht="15">
      <c r="A12" s="222">
        <v>42557</v>
      </c>
      <c r="B12" s="223" t="s">
        <v>60</v>
      </c>
      <c r="C12" s="131" t="s">
        <v>1055</v>
      </c>
      <c r="D12" s="133">
        <v>488.35750000000002</v>
      </c>
      <c r="E12" s="196"/>
      <c r="F12" s="312">
        <v>2515046.2799999998</v>
      </c>
      <c r="G12" s="226"/>
      <c r="H12" s="250">
        <f t="shared" si="0"/>
        <v>2727490.318000006</v>
      </c>
    </row>
    <row r="13" spans="1:9" s="251" customFormat="1" ht="15">
      <c r="A13" s="222">
        <v>42557</v>
      </c>
      <c r="B13" s="223" t="s">
        <v>60</v>
      </c>
      <c r="C13" s="131" t="s">
        <v>804</v>
      </c>
      <c r="D13" s="133">
        <v>109.3202</v>
      </c>
      <c r="E13" s="196"/>
      <c r="F13" s="312">
        <v>595789.64</v>
      </c>
      <c r="G13" s="226"/>
      <c r="H13" s="250">
        <f t="shared" si="0"/>
        <v>3323279.9580000062</v>
      </c>
    </row>
    <row r="14" spans="1:9" s="251" customFormat="1" ht="15">
      <c r="A14" s="222">
        <v>42570</v>
      </c>
      <c r="B14" s="223"/>
      <c r="C14" s="219"/>
      <c r="D14" s="224"/>
      <c r="E14" s="225"/>
      <c r="F14" s="311"/>
      <c r="G14" s="226">
        <v>3000000</v>
      </c>
      <c r="H14" s="250">
        <f t="shared" si="0"/>
        <v>323279.95800000615</v>
      </c>
    </row>
    <row r="15" spans="1:9" s="251" customFormat="1" ht="15">
      <c r="A15" s="222">
        <v>42583</v>
      </c>
      <c r="B15" s="223" t="s">
        <v>60</v>
      </c>
      <c r="C15" s="193" t="s">
        <v>1220</v>
      </c>
      <c r="D15" s="194">
        <v>684.92619999999999</v>
      </c>
      <c r="E15" s="256"/>
      <c r="F15" s="299">
        <v>3458877.31</v>
      </c>
      <c r="G15" s="226"/>
      <c r="H15" s="250">
        <f t="shared" si="0"/>
        <v>3782157.2680000062</v>
      </c>
    </row>
    <row r="16" spans="1:9" s="251" customFormat="1" ht="15">
      <c r="A16" s="222">
        <v>42590</v>
      </c>
      <c r="B16" s="223" t="s">
        <v>60</v>
      </c>
      <c r="C16" s="193" t="s">
        <v>1220</v>
      </c>
      <c r="D16" s="194">
        <v>251.23650000000001</v>
      </c>
      <c r="E16" s="257"/>
      <c r="F16" s="299">
        <v>1268744.33</v>
      </c>
      <c r="G16" s="226"/>
      <c r="H16" s="250">
        <f t="shared" si="0"/>
        <v>5050901.5980000068</v>
      </c>
      <c r="I16" s="251">
        <f>G17-H15</f>
        <v>217842.73199999379</v>
      </c>
    </row>
    <row r="17" spans="1:13" s="251" customFormat="1" ht="15">
      <c r="A17" s="222">
        <v>42597</v>
      </c>
      <c r="B17" s="317" t="s">
        <v>1980</v>
      </c>
      <c r="C17" s="319"/>
      <c r="D17" s="320"/>
      <c r="E17" s="321"/>
      <c r="F17" s="322"/>
      <c r="G17" s="328">
        <v>4000000</v>
      </c>
      <c r="H17" s="250">
        <f t="shared" si="0"/>
        <v>1050901.5980000068</v>
      </c>
      <c r="I17" s="251" t="s">
        <v>1600</v>
      </c>
      <c r="J17" s="251" t="s">
        <v>1601</v>
      </c>
      <c r="K17" s="252">
        <v>42777</v>
      </c>
    </row>
    <row r="18" spans="1:13" s="251" customFormat="1" ht="15">
      <c r="A18" s="222">
        <v>42601</v>
      </c>
      <c r="B18" s="317" t="s">
        <v>1980</v>
      </c>
      <c r="C18" s="318"/>
      <c r="D18" s="314"/>
      <c r="E18" s="315"/>
      <c r="F18" s="316"/>
      <c r="G18" s="328">
        <v>4000000</v>
      </c>
      <c r="H18" s="250">
        <f t="shared" si="0"/>
        <v>-2949098.4019999932</v>
      </c>
      <c r="I18" s="251" t="s">
        <v>1600</v>
      </c>
      <c r="J18" s="251" t="s">
        <v>1601</v>
      </c>
      <c r="K18" s="252">
        <v>42784</v>
      </c>
    </row>
    <row r="19" spans="1:13" s="251" customFormat="1" ht="15">
      <c r="A19" s="222">
        <v>42601</v>
      </c>
      <c r="B19" s="223" t="s">
        <v>60</v>
      </c>
      <c r="C19" s="193" t="s">
        <v>1220</v>
      </c>
      <c r="D19" s="194">
        <v>467.90219999999999</v>
      </c>
      <c r="E19" s="256"/>
      <c r="F19" s="299">
        <v>2357318.56</v>
      </c>
      <c r="G19" s="226"/>
      <c r="H19" s="250">
        <f t="shared" si="0"/>
        <v>-591779.84199999319</v>
      </c>
      <c r="K19" s="252"/>
    </row>
    <row r="20" spans="1:13" s="251" customFormat="1" ht="15">
      <c r="A20" s="222">
        <v>42601</v>
      </c>
      <c r="B20" s="223" t="s">
        <v>60</v>
      </c>
      <c r="C20" s="131" t="s">
        <v>1497</v>
      </c>
      <c r="D20" s="133">
        <v>621.83100000000002</v>
      </c>
      <c r="E20" s="196"/>
      <c r="F20" s="299">
        <v>4228450.79</v>
      </c>
      <c r="G20" s="226"/>
      <c r="H20" s="250">
        <f t="shared" si="0"/>
        <v>3636670.9480000068</v>
      </c>
      <c r="K20" s="252"/>
    </row>
    <row r="21" spans="1:13" s="251" customFormat="1" ht="15">
      <c r="A21" s="222">
        <v>42606</v>
      </c>
      <c r="B21" s="317" t="s">
        <v>1980</v>
      </c>
      <c r="C21" s="318"/>
      <c r="D21" s="314"/>
      <c r="E21" s="315"/>
      <c r="F21" s="316"/>
      <c r="G21" s="328">
        <v>6800000</v>
      </c>
      <c r="H21" s="250">
        <f t="shared" si="0"/>
        <v>-3163329.0519999932</v>
      </c>
      <c r="I21" s="251" t="s">
        <v>1759</v>
      </c>
      <c r="J21" s="251" t="s">
        <v>1601</v>
      </c>
      <c r="K21" s="252">
        <v>42785</v>
      </c>
    </row>
    <row r="22" spans="1:13" s="251" customFormat="1" ht="15">
      <c r="A22" s="222">
        <v>42618</v>
      </c>
      <c r="B22" s="223" t="s">
        <v>60</v>
      </c>
      <c r="C22" s="192" t="s">
        <v>1886</v>
      </c>
      <c r="D22" s="195">
        <v>123.6236</v>
      </c>
      <c r="E22" s="254"/>
      <c r="F22" s="308">
        <v>624299.18999999994</v>
      </c>
      <c r="G22" s="226"/>
      <c r="H22" s="250">
        <f t="shared" si="0"/>
        <v>-2539029.8619999932</v>
      </c>
      <c r="K22" s="252"/>
    </row>
    <row r="23" spans="1:13" s="251" customFormat="1" ht="15">
      <c r="A23" s="222">
        <v>42618</v>
      </c>
      <c r="B23" s="223" t="s">
        <v>60</v>
      </c>
      <c r="C23" s="219" t="s">
        <v>1887</v>
      </c>
      <c r="D23" s="224">
        <v>601.22810000000004</v>
      </c>
      <c r="E23" s="225"/>
      <c r="F23" s="308">
        <v>4088351.07</v>
      </c>
      <c r="G23" s="226"/>
      <c r="H23" s="250">
        <f t="shared" si="0"/>
        <v>1549321.2080000066</v>
      </c>
      <c r="K23" s="252"/>
    </row>
    <row r="24" spans="1:13" s="251" customFormat="1" ht="15">
      <c r="A24" s="222">
        <v>42618</v>
      </c>
      <c r="B24" s="223" t="s">
        <v>60</v>
      </c>
      <c r="C24" s="219" t="s">
        <v>1890</v>
      </c>
      <c r="D24" s="224">
        <v>0</v>
      </c>
      <c r="E24" s="225"/>
      <c r="F24" s="309">
        <v>42471</v>
      </c>
      <c r="G24" s="226"/>
      <c r="H24" s="250">
        <f t="shared" si="0"/>
        <v>1591792.2080000066</v>
      </c>
      <c r="K24" s="252"/>
    </row>
    <row r="25" spans="1:13" s="251" customFormat="1" ht="15">
      <c r="A25" s="222">
        <v>42622</v>
      </c>
      <c r="B25" s="103" t="s">
        <v>60</v>
      </c>
      <c r="C25" s="142" t="s">
        <v>1922</v>
      </c>
      <c r="D25" s="133">
        <v>483.17930000000001</v>
      </c>
      <c r="E25" s="196"/>
      <c r="F25" s="310">
        <v>3271943.89</v>
      </c>
      <c r="G25" s="226"/>
      <c r="H25" s="250">
        <f t="shared" si="0"/>
        <v>4863736.0980000068</v>
      </c>
      <c r="I25" s="298" t="s">
        <v>83</v>
      </c>
      <c r="J25" s="112"/>
      <c r="K25" s="112"/>
      <c r="L25" s="112"/>
    </row>
    <row r="26" spans="1:13" s="251" customFormat="1" ht="15">
      <c r="A26" s="222"/>
      <c r="B26" s="103"/>
      <c r="C26" s="142"/>
      <c r="D26" s="133"/>
      <c r="E26" s="196"/>
      <c r="F26" s="310"/>
      <c r="G26" s="196"/>
      <c r="H26" s="250">
        <f t="shared" si="0"/>
        <v>4863736.0980000068</v>
      </c>
      <c r="I26" s="560"/>
      <c r="J26" s="561"/>
      <c r="K26" s="561"/>
      <c r="L26" s="561"/>
    </row>
    <row r="27" spans="1:13" s="251" customFormat="1" ht="15">
      <c r="A27" s="222">
        <v>42627</v>
      </c>
      <c r="B27" s="103" t="s">
        <v>1980</v>
      </c>
      <c r="C27" s="142"/>
      <c r="D27" s="133"/>
      <c r="E27" s="196"/>
      <c r="F27" s="310"/>
      <c r="G27" s="306">
        <v>5000000</v>
      </c>
      <c r="H27" s="250">
        <f t="shared" si="0"/>
        <v>-136263.90199999325</v>
      </c>
      <c r="I27" s="560"/>
      <c r="J27" s="561"/>
      <c r="K27" s="561"/>
      <c r="L27" s="561"/>
    </row>
    <row r="28" spans="1:13" s="251" customFormat="1" ht="15">
      <c r="A28" s="222"/>
      <c r="B28" s="103"/>
      <c r="C28" s="142"/>
      <c r="D28" s="133"/>
      <c r="E28" s="196"/>
      <c r="F28" s="310"/>
      <c r="G28" s="306"/>
      <c r="H28" s="250">
        <f t="shared" si="0"/>
        <v>-136263.90199999325</v>
      </c>
      <c r="I28" s="560"/>
      <c r="J28" s="561"/>
      <c r="K28" s="561"/>
      <c r="L28" s="561"/>
    </row>
    <row r="29" spans="1:13" s="251" customFormat="1" ht="15">
      <c r="A29" s="222">
        <v>42627</v>
      </c>
      <c r="B29" s="103" t="s">
        <v>2575</v>
      </c>
      <c r="C29" s="142"/>
      <c r="D29" s="133"/>
      <c r="E29" s="196"/>
      <c r="F29" s="310"/>
      <c r="G29" s="329">
        <v>3000000</v>
      </c>
      <c r="H29" s="250">
        <f t="shared" si="0"/>
        <v>-3136263.9019999932</v>
      </c>
      <c r="I29" s="560" t="s">
        <v>83</v>
      </c>
      <c r="J29" s="561"/>
      <c r="K29" s="561"/>
      <c r="L29" s="561"/>
      <c r="M29" s="251">
        <f>F25-G29</f>
        <v>271943.89000000013</v>
      </c>
    </row>
    <row r="30" spans="1:13" s="251" customFormat="1" ht="15">
      <c r="A30" s="222">
        <v>42627</v>
      </c>
      <c r="B30" s="103" t="s">
        <v>60</v>
      </c>
      <c r="C30" s="142" t="s">
        <v>1942</v>
      </c>
      <c r="D30" s="133">
        <v>463.54610000000002</v>
      </c>
      <c r="E30" s="196"/>
      <c r="F30" s="299">
        <v>3151433.48</v>
      </c>
      <c r="G30" s="196"/>
      <c r="H30" s="250">
        <f t="shared" si="0"/>
        <v>15169.578000006732</v>
      </c>
      <c r="I30" s="560"/>
      <c r="J30" s="561"/>
      <c r="K30" s="561"/>
      <c r="L30" s="561"/>
    </row>
    <row r="31" spans="1:13" s="251" customFormat="1" ht="15">
      <c r="A31" s="222">
        <v>42627</v>
      </c>
      <c r="B31" s="103" t="s">
        <v>60</v>
      </c>
      <c r="C31" s="142" t="s">
        <v>1887</v>
      </c>
      <c r="D31" s="133">
        <v>288.55700000000002</v>
      </c>
      <c r="E31" s="196"/>
      <c r="F31" s="299">
        <v>1962867.6</v>
      </c>
      <c r="G31" s="196"/>
      <c r="H31" s="250">
        <f t="shared" si="0"/>
        <v>1978037.1780000068</v>
      </c>
      <c r="I31" s="560"/>
      <c r="J31" s="561"/>
      <c r="K31" s="561"/>
      <c r="L31" s="561"/>
    </row>
    <row r="32" spans="1:13" s="251" customFormat="1" ht="15">
      <c r="A32" s="222">
        <v>42654</v>
      </c>
      <c r="B32" s="103" t="s">
        <v>1931</v>
      </c>
      <c r="C32" s="142"/>
      <c r="D32" s="133"/>
      <c r="E32" s="196"/>
      <c r="F32" s="197"/>
      <c r="G32" s="306">
        <v>5690000</v>
      </c>
      <c r="H32" s="250">
        <f t="shared" si="0"/>
        <v>-3711962.8219999932</v>
      </c>
      <c r="I32" s="560"/>
      <c r="J32" s="561"/>
      <c r="K32" s="561"/>
      <c r="L32" s="561"/>
    </row>
    <row r="33" spans="1:13" s="251" customFormat="1" ht="15">
      <c r="A33" s="222">
        <v>42655</v>
      </c>
      <c r="B33" s="103" t="s">
        <v>60</v>
      </c>
      <c r="C33" s="142" t="s">
        <v>1922</v>
      </c>
      <c r="D33" s="253">
        <v>111.8304</v>
      </c>
      <c r="E33" s="196"/>
      <c r="F33" s="300">
        <v>740115.95</v>
      </c>
      <c r="G33" s="196"/>
      <c r="H33" s="250">
        <f t="shared" si="0"/>
        <v>-2971846.871999993</v>
      </c>
      <c r="I33" s="560" t="s">
        <v>83</v>
      </c>
      <c r="J33" s="561"/>
      <c r="K33" s="561"/>
      <c r="L33" s="561"/>
      <c r="M33" s="251">
        <f>M29+F33</f>
        <v>1012059.8400000001</v>
      </c>
    </row>
    <row r="34" spans="1:13" s="251" customFormat="1" ht="16.5" customHeight="1">
      <c r="A34" s="222"/>
      <c r="B34" s="103"/>
      <c r="C34" s="142"/>
      <c r="D34" s="133"/>
      <c r="E34" s="196"/>
      <c r="F34" s="299"/>
      <c r="G34" s="196"/>
      <c r="H34" s="250">
        <f t="shared" si="0"/>
        <v>-2971846.871999993</v>
      </c>
      <c r="I34" s="560"/>
      <c r="J34" s="561"/>
      <c r="K34" s="561"/>
      <c r="L34" s="561"/>
    </row>
    <row r="35" spans="1:13" s="251" customFormat="1" ht="15">
      <c r="A35" s="222"/>
      <c r="B35" s="103"/>
      <c r="C35" s="142"/>
      <c r="D35" s="133"/>
      <c r="E35" s="196"/>
      <c r="F35" s="299"/>
      <c r="G35" s="196"/>
      <c r="H35" s="250">
        <f t="shared" si="0"/>
        <v>-2971846.871999993</v>
      </c>
      <c r="I35" s="560"/>
      <c r="J35" s="561"/>
      <c r="K35" s="561"/>
      <c r="L35" s="561"/>
    </row>
    <row r="36" spans="1:13" s="251" customFormat="1" ht="15">
      <c r="A36" s="222"/>
      <c r="B36" s="103"/>
      <c r="C36" s="142"/>
      <c r="D36" s="133"/>
      <c r="E36" s="196"/>
      <c r="F36" s="299"/>
      <c r="G36" s="196"/>
      <c r="H36" s="250">
        <f t="shared" si="0"/>
        <v>-2971846.871999993</v>
      </c>
      <c r="I36" s="560"/>
      <c r="J36" s="561"/>
      <c r="K36" s="561"/>
      <c r="L36" s="561"/>
    </row>
    <row r="37" spans="1:13" s="251" customFormat="1" ht="15">
      <c r="A37" s="302"/>
      <c r="B37" s="303"/>
      <c r="C37" s="304"/>
      <c r="D37" s="305"/>
      <c r="E37" s="306"/>
      <c r="F37" s="301"/>
      <c r="G37" s="196"/>
      <c r="H37" s="250">
        <f t="shared" si="0"/>
        <v>-2971846.871999993</v>
      </c>
      <c r="I37" s="560"/>
      <c r="J37" s="561"/>
      <c r="K37" s="561"/>
      <c r="L37" s="561"/>
    </row>
    <row r="38" spans="1:13" s="251" customFormat="1" ht="15">
      <c r="A38" s="222"/>
      <c r="B38" s="103"/>
      <c r="C38" s="142"/>
      <c r="D38" s="133"/>
      <c r="E38" s="196"/>
      <c r="F38" s="197"/>
      <c r="G38" s="306"/>
      <c r="H38" s="250">
        <f t="shared" si="0"/>
        <v>-2971846.871999993</v>
      </c>
      <c r="I38" s="560"/>
      <c r="J38" s="561"/>
      <c r="K38" s="561"/>
      <c r="L38" s="561"/>
    </row>
    <row r="39" spans="1:13" s="251" customFormat="1" ht="15">
      <c r="A39" s="222">
        <v>42675</v>
      </c>
      <c r="B39" s="103" t="s">
        <v>60</v>
      </c>
      <c r="C39" s="255" t="s">
        <v>1886</v>
      </c>
      <c r="D39" s="194">
        <v>130.47909999999999</v>
      </c>
      <c r="E39" s="256"/>
      <c r="F39" s="299">
        <v>212513.79</v>
      </c>
      <c r="G39" s="196"/>
      <c r="H39" s="250">
        <f t="shared" si="0"/>
        <v>-2759333.081999993</v>
      </c>
      <c r="I39" s="560"/>
      <c r="J39" s="561"/>
      <c r="K39" s="561"/>
      <c r="L39" s="561"/>
    </row>
    <row r="40" spans="1:13" s="251" customFormat="1" ht="15">
      <c r="A40" s="222">
        <v>42675</v>
      </c>
      <c r="B40" s="103" t="s">
        <v>60</v>
      </c>
      <c r="C40" s="142" t="s">
        <v>2099</v>
      </c>
      <c r="D40" s="133">
        <v>1272.3426999999999</v>
      </c>
      <c r="E40" s="196"/>
      <c r="F40" s="299">
        <v>8053185.6799999997</v>
      </c>
      <c r="G40" s="196"/>
      <c r="H40" s="250">
        <f t="shared" si="0"/>
        <v>5293852.5980000068</v>
      </c>
      <c r="I40" s="560"/>
      <c r="J40" s="561"/>
      <c r="K40" s="561"/>
      <c r="L40" s="561"/>
    </row>
    <row r="41" spans="1:13" s="251" customFormat="1" ht="15">
      <c r="A41" s="222"/>
      <c r="B41" s="103"/>
      <c r="C41" s="142"/>
      <c r="D41" s="133"/>
      <c r="E41" s="196"/>
      <c r="F41" s="299"/>
      <c r="G41" s="196"/>
      <c r="H41" s="250">
        <f t="shared" si="0"/>
        <v>5293852.5980000068</v>
      </c>
      <c r="I41" s="560"/>
      <c r="J41" s="561"/>
      <c r="K41" s="561"/>
      <c r="L41" s="561"/>
    </row>
    <row r="42" spans="1:13" s="251" customFormat="1" ht="15">
      <c r="A42" s="222"/>
      <c r="B42" s="103"/>
      <c r="C42" s="142"/>
      <c r="D42" s="133"/>
      <c r="E42" s="196"/>
      <c r="F42" s="299"/>
      <c r="G42" s="196"/>
      <c r="H42" s="250">
        <f t="shared" si="0"/>
        <v>5293852.5980000068</v>
      </c>
      <c r="I42" s="560"/>
      <c r="J42" s="561"/>
      <c r="K42" s="561"/>
      <c r="L42" s="561"/>
    </row>
    <row r="43" spans="1:13" s="251" customFormat="1" ht="15">
      <c r="A43" s="222">
        <v>42682</v>
      </c>
      <c r="B43" s="103" t="s">
        <v>60</v>
      </c>
      <c r="C43" s="142" t="s">
        <v>2099</v>
      </c>
      <c r="D43" s="133">
        <v>142.4949</v>
      </c>
      <c r="E43" s="196"/>
      <c r="F43" s="299">
        <v>883468.38</v>
      </c>
      <c r="G43" s="196"/>
      <c r="H43" s="250">
        <f t="shared" si="0"/>
        <v>6177320.9780000066</v>
      </c>
      <c r="I43" s="560"/>
      <c r="J43" s="561"/>
      <c r="K43" s="561"/>
      <c r="L43" s="561"/>
    </row>
    <row r="44" spans="1:13" s="251" customFormat="1" ht="15">
      <c r="A44" s="222">
        <v>42682</v>
      </c>
      <c r="B44" s="103" t="s">
        <v>60</v>
      </c>
      <c r="C44" s="142" t="s">
        <v>2172</v>
      </c>
      <c r="D44" s="133">
        <v>400.86689999999999</v>
      </c>
      <c r="E44" s="196"/>
      <c r="F44" s="299">
        <v>3022516.36</v>
      </c>
      <c r="G44" s="196"/>
      <c r="H44" s="250">
        <f t="shared" si="0"/>
        <v>9199837.338000007</v>
      </c>
      <c r="I44" s="560"/>
      <c r="J44" s="561"/>
      <c r="K44" s="561"/>
      <c r="L44" s="561"/>
    </row>
    <row r="45" spans="1:13" s="251" customFormat="1" ht="15">
      <c r="A45" s="222">
        <v>42689</v>
      </c>
      <c r="B45" s="103" t="s">
        <v>1980</v>
      </c>
      <c r="C45" s="142"/>
      <c r="D45" s="133"/>
      <c r="E45" s="196"/>
      <c r="F45" s="197"/>
      <c r="G45" s="306">
        <v>7000000</v>
      </c>
      <c r="H45" s="250">
        <f t="shared" si="0"/>
        <v>2199837.338000007</v>
      </c>
      <c r="I45" s="298" t="s">
        <v>1600</v>
      </c>
      <c r="J45" s="112"/>
      <c r="K45" s="112"/>
      <c r="L45" s="112"/>
    </row>
    <row r="46" spans="1:13" s="251" customFormat="1" ht="15">
      <c r="A46" s="222">
        <v>42696</v>
      </c>
      <c r="B46" s="103" t="s">
        <v>60</v>
      </c>
      <c r="C46" s="142" t="s">
        <v>2172</v>
      </c>
      <c r="D46" s="133">
        <v>401.65699999999998</v>
      </c>
      <c r="E46" s="196"/>
      <c r="F46" s="299">
        <v>3032510.35</v>
      </c>
      <c r="G46" s="196"/>
      <c r="H46" s="250">
        <f t="shared" si="0"/>
        <v>5232347.6880000066</v>
      </c>
      <c r="I46" s="298"/>
      <c r="J46" s="112"/>
      <c r="K46" s="112"/>
      <c r="L46" s="112"/>
    </row>
    <row r="47" spans="1:13" s="251" customFormat="1" ht="15">
      <c r="A47" s="222"/>
      <c r="B47" s="103"/>
      <c r="C47" s="142"/>
      <c r="D47" s="133"/>
      <c r="E47" s="196"/>
      <c r="F47" s="299"/>
      <c r="G47" s="196"/>
      <c r="H47" s="250">
        <f t="shared" si="0"/>
        <v>5232347.6880000066</v>
      </c>
      <c r="I47" s="298" t="s">
        <v>2505</v>
      </c>
      <c r="J47" s="112"/>
      <c r="K47" s="112"/>
      <c r="L47" s="112"/>
    </row>
    <row r="48" spans="1:13" s="251" customFormat="1" ht="15">
      <c r="A48" s="222"/>
      <c r="B48" s="103"/>
      <c r="C48" s="142"/>
      <c r="D48" s="133"/>
      <c r="E48" s="196"/>
      <c r="F48" s="299"/>
      <c r="G48" s="196"/>
      <c r="H48" s="250">
        <f t="shared" si="0"/>
        <v>5232347.6880000066</v>
      </c>
      <c r="I48" s="298">
        <v>10524091</v>
      </c>
      <c r="J48" s="251" t="s">
        <v>2487</v>
      </c>
      <c r="K48" s="112"/>
      <c r="L48" s="112"/>
    </row>
    <row r="49" spans="1:13" s="251" customFormat="1" ht="15">
      <c r="A49" s="222"/>
      <c r="B49" s="313"/>
      <c r="C49" s="144"/>
      <c r="D49" s="314"/>
      <c r="E49" s="315"/>
      <c r="F49" s="316"/>
      <c r="G49" s="330"/>
      <c r="H49" s="250">
        <f t="shared" si="0"/>
        <v>5232347.6880000066</v>
      </c>
      <c r="I49" s="298">
        <v>8206523.71</v>
      </c>
      <c r="J49" s="251" t="s">
        <v>2488</v>
      </c>
      <c r="K49" s="112"/>
      <c r="L49" s="112"/>
    </row>
    <row r="50" spans="1:13" s="251" customFormat="1" ht="15">
      <c r="A50" s="222">
        <v>42723</v>
      </c>
      <c r="B50" s="103" t="s">
        <v>2575</v>
      </c>
      <c r="C50" s="142"/>
      <c r="D50" s="133"/>
      <c r="E50" s="196"/>
      <c r="F50" s="197"/>
      <c r="G50" s="196">
        <v>1000000</v>
      </c>
      <c r="H50" s="250">
        <f t="shared" si="0"/>
        <v>4232347.6880000066</v>
      </c>
      <c r="I50" s="298">
        <f>SUM(I48:I49)</f>
        <v>18730614.710000001</v>
      </c>
      <c r="J50" s="112" t="s">
        <v>2659</v>
      </c>
      <c r="K50" s="112"/>
      <c r="L50" s="112"/>
    </row>
    <row r="51" spans="1:13" s="251" customFormat="1" ht="15">
      <c r="A51" s="222"/>
      <c r="B51" s="103"/>
      <c r="C51" s="142"/>
      <c r="D51" s="133"/>
      <c r="E51" s="196"/>
      <c r="F51" s="197"/>
      <c r="G51" s="306"/>
      <c r="H51" s="250">
        <f t="shared" si="0"/>
        <v>4232347.6880000066</v>
      </c>
      <c r="I51" s="298">
        <v>1020164.79</v>
      </c>
      <c r="J51" s="112" t="s">
        <v>2658</v>
      </c>
      <c r="K51" s="112"/>
      <c r="L51" s="112"/>
    </row>
    <row r="52" spans="1:13" s="251" customFormat="1" ht="15">
      <c r="A52" s="222">
        <v>42738</v>
      </c>
      <c r="B52" s="103" t="s">
        <v>603</v>
      </c>
      <c r="C52" s="142" t="s">
        <v>2504</v>
      </c>
      <c r="D52" s="133">
        <v>774.06010000000003</v>
      </c>
      <c r="E52" s="196"/>
      <c r="F52" s="197">
        <v>6489967.3099999996</v>
      </c>
      <c r="G52" s="196"/>
      <c r="H52" s="250">
        <f t="shared" si="0"/>
        <v>10722314.998000007</v>
      </c>
      <c r="I52" s="333">
        <f>SUM(I50:I51)</f>
        <v>19750779.5</v>
      </c>
      <c r="J52" s="112" t="s">
        <v>2490</v>
      </c>
      <c r="K52" s="112"/>
      <c r="L52" s="112"/>
      <c r="M52" s="251">
        <f>H48-I52</f>
        <v>-14518431.811999993</v>
      </c>
    </row>
    <row r="53" spans="1:13" s="251" customFormat="1" ht="15">
      <c r="A53" s="222"/>
      <c r="B53" s="103"/>
      <c r="C53" s="142"/>
      <c r="D53" s="133"/>
      <c r="E53" s="196"/>
      <c r="F53" s="197"/>
      <c r="G53" s="196"/>
      <c r="H53" s="250">
        <f t="shared" si="0"/>
        <v>10722314.998000007</v>
      </c>
      <c r="I53" s="298"/>
      <c r="J53" s="112"/>
      <c r="K53" s="112"/>
      <c r="L53" s="112"/>
    </row>
    <row r="54" spans="1:13" s="251" customFormat="1" ht="15">
      <c r="A54" s="222"/>
      <c r="B54" s="103"/>
      <c r="C54" s="142"/>
      <c r="D54" s="133"/>
      <c r="E54" s="196"/>
      <c r="F54" s="197"/>
      <c r="G54" s="196"/>
      <c r="H54" s="250">
        <f t="shared" si="0"/>
        <v>10722314.998000007</v>
      </c>
      <c r="I54" s="298"/>
      <c r="J54" s="112"/>
      <c r="K54" s="112"/>
      <c r="L54" s="112"/>
    </row>
    <row r="55" spans="1:13" s="251" customFormat="1" ht="15.75" customHeight="1">
      <c r="A55" s="222"/>
      <c r="B55" s="103"/>
      <c r="C55" s="142"/>
      <c r="D55" s="68"/>
      <c r="E55" s="196"/>
      <c r="F55" s="69"/>
      <c r="G55" s="196"/>
      <c r="H55" s="250">
        <f t="shared" si="0"/>
        <v>10722314.998000007</v>
      </c>
      <c r="I55" s="298"/>
      <c r="J55" s="112"/>
      <c r="K55" s="112"/>
      <c r="L55" s="112"/>
    </row>
    <row r="56" spans="1:13" s="251" customFormat="1" ht="15">
      <c r="A56" s="222"/>
      <c r="B56" s="103"/>
      <c r="C56" s="142"/>
      <c r="D56" s="133"/>
      <c r="E56" s="196"/>
      <c r="F56" s="197"/>
      <c r="G56" s="196"/>
      <c r="H56" s="250">
        <f t="shared" si="0"/>
        <v>10722314.998000007</v>
      </c>
      <c r="I56" s="298"/>
      <c r="J56" s="112"/>
      <c r="K56" s="112"/>
      <c r="L56" s="112"/>
    </row>
    <row r="57" spans="1:13" s="251" customFormat="1" ht="15">
      <c r="A57" s="222">
        <v>42748</v>
      </c>
      <c r="B57" s="103" t="s">
        <v>1931</v>
      </c>
      <c r="C57" s="142"/>
      <c r="D57" s="133"/>
      <c r="E57" s="196"/>
      <c r="F57" s="197"/>
      <c r="G57" s="196">
        <v>8000000</v>
      </c>
      <c r="H57" s="250">
        <f t="shared" si="0"/>
        <v>2722314.9980000071</v>
      </c>
      <c r="I57" s="298"/>
      <c r="J57" s="112"/>
      <c r="K57" s="112"/>
      <c r="L57" s="112"/>
    </row>
    <row r="58" spans="1:13" s="251" customFormat="1" ht="15">
      <c r="A58" s="222">
        <v>42755</v>
      </c>
      <c r="B58" s="103" t="s">
        <v>1931</v>
      </c>
      <c r="C58" s="142"/>
      <c r="D58" s="133"/>
      <c r="E58" s="196"/>
      <c r="F58" s="197"/>
      <c r="G58" s="196">
        <v>6500000</v>
      </c>
      <c r="H58" s="250">
        <f t="shared" si="0"/>
        <v>-3777685.0019999929</v>
      </c>
      <c r="I58" s="298"/>
      <c r="J58" s="112"/>
      <c r="K58" s="112"/>
      <c r="L58" s="112"/>
    </row>
    <row r="59" spans="1:13" s="251" customFormat="1" ht="15">
      <c r="A59" s="222"/>
      <c r="B59" s="103"/>
      <c r="C59" s="142"/>
      <c r="D59" s="133"/>
      <c r="E59" s="196"/>
      <c r="F59" s="197"/>
      <c r="G59" s="196"/>
      <c r="H59" s="250">
        <f t="shared" si="0"/>
        <v>-3777685.0019999929</v>
      </c>
      <c r="I59" s="298"/>
      <c r="J59" s="112"/>
      <c r="K59" s="112"/>
      <c r="L59" s="112"/>
    </row>
    <row r="60" spans="1:13" s="251" customFormat="1" ht="15">
      <c r="A60" s="222"/>
      <c r="B60" s="103"/>
      <c r="C60" s="142"/>
      <c r="D60" s="133"/>
      <c r="E60" s="196"/>
      <c r="F60" s="197"/>
      <c r="G60" s="196"/>
      <c r="H60" s="250">
        <f t="shared" si="0"/>
        <v>-3777685.0019999929</v>
      </c>
      <c r="I60" s="298"/>
      <c r="J60" s="112"/>
      <c r="K60" s="112"/>
      <c r="L60" s="112"/>
    </row>
    <row r="61" spans="1:13" s="251" customFormat="1" ht="15">
      <c r="A61" s="222"/>
      <c r="B61" s="103"/>
      <c r="C61" s="142"/>
      <c r="D61" s="133"/>
      <c r="E61" s="196"/>
      <c r="F61" s="197"/>
      <c r="G61" s="196"/>
      <c r="H61" s="250">
        <f t="shared" si="0"/>
        <v>-3777685.0019999929</v>
      </c>
      <c r="I61" s="298"/>
      <c r="J61" s="112"/>
      <c r="K61" s="112"/>
      <c r="L61" s="112"/>
    </row>
    <row r="62" spans="1:13" s="251" customFormat="1" ht="15">
      <c r="A62" s="222"/>
      <c r="B62" s="103"/>
      <c r="C62" s="142"/>
      <c r="D62" s="133"/>
      <c r="E62" s="196"/>
      <c r="F62" s="197"/>
      <c r="G62" s="196"/>
      <c r="H62" s="250">
        <f t="shared" si="0"/>
        <v>-3777685.0019999929</v>
      </c>
      <c r="I62" s="298"/>
      <c r="J62" s="112"/>
      <c r="K62" s="112"/>
      <c r="L62" s="112"/>
    </row>
    <row r="63" spans="1:13" s="251" customFormat="1" ht="15">
      <c r="A63" s="222"/>
      <c r="B63" s="103"/>
      <c r="C63" s="142"/>
      <c r="D63" s="133"/>
      <c r="E63" s="196"/>
      <c r="F63" s="197"/>
      <c r="G63" s="196"/>
      <c r="H63" s="250">
        <f t="shared" ref="H63:H70" si="1">H62+F63-G63</f>
        <v>-3777685.0019999929</v>
      </c>
      <c r="I63" s="298"/>
      <c r="J63" s="112"/>
      <c r="K63" s="112"/>
      <c r="L63" s="112"/>
    </row>
    <row r="64" spans="1:13" s="251" customFormat="1" ht="15">
      <c r="A64" s="222"/>
      <c r="B64" s="103"/>
      <c r="C64" s="142"/>
      <c r="D64" s="133"/>
      <c r="E64" s="196"/>
      <c r="F64" s="197"/>
      <c r="G64" s="196"/>
      <c r="H64" s="250">
        <f t="shared" si="1"/>
        <v>-3777685.0019999929</v>
      </c>
      <c r="I64" s="298"/>
      <c r="J64" s="112"/>
      <c r="K64" s="112"/>
      <c r="L64" s="112"/>
    </row>
    <row r="65" spans="1:12" s="251" customFormat="1" ht="15">
      <c r="A65" s="222"/>
      <c r="B65" s="103"/>
      <c r="C65" s="142"/>
      <c r="D65" s="133"/>
      <c r="E65" s="196"/>
      <c r="F65" s="197"/>
      <c r="G65" s="196"/>
      <c r="H65" s="250">
        <f t="shared" si="1"/>
        <v>-3777685.0019999929</v>
      </c>
      <c r="I65" s="298"/>
      <c r="J65" s="112"/>
      <c r="K65" s="112"/>
      <c r="L65" s="112"/>
    </row>
    <row r="66" spans="1:12" s="251" customFormat="1" ht="15">
      <c r="A66" s="222"/>
      <c r="B66" s="103"/>
      <c r="C66" s="142"/>
      <c r="D66" s="133"/>
      <c r="E66" s="196"/>
      <c r="F66" s="197"/>
      <c r="G66" s="196"/>
      <c r="H66" s="250">
        <f t="shared" si="1"/>
        <v>-3777685.0019999929</v>
      </c>
      <c r="I66" s="298"/>
      <c r="J66" s="112"/>
      <c r="K66" s="112"/>
      <c r="L66" s="112"/>
    </row>
    <row r="67" spans="1:12" s="251" customFormat="1" ht="15">
      <c r="A67" s="222"/>
      <c r="B67" s="103"/>
      <c r="C67" s="142"/>
      <c r="D67" s="133"/>
      <c r="E67" s="196"/>
      <c r="F67" s="197"/>
      <c r="G67" s="196"/>
      <c r="H67" s="250">
        <f t="shared" si="1"/>
        <v>-3777685.0019999929</v>
      </c>
      <c r="I67" s="298"/>
      <c r="J67" s="112"/>
      <c r="K67" s="112"/>
      <c r="L67" s="112"/>
    </row>
    <row r="68" spans="1:12" s="251" customFormat="1" ht="15">
      <c r="A68" s="222"/>
      <c r="B68" s="103"/>
      <c r="C68" s="142"/>
      <c r="D68" s="133"/>
      <c r="E68" s="196"/>
      <c r="F68" s="197"/>
      <c r="G68" s="196"/>
      <c r="H68" s="250">
        <f t="shared" si="1"/>
        <v>-3777685.0019999929</v>
      </c>
      <c r="I68" s="298"/>
      <c r="J68" s="112"/>
      <c r="K68" s="112"/>
      <c r="L68" s="112"/>
    </row>
    <row r="69" spans="1:12" s="251" customFormat="1" ht="15">
      <c r="A69" s="222"/>
      <c r="B69" s="103"/>
      <c r="C69" s="142"/>
      <c r="D69" s="133"/>
      <c r="E69" s="196"/>
      <c r="F69" s="197"/>
      <c r="G69" s="196"/>
      <c r="H69" s="250">
        <f t="shared" si="1"/>
        <v>-3777685.0019999929</v>
      </c>
      <c r="I69" s="298"/>
      <c r="J69" s="112"/>
      <c r="K69" s="112"/>
      <c r="L69" s="112"/>
    </row>
    <row r="70" spans="1:12" s="251" customFormat="1" ht="15">
      <c r="A70" s="222"/>
      <c r="B70" s="103"/>
      <c r="C70" s="142"/>
      <c r="D70" s="133"/>
      <c r="E70" s="196"/>
      <c r="F70" s="197"/>
      <c r="G70" s="196"/>
      <c r="H70" s="250">
        <f t="shared" si="1"/>
        <v>-3777685.0019999929</v>
      </c>
      <c r="I70" s="298"/>
      <c r="J70" s="112"/>
      <c r="K70" s="112"/>
      <c r="L70" s="112"/>
    </row>
    <row r="71" spans="1:12" ht="15">
      <c r="C71" s="18"/>
      <c r="D71" s="34"/>
    </row>
  </sheetData>
  <autoFilter ref="A1:H70" xr:uid="{00000000-0009-0000-0000-00000A000000}"/>
  <sortState xmlns:xlrd2="http://schemas.microsoft.com/office/spreadsheetml/2017/richdata2" ref="A2:A18">
    <sortCondition ref="A2"/>
  </sortState>
  <mergeCells count="19">
    <mergeCell ref="I37:L37"/>
    <mergeCell ref="I26:L26"/>
    <mergeCell ref="I27:L27"/>
    <mergeCell ref="I28:L28"/>
    <mergeCell ref="I29:L29"/>
    <mergeCell ref="I30:L30"/>
    <mergeCell ref="I31:L31"/>
    <mergeCell ref="I32:L32"/>
    <mergeCell ref="I33:L33"/>
    <mergeCell ref="I34:L34"/>
    <mergeCell ref="I35:L35"/>
    <mergeCell ref="I36:L36"/>
    <mergeCell ref="I44:L44"/>
    <mergeCell ref="I38:L38"/>
    <mergeCell ref="I39:L39"/>
    <mergeCell ref="I40:L40"/>
    <mergeCell ref="I41:L41"/>
    <mergeCell ref="I42:L42"/>
    <mergeCell ref="I43:L43"/>
  </mergeCells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L37"/>
  <sheetViews>
    <sheetView topLeftCell="A10" workbookViewId="0">
      <selection activeCell="G25" sqref="G7:G25"/>
    </sheetView>
  </sheetViews>
  <sheetFormatPr defaultRowHeight="13.5"/>
  <cols>
    <col min="1" max="1" width="15.75" customWidth="1"/>
    <col min="2" max="2" width="19.125" customWidth="1"/>
    <col min="3" max="3" width="16.25" customWidth="1"/>
    <col min="4" max="4" width="22.625" customWidth="1"/>
    <col min="6" max="6" width="17.5" customWidth="1"/>
    <col min="7" max="7" width="19" customWidth="1"/>
    <col min="8" max="8" width="16.125" customWidth="1"/>
    <col min="9" max="9" width="18.875" customWidth="1"/>
    <col min="10" max="10" width="8.5" customWidth="1"/>
    <col min="11" max="11" width="11.25" customWidth="1"/>
    <col min="12" max="12" width="4.625" customWidth="1"/>
    <col min="13" max="13" width="16" bestFit="1" customWidth="1"/>
  </cols>
  <sheetData>
    <row r="1" spans="1:12" s="249" customFormat="1" ht="24.95" customHeight="1">
      <c r="A1" s="243" t="s">
        <v>246</v>
      </c>
      <c r="B1" s="76" t="s">
        <v>247</v>
      </c>
      <c r="C1" s="76" t="s">
        <v>248</v>
      </c>
      <c r="D1" s="244" t="s">
        <v>249</v>
      </c>
      <c r="E1" s="245" t="s">
        <v>250</v>
      </c>
      <c r="F1" s="246" t="s">
        <v>251</v>
      </c>
      <c r="G1" s="244" t="s">
        <v>252</v>
      </c>
      <c r="H1" s="247" t="s">
        <v>245</v>
      </c>
      <c r="I1" s="248" t="str">
        <f>HYPERLINK("#往来帐款明细表！A1","返回目录")</f>
        <v>返回目录</v>
      </c>
    </row>
    <row r="2" spans="1:12" s="251" customFormat="1" ht="15">
      <c r="A2" s="222"/>
      <c r="B2" s="223"/>
      <c r="C2" s="219"/>
      <c r="D2" s="224"/>
      <c r="E2" s="225"/>
      <c r="F2" s="224"/>
      <c r="G2" s="226"/>
      <c r="H2" s="250"/>
    </row>
    <row r="3" spans="1:12" s="251" customFormat="1" ht="15">
      <c r="A3" s="222">
        <v>42599</v>
      </c>
      <c r="B3" s="223" t="s">
        <v>1380</v>
      </c>
      <c r="C3" s="219" t="s">
        <v>1407</v>
      </c>
      <c r="D3" s="224">
        <v>15863.583699999999</v>
      </c>
      <c r="E3" s="225"/>
      <c r="F3" s="307">
        <v>8774015.4900000002</v>
      </c>
      <c r="G3" s="226"/>
      <c r="H3" s="250">
        <f>H2+F3-G3</f>
        <v>8774015.4900000002</v>
      </c>
      <c r="K3" s="252"/>
    </row>
    <row r="4" spans="1:12" s="251" customFormat="1" ht="15">
      <c r="A4" s="222">
        <v>42614</v>
      </c>
      <c r="B4" s="223" t="s">
        <v>1380</v>
      </c>
      <c r="C4" s="131" t="s">
        <v>1407</v>
      </c>
      <c r="D4" s="133">
        <v>4444.4206000000004</v>
      </c>
      <c r="E4" s="196"/>
      <c r="F4" s="299">
        <v>2424008.12</v>
      </c>
      <c r="G4" s="327"/>
      <c r="H4" s="250">
        <f t="shared" ref="H4:H27" si="0">H3+F4-G4</f>
        <v>11198023.609999999</v>
      </c>
      <c r="K4" s="252"/>
    </row>
    <row r="5" spans="1:12" s="251" customFormat="1" ht="15">
      <c r="A5" s="222">
        <v>42614</v>
      </c>
      <c r="B5" s="223" t="s">
        <v>1380</v>
      </c>
      <c r="C5" s="131" t="s">
        <v>1596</v>
      </c>
      <c r="D5" s="133">
        <v>2642.1945999999998</v>
      </c>
      <c r="E5" s="196"/>
      <c r="F5" s="299">
        <v>1528668.1</v>
      </c>
      <c r="G5" s="226"/>
      <c r="H5" s="250">
        <f t="shared" si="0"/>
        <v>12726691.709999999</v>
      </c>
    </row>
    <row r="6" spans="1:12" s="251" customFormat="1" ht="15">
      <c r="A6" s="222">
        <v>42618</v>
      </c>
      <c r="B6" s="223" t="s">
        <v>1380</v>
      </c>
      <c r="C6" s="219" t="s">
        <v>1595</v>
      </c>
      <c r="D6" s="224">
        <v>6453.3020999999999</v>
      </c>
      <c r="E6" s="225"/>
      <c r="F6" s="307">
        <v>3727850.28</v>
      </c>
      <c r="G6" s="226"/>
      <c r="H6" s="250">
        <f t="shared" si="0"/>
        <v>16454541.989999998</v>
      </c>
      <c r="K6" s="252"/>
    </row>
    <row r="7" spans="1:12" s="251" customFormat="1" ht="15">
      <c r="A7" s="222">
        <v>42621</v>
      </c>
      <c r="B7" s="223" t="s">
        <v>1934</v>
      </c>
      <c r="C7" s="219"/>
      <c r="D7" s="224"/>
      <c r="E7" s="225"/>
      <c r="F7" s="307"/>
      <c r="G7" s="327">
        <v>8730000</v>
      </c>
      <c r="H7" s="250">
        <f t="shared" si="0"/>
        <v>7724541.9899999984</v>
      </c>
      <c r="K7" s="252"/>
    </row>
    <row r="8" spans="1:12" s="251" customFormat="1" ht="15">
      <c r="A8" s="222">
        <v>42622</v>
      </c>
      <c r="B8" s="103" t="s">
        <v>1380</v>
      </c>
      <c r="C8" s="142" t="s">
        <v>1595</v>
      </c>
      <c r="D8" s="133">
        <v>2708.6977000000002</v>
      </c>
      <c r="E8" s="196"/>
      <c r="F8" s="310">
        <v>1552083.78</v>
      </c>
      <c r="G8" s="196"/>
      <c r="H8" s="250">
        <f t="shared" si="0"/>
        <v>9276625.7699999977</v>
      </c>
      <c r="I8" s="560"/>
      <c r="J8" s="561"/>
      <c r="K8" s="561"/>
      <c r="L8" s="561"/>
    </row>
    <row r="9" spans="1:12" s="251" customFormat="1" ht="15">
      <c r="A9" s="222">
        <v>42627</v>
      </c>
      <c r="B9" s="103" t="s">
        <v>1934</v>
      </c>
      <c r="C9" s="142"/>
      <c r="D9" s="133"/>
      <c r="E9" s="196"/>
      <c r="F9" s="310"/>
      <c r="G9" s="306">
        <v>5000000</v>
      </c>
      <c r="H9" s="250">
        <f t="shared" si="0"/>
        <v>4276625.7699999977</v>
      </c>
      <c r="I9" s="560"/>
      <c r="J9" s="561"/>
      <c r="K9" s="561"/>
      <c r="L9" s="561"/>
    </row>
    <row r="10" spans="1:12" s="251" customFormat="1" ht="15">
      <c r="A10" s="222">
        <v>42655</v>
      </c>
      <c r="B10" s="103" t="s">
        <v>2032</v>
      </c>
      <c r="C10" s="142" t="s">
        <v>1595</v>
      </c>
      <c r="D10" s="133">
        <v>7416.7846</v>
      </c>
      <c r="E10" s="196"/>
      <c r="F10" s="299">
        <v>4128957.71</v>
      </c>
      <c r="G10" s="196"/>
      <c r="H10" s="250">
        <f t="shared" si="0"/>
        <v>8405583.4799999967</v>
      </c>
      <c r="I10" s="560"/>
      <c r="J10" s="561"/>
      <c r="K10" s="561"/>
      <c r="L10" s="561"/>
    </row>
    <row r="11" spans="1:12" s="251" customFormat="1" ht="15">
      <c r="A11" s="222">
        <v>42655</v>
      </c>
      <c r="B11" s="103" t="s">
        <v>2032</v>
      </c>
      <c r="C11" s="142" t="s">
        <v>1595</v>
      </c>
      <c r="D11" s="133">
        <v>2757.4650999999999</v>
      </c>
      <c r="E11" s="196"/>
      <c r="F11" s="299">
        <v>1616702.5</v>
      </c>
      <c r="G11" s="196"/>
      <c r="H11" s="250">
        <f t="shared" si="0"/>
        <v>10022285.979999997</v>
      </c>
      <c r="I11" s="560"/>
      <c r="J11" s="561"/>
      <c r="K11" s="561"/>
      <c r="L11" s="561"/>
    </row>
    <row r="12" spans="1:12" s="251" customFormat="1" ht="15">
      <c r="A12" s="222">
        <v>42655</v>
      </c>
      <c r="B12" s="103" t="s">
        <v>2032</v>
      </c>
      <c r="C12" s="142" t="s">
        <v>1971</v>
      </c>
      <c r="D12" s="133">
        <v>4986.4326000000001</v>
      </c>
      <c r="E12" s="196"/>
      <c r="F12" s="299">
        <v>2701385.46</v>
      </c>
      <c r="G12" s="196"/>
      <c r="H12" s="250">
        <f t="shared" si="0"/>
        <v>12723671.439999998</v>
      </c>
      <c r="I12" s="560"/>
      <c r="J12" s="561"/>
      <c r="K12" s="561"/>
      <c r="L12" s="561"/>
    </row>
    <row r="13" spans="1:12" s="251" customFormat="1" ht="15">
      <c r="A13" s="302">
        <v>42660</v>
      </c>
      <c r="B13" s="303" t="s">
        <v>2032</v>
      </c>
      <c r="C13" s="304" t="s">
        <v>1971</v>
      </c>
      <c r="D13" s="305">
        <v>2821.4767999999999</v>
      </c>
      <c r="E13" s="306"/>
      <c r="F13" s="301">
        <v>1679454.67</v>
      </c>
      <c r="G13" s="196"/>
      <c r="H13" s="250">
        <f t="shared" si="0"/>
        <v>14403126.109999998</v>
      </c>
      <c r="I13" s="560"/>
      <c r="J13" s="561"/>
      <c r="K13" s="561"/>
      <c r="L13" s="561"/>
    </row>
    <row r="14" spans="1:12" s="251" customFormat="1" ht="15">
      <c r="A14" s="222">
        <v>42670</v>
      </c>
      <c r="B14" s="103" t="s">
        <v>2032</v>
      </c>
      <c r="C14" s="142"/>
      <c r="D14" s="133"/>
      <c r="E14" s="196"/>
      <c r="F14" s="197"/>
      <c r="G14" s="306">
        <v>8700000</v>
      </c>
      <c r="H14" s="250">
        <f t="shared" si="0"/>
        <v>5703126.1099999975</v>
      </c>
      <c r="I14" s="560"/>
      <c r="J14" s="561"/>
      <c r="K14" s="561"/>
      <c r="L14" s="561"/>
    </row>
    <row r="15" spans="1:12" s="251" customFormat="1" ht="15">
      <c r="A15" s="222">
        <v>42675</v>
      </c>
      <c r="B15" s="103" t="s">
        <v>2032</v>
      </c>
      <c r="C15" s="142" t="s">
        <v>1971</v>
      </c>
      <c r="D15" s="133">
        <v>6585.8671999999997</v>
      </c>
      <c r="E15" s="196"/>
      <c r="F15" s="299">
        <v>3908481.08</v>
      </c>
      <c r="G15" s="196"/>
      <c r="H15" s="250">
        <f t="shared" si="0"/>
        <v>9611607.1899999976</v>
      </c>
      <c r="I15" s="560"/>
      <c r="J15" s="561"/>
      <c r="K15" s="561"/>
      <c r="L15" s="561"/>
    </row>
    <row r="16" spans="1:12" s="251" customFormat="1" ht="15">
      <c r="A16" s="222">
        <v>42682</v>
      </c>
      <c r="B16" s="103" t="s">
        <v>2032</v>
      </c>
      <c r="C16" s="142" t="s">
        <v>1971</v>
      </c>
      <c r="D16" s="133">
        <v>1265.9418000000001</v>
      </c>
      <c r="E16" s="196"/>
      <c r="F16" s="299">
        <v>732559.14</v>
      </c>
      <c r="G16" s="196"/>
      <c r="H16" s="250">
        <f t="shared" si="0"/>
        <v>10344166.329999998</v>
      </c>
      <c r="I16" s="560"/>
      <c r="J16" s="561"/>
      <c r="K16" s="561"/>
      <c r="L16" s="561"/>
    </row>
    <row r="17" spans="1:12" s="251" customFormat="1" ht="15">
      <c r="A17" s="222">
        <v>42696</v>
      </c>
      <c r="B17" s="103" t="s">
        <v>2032</v>
      </c>
      <c r="C17" s="142" t="s">
        <v>2150</v>
      </c>
      <c r="D17" s="133">
        <v>3361.3807999999999</v>
      </c>
      <c r="E17" s="196"/>
      <c r="F17" s="299">
        <v>1962230.88</v>
      </c>
      <c r="G17" s="196"/>
      <c r="H17" s="250">
        <f t="shared" si="0"/>
        <v>12306397.209999997</v>
      </c>
      <c r="I17" s="298"/>
      <c r="J17" s="112"/>
      <c r="K17" s="112"/>
      <c r="L17" s="112"/>
    </row>
    <row r="18" spans="1:12" s="251" customFormat="1" ht="15">
      <c r="A18" s="222">
        <v>42696</v>
      </c>
      <c r="B18" s="103" t="s">
        <v>2206</v>
      </c>
      <c r="C18" s="142" t="s">
        <v>2205</v>
      </c>
      <c r="D18" s="133">
        <v>4214.0482000000002</v>
      </c>
      <c r="E18" s="196"/>
      <c r="F18" s="299">
        <v>2209420</v>
      </c>
      <c r="G18" s="196"/>
      <c r="H18" s="250">
        <f t="shared" si="0"/>
        <v>14515817.209999997</v>
      </c>
      <c r="I18" s="298"/>
      <c r="K18" s="112"/>
      <c r="L18" s="112"/>
    </row>
    <row r="19" spans="1:12" s="251" customFormat="1" ht="15">
      <c r="A19" s="222">
        <v>42716</v>
      </c>
      <c r="B19" s="313" t="s">
        <v>2502</v>
      </c>
      <c r="C19" s="144"/>
      <c r="D19" s="314"/>
      <c r="E19" s="315"/>
      <c r="F19" s="316"/>
      <c r="G19" s="330">
        <v>6000000</v>
      </c>
      <c r="H19" s="250">
        <f t="shared" si="0"/>
        <v>8515817.2099999972</v>
      </c>
      <c r="I19" s="298"/>
      <c r="K19" s="112"/>
      <c r="L19" s="112"/>
    </row>
    <row r="20" spans="1:12" s="251" customFormat="1" ht="15">
      <c r="A20" s="222">
        <v>42727</v>
      </c>
      <c r="B20" s="103" t="s">
        <v>1932</v>
      </c>
      <c r="C20" s="142"/>
      <c r="D20" s="133"/>
      <c r="E20" s="196"/>
      <c r="F20" s="197"/>
      <c r="G20" s="306">
        <v>3000000</v>
      </c>
      <c r="H20" s="250">
        <f t="shared" si="0"/>
        <v>5515817.2099999972</v>
      </c>
      <c r="I20" s="298"/>
      <c r="J20" s="112"/>
      <c r="K20" s="112"/>
      <c r="L20" s="112"/>
    </row>
    <row r="21" spans="1:12" s="251" customFormat="1" ht="15">
      <c r="A21" s="222">
        <v>42738</v>
      </c>
      <c r="B21" s="103" t="s">
        <v>2203</v>
      </c>
      <c r="C21" s="142" t="s">
        <v>2438</v>
      </c>
      <c r="D21" s="133">
        <v>4152.3092999999999</v>
      </c>
      <c r="E21" s="196"/>
      <c r="F21" s="197">
        <v>2475149.63</v>
      </c>
      <c r="G21" s="196"/>
      <c r="H21" s="250">
        <f t="shared" si="0"/>
        <v>7990966.8399999971</v>
      </c>
      <c r="I21" s="298"/>
      <c r="J21" s="112"/>
      <c r="K21" s="112"/>
      <c r="L21" s="112"/>
    </row>
    <row r="22" spans="1:12" s="251" customFormat="1" ht="15">
      <c r="A22" s="222">
        <v>42738</v>
      </c>
      <c r="B22" s="103" t="s">
        <v>2203</v>
      </c>
      <c r="C22" s="142" t="s">
        <v>2483</v>
      </c>
      <c r="D22" s="133">
        <v>3926.4634000000001</v>
      </c>
      <c r="E22" s="196"/>
      <c r="F22" s="197">
        <v>2616789.06</v>
      </c>
      <c r="G22" s="196"/>
      <c r="H22" s="250">
        <f t="shared" si="0"/>
        <v>10607755.899999997</v>
      </c>
      <c r="I22" s="298"/>
      <c r="J22" s="112"/>
      <c r="K22" s="112"/>
      <c r="L22" s="112"/>
    </row>
    <row r="23" spans="1:12" s="251" customFormat="1" ht="15">
      <c r="A23" s="222">
        <v>42740</v>
      </c>
      <c r="B23" s="103" t="s">
        <v>2203</v>
      </c>
      <c r="C23" s="142" t="s">
        <v>2483</v>
      </c>
      <c r="D23" s="68">
        <v>3820.2483000000002</v>
      </c>
      <c r="E23" s="196"/>
      <c r="F23" s="69">
        <v>2595974.4300000002</v>
      </c>
      <c r="G23" s="196"/>
      <c r="H23" s="250">
        <f t="shared" si="0"/>
        <v>13203730.329999996</v>
      </c>
      <c r="I23" s="298"/>
      <c r="J23" s="112"/>
      <c r="K23" s="112"/>
      <c r="L23" s="112"/>
    </row>
    <row r="24" spans="1:12" s="251" customFormat="1" ht="15">
      <c r="A24" s="222">
        <v>42744</v>
      </c>
      <c r="B24" s="103" t="s">
        <v>2203</v>
      </c>
      <c r="C24" s="142" t="s">
        <v>2483</v>
      </c>
      <c r="D24" s="133"/>
      <c r="E24" s="196"/>
      <c r="F24" s="197">
        <v>19632.32</v>
      </c>
      <c r="G24" s="196"/>
      <c r="H24" s="250">
        <f t="shared" si="0"/>
        <v>13223362.649999997</v>
      </c>
      <c r="I24" s="298"/>
      <c r="J24" s="112"/>
      <c r="K24" s="112"/>
      <c r="L24" s="112"/>
    </row>
    <row r="25" spans="1:12" s="251" customFormat="1" ht="15">
      <c r="A25" s="222">
        <v>42755</v>
      </c>
      <c r="B25" s="103" t="s">
        <v>2724</v>
      </c>
      <c r="C25" s="142"/>
      <c r="D25" s="133"/>
      <c r="E25" s="196"/>
      <c r="F25" s="197"/>
      <c r="G25" s="196">
        <v>9230000</v>
      </c>
      <c r="H25" s="250">
        <f t="shared" si="0"/>
        <v>3993362.6499999966</v>
      </c>
      <c r="I25" s="298"/>
      <c r="J25" s="112"/>
      <c r="K25" s="112"/>
      <c r="L25" s="112"/>
    </row>
    <row r="26" spans="1:12" s="251" customFormat="1" ht="15">
      <c r="A26" s="222"/>
      <c r="B26" s="103"/>
      <c r="C26" s="142"/>
      <c r="D26" s="133"/>
      <c r="E26" s="196"/>
      <c r="F26" s="197"/>
      <c r="G26" s="196"/>
      <c r="H26" s="250">
        <f t="shared" si="0"/>
        <v>3993362.6499999966</v>
      </c>
      <c r="I26" s="298"/>
      <c r="J26" s="112"/>
      <c r="K26" s="112"/>
      <c r="L26" s="112"/>
    </row>
    <row r="27" spans="1:12" s="251" customFormat="1" ht="15">
      <c r="A27" s="222"/>
      <c r="B27" s="103"/>
      <c r="C27" s="142"/>
      <c r="D27" s="133"/>
      <c r="E27" s="196"/>
      <c r="F27" s="197"/>
      <c r="G27" s="196"/>
      <c r="H27" s="250">
        <f t="shared" si="0"/>
        <v>3993362.6499999966</v>
      </c>
      <c r="I27" s="298"/>
      <c r="J27" s="112"/>
      <c r="K27" s="112"/>
      <c r="L27" s="112"/>
    </row>
    <row r="28" spans="1:12" s="251" customFormat="1" ht="15">
      <c r="A28" s="222"/>
      <c r="B28" s="103"/>
      <c r="C28" s="142"/>
      <c r="D28" s="133"/>
      <c r="E28" s="196"/>
      <c r="F28" s="197"/>
      <c r="G28" s="196"/>
      <c r="H28" s="250">
        <f t="shared" ref="H28:H35" si="1">H27+F28-G28</f>
        <v>3993362.6499999966</v>
      </c>
      <c r="I28" s="298"/>
      <c r="J28" s="112"/>
      <c r="K28" s="112"/>
      <c r="L28" s="112"/>
    </row>
    <row r="29" spans="1:12" s="251" customFormat="1" ht="15">
      <c r="A29" s="222"/>
      <c r="B29" s="103"/>
      <c r="C29" s="142"/>
      <c r="D29" s="133"/>
      <c r="E29" s="196"/>
      <c r="F29" s="197"/>
      <c r="G29" s="196"/>
      <c r="H29" s="250">
        <f t="shared" si="1"/>
        <v>3993362.6499999966</v>
      </c>
      <c r="I29" s="298"/>
      <c r="J29" s="112"/>
      <c r="K29" s="112"/>
      <c r="L29" s="112"/>
    </row>
    <row r="30" spans="1:12" s="251" customFormat="1" ht="15">
      <c r="A30" s="222"/>
      <c r="B30" s="103"/>
      <c r="C30" s="142"/>
      <c r="D30" s="133"/>
      <c r="E30" s="196"/>
      <c r="F30" s="197"/>
      <c r="G30" s="196"/>
      <c r="H30" s="250">
        <f t="shared" si="1"/>
        <v>3993362.6499999966</v>
      </c>
      <c r="I30" s="298"/>
      <c r="J30" s="112"/>
      <c r="K30" s="112"/>
      <c r="L30" s="112"/>
    </row>
    <row r="31" spans="1:12" s="251" customFormat="1" ht="15">
      <c r="A31" s="222"/>
      <c r="B31" s="103"/>
      <c r="C31" s="142"/>
      <c r="D31" s="133"/>
      <c r="E31" s="196"/>
      <c r="F31" s="197"/>
      <c r="G31" s="196"/>
      <c r="H31" s="250">
        <f t="shared" si="1"/>
        <v>3993362.6499999966</v>
      </c>
      <c r="I31" s="298"/>
      <c r="J31" s="112"/>
      <c r="K31" s="112"/>
      <c r="L31" s="112"/>
    </row>
    <row r="32" spans="1:12" s="251" customFormat="1" ht="15">
      <c r="A32" s="222"/>
      <c r="B32" s="103"/>
      <c r="C32" s="142"/>
      <c r="D32" s="133"/>
      <c r="E32" s="196"/>
      <c r="F32" s="197"/>
      <c r="G32" s="196"/>
      <c r="H32" s="250">
        <f t="shared" si="1"/>
        <v>3993362.6499999966</v>
      </c>
      <c r="I32" s="298"/>
      <c r="J32" s="112"/>
      <c r="K32" s="112"/>
      <c r="L32" s="112"/>
    </row>
    <row r="33" spans="1:12" s="251" customFormat="1" ht="15">
      <c r="A33" s="222"/>
      <c r="B33" s="103"/>
      <c r="C33" s="142"/>
      <c r="D33" s="133"/>
      <c r="E33" s="196"/>
      <c r="F33" s="197"/>
      <c r="G33" s="196"/>
      <c r="H33" s="250">
        <f t="shared" si="1"/>
        <v>3993362.6499999966</v>
      </c>
      <c r="I33" s="298"/>
      <c r="J33" s="112"/>
      <c r="K33" s="112"/>
      <c r="L33" s="112"/>
    </row>
    <row r="34" spans="1:12" s="251" customFormat="1" ht="15">
      <c r="A34" s="222"/>
      <c r="B34" s="103"/>
      <c r="C34" s="142"/>
      <c r="D34" s="133"/>
      <c r="E34" s="196"/>
      <c r="F34" s="197"/>
      <c r="G34" s="196"/>
      <c r="H34" s="250">
        <f t="shared" si="1"/>
        <v>3993362.6499999966</v>
      </c>
      <c r="I34" s="298"/>
      <c r="J34" s="112"/>
      <c r="K34" s="112"/>
      <c r="L34" s="112"/>
    </row>
    <row r="35" spans="1:12" s="251" customFormat="1" ht="15">
      <c r="A35" s="222"/>
      <c r="B35" s="103"/>
      <c r="C35" s="142"/>
      <c r="D35" s="133"/>
      <c r="E35" s="196"/>
      <c r="F35" s="197"/>
      <c r="G35" s="196"/>
      <c r="H35" s="250">
        <f t="shared" si="1"/>
        <v>3993362.6499999966</v>
      </c>
      <c r="I35" s="298"/>
      <c r="J35" s="112"/>
      <c r="K35" s="112"/>
      <c r="L35" s="112"/>
    </row>
    <row r="36" spans="1:12" s="251" customFormat="1" ht="15">
      <c r="A36" s="222"/>
      <c r="B36" s="103"/>
      <c r="C36" s="142"/>
      <c r="D36" s="133"/>
      <c r="E36" s="196"/>
      <c r="F36" s="197"/>
      <c r="G36" s="196"/>
      <c r="H36" s="250">
        <f>H35+F36-G36</f>
        <v>3993362.6499999966</v>
      </c>
      <c r="I36" s="298"/>
      <c r="J36" s="112"/>
      <c r="K36" s="112"/>
      <c r="L36" s="112"/>
    </row>
    <row r="37" spans="1:12" ht="15">
      <c r="C37" s="18"/>
      <c r="D37" s="34"/>
    </row>
  </sheetData>
  <autoFilter ref="A1:M36" xr:uid="{00000000-0009-0000-0000-00000B000000}"/>
  <mergeCells count="9">
    <mergeCell ref="I16:L16"/>
    <mergeCell ref="I10:L10"/>
    <mergeCell ref="I11:L11"/>
    <mergeCell ref="I12:L12"/>
    <mergeCell ref="I8:L8"/>
    <mergeCell ref="I9:L9"/>
    <mergeCell ref="I13:L13"/>
    <mergeCell ref="I14:L14"/>
    <mergeCell ref="I15:L15"/>
  </mergeCells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/>
  <dimension ref="A1:S409"/>
  <sheetViews>
    <sheetView workbookViewId="0">
      <pane ySplit="1" topLeftCell="A402" activePane="bottomLeft" state="frozen"/>
      <selection pane="bottomLeft" activeCell="A368" sqref="A368:O409"/>
    </sheetView>
  </sheetViews>
  <sheetFormatPr defaultRowHeight="24.95" customHeight="1"/>
  <cols>
    <col min="1" max="1" width="13.875" style="56" customWidth="1"/>
    <col min="2" max="2" width="7.5" style="56" customWidth="1"/>
    <col min="3" max="3" width="7.625" style="56" customWidth="1"/>
    <col min="4" max="4" width="11.125" style="515" customWidth="1"/>
    <col min="5" max="5" width="16.875" style="56" customWidth="1"/>
    <col min="6" max="6" width="11.75" style="56" customWidth="1"/>
    <col min="7" max="7" width="10.375" style="56" bestFit="1" customWidth="1"/>
    <col min="8" max="8" width="9.5" style="56" bestFit="1" customWidth="1"/>
    <col min="9" max="9" width="13" style="56" bestFit="1" customWidth="1"/>
    <col min="10" max="10" width="16.75" style="56" customWidth="1"/>
    <col min="11" max="11" width="11.625" style="56" bestFit="1" customWidth="1"/>
    <col min="12" max="12" width="10.25" style="56" customWidth="1"/>
    <col min="13" max="13" width="11.875" style="56" customWidth="1"/>
    <col min="14" max="14" width="13" style="56" bestFit="1" customWidth="1"/>
    <col min="15" max="15" width="13.625" style="56" bestFit="1" customWidth="1"/>
    <col min="16" max="16" width="19" style="283" customWidth="1"/>
    <col min="17" max="17" width="22.375" style="56" customWidth="1"/>
    <col min="18" max="16384" width="9" style="56"/>
  </cols>
  <sheetData>
    <row r="1" spans="1:19" s="272" customFormat="1" ht="24.95" customHeight="1">
      <c r="A1" s="61" t="s">
        <v>11</v>
      </c>
      <c r="B1" s="61" t="s">
        <v>12</v>
      </c>
      <c r="C1" s="61" t="s">
        <v>13</v>
      </c>
      <c r="D1" s="514" t="s">
        <v>14</v>
      </c>
      <c r="E1" s="61" t="s">
        <v>15</v>
      </c>
      <c r="F1" s="61" t="s">
        <v>16</v>
      </c>
      <c r="G1" s="62" t="s">
        <v>17</v>
      </c>
      <c r="H1" s="62" t="s">
        <v>18</v>
      </c>
      <c r="I1" s="62" t="s">
        <v>19</v>
      </c>
      <c r="J1" s="61" t="s">
        <v>20</v>
      </c>
      <c r="K1" s="268" t="s">
        <v>21</v>
      </c>
      <c r="L1" s="268" t="s">
        <v>22</v>
      </c>
      <c r="M1" s="61" t="s">
        <v>23</v>
      </c>
      <c r="N1" s="61" t="s">
        <v>24</v>
      </c>
      <c r="O1" s="61" t="s">
        <v>5401</v>
      </c>
      <c r="P1" s="269" t="s">
        <v>25</v>
      </c>
      <c r="Q1" s="62" t="s">
        <v>26</v>
      </c>
      <c r="R1" s="270"/>
      <c r="S1" s="271"/>
    </row>
    <row r="2" spans="1:19" ht="35.1" hidden="1" customHeight="1">
      <c r="A2" s="13" t="s">
        <v>66</v>
      </c>
      <c r="B2" s="6" t="s">
        <v>51</v>
      </c>
      <c r="C2" s="6" t="s">
        <v>52</v>
      </c>
      <c r="D2" s="7">
        <v>42340</v>
      </c>
      <c r="E2" s="6" t="s">
        <v>67</v>
      </c>
      <c r="F2" s="8" t="s">
        <v>54</v>
      </c>
      <c r="G2" s="9">
        <v>1000</v>
      </c>
      <c r="H2" s="10">
        <v>4340</v>
      </c>
      <c r="I2" s="11">
        <f t="shared" ref="I2:I21" si="0">G2*H2</f>
        <v>4340000</v>
      </c>
      <c r="J2" s="6" t="s">
        <v>68</v>
      </c>
      <c r="K2" s="3">
        <f>SUMIF(收发货!A:A,采购合同!A:A,收发货!D:D)</f>
        <v>1040</v>
      </c>
      <c r="L2" s="3">
        <f>SUMIF(收开票!A:A,采购合同!A:A,收开票!H:H)</f>
        <v>1053.9676999999999</v>
      </c>
      <c r="M2" s="1">
        <f>SUMIF(收开票!A:A,采购合同!A:A,收开票!I:I)</f>
        <v>4468729.22</v>
      </c>
      <c r="N2" s="2">
        <f>SUMIF(收付款!A:A,采购合同!A:A,收付款!E:E)</f>
        <v>4468729.22</v>
      </c>
      <c r="O2" s="2"/>
      <c r="P2" s="90"/>
      <c r="Q2" s="1"/>
      <c r="R2" s="5"/>
      <c r="S2" s="4">
        <v>42340</v>
      </c>
    </row>
    <row r="3" spans="1:19" ht="35.1" hidden="1" customHeight="1">
      <c r="A3" s="13" t="s">
        <v>359</v>
      </c>
      <c r="B3" s="6" t="s">
        <v>51</v>
      </c>
      <c r="C3" s="6" t="s">
        <v>52</v>
      </c>
      <c r="D3" s="7">
        <v>42345</v>
      </c>
      <c r="E3" s="6" t="s">
        <v>53</v>
      </c>
      <c r="F3" s="8" t="s">
        <v>54</v>
      </c>
      <c r="G3" s="9">
        <v>180</v>
      </c>
      <c r="H3" s="10">
        <v>4140</v>
      </c>
      <c r="I3" s="11">
        <f t="shared" si="0"/>
        <v>745200</v>
      </c>
      <c r="J3" s="6" t="s">
        <v>55</v>
      </c>
      <c r="K3" s="3">
        <f>SUMIF(收发货!A:A,采购合同!A:A,收发货!D:D)</f>
        <v>180</v>
      </c>
      <c r="L3" s="3">
        <f>SUMIF(收开票!A:A,采购合同!A:A,收开票!H:H)</f>
        <v>180.6978</v>
      </c>
      <c r="M3" s="1">
        <f>SUMIF(收开票!A:A,采购合同!A:A,收开票!I:I)</f>
        <v>733127.11</v>
      </c>
      <c r="N3" s="2">
        <f>SUMIF(收付款!A:A,采购合同!A:A,收付款!E:E)</f>
        <v>733127.11</v>
      </c>
      <c r="O3" s="2"/>
      <c r="P3" s="90"/>
      <c r="Q3" s="1"/>
      <c r="R3" s="5"/>
      <c r="S3" s="4"/>
    </row>
    <row r="4" spans="1:19" ht="35.1" hidden="1" customHeight="1">
      <c r="A4" s="13" t="s">
        <v>344</v>
      </c>
      <c r="B4" s="6" t="s">
        <v>0</v>
      </c>
      <c r="C4" s="6" t="s">
        <v>1</v>
      </c>
      <c r="D4" s="7">
        <v>42373</v>
      </c>
      <c r="E4" s="6" t="s">
        <v>2</v>
      </c>
      <c r="F4" s="8" t="s">
        <v>3</v>
      </c>
      <c r="G4" s="9">
        <v>1200</v>
      </c>
      <c r="H4" s="10">
        <v>4450</v>
      </c>
      <c r="I4" s="11">
        <f t="shared" si="0"/>
        <v>5340000</v>
      </c>
      <c r="J4" s="6" t="s">
        <v>4</v>
      </c>
      <c r="K4" s="3">
        <f>SUMIF(收发货!A:A,采购合同!A:A,收发货!D:D)</f>
        <v>1110</v>
      </c>
      <c r="L4" s="3">
        <f>SUMIF(收开票!A:A,采购合同!A:A,收开票!H:H)</f>
        <v>1128.5029999999999</v>
      </c>
      <c r="M4" s="1">
        <f>SUMIF(收开票!A:A,采购合同!A:A,收开票!I:I)</f>
        <v>4894471.09</v>
      </c>
      <c r="N4" s="2">
        <f>SUMIF(收付款!A:A,采购合同!A:A,收付款!E:E)</f>
        <v>4894471.09</v>
      </c>
      <c r="O4" s="2"/>
      <c r="P4" s="90"/>
      <c r="Q4" s="1">
        <v>0</v>
      </c>
      <c r="R4" s="5"/>
      <c r="S4" s="4"/>
    </row>
    <row r="5" spans="1:19" ht="35.1" hidden="1" customHeight="1">
      <c r="A5" s="13" t="s">
        <v>295</v>
      </c>
      <c r="B5" s="6" t="s">
        <v>0</v>
      </c>
      <c r="C5" s="6" t="s">
        <v>1</v>
      </c>
      <c r="D5" s="7">
        <v>42376</v>
      </c>
      <c r="E5" s="6" t="s">
        <v>2</v>
      </c>
      <c r="F5" s="8" t="s">
        <v>3</v>
      </c>
      <c r="G5" s="9">
        <v>600</v>
      </c>
      <c r="H5" s="10">
        <v>4400</v>
      </c>
      <c r="I5" s="11">
        <f t="shared" si="0"/>
        <v>2640000</v>
      </c>
      <c r="J5" s="12" t="s">
        <v>4</v>
      </c>
      <c r="K5" s="3">
        <f>SUMIF(收发货!A:A,采购合同!A:A,收发货!D:D)</f>
        <v>602.04</v>
      </c>
      <c r="L5" s="3">
        <f>SUMIF(收开票!A:A,采购合同!A:A,收开票!H:H)</f>
        <v>609.27340000000004</v>
      </c>
      <c r="M5" s="1">
        <f>SUMIF(收开票!A:A,采购合同!A:A,收开票!I:I)</f>
        <v>2603442.1800000002</v>
      </c>
      <c r="N5" s="2">
        <f>SUMIF(收付款!A:A,采购合同!A:A,收付款!E:E)</f>
        <v>2603442.1800000002</v>
      </c>
      <c r="O5" s="2"/>
      <c r="P5" s="90"/>
      <c r="Q5" s="1">
        <v>0</v>
      </c>
      <c r="R5" s="5"/>
      <c r="S5" s="4"/>
    </row>
    <row r="6" spans="1:19" ht="35.1" hidden="1" customHeight="1">
      <c r="A6" s="13" t="s">
        <v>384</v>
      </c>
      <c r="B6" s="6" t="s">
        <v>217</v>
      </c>
      <c r="C6" s="6" t="s">
        <v>219</v>
      </c>
      <c r="D6" s="7">
        <v>42380</v>
      </c>
      <c r="E6" s="6" t="s">
        <v>222</v>
      </c>
      <c r="F6" s="8" t="s">
        <v>223</v>
      </c>
      <c r="G6" s="9">
        <v>10000</v>
      </c>
      <c r="H6" s="10">
        <v>475</v>
      </c>
      <c r="I6" s="11">
        <f t="shared" si="0"/>
        <v>4750000</v>
      </c>
      <c r="J6" s="6" t="s">
        <v>221</v>
      </c>
      <c r="K6" s="3">
        <f>SUMIF(收发货!A:A,采购合同!A:A,收发货!D:D)</f>
        <v>9300</v>
      </c>
      <c r="L6" s="3">
        <f>SUMIF(收开票!A:A,采购合同!A:A,收开票!H:H)</f>
        <v>9060.7734999999993</v>
      </c>
      <c r="M6" s="1">
        <f>SUMIF(收开票!A:A,采购合同!A:A,收开票!I:I)</f>
        <v>4311035.4344000015</v>
      </c>
      <c r="N6" s="2">
        <f>SUMIF(收付款!A:A,采购合同!A:A,收付款!E:E)</f>
        <v>4311035.43</v>
      </c>
      <c r="O6" s="2"/>
      <c r="P6" s="90"/>
      <c r="Q6" s="1"/>
      <c r="R6" s="5"/>
      <c r="S6" s="4"/>
    </row>
    <row r="7" spans="1:19" ht="35.1" hidden="1" customHeight="1">
      <c r="A7" s="273" t="s">
        <v>215</v>
      </c>
      <c r="B7" s="274" t="s">
        <v>5</v>
      </c>
      <c r="C7" s="274" t="s">
        <v>6</v>
      </c>
      <c r="D7" s="275">
        <v>42376</v>
      </c>
      <c r="E7" s="274" t="s">
        <v>7</v>
      </c>
      <c r="F7" s="276" t="s">
        <v>3</v>
      </c>
      <c r="G7" s="277">
        <v>420</v>
      </c>
      <c r="H7" s="278">
        <v>4350</v>
      </c>
      <c r="I7" s="11">
        <f t="shared" si="0"/>
        <v>1827000</v>
      </c>
      <c r="J7" s="12" t="s">
        <v>8</v>
      </c>
      <c r="K7" s="3">
        <f>SUMIF(收发货!A:A,采购合同!A:A,收发货!D:D)</f>
        <v>375.24</v>
      </c>
      <c r="L7" s="3">
        <f>SUMIF(收开票!A:A,采购合同!A:A,收开票!H:H)</f>
        <v>378.54719999999998</v>
      </c>
      <c r="M7" s="1">
        <f>SUMIF(收开票!A:A,采购合同!A:A,收开票!I:I)</f>
        <v>1608855.77</v>
      </c>
      <c r="N7" s="2">
        <f>SUMIF(收付款!A:A,采购合同!A:A,收付款!E:E)</f>
        <v>1608855.77</v>
      </c>
      <c r="O7" s="2"/>
      <c r="P7" s="90"/>
      <c r="Q7" s="1"/>
      <c r="R7" s="5"/>
      <c r="S7" s="4"/>
    </row>
    <row r="8" spans="1:19" ht="35.1" hidden="1" customHeight="1">
      <c r="A8" s="13" t="s">
        <v>211</v>
      </c>
      <c r="B8" s="6" t="s">
        <v>0</v>
      </c>
      <c r="C8" s="6" t="s">
        <v>1</v>
      </c>
      <c r="D8" s="7">
        <v>42376</v>
      </c>
      <c r="E8" s="6" t="s">
        <v>9</v>
      </c>
      <c r="F8" s="8" t="s">
        <v>3</v>
      </c>
      <c r="G8" s="9">
        <v>600</v>
      </c>
      <c r="H8" s="10">
        <v>4340</v>
      </c>
      <c r="I8" s="11">
        <f t="shared" si="0"/>
        <v>2604000</v>
      </c>
      <c r="J8" s="12" t="s">
        <v>10</v>
      </c>
      <c r="K8" s="3">
        <f>SUMIF(收发货!A:A,采购合同!A:A,收发货!D:D)</f>
        <v>633</v>
      </c>
      <c r="L8" s="3">
        <f>SUMIF(收开票!A:A,采购合同!A:A,收开票!H:H)</f>
        <v>638.65170000000001</v>
      </c>
      <c r="M8" s="1">
        <f>SUMIF(收开票!A:A,采购合同!A:A,收开票!I:I)</f>
        <v>2709519.28</v>
      </c>
      <c r="N8" s="2">
        <f>SUMIF(收付款!A:A,采购合同!A:A,收付款!E:E)</f>
        <v>2709519.2800000003</v>
      </c>
      <c r="O8" s="2"/>
      <c r="P8" s="90"/>
      <c r="Q8" s="1">
        <v>0</v>
      </c>
      <c r="R8" s="5"/>
      <c r="S8" s="4"/>
    </row>
    <row r="9" spans="1:19" ht="45" hidden="1" customHeight="1">
      <c r="A9" s="13" t="s">
        <v>346</v>
      </c>
      <c r="B9" s="6" t="s">
        <v>5</v>
      </c>
      <c r="C9" s="6" t="s">
        <v>6</v>
      </c>
      <c r="D9" s="7">
        <v>42391</v>
      </c>
      <c r="E9" s="6" t="s">
        <v>7</v>
      </c>
      <c r="F9" s="8" t="s">
        <v>3</v>
      </c>
      <c r="G9" s="9">
        <v>600</v>
      </c>
      <c r="H9" s="10">
        <v>4695</v>
      </c>
      <c r="I9" s="11">
        <f t="shared" si="0"/>
        <v>2817000</v>
      </c>
      <c r="J9" s="12" t="s">
        <v>8</v>
      </c>
      <c r="K9" s="3">
        <f>SUMIF(收发货!A:A,采购合同!A:A,收发货!D:D)</f>
        <v>493.48000000000013</v>
      </c>
      <c r="L9" s="3">
        <f>SUMIF(收开票!A:A,采购合同!A:A,收开票!H:H)</f>
        <v>500.07460000000003</v>
      </c>
      <c r="M9" s="1">
        <f>SUMIF(收开票!A:A,采购合同!A:A,收开票!I:I)</f>
        <v>2293598.8199999998</v>
      </c>
      <c r="N9" s="2">
        <f>SUMIF(收付款!A:A,采购合同!A:A,收付款!E:E)</f>
        <v>2293598.8199999998</v>
      </c>
      <c r="O9" s="2"/>
      <c r="P9" s="90"/>
      <c r="Q9" s="1"/>
      <c r="R9" s="5"/>
      <c r="S9" s="4"/>
    </row>
    <row r="10" spans="1:19" ht="35.1" hidden="1" customHeight="1">
      <c r="A10" s="13" t="s">
        <v>345</v>
      </c>
      <c r="B10" s="6" t="s">
        <v>0</v>
      </c>
      <c r="C10" s="6" t="s">
        <v>1</v>
      </c>
      <c r="D10" s="7">
        <v>42391</v>
      </c>
      <c r="E10" s="6" t="s">
        <v>9</v>
      </c>
      <c r="F10" s="8" t="s">
        <v>3</v>
      </c>
      <c r="G10" s="9">
        <v>360</v>
      </c>
      <c r="H10" s="10">
        <v>4690</v>
      </c>
      <c r="I10" s="11">
        <f t="shared" si="0"/>
        <v>1688400</v>
      </c>
      <c r="J10" s="12" t="s">
        <v>10</v>
      </c>
      <c r="K10" s="3">
        <f>SUMIF(收发货!A:A,采购合同!A:A,收发货!D:D)</f>
        <v>358</v>
      </c>
      <c r="L10" s="3">
        <f>SUMIF(收开票!A:A,采购合同!A:A,收开票!H:H)</f>
        <v>359.65250000000003</v>
      </c>
      <c r="M10" s="1">
        <f>SUMIF(收开票!A:A,采购合同!A:A,收开票!I:I)</f>
        <v>1651348.05</v>
      </c>
      <c r="N10" s="2">
        <f>SUMIF(收付款!A:A,采购合同!A:A,收付款!E:E)</f>
        <v>1651348.05</v>
      </c>
      <c r="O10" s="2"/>
      <c r="P10" s="90"/>
      <c r="Q10" s="1">
        <v>0</v>
      </c>
      <c r="R10" s="5"/>
      <c r="S10" s="4"/>
    </row>
    <row r="11" spans="1:19" ht="35.1" hidden="1" customHeight="1">
      <c r="A11" s="13" t="s">
        <v>296</v>
      </c>
      <c r="B11" s="6" t="s">
        <v>0</v>
      </c>
      <c r="C11" s="6" t="s">
        <v>1</v>
      </c>
      <c r="D11" s="7">
        <v>42391</v>
      </c>
      <c r="E11" s="6" t="s">
        <v>90</v>
      </c>
      <c r="F11" s="8" t="s">
        <v>3</v>
      </c>
      <c r="G11" s="9">
        <v>200</v>
      </c>
      <c r="H11" s="10">
        <v>4680</v>
      </c>
      <c r="I11" s="11">
        <f t="shared" si="0"/>
        <v>936000</v>
      </c>
      <c r="J11" s="12" t="s">
        <v>213</v>
      </c>
      <c r="K11" s="3">
        <f>SUMIF(收发货!A:A,采购合同!A:A,收发货!D:D)</f>
        <v>198.66</v>
      </c>
      <c r="L11" s="3">
        <f>SUMIF(收开票!A:A,采购合同!A:A,收开票!H:H)</f>
        <v>203.47710000000001</v>
      </c>
      <c r="M11" s="1">
        <f>SUMIF(收开票!A:A,采购合同!A:A,收开票!I:I)</f>
        <v>931798.96</v>
      </c>
      <c r="N11" s="2">
        <f>SUMIF(收付款!A:A,采购合同!A:A,收付款!E:E)</f>
        <v>931798.96</v>
      </c>
      <c r="O11" s="2"/>
      <c r="P11" s="90"/>
      <c r="Q11" s="1"/>
      <c r="R11" s="5"/>
      <c r="S11" s="4"/>
    </row>
    <row r="12" spans="1:19" ht="35.1" hidden="1" customHeight="1">
      <c r="A12" s="13" t="s">
        <v>297</v>
      </c>
      <c r="B12" s="6" t="s">
        <v>0</v>
      </c>
      <c r="C12" s="6" t="s">
        <v>1</v>
      </c>
      <c r="D12" s="7">
        <v>42391</v>
      </c>
      <c r="E12" s="6" t="s">
        <v>2</v>
      </c>
      <c r="F12" s="8" t="s">
        <v>3</v>
      </c>
      <c r="G12" s="9">
        <v>2400</v>
      </c>
      <c r="H12" s="10">
        <v>4685</v>
      </c>
      <c r="I12" s="11">
        <f t="shared" si="0"/>
        <v>11244000</v>
      </c>
      <c r="J12" s="12" t="s">
        <v>214</v>
      </c>
      <c r="K12" s="3">
        <f>SUMIF(收发货!A:A,采购合同!A:A,收发货!D:D)</f>
        <v>2365.19</v>
      </c>
      <c r="L12" s="3">
        <f>SUMIF(收开票!A:A,采购合同!A:A,收开票!H:H)</f>
        <v>2406.7192</v>
      </c>
      <c r="M12" s="1">
        <f>SUMIF(收开票!A:A,采购合同!A:A,收开票!I:I)</f>
        <v>10999021.949999999</v>
      </c>
      <c r="N12" s="2">
        <f>SUMIF(收付款!A:A,采购合同!A:A,收付款!E:E)</f>
        <v>10999021.949999999</v>
      </c>
      <c r="O12" s="2"/>
      <c r="P12" s="90"/>
      <c r="Q12" s="1"/>
      <c r="R12" s="5"/>
      <c r="S12" s="4"/>
    </row>
    <row r="13" spans="1:19" ht="35.1" hidden="1" customHeight="1">
      <c r="A13" s="13" t="s">
        <v>126</v>
      </c>
      <c r="B13" s="6" t="s">
        <v>127</v>
      </c>
      <c r="C13" s="6" t="s">
        <v>128</v>
      </c>
      <c r="D13" s="7">
        <v>42342</v>
      </c>
      <c r="E13" s="6" t="s">
        <v>129</v>
      </c>
      <c r="F13" s="8" t="s">
        <v>130</v>
      </c>
      <c r="G13" s="9">
        <v>40</v>
      </c>
      <c r="H13" s="10">
        <v>10100</v>
      </c>
      <c r="I13" s="11">
        <f t="shared" si="0"/>
        <v>404000</v>
      </c>
      <c r="J13" s="6" t="s">
        <v>131</v>
      </c>
      <c r="K13" s="3">
        <f>SUMIF(收发货!A:A,采购合同!A:A,收发货!D:D)</f>
        <v>40</v>
      </c>
      <c r="L13" s="3">
        <f>SUMIF(收开票!A:A,采购合同!A:A,收开票!H:H)</f>
        <v>40</v>
      </c>
      <c r="M13" s="1">
        <f>SUMIF(收开票!A:A,采购合同!A:A,收开票!I:I)</f>
        <v>404000</v>
      </c>
      <c r="N13" s="2">
        <f>SUMIF(收付款!A:A,采购合同!A:A,收付款!E:E)</f>
        <v>403717.2</v>
      </c>
      <c r="O13" s="2"/>
      <c r="P13" s="90"/>
      <c r="Q13" s="1"/>
      <c r="R13" s="5"/>
      <c r="S13" s="4"/>
    </row>
    <row r="14" spans="1:19" ht="35.1" hidden="1" customHeight="1">
      <c r="A14" s="13" t="s">
        <v>132</v>
      </c>
      <c r="B14" s="6" t="s">
        <v>127</v>
      </c>
      <c r="C14" s="6" t="s">
        <v>128</v>
      </c>
      <c r="D14" s="7">
        <v>42359</v>
      </c>
      <c r="E14" s="6" t="s">
        <v>129</v>
      </c>
      <c r="F14" s="8" t="s">
        <v>130</v>
      </c>
      <c r="G14" s="9">
        <v>40</v>
      </c>
      <c r="H14" s="10">
        <v>10250</v>
      </c>
      <c r="I14" s="11">
        <f t="shared" si="0"/>
        <v>410000</v>
      </c>
      <c r="J14" s="6" t="s">
        <v>131</v>
      </c>
      <c r="K14" s="3">
        <f>SUMIF(收发货!A:A,采购合同!A:A,收发货!D:D)</f>
        <v>40</v>
      </c>
      <c r="L14" s="3">
        <f>SUMIF(收开票!A:A,采购合同!A:A,收开票!H:H)</f>
        <v>39.923999999999999</v>
      </c>
      <c r="M14" s="1">
        <f>SUMIF(收开票!A:A,采购合同!A:A,收开票!I:I)</f>
        <v>409221</v>
      </c>
      <c r="N14" s="2">
        <f>SUMIF(收付款!A:A,采购合同!A:A,收付款!E:E)</f>
        <v>409503.8</v>
      </c>
      <c r="O14" s="2"/>
      <c r="P14" s="90"/>
      <c r="Q14" s="1"/>
      <c r="R14" s="5"/>
      <c r="S14" s="4"/>
    </row>
    <row r="15" spans="1:19" ht="35.1" hidden="1" customHeight="1">
      <c r="A15" s="13" t="s">
        <v>368</v>
      </c>
      <c r="B15" s="6" t="s">
        <v>193</v>
      </c>
      <c r="C15" s="6" t="s">
        <v>194</v>
      </c>
      <c r="D15" s="7">
        <v>42388</v>
      </c>
      <c r="E15" s="6" t="s">
        <v>195</v>
      </c>
      <c r="F15" s="8" t="s">
        <v>3</v>
      </c>
      <c r="G15" s="9">
        <v>60</v>
      </c>
      <c r="H15" s="10">
        <v>9700</v>
      </c>
      <c r="I15" s="11">
        <f t="shared" si="0"/>
        <v>582000</v>
      </c>
      <c r="J15" s="12" t="s">
        <v>196</v>
      </c>
      <c r="K15" s="3">
        <f>SUMIF(收发货!A:A,采购合同!A:A,收发货!D:D)</f>
        <v>60</v>
      </c>
      <c r="L15" s="3">
        <f>SUMIF(收开票!A:A,采购合同!A:A,收开票!H:H)</f>
        <v>60</v>
      </c>
      <c r="M15" s="1">
        <f>SUMIF(收开票!A:A,采购合同!A:A,收开票!I:I)</f>
        <v>582000</v>
      </c>
      <c r="N15" s="2">
        <f>SUMIF(收付款!A:A,采购合同!A:A,收付款!E:E)</f>
        <v>582000</v>
      </c>
      <c r="O15" s="2"/>
      <c r="P15" s="90"/>
      <c r="Q15" s="1"/>
      <c r="R15" s="5"/>
      <c r="S15" s="4"/>
    </row>
    <row r="16" spans="1:19" ht="35.1" hidden="1" customHeight="1">
      <c r="A16" s="13" t="s">
        <v>235</v>
      </c>
      <c r="B16" s="6" t="s">
        <v>236</v>
      </c>
      <c r="C16" s="6" t="s">
        <v>237</v>
      </c>
      <c r="D16" s="7">
        <v>42396</v>
      </c>
      <c r="E16" s="6" t="s">
        <v>238</v>
      </c>
      <c r="F16" s="8" t="s">
        <v>3</v>
      </c>
      <c r="G16" s="9">
        <v>120</v>
      </c>
      <c r="H16" s="10">
        <v>10250</v>
      </c>
      <c r="I16" s="11">
        <f t="shared" si="0"/>
        <v>1230000</v>
      </c>
      <c r="J16" s="12" t="s">
        <v>239</v>
      </c>
      <c r="K16" s="3">
        <f>SUMIF(收发货!A:A,采购合同!A:A,收发货!D:D)</f>
        <v>120</v>
      </c>
      <c r="L16" s="3">
        <f>SUMIF(收开票!A:A,采购合同!A:A,收开票!H:H)</f>
        <v>120</v>
      </c>
      <c r="M16" s="1">
        <f>SUMIF(收开票!A:A,采购合同!A:A,收开票!I:I)</f>
        <v>1230000</v>
      </c>
      <c r="N16" s="2">
        <f>SUMIF(收付款!A:A,采购合同!A:A,收付款!E:E)</f>
        <v>1230000</v>
      </c>
      <c r="O16" s="2"/>
      <c r="P16" s="90"/>
      <c r="Q16" s="1"/>
      <c r="R16" s="5"/>
      <c r="S16" s="4"/>
    </row>
    <row r="17" spans="1:19" ht="35.1" hidden="1" customHeight="1">
      <c r="A17" s="13" t="s">
        <v>256</v>
      </c>
      <c r="B17" s="6" t="s">
        <v>236</v>
      </c>
      <c r="C17" s="6" t="s">
        <v>237</v>
      </c>
      <c r="D17" s="7">
        <v>42397</v>
      </c>
      <c r="E17" s="6" t="s">
        <v>238</v>
      </c>
      <c r="F17" s="8" t="s">
        <v>3</v>
      </c>
      <c r="G17" s="9">
        <v>200</v>
      </c>
      <c r="H17" s="10">
        <v>10240</v>
      </c>
      <c r="I17" s="11">
        <f t="shared" si="0"/>
        <v>2048000</v>
      </c>
      <c r="J17" s="12" t="s">
        <v>257</v>
      </c>
      <c r="K17" s="3">
        <f>SUMIF(收发货!A:A,采购合同!A:A,收发货!D:D)</f>
        <v>200</v>
      </c>
      <c r="L17" s="3">
        <f>SUMIF(收开票!A:A,采购合同!A:A,收开票!H:H)</f>
        <v>200</v>
      </c>
      <c r="M17" s="1">
        <f>SUMIF(收开票!A:A,采购合同!A:A,收开票!I:I)</f>
        <v>2048000</v>
      </c>
      <c r="N17" s="2">
        <f>SUMIF(收付款!A:A,采购合同!A:A,收付款!E:E)</f>
        <v>2048000</v>
      </c>
      <c r="O17" s="2"/>
      <c r="P17" s="90"/>
      <c r="Q17" s="1"/>
      <c r="R17" s="5"/>
      <c r="S17" s="4"/>
    </row>
    <row r="18" spans="1:19" ht="35.1" hidden="1" customHeight="1">
      <c r="A18" s="13" t="s">
        <v>658</v>
      </c>
      <c r="B18" s="6" t="s">
        <v>217</v>
      </c>
      <c r="C18" s="6" t="s">
        <v>218</v>
      </c>
      <c r="D18" s="7">
        <v>42377</v>
      </c>
      <c r="E18" s="6" t="s">
        <v>220</v>
      </c>
      <c r="F18" s="8" t="s">
        <v>3</v>
      </c>
      <c r="G18" s="9">
        <v>5000</v>
      </c>
      <c r="H18" s="10">
        <v>420.3</v>
      </c>
      <c r="I18" s="11">
        <f t="shared" si="0"/>
        <v>2101500</v>
      </c>
      <c r="J18" s="6" t="s">
        <v>221</v>
      </c>
      <c r="K18" s="3">
        <f>SUMIF(收发货!A:A,采购合同!A:A,收发货!D:D)</f>
        <v>4750</v>
      </c>
      <c r="L18" s="3">
        <f>SUMIF(收开票!A:A,采购合同!A:A,收开票!H:H)</f>
        <v>4212.7957999999999</v>
      </c>
      <c r="M18" s="1">
        <f>SUMIF(收开票!A:A,采购合同!A:A,收开票!I:I)</f>
        <v>1762514.87</v>
      </c>
      <c r="N18" s="2">
        <f>SUMIF(收付款!A:A,采购合同!A:A,收付款!E:E)</f>
        <v>1762514.8675199999</v>
      </c>
      <c r="O18" s="2"/>
      <c r="P18" s="90"/>
      <c r="Q18" s="1"/>
      <c r="R18" s="5"/>
      <c r="S18" s="4"/>
    </row>
    <row r="19" spans="1:19" ht="35.1" hidden="1" customHeight="1">
      <c r="A19" s="13" t="s">
        <v>224</v>
      </c>
      <c r="B19" s="6" t="s">
        <v>217</v>
      </c>
      <c r="C19" s="6" t="s">
        <v>218</v>
      </c>
      <c r="D19" s="7">
        <v>42391</v>
      </c>
      <c r="E19" s="6" t="s">
        <v>220</v>
      </c>
      <c r="F19" s="8" t="s">
        <v>3</v>
      </c>
      <c r="G19" s="9">
        <v>10000</v>
      </c>
      <c r="H19" s="10">
        <v>400.75</v>
      </c>
      <c r="I19" s="11">
        <f t="shared" si="0"/>
        <v>4007500</v>
      </c>
      <c r="J19" s="6" t="s">
        <v>221</v>
      </c>
      <c r="K19" s="3">
        <f>SUMIF(收发货!A:A,采购合同!A:A,收发货!D:D)</f>
        <v>10523.92</v>
      </c>
      <c r="L19" s="3">
        <f>SUMIF(收开票!A:A,采购合同!A:A,收开票!H:H)</f>
        <v>9515.5030999999999</v>
      </c>
      <c r="M19" s="1">
        <f>SUMIF(收开票!A:A,采购合同!A:A,收开票!I:I)</f>
        <v>3840973.4845599998</v>
      </c>
      <c r="N19" s="2">
        <f>SUMIF(收付款!A:A,采购合同!A:A,收付款!E:E)</f>
        <v>3840973.48</v>
      </c>
      <c r="O19" s="2"/>
      <c r="P19" s="90"/>
      <c r="Q19" s="1"/>
      <c r="R19" s="5"/>
      <c r="S19" s="4"/>
    </row>
    <row r="20" spans="1:19" ht="35.1" hidden="1" customHeight="1">
      <c r="A20" s="13" t="s">
        <v>659</v>
      </c>
      <c r="B20" s="6" t="s">
        <v>217</v>
      </c>
      <c r="C20" s="6" t="s">
        <v>218</v>
      </c>
      <c r="D20" s="7">
        <v>42395</v>
      </c>
      <c r="E20" s="6" t="s">
        <v>222</v>
      </c>
      <c r="F20" s="8" t="s">
        <v>1056</v>
      </c>
      <c r="G20" s="9">
        <v>4000</v>
      </c>
      <c r="H20" s="10">
        <v>405</v>
      </c>
      <c r="I20" s="11">
        <f t="shared" si="0"/>
        <v>1620000</v>
      </c>
      <c r="J20" s="6" t="s">
        <v>221</v>
      </c>
      <c r="K20" s="3">
        <f>SUMIF(收发货!A:A,采购合同!A:A,收发货!D:D)</f>
        <v>3923.04</v>
      </c>
      <c r="L20" s="3">
        <f>SUMIF(收开票!A:A,采购合同!A:A,收开票!H:H)</f>
        <v>3559.1877999999997</v>
      </c>
      <c r="M20" s="1">
        <f>SUMIF(收开票!A:A,采购合同!A:A,收开票!I:I)</f>
        <v>1356485.3558420001</v>
      </c>
      <c r="N20" s="2">
        <f>SUMIF(收付款!A:A,采购合同!A:A,收付款!E:E)</f>
        <v>1356485.3599999999</v>
      </c>
      <c r="O20" s="2"/>
      <c r="P20" s="90"/>
      <c r="Q20" s="1"/>
      <c r="R20" s="5"/>
      <c r="S20" s="4"/>
    </row>
    <row r="21" spans="1:19" ht="35.1" hidden="1" customHeight="1">
      <c r="A21" s="13" t="s">
        <v>660</v>
      </c>
      <c r="B21" s="6" t="s">
        <v>217</v>
      </c>
      <c r="C21" s="6" t="s">
        <v>218</v>
      </c>
      <c r="D21" s="7">
        <v>42402</v>
      </c>
      <c r="E21" s="6" t="s">
        <v>286</v>
      </c>
      <c r="F21" s="8" t="s">
        <v>3</v>
      </c>
      <c r="G21" s="9">
        <v>3000</v>
      </c>
      <c r="H21" s="10">
        <v>231.67</v>
      </c>
      <c r="I21" s="11">
        <f t="shared" si="0"/>
        <v>695010</v>
      </c>
      <c r="J21" s="6" t="s">
        <v>287</v>
      </c>
      <c r="K21" s="3">
        <f>SUMIF(收发货!A:A,采购合同!A:A,收发货!D:D)</f>
        <v>2955.36</v>
      </c>
      <c r="L21" s="3">
        <f>SUMIF(收开票!A:A,采购合同!A:A,收开票!H:H)</f>
        <v>2367.0129999999999</v>
      </c>
      <c r="M21" s="1">
        <f>SUMIF(收开票!A:A,采购合同!A:A,收开票!I:I)</f>
        <v>514547.64</v>
      </c>
      <c r="N21" s="2">
        <f>SUMIF(收付款!A:A,采购合同!A:A,收付款!E:E)</f>
        <v>514547.64</v>
      </c>
      <c r="O21" s="2"/>
      <c r="P21" s="90"/>
      <c r="Q21" s="1"/>
      <c r="R21" s="5"/>
      <c r="S21" s="4"/>
    </row>
    <row r="22" spans="1:19" ht="33.75" hidden="1" customHeight="1">
      <c r="A22" s="13" t="s">
        <v>501</v>
      </c>
      <c r="B22" s="6" t="s">
        <v>0</v>
      </c>
      <c r="C22" s="6" t="s">
        <v>1</v>
      </c>
      <c r="D22" s="7">
        <v>42430</v>
      </c>
      <c r="E22" s="6" t="s">
        <v>90</v>
      </c>
      <c r="F22" s="8" t="s">
        <v>3</v>
      </c>
      <c r="G22" s="9">
        <v>800</v>
      </c>
      <c r="H22" s="10">
        <v>5130</v>
      </c>
      <c r="I22" s="11">
        <f>G22*H22</f>
        <v>4104000</v>
      </c>
      <c r="J22" s="12" t="s">
        <v>420</v>
      </c>
      <c r="K22" s="3">
        <f>SUMIF(收发货!A:A,采购合同!A:A,收发货!D:D)</f>
        <v>776.48</v>
      </c>
      <c r="L22" s="3">
        <f>SUMIF(收开票!A:A,采购合同!A:A,收开票!H:H)</f>
        <v>777.45810000000006</v>
      </c>
      <c r="M22" s="1">
        <f>SUMIF(收开票!A:A,采购合同!A:A,收开票!I:I)</f>
        <v>3844630.55</v>
      </c>
      <c r="N22" s="2">
        <f>SUMIF(收付款!A:A,采购合同!A:A,收付款!E:E)</f>
        <v>3844630.55</v>
      </c>
      <c r="O22" s="2"/>
      <c r="P22" s="90"/>
      <c r="Q22" s="1"/>
      <c r="R22" s="5"/>
      <c r="S22" s="4"/>
    </row>
    <row r="23" spans="1:19" ht="28.5" hidden="1" customHeight="1">
      <c r="A23" s="13" t="s">
        <v>631</v>
      </c>
      <c r="B23" s="6" t="s">
        <v>0</v>
      </c>
      <c r="C23" s="6" t="s">
        <v>1</v>
      </c>
      <c r="D23" s="7">
        <v>42430</v>
      </c>
      <c r="E23" s="6" t="s">
        <v>9</v>
      </c>
      <c r="F23" s="8" t="s">
        <v>3</v>
      </c>
      <c r="G23" s="9">
        <v>240</v>
      </c>
      <c r="H23" s="10">
        <v>5140</v>
      </c>
      <c r="I23" s="11">
        <f>G23*H23</f>
        <v>1233600</v>
      </c>
      <c r="J23" s="12" t="s">
        <v>419</v>
      </c>
      <c r="K23" s="3">
        <f>SUMIF(收发货!A:A,采购合同!A:A,收发货!D:D)</f>
        <v>235.96</v>
      </c>
      <c r="L23" s="3">
        <f>SUMIF(收开票!A:A,采购合同!A:A,收开票!H:H)</f>
        <v>237.41399999999999</v>
      </c>
      <c r="M23" s="1">
        <f>SUMIF(收开票!A:A,采购合同!A:A,收开票!I:I)</f>
        <v>1182331.79</v>
      </c>
      <c r="N23" s="2">
        <f>SUMIF(收付款!A:A,采购合同!A:A,收付款!E:E)</f>
        <v>1182331.79</v>
      </c>
      <c r="O23" s="2"/>
      <c r="P23" s="90"/>
      <c r="Q23" s="1">
        <v>0</v>
      </c>
      <c r="R23" s="5"/>
      <c r="S23" s="4"/>
    </row>
    <row r="24" spans="1:19" ht="30.75" hidden="1" customHeight="1">
      <c r="A24" s="13" t="s">
        <v>683</v>
      </c>
      <c r="B24" s="6" t="s">
        <v>0</v>
      </c>
      <c r="C24" s="6" t="s">
        <v>1</v>
      </c>
      <c r="D24" s="7">
        <v>42430</v>
      </c>
      <c r="E24" s="6" t="s">
        <v>9</v>
      </c>
      <c r="F24" s="8" t="s">
        <v>3</v>
      </c>
      <c r="G24" s="9">
        <v>360</v>
      </c>
      <c r="H24" s="10">
        <v>5190</v>
      </c>
      <c r="I24" s="11">
        <f>G24*H24</f>
        <v>1868400</v>
      </c>
      <c r="J24" s="12" t="s">
        <v>418</v>
      </c>
      <c r="K24" s="3">
        <f>SUMIF(收发货!A:A,采购合同!A:A,收发货!D:D)</f>
        <v>353.64</v>
      </c>
      <c r="L24" s="3">
        <f>SUMIF(收开票!A:A,采购合同!A:A,收开票!H:H)</f>
        <v>354.36379999999997</v>
      </c>
      <c r="M24" s="1">
        <f>SUMIF(收开票!A:A,采购合同!A:A,收开票!I:I)</f>
        <v>1793714.01</v>
      </c>
      <c r="N24" s="2">
        <f>SUMIF(收付款!A:A,采购合同!A:A,收付款!E:E)</f>
        <v>1793714.01</v>
      </c>
      <c r="O24" s="2"/>
      <c r="P24" s="90"/>
      <c r="Q24" s="1">
        <v>0</v>
      </c>
      <c r="R24" s="5"/>
      <c r="S24" s="4"/>
    </row>
    <row r="25" spans="1:19" ht="27" hidden="1" customHeight="1">
      <c r="A25" s="13" t="s">
        <v>522</v>
      </c>
      <c r="B25" s="6" t="s">
        <v>0</v>
      </c>
      <c r="C25" s="6" t="s">
        <v>1</v>
      </c>
      <c r="D25" s="7">
        <v>42431</v>
      </c>
      <c r="E25" s="6" t="s">
        <v>2</v>
      </c>
      <c r="F25" s="8" t="s">
        <v>3</v>
      </c>
      <c r="G25" s="9">
        <v>1500</v>
      </c>
      <c r="H25" s="10">
        <v>5125</v>
      </c>
      <c r="I25" s="11">
        <f>G25*H25</f>
        <v>7687500</v>
      </c>
      <c r="J25" s="12" t="s">
        <v>417</v>
      </c>
      <c r="K25" s="3">
        <f>SUMIF(收发货!A:A,采购合同!A:A,收发货!D:D)</f>
        <v>1430</v>
      </c>
      <c r="L25" s="3">
        <f>SUMIF(收开票!A:A,采购合同!A:A,收开票!H:H)</f>
        <v>1454.98</v>
      </c>
      <c r="M25" s="1">
        <f>SUMIF(收开票!A:A,采购合同!A:A,收开票!I:I)</f>
        <v>7289022.7999999998</v>
      </c>
      <c r="N25" s="2">
        <f>SUMIF(收付款!A:A,采购合同!A:A,收付款!E:E)</f>
        <v>7289022.7999999998</v>
      </c>
      <c r="O25" s="2"/>
      <c r="P25" s="90"/>
      <c r="Q25" s="1"/>
      <c r="R25" s="5"/>
      <c r="S25" s="4"/>
    </row>
    <row r="26" spans="1:19" ht="24" hidden="1" customHeight="1">
      <c r="A26" s="13" t="s">
        <v>482</v>
      </c>
      <c r="B26" s="6" t="s">
        <v>5</v>
      </c>
      <c r="C26" s="6" t="s">
        <v>6</v>
      </c>
      <c r="D26" s="7">
        <v>42431</v>
      </c>
      <c r="E26" s="6" t="s">
        <v>7</v>
      </c>
      <c r="F26" s="8" t="s">
        <v>3</v>
      </c>
      <c r="G26" s="9">
        <v>500</v>
      </c>
      <c r="H26" s="10">
        <v>5145</v>
      </c>
      <c r="I26" s="11">
        <f>G26*H26</f>
        <v>2572500</v>
      </c>
      <c r="J26" s="12" t="s">
        <v>416</v>
      </c>
      <c r="K26" s="3">
        <f>SUMIF(收发货!A:A,采购合同!A:A,收发货!D:D)</f>
        <v>429.16</v>
      </c>
      <c r="L26" s="3">
        <f>SUMIF(收开票!A:A,采购合同!A:A,收开票!H:H)</f>
        <v>435.50779999999997</v>
      </c>
      <c r="M26" s="1">
        <f>SUMIF(收开票!A:A,采购合同!A:A,收开票!I:I)</f>
        <v>2187177.73</v>
      </c>
      <c r="N26" s="2">
        <f>SUMIF(收付款!A:A,采购合同!A:A,收付款!E:E)</f>
        <v>2187177.73</v>
      </c>
      <c r="O26" s="2"/>
      <c r="P26" s="90"/>
      <c r="Q26" s="1"/>
      <c r="R26" s="5"/>
      <c r="S26" s="4"/>
    </row>
    <row r="27" spans="1:19" ht="57" hidden="1" customHeight="1">
      <c r="A27" s="13" t="s">
        <v>1336</v>
      </c>
      <c r="B27" s="6" t="s">
        <v>0</v>
      </c>
      <c r="C27" s="6" t="s">
        <v>1</v>
      </c>
      <c r="D27" s="7">
        <v>42459</v>
      </c>
      <c r="E27" s="6" t="s">
        <v>2</v>
      </c>
      <c r="F27" s="8" t="s">
        <v>3</v>
      </c>
      <c r="G27" s="9">
        <v>1450</v>
      </c>
      <c r="H27" s="10">
        <v>5680</v>
      </c>
      <c r="I27" s="11">
        <f t="shared" ref="I27:I35" si="1">G27*H27</f>
        <v>8236000</v>
      </c>
      <c r="J27" s="12" t="s">
        <v>560</v>
      </c>
      <c r="K27" s="3">
        <f>SUMIF(收发货!A:A,采购合同!A:A,收发货!D:D)</f>
        <v>829</v>
      </c>
      <c r="L27" s="3">
        <f>SUMIF(收开票!A:A,采购合同!A:A,收开票!H:H)</f>
        <v>841.24970000000008</v>
      </c>
      <c r="M27" s="1">
        <f>SUMIF(收开票!A:A,采购合同!A:A,收开票!I:I)</f>
        <v>4670786.8100000005</v>
      </c>
      <c r="N27" s="2">
        <f>SUMIF(收付款!A:A,采购合同!A:A,收付款!E:E)</f>
        <v>4670786.8100000005</v>
      </c>
      <c r="O27" s="2"/>
      <c r="P27" s="90"/>
      <c r="Q27" s="1"/>
      <c r="R27" s="5"/>
      <c r="S27" s="4"/>
    </row>
    <row r="28" spans="1:19" ht="48" hidden="1" customHeight="1">
      <c r="A28" s="13" t="s">
        <v>705</v>
      </c>
      <c r="B28" s="6" t="s">
        <v>0</v>
      </c>
      <c r="C28" s="6" t="s">
        <v>1</v>
      </c>
      <c r="D28" s="7">
        <v>42459</v>
      </c>
      <c r="E28" s="6" t="s">
        <v>90</v>
      </c>
      <c r="F28" s="8" t="s">
        <v>3</v>
      </c>
      <c r="G28" s="9">
        <v>700</v>
      </c>
      <c r="H28" s="10">
        <v>5680</v>
      </c>
      <c r="I28" s="11">
        <f t="shared" si="1"/>
        <v>3976000</v>
      </c>
      <c r="J28" s="12" t="s">
        <v>543</v>
      </c>
      <c r="K28" s="3">
        <f>SUMIF(收发货!A:A,采购合同!A:A,收发货!D:D)</f>
        <v>666.82</v>
      </c>
      <c r="L28" s="3">
        <f>SUMIF(收开票!A:A,采购合同!A:A,收开票!H:H)</f>
        <v>679.15</v>
      </c>
      <c r="M28" s="1">
        <f>SUMIF(收开票!A:A,采购合同!A:A,收开票!I:I)</f>
        <v>3744267.96</v>
      </c>
      <c r="N28" s="2">
        <f>SUMIF(收付款!A:A,采购合同!A:A,收付款!E:E)</f>
        <v>3744267.96</v>
      </c>
      <c r="O28" s="279"/>
      <c r="P28" s="90"/>
      <c r="Q28" s="1"/>
      <c r="R28" s="5"/>
      <c r="S28" s="4"/>
    </row>
    <row r="29" spans="1:19" ht="54.75" hidden="1" customHeight="1">
      <c r="A29" s="13" t="s">
        <v>684</v>
      </c>
      <c r="B29" s="6" t="s">
        <v>0</v>
      </c>
      <c r="C29" s="6" t="s">
        <v>1</v>
      </c>
      <c r="D29" s="7">
        <v>42459</v>
      </c>
      <c r="E29" s="6" t="s">
        <v>9</v>
      </c>
      <c r="F29" s="8" t="s">
        <v>3</v>
      </c>
      <c r="G29" s="9">
        <v>480</v>
      </c>
      <c r="H29" s="10">
        <v>5690</v>
      </c>
      <c r="I29" s="11">
        <f t="shared" si="1"/>
        <v>2731200</v>
      </c>
      <c r="J29" s="12" t="s">
        <v>561</v>
      </c>
      <c r="K29" s="3">
        <f>SUMIF(收发货!A:A,采购合同!A:A,收发货!D:D)</f>
        <v>480</v>
      </c>
      <c r="L29" s="3">
        <f>SUMIF(收开票!A:A,采购合同!A:A,收开票!H:H)</f>
        <v>489.99599999999998</v>
      </c>
      <c r="M29" s="1">
        <f>SUMIF(收开票!A:A,采购合同!A:A,收开票!I:I)</f>
        <v>2726438.83</v>
      </c>
      <c r="N29" s="2">
        <f>SUMIF(收付款!A:A,采购合同!A:A,收付款!E:E)</f>
        <v>2726438.83</v>
      </c>
      <c r="O29" s="2"/>
      <c r="P29" s="90"/>
      <c r="Q29" s="1">
        <v>0</v>
      </c>
      <c r="R29" s="5"/>
      <c r="S29" s="4"/>
    </row>
    <row r="30" spans="1:19" ht="45" hidden="1" customHeight="1">
      <c r="A30" s="13" t="s">
        <v>581</v>
      </c>
      <c r="B30" s="6" t="s">
        <v>5</v>
      </c>
      <c r="C30" s="6" t="s">
        <v>6</v>
      </c>
      <c r="D30" s="7">
        <v>42459</v>
      </c>
      <c r="E30" s="6" t="s">
        <v>7</v>
      </c>
      <c r="F30" s="8" t="s">
        <v>3</v>
      </c>
      <c r="G30" s="9">
        <v>280</v>
      </c>
      <c r="H30" s="10">
        <v>5695</v>
      </c>
      <c r="I30" s="11">
        <f t="shared" si="1"/>
        <v>1594600</v>
      </c>
      <c r="J30" s="12" t="s">
        <v>562</v>
      </c>
      <c r="K30" s="3">
        <f>SUMIF(收发货!A:A,采购合同!A:A,收发货!D:D)</f>
        <v>295.88</v>
      </c>
      <c r="L30" s="3">
        <f>SUMIF(收开票!A:A,采购合同!A:A,收开票!H:H)</f>
        <v>301.33960000000002</v>
      </c>
      <c r="M30" s="1">
        <f>SUMIF(收开票!A:A,采购合同!A:A,收开票!I:I)</f>
        <v>1679706.2</v>
      </c>
      <c r="N30" s="2">
        <f>SUMIF(收付款!A:A,采购合同!A:A,收付款!E:E)</f>
        <v>1679706.2</v>
      </c>
      <c r="O30" s="2"/>
      <c r="P30" s="90"/>
      <c r="Q30" s="1"/>
      <c r="R30" s="5"/>
      <c r="S30" s="4"/>
    </row>
    <row r="31" spans="1:19" ht="35.1" hidden="1" customHeight="1">
      <c r="A31" s="13" t="s">
        <v>567</v>
      </c>
      <c r="B31" s="6" t="s">
        <v>217</v>
      </c>
      <c r="C31" s="6" t="s">
        <v>218</v>
      </c>
      <c r="D31" s="7">
        <v>42452</v>
      </c>
      <c r="E31" s="6" t="s">
        <v>286</v>
      </c>
      <c r="F31" s="8" t="s">
        <v>3</v>
      </c>
      <c r="G31" s="9">
        <v>3000</v>
      </c>
      <c r="H31" s="10">
        <v>243</v>
      </c>
      <c r="I31" s="11">
        <f t="shared" si="1"/>
        <v>729000</v>
      </c>
      <c r="J31" s="6" t="s">
        <v>287</v>
      </c>
      <c r="K31" s="3">
        <f>SUMIF(收发货!A:A,采购合同!A:A,收发货!D:D)</f>
        <v>3001.28</v>
      </c>
      <c r="L31" s="3">
        <f>SUMIF(收开票!A:A,采购合同!A:A,收开票!H:H)</f>
        <v>2440.0149999999999</v>
      </c>
      <c r="M31" s="1">
        <f>SUMIF(收开票!A:A,采购合同!A:A,收开票!I:I)</f>
        <v>587799.61</v>
      </c>
      <c r="N31" s="2">
        <f>SUMIF(收付款!A:A,采购合同!A:A,收付款!E:E)</f>
        <v>587799.61</v>
      </c>
      <c r="O31" s="2"/>
      <c r="P31" s="90"/>
      <c r="Q31" s="1"/>
      <c r="R31" s="5"/>
      <c r="S31" s="4"/>
    </row>
    <row r="32" spans="1:19" ht="35.1" hidden="1" customHeight="1">
      <c r="A32" s="13" t="s">
        <v>1357</v>
      </c>
      <c r="B32" s="6" t="s">
        <v>217</v>
      </c>
      <c r="C32" s="6" t="s">
        <v>218</v>
      </c>
      <c r="D32" s="7">
        <v>42436</v>
      </c>
      <c r="E32" s="6" t="s">
        <v>220</v>
      </c>
      <c r="F32" s="8" t="s">
        <v>3</v>
      </c>
      <c r="G32" s="9">
        <v>10000</v>
      </c>
      <c r="H32" s="10">
        <v>418.13</v>
      </c>
      <c r="I32" s="11">
        <f t="shared" si="1"/>
        <v>4181300</v>
      </c>
      <c r="J32" s="6" t="s">
        <v>221</v>
      </c>
      <c r="K32" s="3">
        <f>SUMIF(收发货!A:A,采购合同!A:A,收发货!D:D)</f>
        <v>9650</v>
      </c>
      <c r="L32" s="3">
        <f>SUMIF(收开票!A:A,采购合同!A:A,收开票!H:H)</f>
        <v>8454.9961000000003</v>
      </c>
      <c r="M32" s="1">
        <f>SUMIF(收开票!A:A,采购合同!A:A,收开票!I:I)</f>
        <v>3562021.2295130002</v>
      </c>
      <c r="N32" s="2">
        <f>SUMIF(收付款!A:A,采购合同!A:A,收付款!E:E)</f>
        <v>3562021.2300000004</v>
      </c>
      <c r="O32" s="2"/>
      <c r="P32" s="90"/>
      <c r="Q32" s="1"/>
      <c r="R32" s="5"/>
      <c r="S32" s="4"/>
    </row>
    <row r="33" spans="1:19" ht="35.1" hidden="1" customHeight="1">
      <c r="A33" s="13" t="s">
        <v>610</v>
      </c>
      <c r="B33" s="6" t="s">
        <v>193</v>
      </c>
      <c r="C33" s="6" t="s">
        <v>194</v>
      </c>
      <c r="D33" s="7">
        <v>42472</v>
      </c>
      <c r="E33" s="6" t="s">
        <v>195</v>
      </c>
      <c r="F33" s="8" t="s">
        <v>3</v>
      </c>
      <c r="G33" s="9">
        <v>60</v>
      </c>
      <c r="H33" s="10">
        <v>10123</v>
      </c>
      <c r="I33" s="11">
        <f t="shared" si="1"/>
        <v>607380</v>
      </c>
      <c r="J33" s="12" t="s">
        <v>196</v>
      </c>
      <c r="K33" s="3">
        <f>SUMIF(收发货!A:A,采购合同!A:A,收发货!D:D)</f>
        <v>60</v>
      </c>
      <c r="L33" s="3">
        <f>SUMIF(收开票!A:A,采购合同!A:A,收开票!H:H)</f>
        <v>60</v>
      </c>
      <c r="M33" s="1">
        <f>SUMIF(收开票!A:A,采购合同!A:A,收开票!I:I)</f>
        <v>607380</v>
      </c>
      <c r="N33" s="2">
        <f>SUMIF(收付款!A:A,采购合同!A:A,收付款!E:E)</f>
        <v>607380</v>
      </c>
      <c r="O33" s="2"/>
      <c r="P33" s="90"/>
      <c r="Q33" s="1"/>
      <c r="R33" s="5"/>
      <c r="S33" s="4"/>
    </row>
    <row r="34" spans="1:19" ht="35.1" hidden="1" customHeight="1">
      <c r="A34" s="13" t="s">
        <v>651</v>
      </c>
      <c r="B34" s="6" t="s">
        <v>217</v>
      </c>
      <c r="C34" s="6" t="s">
        <v>219</v>
      </c>
      <c r="D34" s="7">
        <v>42466</v>
      </c>
      <c r="E34" s="6" t="s">
        <v>222</v>
      </c>
      <c r="F34" s="8" t="s">
        <v>1056</v>
      </c>
      <c r="G34" s="9">
        <v>20000</v>
      </c>
      <c r="H34" s="10">
        <v>471</v>
      </c>
      <c r="I34" s="11">
        <f t="shared" si="1"/>
        <v>9420000</v>
      </c>
      <c r="J34" s="12" t="s">
        <v>653</v>
      </c>
      <c r="K34" s="3">
        <f>SUMIF(收发货!A:A,采购合同!A:A,收发货!D:D)</f>
        <v>20000</v>
      </c>
      <c r="L34" s="3">
        <f>SUMIF(收开票!A:A,采购合同!A:A,收开票!H:H)</f>
        <v>19258.385300000002</v>
      </c>
      <c r="M34" s="1">
        <f>SUMIF(收开票!A:A,采购合同!A:A,收开票!I:I)</f>
        <v>9175719.5700000003</v>
      </c>
      <c r="N34" s="2">
        <f>SUMIF(收付款!A:A,采购合同!A:A,收付款!E:E)</f>
        <v>9175719.5700000003</v>
      </c>
      <c r="O34" s="2"/>
      <c r="P34" s="90"/>
      <c r="Q34" s="1"/>
      <c r="R34" s="5"/>
      <c r="S34" s="4"/>
    </row>
    <row r="35" spans="1:19" ht="35.1" hidden="1" customHeight="1">
      <c r="A35" s="13" t="s">
        <v>694</v>
      </c>
      <c r="B35" s="6" t="s">
        <v>193</v>
      </c>
      <c r="C35" s="6" t="s">
        <v>194</v>
      </c>
      <c r="D35" s="7">
        <v>42479</v>
      </c>
      <c r="E35" s="6" t="s">
        <v>654</v>
      </c>
      <c r="F35" s="8" t="s">
        <v>3</v>
      </c>
      <c r="G35" s="9">
        <v>140</v>
      </c>
      <c r="H35" s="10">
        <v>9830</v>
      </c>
      <c r="I35" s="11">
        <f t="shared" si="1"/>
        <v>1376200</v>
      </c>
      <c r="J35" s="12" t="s">
        <v>657</v>
      </c>
      <c r="K35" s="3">
        <f>SUMIF(收发货!A:A,采购合同!A:A,收发货!D:D)</f>
        <v>140</v>
      </c>
      <c r="L35" s="3">
        <f>SUMIF(收开票!A:A,采购合同!A:A,收开票!H:H)</f>
        <v>140</v>
      </c>
      <c r="M35" s="1">
        <f>SUMIF(收开票!A:A,采购合同!A:A,收开票!I:I)</f>
        <v>1376200</v>
      </c>
      <c r="N35" s="2">
        <f>SUMIF(收付款!A:A,采购合同!A:A,收付款!E:E)</f>
        <v>1376200</v>
      </c>
      <c r="O35" s="2"/>
      <c r="P35" s="90"/>
      <c r="Q35" s="1"/>
      <c r="R35" s="5"/>
      <c r="S35" s="4"/>
    </row>
    <row r="36" spans="1:19" ht="48" hidden="1" customHeight="1">
      <c r="A36" s="13" t="s">
        <v>674</v>
      </c>
      <c r="B36" s="6" t="s">
        <v>0</v>
      </c>
      <c r="C36" s="6" t="s">
        <v>1</v>
      </c>
      <c r="D36" s="7">
        <v>42485</v>
      </c>
      <c r="E36" s="6" t="s">
        <v>90</v>
      </c>
      <c r="F36" s="8" t="s">
        <v>3</v>
      </c>
      <c r="G36" s="9">
        <v>280</v>
      </c>
      <c r="H36" s="10">
        <v>5680</v>
      </c>
      <c r="I36" s="11">
        <f>G36*H36</f>
        <v>1590400</v>
      </c>
      <c r="J36" s="12" t="s">
        <v>675</v>
      </c>
      <c r="K36" s="3">
        <f>SUMIF(收发货!A:A,采购合同!A:A,收发货!D:D)</f>
        <v>242.46</v>
      </c>
      <c r="L36" s="3">
        <f>SUMIF(收开票!A:A,采购合同!A:A,收开票!H:H)</f>
        <v>242.46</v>
      </c>
      <c r="M36" s="1">
        <f>SUMIF(收开票!A:A,采购合同!A:A,收开票!I:I)</f>
        <v>1377172.8</v>
      </c>
      <c r="N36" s="2">
        <f>SUMIF(收付款!A:A,采购合同!A:A,收付款!E:E)</f>
        <v>1377172.8</v>
      </c>
      <c r="O36" s="279"/>
      <c r="P36" s="90"/>
      <c r="Q36" s="1"/>
      <c r="R36" s="5"/>
      <c r="S36" s="4"/>
    </row>
    <row r="37" spans="1:19" ht="48" hidden="1" customHeight="1">
      <c r="A37" s="13" t="s">
        <v>676</v>
      </c>
      <c r="B37" s="6" t="s">
        <v>0</v>
      </c>
      <c r="C37" s="6" t="s">
        <v>1</v>
      </c>
      <c r="D37" s="7">
        <v>42485</v>
      </c>
      <c r="E37" s="6" t="s">
        <v>195</v>
      </c>
      <c r="F37" s="8" t="s">
        <v>3</v>
      </c>
      <c r="G37" s="9">
        <v>350</v>
      </c>
      <c r="H37" s="10">
        <v>5675</v>
      </c>
      <c r="I37" s="11">
        <f t="shared" ref="I37:I43" si="2">G37*H37</f>
        <v>1986250</v>
      </c>
      <c r="J37" s="12" t="s">
        <v>677</v>
      </c>
      <c r="K37" s="3">
        <f>SUMIF(收发货!A:A,采购合同!A:A,收发货!D:D)</f>
        <v>369</v>
      </c>
      <c r="L37" s="3">
        <f>SUMIF(收开票!A:A,采购合同!A:A,收开票!H:H)</f>
        <v>369.48900000000003</v>
      </c>
      <c r="M37" s="1">
        <f>SUMIF(收开票!A:A,采购合同!A:A,收开票!I:I)</f>
        <v>2049670.3900000001</v>
      </c>
      <c r="N37" s="2">
        <f>SUMIF(收付款!A:A,采购合同!A:A,收付款!E:E)</f>
        <v>2049670.3900000001</v>
      </c>
      <c r="O37" s="2"/>
      <c r="P37" s="90"/>
      <c r="Q37" s="1"/>
      <c r="R37" s="5"/>
      <c r="S37" s="4"/>
    </row>
    <row r="38" spans="1:19" ht="35.1" hidden="1" customHeight="1">
      <c r="A38" s="13" t="s">
        <v>732</v>
      </c>
      <c r="B38" s="6" t="s">
        <v>217</v>
      </c>
      <c r="C38" s="6" t="s">
        <v>218</v>
      </c>
      <c r="D38" s="7">
        <v>42480</v>
      </c>
      <c r="E38" s="6" t="s">
        <v>220</v>
      </c>
      <c r="F38" s="8" t="s">
        <v>3</v>
      </c>
      <c r="G38" s="9">
        <v>5000</v>
      </c>
      <c r="H38" s="10">
        <v>534.51</v>
      </c>
      <c r="I38" s="11">
        <f t="shared" si="2"/>
        <v>2672550</v>
      </c>
      <c r="J38" s="6" t="s">
        <v>221</v>
      </c>
      <c r="K38" s="3">
        <f>SUMIF(收发货!A:A,采购合同!A:A,收发货!D:D)</f>
        <v>5350</v>
      </c>
      <c r="L38" s="3">
        <f>SUMIF(收开票!A:A,采购合同!A:A,收开票!H:H)</f>
        <v>4748.8582999999999</v>
      </c>
      <c r="M38" s="1">
        <f>SUMIF(收开票!A:A,采购合同!A:A,收开票!I:I)</f>
        <v>2515465.3024030002</v>
      </c>
      <c r="N38" s="2">
        <f>SUMIF(收付款!A:A,采购合同!A:A,收付款!E:E)</f>
        <v>2515465.2999999998</v>
      </c>
      <c r="O38" s="2"/>
      <c r="P38" s="90"/>
      <c r="Q38" s="1"/>
      <c r="R38" s="5"/>
      <c r="S38" s="4"/>
    </row>
    <row r="39" spans="1:19" ht="35.1" hidden="1" customHeight="1">
      <c r="A39" s="13" t="s">
        <v>735</v>
      </c>
      <c r="B39" s="6" t="s">
        <v>217</v>
      </c>
      <c r="C39" s="6" t="s">
        <v>736</v>
      </c>
      <c r="D39" s="7">
        <v>42481</v>
      </c>
      <c r="E39" s="6" t="s">
        <v>737</v>
      </c>
      <c r="F39" s="8" t="s">
        <v>734</v>
      </c>
      <c r="G39" s="9">
        <v>100</v>
      </c>
      <c r="H39" s="10">
        <v>400</v>
      </c>
      <c r="I39" s="11">
        <f t="shared" si="2"/>
        <v>40000</v>
      </c>
      <c r="J39" s="12" t="s">
        <v>738</v>
      </c>
      <c r="K39" s="3">
        <f>SUMIF(收发货!A:A,采购合同!A:A,收发货!D:D)</f>
        <v>100</v>
      </c>
      <c r="L39" s="3">
        <f>SUMIF(收开票!A:A,采购合同!A:A,收开票!H:H)</f>
        <v>100</v>
      </c>
      <c r="M39" s="1">
        <f>SUMIF(收开票!A:A,采购合同!A:A,收开票!I:I)</f>
        <v>40000</v>
      </c>
      <c r="N39" s="2">
        <f>SUMIF(收付款!A:A,采购合同!A:A,收付款!E:E)</f>
        <v>40000</v>
      </c>
      <c r="O39" s="2"/>
      <c r="P39" s="90"/>
      <c r="Q39" s="1"/>
      <c r="R39" s="5"/>
      <c r="S39" s="4"/>
    </row>
    <row r="40" spans="1:19" ht="73.5" hidden="1" customHeight="1">
      <c r="A40" s="13" t="s">
        <v>806</v>
      </c>
      <c r="B40" s="6" t="s">
        <v>0</v>
      </c>
      <c r="C40" s="6" t="s">
        <v>1</v>
      </c>
      <c r="D40" s="7">
        <v>42495</v>
      </c>
      <c r="E40" s="6" t="s">
        <v>842</v>
      </c>
      <c r="F40" s="8" t="s">
        <v>3</v>
      </c>
      <c r="G40" s="9">
        <v>500</v>
      </c>
      <c r="H40" s="10">
        <v>5280</v>
      </c>
      <c r="I40" s="11">
        <f t="shared" si="2"/>
        <v>2640000</v>
      </c>
      <c r="J40" s="12" t="s">
        <v>808</v>
      </c>
      <c r="K40" s="3">
        <f>SUMIF(收发货!A:A,采购合同!A:A,收发货!D:D)</f>
        <v>500</v>
      </c>
      <c r="L40" s="3">
        <f>SUMIF(收开票!A:A,采购合同!A:A,收开票!H:H)</f>
        <v>510.44349999999997</v>
      </c>
      <c r="M40" s="1">
        <f>SUMIF(收开票!A:A,采购合同!A:A,收开票!I:I)</f>
        <v>2634500.9900000002</v>
      </c>
      <c r="N40" s="2">
        <f>SUMIF(收付款!A:A,采购合同!A:A,收付款!E:E)</f>
        <v>2634500.9900000002</v>
      </c>
      <c r="O40" s="2"/>
      <c r="P40" s="90"/>
      <c r="Q40" s="1"/>
      <c r="R40" s="5"/>
      <c r="S40" s="4"/>
    </row>
    <row r="41" spans="1:19" ht="48" hidden="1" customHeight="1">
      <c r="A41" s="13" t="s">
        <v>807</v>
      </c>
      <c r="B41" s="6" t="s">
        <v>0</v>
      </c>
      <c r="C41" s="6" t="s">
        <v>1</v>
      </c>
      <c r="D41" s="7">
        <v>42495</v>
      </c>
      <c r="E41" s="6" t="s">
        <v>90</v>
      </c>
      <c r="F41" s="8" t="s">
        <v>3</v>
      </c>
      <c r="G41" s="9">
        <v>120</v>
      </c>
      <c r="H41" s="10">
        <v>5280</v>
      </c>
      <c r="I41" s="11">
        <f t="shared" si="2"/>
        <v>633600</v>
      </c>
      <c r="J41" s="12" t="s">
        <v>809</v>
      </c>
      <c r="K41" s="3">
        <f>SUMIF(收发货!A:A,采购合同!A:A,收发货!D:D)</f>
        <v>112.98</v>
      </c>
      <c r="L41" s="3">
        <f>SUMIF(收开票!A:A,采购合同!A:A,收开票!H:H)</f>
        <v>114.31</v>
      </c>
      <c r="M41" s="1">
        <f>SUMIF(收开票!A:A,采购合同!A:A,收开票!I:I)</f>
        <v>590556.05000000005</v>
      </c>
      <c r="N41" s="2">
        <f>SUMIF(收付款!A:A,采购合同!A:A,收付款!E:E)</f>
        <v>590556.05000000005</v>
      </c>
      <c r="O41" s="2"/>
      <c r="P41" s="90"/>
      <c r="Q41" s="1"/>
      <c r="R41" s="5"/>
      <c r="S41" s="4"/>
    </row>
    <row r="42" spans="1:19" ht="45" hidden="1" customHeight="1">
      <c r="A42" s="13" t="s">
        <v>1126</v>
      </c>
      <c r="B42" s="6" t="s">
        <v>5</v>
      </c>
      <c r="C42" s="6" t="s">
        <v>6</v>
      </c>
      <c r="D42" s="7">
        <v>42499</v>
      </c>
      <c r="E42" s="6" t="s">
        <v>7</v>
      </c>
      <c r="F42" s="8" t="s">
        <v>3</v>
      </c>
      <c r="G42" s="9">
        <v>240</v>
      </c>
      <c r="H42" s="10">
        <v>5195</v>
      </c>
      <c r="I42" s="11">
        <f t="shared" si="2"/>
        <v>1246800</v>
      </c>
      <c r="J42" s="12" t="s">
        <v>816</v>
      </c>
      <c r="K42" s="3">
        <f>SUMIF(收发货!A:A,采购合同!A:A,收发货!D:D)</f>
        <v>250</v>
      </c>
      <c r="L42" s="3">
        <f>SUMIF(收开票!A:A,采购合同!A:A,收开票!H:H)</f>
        <v>254.86</v>
      </c>
      <c r="M42" s="1">
        <f>SUMIF(收开票!A:A,采购合同!A:A,收开票!I:I)</f>
        <v>1297517.75</v>
      </c>
      <c r="N42" s="2">
        <f>SUMIF(收付款!A:A,采购合同!A:A,收付款!E:E)</f>
        <v>1297517.75</v>
      </c>
      <c r="O42" s="2"/>
      <c r="P42" s="90"/>
      <c r="Q42" s="1"/>
      <c r="R42" s="5"/>
      <c r="S42" s="4"/>
    </row>
    <row r="43" spans="1:19" ht="54.75" hidden="1" customHeight="1">
      <c r="A43" s="13" t="s">
        <v>810</v>
      </c>
      <c r="B43" s="6" t="s">
        <v>0</v>
      </c>
      <c r="C43" s="6" t="s">
        <v>1</v>
      </c>
      <c r="D43" s="7">
        <v>42499</v>
      </c>
      <c r="E43" s="6" t="s">
        <v>9</v>
      </c>
      <c r="F43" s="8" t="s">
        <v>3</v>
      </c>
      <c r="G43" s="9">
        <v>660</v>
      </c>
      <c r="H43" s="10">
        <v>5190</v>
      </c>
      <c r="I43" s="11">
        <f t="shared" si="2"/>
        <v>3425400</v>
      </c>
      <c r="J43" s="12" t="s">
        <v>841</v>
      </c>
      <c r="K43" s="3">
        <f>SUMIF(收发货!A:A,采购合同!A:A,收发货!D:D)</f>
        <v>652.53999999999985</v>
      </c>
      <c r="L43" s="3">
        <f>SUMIF(收开票!A:A,采购合同!A:A,收开票!H:H)</f>
        <v>660.57240000000002</v>
      </c>
      <c r="M43" s="1">
        <f>SUMIF(收开票!A:A,采购合同!A:A,收开票!I:I)</f>
        <v>3339172.6700000004</v>
      </c>
      <c r="N43" s="2">
        <f>SUMIF(收付款!A:A,采购合同!A:A,收付款!E:E)</f>
        <v>3339172.6700000004</v>
      </c>
      <c r="O43" s="2"/>
      <c r="P43" s="90"/>
      <c r="Q43" s="1">
        <v>0</v>
      </c>
      <c r="R43" s="5"/>
      <c r="S43" s="4"/>
    </row>
    <row r="44" spans="1:19" ht="45" hidden="1" customHeight="1">
      <c r="A44" s="13" t="s">
        <v>853</v>
      </c>
      <c r="B44" s="6" t="s">
        <v>0</v>
      </c>
      <c r="C44" s="6" t="s">
        <v>852</v>
      </c>
      <c r="D44" s="7">
        <v>42501</v>
      </c>
      <c r="E44" s="6" t="s">
        <v>851</v>
      </c>
      <c r="F44" s="8" t="s">
        <v>3</v>
      </c>
      <c r="G44" s="9">
        <v>80</v>
      </c>
      <c r="H44" s="10">
        <v>9800</v>
      </c>
      <c r="I44" s="11">
        <f t="shared" ref="I44:I79" si="3">G44*H44</f>
        <v>784000</v>
      </c>
      <c r="J44" s="12" t="s">
        <v>854</v>
      </c>
      <c r="K44" s="3">
        <f>SUMIF(收发货!A:A,采购合同!A:A,收发货!D:D)</f>
        <v>80</v>
      </c>
      <c r="L44" s="3">
        <f>SUMIF(收开票!A:A,采购合同!A:A,收开票!H:H)</f>
        <v>80</v>
      </c>
      <c r="M44" s="1">
        <f>SUMIF(收开票!A:A,采购合同!A:A,收开票!I:I)</f>
        <v>784000</v>
      </c>
      <c r="N44" s="2">
        <f>SUMIF(收付款!A:A,采购合同!A:A,收付款!E:E)</f>
        <v>784000</v>
      </c>
      <c r="O44" s="2"/>
      <c r="P44" s="90"/>
      <c r="Q44" s="1"/>
      <c r="R44" s="5"/>
      <c r="S44" s="4"/>
    </row>
    <row r="45" spans="1:19" ht="51.75" hidden="1" customHeight="1">
      <c r="A45" s="13" t="s">
        <v>873</v>
      </c>
      <c r="B45" s="6" t="s">
        <v>193</v>
      </c>
      <c r="C45" s="6" t="s">
        <v>194</v>
      </c>
      <c r="D45" s="7">
        <v>42506</v>
      </c>
      <c r="E45" s="6" t="s">
        <v>195</v>
      </c>
      <c r="F45" s="8" t="s">
        <v>3</v>
      </c>
      <c r="G45" s="9">
        <v>160</v>
      </c>
      <c r="H45" s="10">
        <v>9950</v>
      </c>
      <c r="I45" s="11">
        <f t="shared" si="3"/>
        <v>1592000</v>
      </c>
      <c r="J45" s="12" t="s">
        <v>196</v>
      </c>
      <c r="K45" s="3">
        <f>SUMIF(收发货!A:A,采购合同!A:A,收发货!D:D)</f>
        <v>160</v>
      </c>
      <c r="L45" s="3">
        <f>SUMIF(收开票!A:A,采购合同!A:A,收开票!H:H)</f>
        <v>160</v>
      </c>
      <c r="M45" s="1">
        <f>SUMIF(收开票!A:A,采购合同!A:A,收开票!I:I)</f>
        <v>1592000</v>
      </c>
      <c r="N45" s="2">
        <f>SUMIF(收付款!A:A,采购合同!A:A,收付款!E:E)</f>
        <v>1592000</v>
      </c>
      <c r="O45" s="2"/>
      <c r="P45" s="90"/>
      <c r="Q45" s="1"/>
      <c r="R45" s="5"/>
      <c r="S45" s="4"/>
    </row>
    <row r="46" spans="1:19" ht="51.75" hidden="1" customHeight="1">
      <c r="A46" s="13" t="s">
        <v>874</v>
      </c>
      <c r="B46" s="6" t="s">
        <v>193</v>
      </c>
      <c r="C46" s="6" t="s">
        <v>194</v>
      </c>
      <c r="D46" s="7">
        <v>42507</v>
      </c>
      <c r="E46" s="6" t="s">
        <v>875</v>
      </c>
      <c r="F46" s="8" t="s">
        <v>876</v>
      </c>
      <c r="G46" s="9">
        <v>40</v>
      </c>
      <c r="H46" s="87">
        <v>1520</v>
      </c>
      <c r="I46" s="88">
        <f t="shared" si="3"/>
        <v>60800</v>
      </c>
      <c r="J46" s="12" t="s">
        <v>877</v>
      </c>
      <c r="K46" s="3">
        <f>SUMIF(收发货!A:A,采购合同!A:A,收发货!D:D)</f>
        <v>40</v>
      </c>
      <c r="L46" s="3">
        <f>SUMIF(收开票!A:A,采购合同!A:A,收开票!H:H)</f>
        <v>40</v>
      </c>
      <c r="M46" s="91">
        <f>SUMIF(收开票!A:A,采购合同!A:A,收开票!I:I)</f>
        <v>60800</v>
      </c>
      <c r="N46" s="91">
        <f>SUMIF(收付款!A:A,采购合同!A:A,收付款!E:E)</f>
        <v>60800</v>
      </c>
      <c r="O46" s="2"/>
      <c r="P46" s="90"/>
      <c r="Q46" s="1"/>
      <c r="R46" s="5"/>
      <c r="S46" s="4"/>
    </row>
    <row r="47" spans="1:19" ht="35.1" hidden="1" customHeight="1">
      <c r="A47" s="13" t="s">
        <v>1378</v>
      </c>
      <c r="B47" s="6" t="s">
        <v>217</v>
      </c>
      <c r="C47" s="6" t="s">
        <v>218</v>
      </c>
      <c r="D47" s="7">
        <v>42494</v>
      </c>
      <c r="E47" s="6" t="s">
        <v>220</v>
      </c>
      <c r="F47" s="8" t="s">
        <v>3</v>
      </c>
      <c r="G47" s="9">
        <v>10000</v>
      </c>
      <c r="H47" s="10">
        <v>562.79999999999995</v>
      </c>
      <c r="I47" s="11">
        <f t="shared" si="3"/>
        <v>5628000</v>
      </c>
      <c r="J47" s="6" t="s">
        <v>221</v>
      </c>
      <c r="K47" s="3">
        <f>SUMIF(收发货!A:A,采购合同!A:A,收发货!D:D)</f>
        <v>10800</v>
      </c>
      <c r="L47" s="3">
        <f>SUMIF(收开票!A:A,采购合同!A:A,收开票!H:H)</f>
        <v>9433.3741000000009</v>
      </c>
      <c r="M47" s="1">
        <f>SUMIF(收开票!A:A,采购合同!A:A,收开票!I:I)</f>
        <v>4931093.3698999994</v>
      </c>
      <c r="N47" s="2">
        <f>SUMIF(收付款!A:A,采购合同!A:A,收付款!E:E)</f>
        <v>4931093.3699999992</v>
      </c>
      <c r="O47" s="2"/>
      <c r="P47" s="90"/>
      <c r="Q47" s="1"/>
      <c r="R47" s="5"/>
      <c r="S47" s="4"/>
    </row>
    <row r="48" spans="1:19" ht="35.1" hidden="1" customHeight="1">
      <c r="A48" s="13" t="s">
        <v>1007</v>
      </c>
      <c r="B48" s="6" t="s">
        <v>217</v>
      </c>
      <c r="C48" s="6" t="s">
        <v>218</v>
      </c>
      <c r="D48" s="7">
        <v>42503</v>
      </c>
      <c r="E48" s="6" t="s">
        <v>902</v>
      </c>
      <c r="F48" s="8" t="s">
        <v>3</v>
      </c>
      <c r="G48" s="9">
        <v>15000</v>
      </c>
      <c r="H48" s="10">
        <v>553.04</v>
      </c>
      <c r="I48" s="11">
        <f t="shared" si="3"/>
        <v>8295599.9999999991</v>
      </c>
      <c r="J48" s="6" t="s">
        <v>221</v>
      </c>
      <c r="K48" s="3">
        <f>SUMIF(收发货!A:A,采购合同!A:A,收发货!D:D)</f>
        <v>15250</v>
      </c>
      <c r="L48" s="3">
        <f>SUMIF(收开票!A:A,采购合同!A:A,收开票!H:H)</f>
        <v>13764.7225</v>
      </c>
      <c r="M48" s="1">
        <f>SUMIF(收开票!A:A,采购合同!A:A,收开票!I:I)</f>
        <v>6969573.6100000003</v>
      </c>
      <c r="N48" s="2">
        <f>SUMIF(收付款!A:A,采购合同!A:A,收付款!E:E)</f>
        <v>6969573.6100000003</v>
      </c>
      <c r="O48" s="2"/>
      <c r="P48" s="90"/>
      <c r="Q48" s="1"/>
      <c r="R48" s="5"/>
      <c r="S48" s="4"/>
    </row>
    <row r="49" spans="1:19" ht="45" hidden="1" customHeight="1">
      <c r="A49" s="13" t="s">
        <v>923</v>
      </c>
      <c r="B49" s="6" t="s">
        <v>0</v>
      </c>
      <c r="C49" s="6" t="s">
        <v>194</v>
      </c>
      <c r="D49" s="7">
        <v>42513</v>
      </c>
      <c r="E49" s="6" t="s">
        <v>851</v>
      </c>
      <c r="F49" s="8" t="s">
        <v>3</v>
      </c>
      <c r="G49" s="9">
        <v>70</v>
      </c>
      <c r="H49" s="10">
        <v>9800</v>
      </c>
      <c r="I49" s="11">
        <f t="shared" si="3"/>
        <v>686000</v>
      </c>
      <c r="J49" s="12" t="s">
        <v>854</v>
      </c>
      <c r="K49" s="3">
        <f>SUMIF(收发货!A:A,采购合同!A:A,收发货!D:D)</f>
        <v>70</v>
      </c>
      <c r="L49" s="3">
        <f>SUMIF(收开票!A:A,采购合同!A:A,收开票!H:H)</f>
        <v>70</v>
      </c>
      <c r="M49" s="1">
        <f>SUMIF(收开票!A:A,采购合同!A:A,收开票!I:I)</f>
        <v>686000</v>
      </c>
      <c r="N49" s="2">
        <f>SUMIF(收付款!A:A,采购合同!A:A,收付款!E:E)</f>
        <v>686000</v>
      </c>
      <c r="O49" s="2"/>
      <c r="P49" s="90"/>
      <c r="Q49" s="1"/>
      <c r="R49" s="5"/>
      <c r="S49" s="4"/>
    </row>
    <row r="50" spans="1:19" ht="45" hidden="1" customHeight="1">
      <c r="A50" s="13" t="s">
        <v>1016</v>
      </c>
      <c r="B50" s="6" t="s">
        <v>0</v>
      </c>
      <c r="C50" s="6" t="s">
        <v>194</v>
      </c>
      <c r="D50" s="7">
        <v>42523</v>
      </c>
      <c r="E50" s="6" t="s">
        <v>851</v>
      </c>
      <c r="F50" s="8" t="s">
        <v>3</v>
      </c>
      <c r="G50" s="9">
        <v>72</v>
      </c>
      <c r="H50" s="10">
        <v>9820</v>
      </c>
      <c r="I50" s="11">
        <f t="shared" si="3"/>
        <v>707040</v>
      </c>
      <c r="J50" s="12" t="s">
        <v>854</v>
      </c>
      <c r="K50" s="3">
        <f>SUMIF(收发货!A:A,采购合同!A:A,收发货!D:D)</f>
        <v>72</v>
      </c>
      <c r="L50" s="3">
        <f>SUMIF(收开票!A:A,采购合同!A:A,收开票!H:H)</f>
        <v>72</v>
      </c>
      <c r="M50" s="1">
        <f>SUMIF(收开票!A:A,采购合同!A:A,收开票!I:I)</f>
        <v>707040</v>
      </c>
      <c r="N50" s="2">
        <f>SUMIF(收付款!A:A,采购合同!A:A,收付款!E:E)</f>
        <v>707040</v>
      </c>
      <c r="O50" s="2"/>
      <c r="P50" s="90"/>
      <c r="Q50" s="1"/>
      <c r="R50" s="5"/>
      <c r="S50" s="4"/>
    </row>
    <row r="51" spans="1:19" ht="45" hidden="1" customHeight="1">
      <c r="A51" s="13" t="s">
        <v>1097</v>
      </c>
      <c r="B51" s="6" t="s">
        <v>5</v>
      </c>
      <c r="C51" s="6" t="s">
        <v>6</v>
      </c>
      <c r="D51" s="7">
        <v>42528</v>
      </c>
      <c r="E51" s="6" t="s">
        <v>7</v>
      </c>
      <c r="F51" s="8" t="s">
        <v>3</v>
      </c>
      <c r="G51" s="9">
        <v>420</v>
      </c>
      <c r="H51" s="10">
        <v>4895</v>
      </c>
      <c r="I51" s="11">
        <f t="shared" si="3"/>
        <v>2055900</v>
      </c>
      <c r="J51" s="12" t="s">
        <v>1047</v>
      </c>
      <c r="K51" s="3">
        <f>SUMIF(收发货!A:A,采购合同!A:A,收发货!D:D)</f>
        <v>419.5</v>
      </c>
      <c r="L51" s="3">
        <f>SUMIF(收开票!A:A,采购合同!A:A,收开票!H:H)</f>
        <v>426.69939999999997</v>
      </c>
      <c r="M51" s="1">
        <f>SUMIF(收开票!A:A,采购合同!A:A,收开票!I:I)</f>
        <v>2042697.05</v>
      </c>
      <c r="N51" s="2">
        <f>SUMIF(收付款!A:A,采购合同!A:A,收付款!E:E)</f>
        <v>2042697.05</v>
      </c>
      <c r="O51" s="2"/>
      <c r="P51" s="90"/>
      <c r="Q51" s="1"/>
      <c r="R51" s="5"/>
      <c r="S51" s="4"/>
    </row>
    <row r="52" spans="1:19" ht="54.75" hidden="1" customHeight="1">
      <c r="A52" s="13" t="s">
        <v>1098</v>
      </c>
      <c r="B52" s="6" t="s">
        <v>0</v>
      </c>
      <c r="C52" s="6" t="s">
        <v>1</v>
      </c>
      <c r="D52" s="7">
        <v>42528</v>
      </c>
      <c r="E52" s="6" t="s">
        <v>9</v>
      </c>
      <c r="F52" s="8" t="s">
        <v>3</v>
      </c>
      <c r="G52" s="9">
        <v>500</v>
      </c>
      <c r="H52" s="10">
        <v>4890</v>
      </c>
      <c r="I52" s="11">
        <f t="shared" si="3"/>
        <v>2445000</v>
      </c>
      <c r="J52" s="12" t="s">
        <v>1048</v>
      </c>
      <c r="K52" s="3">
        <f>SUMIF(收发货!A:A,采购合同!A:A,收发货!D:D)</f>
        <v>504.52</v>
      </c>
      <c r="L52" s="3">
        <f>SUMIF(收开票!A:A,采购合同!A:A,收开票!H:H)</f>
        <v>504.62950000000001</v>
      </c>
      <c r="M52" s="1">
        <f>SUMIF(收开票!A:A,采购合同!A:A,收开票!I:I)</f>
        <v>2401254.0300000003</v>
      </c>
      <c r="N52" s="2">
        <f>SUMIF(收付款!A:A,采购合同!A:A,收付款!E:E)</f>
        <v>2401254.0300000003</v>
      </c>
      <c r="O52" s="2"/>
      <c r="P52" s="90"/>
      <c r="Q52" s="1">
        <v>0</v>
      </c>
      <c r="R52" s="5"/>
      <c r="S52" s="4"/>
    </row>
    <row r="53" spans="1:19" ht="24.95" hidden="1" customHeight="1">
      <c r="A53" s="13" t="s">
        <v>1127</v>
      </c>
      <c r="B53" s="6" t="s">
        <v>193</v>
      </c>
      <c r="C53" s="6" t="s">
        <v>603</v>
      </c>
      <c r="D53" s="7">
        <v>42528</v>
      </c>
      <c r="E53" s="6" t="s">
        <v>351</v>
      </c>
      <c r="F53" s="8" t="s">
        <v>3</v>
      </c>
      <c r="G53" s="9">
        <v>180</v>
      </c>
      <c r="H53" s="10">
        <v>5000</v>
      </c>
      <c r="I53" s="11">
        <f t="shared" si="3"/>
        <v>900000</v>
      </c>
      <c r="J53" s="12" t="s">
        <v>1049</v>
      </c>
      <c r="K53" s="3">
        <f>SUMIF(收发货!A:A,采购合同!A:A,收发货!D:D)</f>
        <v>180</v>
      </c>
      <c r="L53" s="3">
        <f>SUMIF(收开票!A:A,采购合同!A:A,收开票!H:H)</f>
        <v>183.08199999999999</v>
      </c>
      <c r="M53" s="1">
        <f>SUMIF(收开票!A:A,采购合同!A:A,收开票!I:I)</f>
        <v>894813.28</v>
      </c>
      <c r="N53" s="2">
        <f>SUMIF(收付款!A:A,采购合同!A:A,收付款!E:E)</f>
        <v>894813.28</v>
      </c>
      <c r="O53" s="2"/>
      <c r="P53" s="90"/>
      <c r="Q53" s="1"/>
      <c r="R53" s="5"/>
      <c r="S53" s="4"/>
    </row>
    <row r="54" spans="1:19" ht="48" hidden="1" customHeight="1">
      <c r="A54" s="13" t="s">
        <v>1120</v>
      </c>
      <c r="B54" s="6" t="s">
        <v>0</v>
      </c>
      <c r="C54" s="6" t="s">
        <v>1</v>
      </c>
      <c r="D54" s="7">
        <v>42528</v>
      </c>
      <c r="E54" s="6" t="s">
        <v>1302</v>
      </c>
      <c r="F54" s="8" t="s">
        <v>3</v>
      </c>
      <c r="G54" s="9">
        <v>300</v>
      </c>
      <c r="H54" s="10">
        <v>4975</v>
      </c>
      <c r="I54" s="11">
        <f t="shared" si="3"/>
        <v>1492500</v>
      </c>
      <c r="J54" s="12" t="s">
        <v>1050</v>
      </c>
      <c r="K54" s="3">
        <f>SUMIF(收发货!A:A,采购合同!A:A,收发货!D:D)</f>
        <v>300</v>
      </c>
      <c r="L54" s="3">
        <f>SUMIF(收开票!A:A,采购合同!A:A,收开票!H:H)</f>
        <v>305.2765</v>
      </c>
      <c r="M54" s="1">
        <f>SUMIF(收开票!A:A,采购合同!A:A,收开票!I:I)</f>
        <v>1485455.82</v>
      </c>
      <c r="N54" s="2">
        <f>SUMIF(收付款!A:A,采购合同!A:A,收付款!E:E)</f>
        <v>1485455.82</v>
      </c>
      <c r="O54" s="2"/>
      <c r="P54" s="90"/>
      <c r="Q54" s="1"/>
      <c r="R54" s="5"/>
      <c r="S54" s="4"/>
    </row>
    <row r="55" spans="1:19" ht="45" hidden="1" customHeight="1">
      <c r="A55" s="13" t="s">
        <v>1061</v>
      </c>
      <c r="B55" s="6" t="s">
        <v>0</v>
      </c>
      <c r="C55" s="6" t="s">
        <v>194</v>
      </c>
      <c r="D55" s="7">
        <v>42533</v>
      </c>
      <c r="E55" s="6" t="s">
        <v>851</v>
      </c>
      <c r="F55" s="8" t="s">
        <v>3</v>
      </c>
      <c r="G55" s="9">
        <v>37</v>
      </c>
      <c r="H55" s="10">
        <v>9850</v>
      </c>
      <c r="I55" s="11">
        <f t="shared" si="3"/>
        <v>364450</v>
      </c>
      <c r="J55" s="12" t="s">
        <v>854</v>
      </c>
      <c r="K55" s="3">
        <f>SUMIF(收发货!A:A,采购合同!A:A,收发货!D:D)</f>
        <v>37</v>
      </c>
      <c r="L55" s="3">
        <f>SUMIF(收开票!A:A,采购合同!A:A,收开票!H:H)</f>
        <v>37</v>
      </c>
      <c r="M55" s="1">
        <f>SUMIF(收开票!A:A,采购合同!A:A,收开票!I:I)</f>
        <v>364450</v>
      </c>
      <c r="N55" s="2">
        <f>SUMIF(收付款!A:A,采购合同!A:A,收付款!E:E)</f>
        <v>364450</v>
      </c>
      <c r="O55" s="2"/>
      <c r="P55" s="90"/>
      <c r="Q55" s="1"/>
      <c r="R55" s="5"/>
      <c r="S55" s="4"/>
    </row>
    <row r="56" spans="1:19" ht="45" hidden="1" customHeight="1">
      <c r="A56" s="13" t="s">
        <v>1062</v>
      </c>
      <c r="B56" s="6" t="s">
        <v>0</v>
      </c>
      <c r="C56" s="6" t="s">
        <v>194</v>
      </c>
      <c r="D56" s="7">
        <v>42533</v>
      </c>
      <c r="E56" s="6" t="s">
        <v>259</v>
      </c>
      <c r="F56" s="8" t="s">
        <v>3</v>
      </c>
      <c r="G56" s="9">
        <v>105</v>
      </c>
      <c r="H56" s="10">
        <v>9850</v>
      </c>
      <c r="I56" s="11">
        <f t="shared" si="3"/>
        <v>1034250</v>
      </c>
      <c r="J56" s="12" t="s">
        <v>854</v>
      </c>
      <c r="K56" s="3">
        <f>SUMIF(收发货!A:A,采购合同!A:A,收发货!D:D)</f>
        <v>105</v>
      </c>
      <c r="L56" s="3">
        <f>SUMIF(收开票!A:A,采购合同!A:A,收开票!H:H)</f>
        <v>105</v>
      </c>
      <c r="M56" s="1">
        <f>SUMIF(收开票!A:A,采购合同!A:A,收开票!I:I)</f>
        <v>1034250</v>
      </c>
      <c r="N56" s="2">
        <f>SUMIF(收付款!A:A,采购合同!A:A,收付款!E:E)</f>
        <v>1034250</v>
      </c>
      <c r="O56" s="2"/>
      <c r="P56" s="90"/>
      <c r="Q56" s="1"/>
      <c r="R56" s="5"/>
      <c r="S56" s="4"/>
    </row>
    <row r="57" spans="1:19" ht="24.95" hidden="1" customHeight="1">
      <c r="A57" s="13" t="s">
        <v>1083</v>
      </c>
      <c r="B57" s="6" t="s">
        <v>217</v>
      </c>
      <c r="C57" s="6" t="s">
        <v>218</v>
      </c>
      <c r="D57" s="7">
        <v>42527</v>
      </c>
      <c r="E57" s="6" t="s">
        <v>220</v>
      </c>
      <c r="F57" s="8" t="s">
        <v>3</v>
      </c>
      <c r="G57" s="9">
        <v>5000</v>
      </c>
      <c r="H57" s="10">
        <v>496.47</v>
      </c>
      <c r="I57" s="11">
        <f t="shared" si="3"/>
        <v>2482350</v>
      </c>
      <c r="J57" s="6" t="s">
        <v>221</v>
      </c>
      <c r="K57" s="3">
        <f>SUMIF(收发货!A:A,采购合同!A:A,收发货!D:D)</f>
        <v>3950</v>
      </c>
      <c r="L57" s="3">
        <f>SUMIF(收开票!A:A,采购合同!A:A,收开票!H:H)</f>
        <v>3533.0129999999999</v>
      </c>
      <c r="M57" s="1">
        <f>SUMIF(收开票!A:A,采购合同!A:A,收开票!I:I)</f>
        <v>1757503.41</v>
      </c>
      <c r="N57" s="2">
        <f>SUMIF(收付款!A:A,采购合同!A:A,收付款!E:E)</f>
        <v>1757503.41</v>
      </c>
      <c r="O57" s="2"/>
      <c r="P57" s="90"/>
      <c r="Q57" s="1"/>
      <c r="R57" s="5"/>
      <c r="S57" s="4"/>
    </row>
    <row r="58" spans="1:19" ht="24.95" hidden="1" customHeight="1">
      <c r="A58" s="13" t="s">
        <v>1082</v>
      </c>
      <c r="B58" s="6" t="s">
        <v>217</v>
      </c>
      <c r="C58" s="6" t="s">
        <v>218</v>
      </c>
      <c r="D58" s="7">
        <v>42527</v>
      </c>
      <c r="E58" s="6" t="s">
        <v>902</v>
      </c>
      <c r="F58" s="8" t="s">
        <v>3</v>
      </c>
      <c r="G58" s="9">
        <v>10000</v>
      </c>
      <c r="H58" s="10">
        <v>515</v>
      </c>
      <c r="I58" s="11">
        <f t="shared" si="3"/>
        <v>5150000</v>
      </c>
      <c r="J58" s="6" t="s">
        <v>221</v>
      </c>
      <c r="K58" s="3">
        <f>SUMIF(收发货!A:A,采购合同!A:A,收发货!D:D)</f>
        <v>10350</v>
      </c>
      <c r="L58" s="3">
        <f>SUMIF(收开票!A:A,采购合同!A:A,收开票!H:H)</f>
        <v>9300.518</v>
      </c>
      <c r="M58" s="1">
        <f>SUMIF(收开票!A:A,采购合同!A:A,收开票!I:I)</f>
        <v>4608192.6899999995</v>
      </c>
      <c r="N58" s="2">
        <f>SUMIF(收付款!A:A,采购合同!A:A,收付款!E:E)</f>
        <v>4608192.6899999995</v>
      </c>
      <c r="O58" s="2"/>
      <c r="P58" s="90"/>
      <c r="Q58" s="1"/>
      <c r="R58" s="5"/>
      <c r="S58" s="4"/>
    </row>
    <row r="59" spans="1:19" ht="24.95" hidden="1" customHeight="1">
      <c r="A59" s="13" t="s">
        <v>1499</v>
      </c>
      <c r="B59" s="6" t="s">
        <v>193</v>
      </c>
      <c r="C59" s="6" t="s">
        <v>194</v>
      </c>
      <c r="D59" s="7">
        <v>42536</v>
      </c>
      <c r="E59" s="6" t="s">
        <v>376</v>
      </c>
      <c r="F59" s="8" t="s">
        <v>3</v>
      </c>
      <c r="G59" s="9">
        <v>120</v>
      </c>
      <c r="H59" s="10">
        <v>9900</v>
      </c>
      <c r="I59" s="11">
        <f t="shared" si="3"/>
        <v>1188000</v>
      </c>
      <c r="J59" s="12" t="s">
        <v>1088</v>
      </c>
      <c r="K59" s="3">
        <f>SUMIF(收发货!A:A,采购合同!A:A,收发货!D:D)</f>
        <v>120</v>
      </c>
      <c r="L59" s="3">
        <f>SUMIF(收开票!A:A,采购合同!A:A,收开票!H:H)</f>
        <v>120</v>
      </c>
      <c r="M59" s="1">
        <f>SUMIF(收开票!A:A,采购合同!A:A,收开票!I:I)</f>
        <v>1188000</v>
      </c>
      <c r="N59" s="2">
        <f>SUMIF(收付款!A:A,采购合同!A:A,收付款!E:E)</f>
        <v>1188000</v>
      </c>
      <c r="O59" s="2"/>
      <c r="P59" s="90"/>
      <c r="Q59" s="1"/>
      <c r="R59" s="5"/>
      <c r="S59" s="4"/>
    </row>
    <row r="60" spans="1:19" ht="24.95" hidden="1" customHeight="1">
      <c r="A60" s="13" t="s">
        <v>1090</v>
      </c>
      <c r="B60" s="6" t="s">
        <v>193</v>
      </c>
      <c r="C60" s="6" t="s">
        <v>194</v>
      </c>
      <c r="D60" s="7">
        <v>42536</v>
      </c>
      <c r="E60" s="6" t="s">
        <v>1089</v>
      </c>
      <c r="F60" s="8" t="s">
        <v>876</v>
      </c>
      <c r="G60" s="9">
        <v>40</v>
      </c>
      <c r="H60" s="10">
        <v>1520</v>
      </c>
      <c r="I60" s="11">
        <f t="shared" si="3"/>
        <v>60800</v>
      </c>
      <c r="J60" s="12" t="s">
        <v>877</v>
      </c>
      <c r="K60" s="3">
        <f>SUMIF(收发货!A:A,采购合同!A:A,收发货!D:D)</f>
        <v>40</v>
      </c>
      <c r="L60" s="3">
        <f>SUMIF(收开票!A:A,采购合同!A:A,收开票!H:H)</f>
        <v>40</v>
      </c>
      <c r="M60" s="1">
        <f>SUMIF(收开票!A:A,采购合同!A:A,收开票!I:I)</f>
        <v>60800</v>
      </c>
      <c r="N60" s="2">
        <f>SUMIF(收付款!A:A,采购合同!A:A,收付款!E:E)</f>
        <v>60800</v>
      </c>
      <c r="O60" s="2"/>
      <c r="P60" s="90"/>
      <c r="Q60" s="1"/>
      <c r="R60" s="5"/>
      <c r="S60" s="4"/>
    </row>
    <row r="61" spans="1:19" ht="24.95" hidden="1" customHeight="1">
      <c r="A61" s="13" t="s">
        <v>1091</v>
      </c>
      <c r="B61" s="6" t="s">
        <v>193</v>
      </c>
      <c r="C61" s="6" t="s">
        <v>194</v>
      </c>
      <c r="D61" s="7">
        <v>42536</v>
      </c>
      <c r="E61" s="6" t="s">
        <v>1089</v>
      </c>
      <c r="F61" s="8" t="s">
        <v>876</v>
      </c>
      <c r="G61" s="9">
        <v>160</v>
      </c>
      <c r="H61" s="10">
        <v>1515</v>
      </c>
      <c r="I61" s="11">
        <f t="shared" si="3"/>
        <v>242400</v>
      </c>
      <c r="J61" s="12" t="s">
        <v>877</v>
      </c>
      <c r="K61" s="3">
        <f>SUMIF(收发货!A:A,采购合同!A:A,收发货!D:D)</f>
        <v>160</v>
      </c>
      <c r="L61" s="3">
        <f>SUMIF(收开票!A:A,采购合同!A:A,收开票!H:H)</f>
        <v>160</v>
      </c>
      <c r="M61" s="1">
        <f>SUMIF(收开票!A:A,采购合同!A:A,收开票!I:I)</f>
        <v>242400</v>
      </c>
      <c r="N61" s="2">
        <f>SUMIF(收付款!A:A,采购合同!A:A,收付款!E:E)</f>
        <v>242400</v>
      </c>
      <c r="O61" s="2"/>
      <c r="P61" s="90"/>
      <c r="Q61" s="1"/>
      <c r="R61" s="5"/>
      <c r="S61" s="4"/>
    </row>
    <row r="62" spans="1:19" ht="24.95" hidden="1" customHeight="1">
      <c r="A62" s="13" t="s">
        <v>1121</v>
      </c>
      <c r="B62" s="6" t="s">
        <v>0</v>
      </c>
      <c r="C62" s="6" t="s">
        <v>194</v>
      </c>
      <c r="D62" s="7">
        <v>42541</v>
      </c>
      <c r="E62" s="6" t="s">
        <v>259</v>
      </c>
      <c r="F62" s="8" t="s">
        <v>3</v>
      </c>
      <c r="G62" s="9">
        <v>80</v>
      </c>
      <c r="H62" s="10">
        <v>9850</v>
      </c>
      <c r="I62" s="11">
        <f t="shared" si="3"/>
        <v>788000</v>
      </c>
      <c r="J62" s="12" t="s">
        <v>854</v>
      </c>
      <c r="K62" s="3">
        <f>SUMIF(收发货!A:A,采购合同!A:A,收发货!D:D)</f>
        <v>80</v>
      </c>
      <c r="L62" s="3">
        <f>SUMIF(收开票!A:A,采购合同!A:A,收开票!H:H)</f>
        <v>80</v>
      </c>
      <c r="M62" s="1">
        <f>SUMIF(收开票!A:A,采购合同!A:A,收开票!I:I)</f>
        <v>788000</v>
      </c>
      <c r="N62" s="2">
        <f>SUMIF(收付款!A:A,采购合同!A:A,收付款!E:E)</f>
        <v>788000</v>
      </c>
      <c r="O62" s="2"/>
      <c r="P62" s="90"/>
      <c r="Q62" s="1"/>
      <c r="R62" s="5"/>
      <c r="S62" s="4"/>
    </row>
    <row r="63" spans="1:19" ht="24.95" hidden="1" customHeight="1">
      <c r="A63" s="13" t="s">
        <v>1124</v>
      </c>
      <c r="B63" s="6" t="s">
        <v>0</v>
      </c>
      <c r="C63" s="6" t="s">
        <v>194</v>
      </c>
      <c r="D63" s="7">
        <v>42543</v>
      </c>
      <c r="E63" s="6" t="s">
        <v>851</v>
      </c>
      <c r="F63" s="8" t="s">
        <v>3</v>
      </c>
      <c r="G63" s="9">
        <v>112</v>
      </c>
      <c r="H63" s="10">
        <v>9850</v>
      </c>
      <c r="I63" s="11">
        <f t="shared" si="3"/>
        <v>1103200</v>
      </c>
      <c r="J63" s="12" t="s">
        <v>1125</v>
      </c>
      <c r="K63" s="3">
        <f>SUMIF(收发货!A:A,采购合同!A:A,收发货!D:D)</f>
        <v>112</v>
      </c>
      <c r="L63" s="3">
        <f>SUMIF(收开票!A:A,采购合同!A:A,收开票!H:H)</f>
        <v>112</v>
      </c>
      <c r="M63" s="1">
        <f>SUMIF(收开票!A:A,采购合同!A:A,收开票!I:I)</f>
        <v>1103200</v>
      </c>
      <c r="N63" s="2">
        <f>SUMIF(收付款!A:A,采购合同!A:A,收付款!E:E)</f>
        <v>1103200</v>
      </c>
      <c r="O63" s="2"/>
      <c r="P63" s="90"/>
      <c r="Q63" s="1"/>
      <c r="R63" s="5"/>
      <c r="S63" s="4"/>
    </row>
    <row r="64" spans="1:19" ht="24.95" hidden="1" customHeight="1">
      <c r="A64" s="13" t="s">
        <v>1136</v>
      </c>
      <c r="B64" s="6" t="s">
        <v>217</v>
      </c>
      <c r="C64" s="6" t="s">
        <v>218</v>
      </c>
      <c r="D64" s="7">
        <v>42545</v>
      </c>
      <c r="E64" s="6" t="s">
        <v>902</v>
      </c>
      <c r="F64" s="8" t="s">
        <v>3</v>
      </c>
      <c r="G64" s="9">
        <v>15000</v>
      </c>
      <c r="H64" s="10">
        <v>515</v>
      </c>
      <c r="I64" s="11">
        <f t="shared" si="3"/>
        <v>7725000</v>
      </c>
      <c r="J64" s="6" t="s">
        <v>221</v>
      </c>
      <c r="K64" s="3">
        <f>SUMIF(收发货!A:A,采购合同!A:A,收发货!D:D)</f>
        <v>15450</v>
      </c>
      <c r="L64" s="3">
        <f>SUMIF(收开票!A:A,采购合同!A:A,收开票!H:H)</f>
        <v>13554.481200000002</v>
      </c>
      <c r="M64" s="1">
        <f>SUMIF(收开票!A:A,采购合同!A:A,收开票!I:I)</f>
        <v>6870662.1299999999</v>
      </c>
      <c r="N64" s="2">
        <f>SUMIF(收付款!A:A,采购合同!A:A,收付款!E:E)</f>
        <v>6870662.1299999999</v>
      </c>
      <c r="O64" s="2"/>
      <c r="P64" s="90"/>
      <c r="Q64" s="1"/>
      <c r="R64" s="5"/>
      <c r="S64" s="4"/>
    </row>
    <row r="65" spans="1:19" ht="70.5" hidden="1" customHeight="1">
      <c r="A65" s="13" t="s">
        <v>2053</v>
      </c>
      <c r="B65" s="6" t="s">
        <v>5</v>
      </c>
      <c r="C65" s="6" t="s">
        <v>6</v>
      </c>
      <c r="D65" s="7">
        <v>42555</v>
      </c>
      <c r="E65" s="6" t="s">
        <v>7</v>
      </c>
      <c r="F65" s="8" t="s">
        <v>3</v>
      </c>
      <c r="G65" s="9">
        <v>240</v>
      </c>
      <c r="H65" s="10">
        <v>4850</v>
      </c>
      <c r="I65" s="11">
        <f t="shared" si="3"/>
        <v>1164000</v>
      </c>
      <c r="J65" s="12" t="s">
        <v>1214</v>
      </c>
      <c r="K65" s="3">
        <f>SUMIF(收发货!A:A,采购合同!A:A,收发货!D:D)</f>
        <v>140</v>
      </c>
      <c r="L65" s="3">
        <f>SUMIF(收开票!A:A,采购合同!A:A,收开票!H:H)</f>
        <v>141.27690000000001</v>
      </c>
      <c r="M65" s="1">
        <f>SUMIF(收开票!A:A,采购合同!A:A,收开票!I:I)</f>
        <v>669776.12</v>
      </c>
      <c r="N65" s="2">
        <f>SUMIF(收付款!A:A,采购合同!A:A,收付款!E:E)</f>
        <v>669776.12</v>
      </c>
      <c r="O65" s="2"/>
      <c r="P65" s="90"/>
      <c r="Q65" s="1"/>
      <c r="R65" s="5"/>
      <c r="S65" s="4"/>
    </row>
    <row r="66" spans="1:19" ht="70.5" hidden="1" customHeight="1">
      <c r="A66" s="13" t="s">
        <v>2320</v>
      </c>
      <c r="B66" s="6" t="s">
        <v>0</v>
      </c>
      <c r="C66" s="6" t="s">
        <v>1</v>
      </c>
      <c r="D66" s="7">
        <v>42555</v>
      </c>
      <c r="E66" s="6" t="s">
        <v>1791</v>
      </c>
      <c r="F66" s="8" t="s">
        <v>3</v>
      </c>
      <c r="G66" s="9">
        <v>780</v>
      </c>
      <c r="H66" s="10">
        <v>4850</v>
      </c>
      <c r="I66" s="11">
        <f t="shared" si="3"/>
        <v>3783000</v>
      </c>
      <c r="J66" s="12" t="s">
        <v>1792</v>
      </c>
      <c r="K66" s="3">
        <f>SUMIF(收发货!A:A,采购合同!A:A,收发货!D:D)</f>
        <v>785.54</v>
      </c>
      <c r="L66" s="3">
        <f>SUMIF(收开票!A:A,采购合同!A:A,收开票!H:H)</f>
        <v>791.7269</v>
      </c>
      <c r="M66" s="1">
        <f>SUMIF(收开票!A:A,采购合同!A:A,收开票!I:I)</f>
        <v>3733912.51</v>
      </c>
      <c r="N66" s="2">
        <f>SUMIF(收付款!A:A,采购合同!A:A,收付款!E:E)</f>
        <v>3733912.51</v>
      </c>
      <c r="O66" s="2">
        <f>N66-M66</f>
        <v>0</v>
      </c>
      <c r="P66" s="90"/>
      <c r="Q66" s="1"/>
      <c r="R66" s="5"/>
      <c r="S66" s="4"/>
    </row>
    <row r="67" spans="1:19" ht="70.5" hidden="1" customHeight="1">
      <c r="A67" s="13" t="s">
        <v>1215</v>
      </c>
      <c r="B67" s="6" t="s">
        <v>0</v>
      </c>
      <c r="C67" s="6" t="s">
        <v>1</v>
      </c>
      <c r="D67" s="7">
        <v>42555</v>
      </c>
      <c r="E67" s="6" t="s">
        <v>90</v>
      </c>
      <c r="F67" s="8" t="s">
        <v>3</v>
      </c>
      <c r="G67" s="9">
        <v>1000</v>
      </c>
      <c r="H67" s="10">
        <v>4895</v>
      </c>
      <c r="I67" s="11">
        <f t="shared" si="3"/>
        <v>4895000</v>
      </c>
      <c r="J67" s="12" t="s">
        <v>1216</v>
      </c>
      <c r="K67" s="3">
        <f>SUMIF(收发货!A:A,采购合同!A:A,收发货!D:D)</f>
        <v>488.53999999999996</v>
      </c>
      <c r="L67" s="3">
        <f>SUMIF(收开票!A:A,采购合同!A:A,收开票!H:H)</f>
        <v>492.51710000000003</v>
      </c>
      <c r="M67" s="1">
        <f>SUMIF(收开票!A:A,采购合同!A:A,收开票!I:I)</f>
        <v>2061229.16</v>
      </c>
      <c r="N67" s="2">
        <f>SUMIF(收付款!A:A,采购合同!A:A,收付款!E:E)</f>
        <v>2061229.16</v>
      </c>
      <c r="O67" s="2">
        <f>M67-N67</f>
        <v>0</v>
      </c>
      <c r="P67" s="90"/>
      <c r="Q67" s="1"/>
      <c r="R67" s="5"/>
      <c r="S67" s="4"/>
    </row>
    <row r="68" spans="1:19" ht="70.5" hidden="1" customHeight="1">
      <c r="A68" s="13" t="s">
        <v>1339</v>
      </c>
      <c r="B68" s="6" t="s">
        <v>0</v>
      </c>
      <c r="C68" s="6" t="s">
        <v>1</v>
      </c>
      <c r="D68" s="7">
        <v>42555</v>
      </c>
      <c r="E68" s="6" t="s">
        <v>1988</v>
      </c>
      <c r="F68" s="8" t="s">
        <v>3</v>
      </c>
      <c r="G68" s="9">
        <v>300</v>
      </c>
      <c r="H68" s="10">
        <v>4895</v>
      </c>
      <c r="I68" s="11">
        <f t="shared" si="3"/>
        <v>1468500</v>
      </c>
      <c r="J68" s="12" t="s">
        <v>1989</v>
      </c>
      <c r="K68" s="3">
        <f>SUMIF(收发货!A:A,采购合同!A:A,收发货!D:D)</f>
        <v>300</v>
      </c>
      <c r="L68" s="3">
        <f>SUMIF(收开票!A:A,采购合同!A:A,收开票!H:H)</f>
        <v>300.2131</v>
      </c>
      <c r="M68" s="1">
        <f>SUMIF(收开票!A:A,采购合同!A:A,收开票!I:I)</f>
        <v>1436636.43</v>
      </c>
      <c r="N68" s="2">
        <f>SUMIF(收付款!A:A,采购合同!A:A,收付款!E:E)</f>
        <v>1436636.43</v>
      </c>
      <c r="O68" s="2">
        <f>N68-M68</f>
        <v>0</v>
      </c>
      <c r="P68" s="90"/>
      <c r="Q68" s="1"/>
      <c r="R68" s="5"/>
      <c r="S68" s="4"/>
    </row>
    <row r="69" spans="1:19" ht="70.5" hidden="1" customHeight="1">
      <c r="A69" s="13" t="s">
        <v>2322</v>
      </c>
      <c r="B69" s="6" t="s">
        <v>0</v>
      </c>
      <c r="C69" s="6" t="s">
        <v>1</v>
      </c>
      <c r="D69" s="7">
        <v>42555</v>
      </c>
      <c r="E69" s="6" t="s">
        <v>2</v>
      </c>
      <c r="F69" s="8" t="s">
        <v>3</v>
      </c>
      <c r="G69" s="9">
        <v>1000</v>
      </c>
      <c r="H69" s="10">
        <v>4900</v>
      </c>
      <c r="I69" s="11">
        <f t="shared" si="3"/>
        <v>4900000</v>
      </c>
      <c r="J69" s="12" t="s">
        <v>1381</v>
      </c>
      <c r="K69" s="3">
        <f>SUMIF(收发货!A:A,采购合同!A:A,收发货!D:D)</f>
        <v>984.36</v>
      </c>
      <c r="L69" s="3">
        <f>SUMIF(收开票!A:A,采购合同!A:A,收开票!H:H)</f>
        <v>995.34469999999999</v>
      </c>
      <c r="M69" s="1">
        <f>SUMIF(收开票!A:A,采购合同!A:A,收开票!I:I)</f>
        <v>4690482.6308875</v>
      </c>
      <c r="N69" s="2">
        <f>SUMIF(收付款!A:A,采购合同!A:A,收付款!E:E)</f>
        <v>4690482.6308875</v>
      </c>
      <c r="O69" s="2">
        <f>M69-N69</f>
        <v>0</v>
      </c>
      <c r="P69" s="90"/>
      <c r="Q69" s="1"/>
      <c r="R69" s="5"/>
      <c r="S69" s="4"/>
    </row>
    <row r="70" spans="1:19" ht="24.95" hidden="1" customHeight="1">
      <c r="A70" s="13" t="s">
        <v>1539</v>
      </c>
      <c r="B70" s="6" t="s">
        <v>0</v>
      </c>
      <c r="C70" s="6" t="s">
        <v>194</v>
      </c>
      <c r="D70" s="7">
        <v>42555</v>
      </c>
      <c r="E70" s="6" t="s">
        <v>851</v>
      </c>
      <c r="F70" s="8" t="s">
        <v>3</v>
      </c>
      <c r="G70" s="9">
        <v>37</v>
      </c>
      <c r="H70" s="10">
        <v>9950</v>
      </c>
      <c r="I70" s="11">
        <f t="shared" si="3"/>
        <v>368150</v>
      </c>
      <c r="J70" s="12" t="s">
        <v>1224</v>
      </c>
      <c r="K70" s="3">
        <f>SUMIF(收发货!A:A,采购合同!A:A,收发货!D:D)</f>
        <v>37</v>
      </c>
      <c r="L70" s="3">
        <f>SUMIF(收开票!A:A,采购合同!A:A,收开票!H:H)</f>
        <v>37</v>
      </c>
      <c r="M70" s="1">
        <f>SUMIF(收开票!A:A,采购合同!A:A,收开票!I:I)</f>
        <v>368150</v>
      </c>
      <c r="N70" s="2">
        <f>SUMIF(收付款!A:A,采购合同!A:A,收付款!E:E)</f>
        <v>368150</v>
      </c>
      <c r="O70" s="2"/>
      <c r="P70" s="90"/>
      <c r="Q70" s="1"/>
      <c r="R70" s="5"/>
      <c r="S70" s="4"/>
    </row>
    <row r="71" spans="1:19" ht="70.5" hidden="1" customHeight="1">
      <c r="A71" s="13" t="s">
        <v>2321</v>
      </c>
      <c r="B71" s="6" t="s">
        <v>0</v>
      </c>
      <c r="C71" s="6" t="s">
        <v>1</v>
      </c>
      <c r="D71" s="7">
        <v>42557</v>
      </c>
      <c r="E71" s="6" t="s">
        <v>90</v>
      </c>
      <c r="F71" s="8" t="s">
        <v>3</v>
      </c>
      <c r="G71" s="9">
        <v>500</v>
      </c>
      <c r="H71" s="10">
        <v>4845</v>
      </c>
      <c r="I71" s="11">
        <f t="shared" si="3"/>
        <v>2422500</v>
      </c>
      <c r="J71" s="12" t="s">
        <v>1227</v>
      </c>
      <c r="K71" s="3">
        <f>SUMIF(收发货!A:A,采购合同!A:A,收发货!D:D)</f>
        <v>540.48</v>
      </c>
      <c r="L71" s="3">
        <f>SUMIF(收开票!A:A,采购合同!A:A,收开票!H:H)</f>
        <v>551.30529999999999</v>
      </c>
      <c r="M71" s="1">
        <f>SUMIF(收开票!A:A,采购合同!A:A,收开票!I:I)</f>
        <v>2609381.8899999997</v>
      </c>
      <c r="N71" s="2">
        <f>SUMIF(收付款!A:A,采购合同!A:A,收付款!E:E)</f>
        <v>2609381.8899999997</v>
      </c>
      <c r="O71" s="2">
        <f>M71-N71</f>
        <v>0</v>
      </c>
      <c r="P71" s="90"/>
      <c r="Q71" s="1"/>
      <c r="R71" s="5"/>
      <c r="S71" s="4"/>
    </row>
    <row r="72" spans="1:19" ht="48" hidden="1" customHeight="1">
      <c r="A72" s="13" t="s">
        <v>1783</v>
      </c>
      <c r="B72" s="6" t="s">
        <v>0</v>
      </c>
      <c r="C72" s="6" t="s">
        <v>1</v>
      </c>
      <c r="D72" s="7">
        <v>42557</v>
      </c>
      <c r="E72" s="6" t="s">
        <v>195</v>
      </c>
      <c r="F72" s="8" t="s">
        <v>3</v>
      </c>
      <c r="G72" s="9">
        <v>200</v>
      </c>
      <c r="H72" s="10">
        <v>4845</v>
      </c>
      <c r="I72" s="11">
        <f t="shared" si="3"/>
        <v>969000</v>
      </c>
      <c r="J72" s="12" t="s">
        <v>1228</v>
      </c>
      <c r="K72" s="3">
        <f>SUMIF(收发货!A:A,采购合同!A:A,收发货!D:D)</f>
        <v>197</v>
      </c>
      <c r="L72" s="3">
        <f>SUMIF(收开票!A:A,采购合同!A:A,收开票!H:H)</f>
        <v>198.8426</v>
      </c>
      <c r="M72" s="1">
        <f>SUMIF(收开票!A:A,采购合同!A:A,收开票!I:I)</f>
        <v>940911.04</v>
      </c>
      <c r="N72" s="2">
        <f>SUMIF(收付款!A:A,采购合同!A:A,收付款!E:E)</f>
        <v>940911.04</v>
      </c>
      <c r="O72" s="2">
        <f>N72-M72</f>
        <v>0</v>
      </c>
      <c r="P72" s="90"/>
      <c r="Q72" s="1"/>
      <c r="R72" s="5"/>
      <c r="S72" s="4"/>
    </row>
    <row r="73" spans="1:19" ht="24.95" hidden="1" customHeight="1">
      <c r="A73" s="13" t="s">
        <v>1273</v>
      </c>
      <c r="B73" s="6" t="s">
        <v>1271</v>
      </c>
      <c r="C73" s="6" t="s">
        <v>1272</v>
      </c>
      <c r="D73" s="7">
        <v>42555</v>
      </c>
      <c r="E73" s="6" t="s">
        <v>902</v>
      </c>
      <c r="F73" s="8" t="s">
        <v>3</v>
      </c>
      <c r="G73" s="9">
        <v>10000</v>
      </c>
      <c r="H73" s="10">
        <v>523.75</v>
      </c>
      <c r="I73" s="11">
        <f t="shared" si="3"/>
        <v>5237500</v>
      </c>
      <c r="J73" s="12" t="s">
        <v>1274</v>
      </c>
      <c r="K73" s="3">
        <f>SUMIF(收发货!A:A,采购合同!A:A,收发货!D:D)</f>
        <v>9150</v>
      </c>
      <c r="L73" s="3">
        <f>SUMIF(收开票!A:A,采购合同!A:A,收开票!H:H)</f>
        <v>8890.4282000000003</v>
      </c>
      <c r="M73" s="1">
        <f>SUMIF(收开票!A:A,采购合同!A:A,收开票!I:I)</f>
        <v>4572344.75</v>
      </c>
      <c r="N73" s="2">
        <f>SUMIF(收付款!A:A,采购合同!A:A,收付款!E:E)</f>
        <v>4572344.75</v>
      </c>
      <c r="O73" s="2"/>
      <c r="P73" s="90"/>
      <c r="Q73" s="1"/>
      <c r="R73" s="5"/>
      <c r="S73" s="4"/>
    </row>
    <row r="74" spans="1:19" ht="24.95" hidden="1" customHeight="1">
      <c r="A74" s="13" t="s">
        <v>1275</v>
      </c>
      <c r="B74" s="6" t="s">
        <v>217</v>
      </c>
      <c r="C74" s="6" t="s">
        <v>218</v>
      </c>
      <c r="D74" s="7">
        <v>42555</v>
      </c>
      <c r="E74" s="6" t="s">
        <v>220</v>
      </c>
      <c r="F74" s="8" t="s">
        <v>3</v>
      </c>
      <c r="G74" s="9">
        <v>5000</v>
      </c>
      <c r="H74" s="10">
        <v>505.23</v>
      </c>
      <c r="I74" s="11">
        <f t="shared" si="3"/>
        <v>2526150</v>
      </c>
      <c r="J74" s="6" t="s">
        <v>221</v>
      </c>
      <c r="K74" s="3">
        <f>SUMIF(收发货!A:A,采购合同!A:A,收发货!D:D)</f>
        <v>5400</v>
      </c>
      <c r="L74" s="3">
        <f>SUMIF(收开票!A:A,采购合同!A:A,收开票!H:H)</f>
        <v>4737.37</v>
      </c>
      <c r="M74" s="1">
        <f>SUMIF(收开票!A:A,采购合同!A:A,收开票!I:I)</f>
        <v>2390460.83</v>
      </c>
      <c r="N74" s="2">
        <f>SUMIF(收付款!A:A,采购合同!A:A,收付款!E:E)</f>
        <v>2390460.83</v>
      </c>
      <c r="O74" s="2">
        <f>M74-N74</f>
        <v>0</v>
      </c>
      <c r="P74" s="90"/>
      <c r="Q74" s="1"/>
      <c r="R74" s="5"/>
      <c r="S74" s="4"/>
    </row>
    <row r="75" spans="1:19" ht="24.95" hidden="1" customHeight="1">
      <c r="A75" s="13" t="s">
        <v>1477</v>
      </c>
      <c r="B75" s="6" t="s">
        <v>193</v>
      </c>
      <c r="C75" s="6" t="s">
        <v>194</v>
      </c>
      <c r="D75" s="7">
        <v>42562</v>
      </c>
      <c r="E75" s="6" t="s">
        <v>875</v>
      </c>
      <c r="F75" s="8" t="s">
        <v>876</v>
      </c>
      <c r="G75" s="9">
        <v>200</v>
      </c>
      <c r="H75" s="10">
        <v>1520</v>
      </c>
      <c r="I75" s="11">
        <f t="shared" si="3"/>
        <v>304000</v>
      </c>
      <c r="J75" s="12" t="s">
        <v>877</v>
      </c>
      <c r="K75" s="3">
        <f>SUMIF(收发货!A:A,采购合同!A:A,收发货!D:D)</f>
        <v>200</v>
      </c>
      <c r="L75" s="3">
        <f>SUMIF(收开票!A:A,采购合同!A:A,收开票!H:H)</f>
        <v>200</v>
      </c>
      <c r="M75" s="1">
        <f>SUMIF(收开票!A:A,采购合同!A:A,收开票!I:I)</f>
        <v>304000</v>
      </c>
      <c r="N75" s="2">
        <f>SUMIF(收付款!A:A,采购合同!A:A,收付款!E:E)</f>
        <v>302463</v>
      </c>
      <c r="O75" s="2"/>
      <c r="P75" s="90"/>
      <c r="Q75" s="1"/>
      <c r="R75" s="5"/>
      <c r="S75" s="4"/>
    </row>
    <row r="76" spans="1:19" ht="24.95" hidden="1" customHeight="1">
      <c r="A76" s="13" t="s">
        <v>2363</v>
      </c>
      <c r="B76" s="6" t="s">
        <v>217</v>
      </c>
      <c r="C76" s="6" t="s">
        <v>736</v>
      </c>
      <c r="D76" s="7">
        <v>42552</v>
      </c>
      <c r="E76" s="6" t="s">
        <v>737</v>
      </c>
      <c r="F76" s="8" t="s">
        <v>223</v>
      </c>
      <c r="G76" s="9">
        <v>1000</v>
      </c>
      <c r="H76" s="10">
        <v>390</v>
      </c>
      <c r="I76" s="11">
        <f t="shared" si="3"/>
        <v>390000</v>
      </c>
      <c r="J76" s="6" t="s">
        <v>1309</v>
      </c>
      <c r="K76" s="3">
        <f>SUMIF(收发货!A:A,采购合同!A:A,收发货!D:D)</f>
        <v>1000</v>
      </c>
      <c r="L76" s="3">
        <f>SUMIF(收开票!A:A,采购合同!A:A,收开票!H:H)</f>
        <v>1000</v>
      </c>
      <c r="M76" s="1">
        <f>SUMIF(收开票!A:A,采购合同!A:A,收开票!I:I)</f>
        <v>390000</v>
      </c>
      <c r="N76" s="2">
        <f>SUMIF(收付款!A:A,采购合同!A:A,收付款!E:E)</f>
        <v>390000</v>
      </c>
      <c r="O76" s="2"/>
      <c r="P76" s="90"/>
      <c r="Q76" s="1"/>
      <c r="R76" s="5"/>
      <c r="S76" s="4"/>
    </row>
    <row r="77" spans="1:19" ht="24.95" hidden="1" customHeight="1">
      <c r="A77" s="13" t="s">
        <v>1478</v>
      </c>
      <c r="B77" s="6" t="s">
        <v>217</v>
      </c>
      <c r="C77" s="6" t="s">
        <v>1272</v>
      </c>
      <c r="D77" s="7">
        <v>42569</v>
      </c>
      <c r="E77" s="6" t="s">
        <v>220</v>
      </c>
      <c r="F77" s="8" t="s">
        <v>3</v>
      </c>
      <c r="G77" s="9">
        <v>3000</v>
      </c>
      <c r="H77" s="10">
        <v>523.75</v>
      </c>
      <c r="I77" s="11">
        <f t="shared" si="3"/>
        <v>1571250</v>
      </c>
      <c r="J77" s="12" t="s">
        <v>1274</v>
      </c>
      <c r="K77" s="3">
        <f>SUMIF(收发货!A:A,采购合同!A:A,收发货!D:D)</f>
        <v>2500</v>
      </c>
      <c r="L77" s="3">
        <f>SUMIF(收开票!A:A,采购合同!A:A,收开票!H:H)</f>
        <v>2231.9605999999999</v>
      </c>
      <c r="M77" s="1">
        <f>SUMIF(收开票!A:A,采购合同!A:A,收开票!I:I)</f>
        <v>1165195.03</v>
      </c>
      <c r="N77" s="2">
        <f>SUMIF(收付款!A:A,采购合同!A:A,收付款!E:E)</f>
        <v>1165195.03</v>
      </c>
      <c r="O77" s="2"/>
      <c r="P77" s="90"/>
      <c r="Q77" s="1"/>
      <c r="R77" s="5"/>
      <c r="S77" s="4"/>
    </row>
    <row r="78" spans="1:19" ht="55.5" hidden="1" customHeight="1">
      <c r="A78" s="13" t="s">
        <v>1411</v>
      </c>
      <c r="B78" s="6" t="s">
        <v>0</v>
      </c>
      <c r="C78" s="6" t="s">
        <v>1</v>
      </c>
      <c r="D78" s="7">
        <v>42570</v>
      </c>
      <c r="E78" s="6" t="s">
        <v>1784</v>
      </c>
      <c r="F78" s="8" t="s">
        <v>3</v>
      </c>
      <c r="G78" s="9">
        <v>200</v>
      </c>
      <c r="H78" s="10">
        <v>5145</v>
      </c>
      <c r="I78" s="11">
        <f t="shared" si="3"/>
        <v>1029000</v>
      </c>
      <c r="J78" s="12" t="s">
        <v>1785</v>
      </c>
      <c r="K78" s="3">
        <f>SUMIF(收发货!A:A,采购合同!A:A,收发货!D:D)</f>
        <v>188</v>
      </c>
      <c r="L78" s="3">
        <f>SUMIF(收开票!A:A,采购合同!A:A,收开票!H:H)</f>
        <v>189.12209999999999</v>
      </c>
      <c r="M78" s="1">
        <f>SUMIF(收开票!A:A,采购合同!A:A,收开票!I:I)</f>
        <v>951613.46</v>
      </c>
      <c r="N78" s="2">
        <f>SUMIF(收付款!A:A,采购合同!A:A,收付款!E:E)</f>
        <v>951613.46</v>
      </c>
      <c r="O78" s="2">
        <f>N78-M78</f>
        <v>0</v>
      </c>
      <c r="P78" s="90"/>
      <c r="Q78" s="1"/>
      <c r="R78" s="5"/>
      <c r="S78" s="4"/>
    </row>
    <row r="79" spans="1:19" ht="24.95" hidden="1" customHeight="1">
      <c r="A79" s="13" t="s">
        <v>1430</v>
      </c>
      <c r="B79" s="6" t="s">
        <v>217</v>
      </c>
      <c r="C79" s="6" t="s">
        <v>1272</v>
      </c>
      <c r="D79" s="7">
        <v>42571</v>
      </c>
      <c r="E79" s="6" t="s">
        <v>902</v>
      </c>
      <c r="F79" s="8" t="s">
        <v>3</v>
      </c>
      <c r="G79" s="9">
        <v>10000</v>
      </c>
      <c r="H79" s="10">
        <v>532.51</v>
      </c>
      <c r="I79" s="11">
        <f t="shared" si="3"/>
        <v>5325100</v>
      </c>
      <c r="J79" s="12" t="s">
        <v>1274</v>
      </c>
      <c r="K79" s="3">
        <f>SUMIF(收发货!A:A,采购合同!A:A,收发货!D:D)</f>
        <v>10900</v>
      </c>
      <c r="L79" s="3">
        <f>SUMIF(收开票!A:A,采购合同!A:A,收开票!H:H)</f>
        <v>9185.6154999999999</v>
      </c>
      <c r="M79" s="1">
        <f>SUMIF(收开票!A:A,采购合同!A:A,收开票!I:I)</f>
        <v>4718709.97</v>
      </c>
      <c r="N79" s="2">
        <f>SUMIF(收付款!A:A,采购合同!A:A,收付款!E:E)</f>
        <v>4718709.97</v>
      </c>
      <c r="O79" s="2"/>
      <c r="P79" s="90"/>
      <c r="Q79" s="1"/>
      <c r="R79" s="5"/>
      <c r="S79" s="4"/>
    </row>
    <row r="80" spans="1:19" ht="50.1" hidden="1" customHeight="1">
      <c r="A80" s="13" t="s">
        <v>2323</v>
      </c>
      <c r="B80" s="6" t="s">
        <v>0</v>
      </c>
      <c r="C80" s="6" t="s">
        <v>1</v>
      </c>
      <c r="D80" s="7">
        <v>42583</v>
      </c>
      <c r="E80" s="6" t="s">
        <v>2</v>
      </c>
      <c r="F80" s="8" t="s">
        <v>223</v>
      </c>
      <c r="G80" s="9">
        <v>500</v>
      </c>
      <c r="H80" s="10">
        <v>6580</v>
      </c>
      <c r="I80" s="11">
        <f>G80*H80</f>
        <v>3290000</v>
      </c>
      <c r="J80" s="12" t="s">
        <v>1491</v>
      </c>
      <c r="K80" s="3">
        <f>SUMIF(收发货!A:A,采购合同!A:A,收发货!D:D)</f>
        <v>526</v>
      </c>
      <c r="L80" s="3">
        <f>SUMIF(收开票!A:A,采购合同!A:A,收开票!H:H)</f>
        <v>534.24450000000002</v>
      </c>
      <c r="M80" s="1">
        <f>SUMIF(收开票!A:A,采购合同!A:A,收开票!I:I)</f>
        <v>3436233.91</v>
      </c>
      <c r="N80" s="2">
        <f>SUMIF(收付款!A:A,采购合同!A:A,收付款!E:E)</f>
        <v>3436233.91</v>
      </c>
      <c r="O80" s="2"/>
      <c r="P80" s="90"/>
      <c r="Q80" s="1"/>
      <c r="R80" s="5"/>
      <c r="S80" s="4"/>
    </row>
    <row r="81" spans="1:19" ht="60.75" hidden="1" customHeight="1">
      <c r="A81" s="13" t="s">
        <v>2327</v>
      </c>
      <c r="B81" s="6" t="s">
        <v>0</v>
      </c>
      <c r="C81" s="6" t="s">
        <v>1</v>
      </c>
      <c r="D81" s="7">
        <v>42583</v>
      </c>
      <c r="E81" s="6" t="s">
        <v>2</v>
      </c>
      <c r="F81" s="8" t="s">
        <v>1996</v>
      </c>
      <c r="G81" s="9">
        <v>500</v>
      </c>
      <c r="H81" s="10">
        <v>6580</v>
      </c>
      <c r="I81" s="11">
        <f t="shared" ref="I81:I87" si="4">G81*H81</f>
        <v>3290000</v>
      </c>
      <c r="J81" s="12" t="s">
        <v>1997</v>
      </c>
      <c r="K81" s="280">
        <f>SUMIF(收发货!A:A,采购合同!A:A,收发货!D:D)</f>
        <v>511.98</v>
      </c>
      <c r="L81" s="281">
        <f>SUMIF(收开票!A:A,采购合同!A:A,收开票!H:H)</f>
        <v>511.60490000000004</v>
      </c>
      <c r="M81" s="2">
        <f>SUMIF(收开票!A:A,采购合同!A:A,收开票!I:I)</f>
        <v>3303484.49</v>
      </c>
      <c r="N81" s="2">
        <f>SUMIF(收付款!A:A,采购合同!A:A,收付款!E:E)</f>
        <v>3303484.49</v>
      </c>
      <c r="O81" s="282">
        <f>M81-N81</f>
        <v>0</v>
      </c>
      <c r="P81" s="56"/>
      <c r="Q81" s="90"/>
      <c r="R81" s="5"/>
      <c r="S81" s="4"/>
    </row>
    <row r="82" spans="1:19" ht="50.1" hidden="1" customHeight="1">
      <c r="A82" s="13" t="s">
        <v>2328</v>
      </c>
      <c r="B82" s="6" t="s">
        <v>0</v>
      </c>
      <c r="C82" s="6" t="s">
        <v>1</v>
      </c>
      <c r="D82" s="7">
        <v>42583</v>
      </c>
      <c r="E82" s="6" t="s">
        <v>195</v>
      </c>
      <c r="F82" s="8" t="s">
        <v>1495</v>
      </c>
      <c r="G82" s="9">
        <v>1000</v>
      </c>
      <c r="H82" s="10">
        <v>6580</v>
      </c>
      <c r="I82" s="11">
        <f t="shared" si="4"/>
        <v>6580000</v>
      </c>
      <c r="J82" s="12" t="s">
        <v>1493</v>
      </c>
      <c r="K82" s="3">
        <f>SUMIF(收发货!A:A,采购合同!A:A,收发货!D:D)</f>
        <v>983.3</v>
      </c>
      <c r="L82" s="3">
        <f>SUMIF(收开票!A:A,采购合同!A:A,收开票!H:H)</f>
        <v>977.2509</v>
      </c>
      <c r="M82" s="1">
        <f>SUMIF(收开票!A:A,采购合同!A:A,收开票!I:I)</f>
        <v>6287257.4700000007</v>
      </c>
      <c r="N82" s="2">
        <f>SUMIF(收付款!A:A,采购合同!A:A,收付款!E:E)</f>
        <v>6287257.4700000007</v>
      </c>
      <c r="O82" s="2">
        <f>M82-N82</f>
        <v>0</v>
      </c>
      <c r="P82" s="90"/>
      <c r="Q82" s="1"/>
      <c r="R82" s="5"/>
      <c r="S82" s="4"/>
    </row>
    <row r="83" spans="1:19" ht="50.1" hidden="1" customHeight="1">
      <c r="A83" s="13" t="s">
        <v>2324</v>
      </c>
      <c r="B83" s="6" t="s">
        <v>0</v>
      </c>
      <c r="C83" s="6" t="s">
        <v>1</v>
      </c>
      <c r="D83" s="7">
        <v>42583</v>
      </c>
      <c r="E83" s="6" t="s">
        <v>1392</v>
      </c>
      <c r="F83" s="8" t="s">
        <v>3</v>
      </c>
      <c r="G83" s="9">
        <v>400</v>
      </c>
      <c r="H83" s="10">
        <v>6600</v>
      </c>
      <c r="I83" s="11">
        <f t="shared" si="4"/>
        <v>2640000</v>
      </c>
      <c r="J83" s="12" t="s">
        <v>1494</v>
      </c>
      <c r="K83" s="3">
        <f>SUMIF(收发货!A:A,采购合同!A:A,收发货!D:D)</f>
        <v>410</v>
      </c>
      <c r="L83" s="3">
        <f>SUMIF(收开票!A:A,采购合同!A:A,收开票!H:H)</f>
        <v>412.73590000000002</v>
      </c>
      <c r="M83" s="1">
        <f>SUMIF(收开票!A:A,采购合同!A:A,收开票!I:I)</f>
        <v>2660279.36</v>
      </c>
      <c r="N83" s="2">
        <f>SUMIF(收付款!A:A,采购合同!A:A,收付款!E:E)</f>
        <v>2660279.36</v>
      </c>
      <c r="O83" s="2">
        <f>M83-N83</f>
        <v>0</v>
      </c>
      <c r="P83" s="90"/>
      <c r="Q83" s="1"/>
      <c r="R83" s="5"/>
      <c r="S83" s="4"/>
    </row>
    <row r="84" spans="1:19" ht="24.95" hidden="1" customHeight="1">
      <c r="A84" s="13" t="s">
        <v>2240</v>
      </c>
      <c r="B84" s="6" t="s">
        <v>217</v>
      </c>
      <c r="C84" s="6" t="s">
        <v>1272</v>
      </c>
      <c r="D84" s="7">
        <v>42586</v>
      </c>
      <c r="E84" s="6" t="s">
        <v>902</v>
      </c>
      <c r="F84" s="8" t="s">
        <v>3</v>
      </c>
      <c r="G84" s="9">
        <v>21000</v>
      </c>
      <c r="H84" s="10">
        <v>561.79999999999995</v>
      </c>
      <c r="I84" s="11">
        <f t="shared" si="4"/>
        <v>11797799.999999998</v>
      </c>
      <c r="J84" s="12" t="s">
        <v>1274</v>
      </c>
      <c r="K84" s="3">
        <f>SUMIF(收发货!A:A,采购合同!A:A,收发货!D:D)</f>
        <v>19800</v>
      </c>
      <c r="L84" s="3">
        <f>SUMIF(收开票!A:A,采购合同!A:A,收开票!H:H)</f>
        <v>17877.581699999999</v>
      </c>
      <c r="M84" s="1">
        <f>SUMIF(收开票!A:A,采购合同!A:A,收开票!I:I)</f>
        <v>9470293.7399999984</v>
      </c>
      <c r="N84" s="2">
        <f>SUMIF(收付款!A:A,采购合同!A:A,收付款!E:E)</f>
        <v>9470293.7399999984</v>
      </c>
      <c r="O84" s="2"/>
      <c r="P84" s="90"/>
      <c r="Q84" s="1"/>
      <c r="R84" s="5"/>
      <c r="S84" s="4"/>
    </row>
    <row r="85" spans="1:19" ht="24.95" hidden="1" customHeight="1">
      <c r="A85" s="13" t="s">
        <v>1888</v>
      </c>
      <c r="B85" s="6" t="s">
        <v>217</v>
      </c>
      <c r="C85" s="6" t="s">
        <v>1272</v>
      </c>
      <c r="D85" s="7">
        <v>42585</v>
      </c>
      <c r="E85" s="6" t="s">
        <v>220</v>
      </c>
      <c r="F85" s="8" t="s">
        <v>223</v>
      </c>
      <c r="G85" s="9">
        <v>4000</v>
      </c>
      <c r="H85" s="10">
        <v>561.79999999999995</v>
      </c>
      <c r="I85" s="11">
        <f t="shared" si="4"/>
        <v>2247200</v>
      </c>
      <c r="J85" s="12" t="s">
        <v>1274</v>
      </c>
      <c r="K85" s="3">
        <f>SUMIF(收发货!A:A,采购合同!A:A,收发货!D:D)</f>
        <v>1500</v>
      </c>
      <c r="L85" s="3">
        <f>SUMIF(收开票!A:A,采购合同!A:A,收开票!H:H)</f>
        <v>1500</v>
      </c>
      <c r="M85" s="1">
        <f>SUMIF(收开票!A:A,采购合同!A:A,收开票!I:I)</f>
        <v>840000</v>
      </c>
      <c r="N85" s="2">
        <f>SUMIF(收付款!A:A,采购合同!A:A,收付款!E:E)</f>
        <v>733024.74</v>
      </c>
      <c r="O85" s="2"/>
      <c r="P85" s="90"/>
      <c r="Q85" s="1"/>
      <c r="R85" s="5"/>
      <c r="S85" s="4"/>
    </row>
    <row r="86" spans="1:19" ht="24.95" hidden="1" customHeight="1">
      <c r="A86" s="13" t="s">
        <v>2027</v>
      </c>
      <c r="B86" s="6" t="s">
        <v>217</v>
      </c>
      <c r="C86" s="6" t="s">
        <v>218</v>
      </c>
      <c r="D86" s="7">
        <v>42586</v>
      </c>
      <c r="E86" s="6" t="s">
        <v>220</v>
      </c>
      <c r="F86" s="8" t="s">
        <v>223</v>
      </c>
      <c r="G86" s="9">
        <v>5000</v>
      </c>
      <c r="H86" s="10">
        <v>542.28</v>
      </c>
      <c r="I86" s="11">
        <f t="shared" si="4"/>
        <v>2711400</v>
      </c>
      <c r="J86" s="12" t="s">
        <v>1274</v>
      </c>
      <c r="K86" s="3">
        <f>SUMIF(收发货!A:A,采购合同!A:A,收发货!D:D)</f>
        <v>5000</v>
      </c>
      <c r="L86" s="3">
        <f>SUMIF(收开票!A:A,采购合同!A:A,收开票!H:H)</f>
        <v>4386.7763999999997</v>
      </c>
      <c r="M86" s="1">
        <f>SUMIF(收开票!A:A,采购合同!A:A,收开票!I:I)</f>
        <v>2355266.4741119999</v>
      </c>
      <c r="N86" s="2">
        <f>SUMIF(收付款!A:A,采购合同!A:A,收付款!E:E)</f>
        <v>2355266.4741119999</v>
      </c>
      <c r="O86" s="2">
        <f>M86-N86</f>
        <v>0</v>
      </c>
      <c r="P86" s="90"/>
      <c r="Q86" s="1"/>
      <c r="R86" s="5"/>
      <c r="S86" s="4"/>
    </row>
    <row r="87" spans="1:19" ht="24.95" hidden="1" customHeight="1">
      <c r="A87" s="13" t="s">
        <v>1599</v>
      </c>
      <c r="B87" s="6" t="s">
        <v>0</v>
      </c>
      <c r="C87" s="6" t="s">
        <v>194</v>
      </c>
      <c r="D87" s="7">
        <v>42592</v>
      </c>
      <c r="E87" s="6" t="s">
        <v>851</v>
      </c>
      <c r="F87" s="8" t="s">
        <v>3</v>
      </c>
      <c r="G87" s="9">
        <v>38</v>
      </c>
      <c r="H87" s="10">
        <v>10000</v>
      </c>
      <c r="I87" s="11">
        <f t="shared" si="4"/>
        <v>380000</v>
      </c>
      <c r="J87" s="12" t="s">
        <v>854</v>
      </c>
      <c r="K87" s="3">
        <f>SUMIF(收发货!A:A,采购合同!A:A,收发货!D:D)</f>
        <v>38</v>
      </c>
      <c r="L87" s="3">
        <f>SUMIF(收开票!A:A,采购合同!A:A,收开票!H:H)</f>
        <v>38</v>
      </c>
      <c r="M87" s="1">
        <f>SUMIF(收开票!A:A,采购合同!A:A,收开票!I:I)</f>
        <v>380000</v>
      </c>
      <c r="N87" s="2">
        <f>SUMIF(收付款!A:A,采购合同!A:A,收付款!E:E)</f>
        <v>380000</v>
      </c>
      <c r="O87" s="2"/>
      <c r="P87" s="90"/>
      <c r="Q87" s="1"/>
      <c r="R87" s="5"/>
      <c r="S87" s="4"/>
    </row>
    <row r="88" spans="1:19" ht="24.95" hidden="1" customHeight="1">
      <c r="A88" s="13" t="s">
        <v>1609</v>
      </c>
      <c r="B88" s="6" t="s">
        <v>0</v>
      </c>
      <c r="C88" s="6" t="s">
        <v>194</v>
      </c>
      <c r="D88" s="7">
        <v>42599</v>
      </c>
      <c r="E88" s="6" t="s">
        <v>1610</v>
      </c>
      <c r="F88" s="8" t="s">
        <v>3</v>
      </c>
      <c r="G88" s="9">
        <v>38</v>
      </c>
      <c r="H88" s="10">
        <v>10400</v>
      </c>
      <c r="I88" s="11">
        <f t="shared" ref="I88:I95" si="5">G88*H88</f>
        <v>395200</v>
      </c>
      <c r="J88" s="12" t="s">
        <v>854</v>
      </c>
      <c r="K88" s="3">
        <f>SUMIF(收发货!A:A,采购合同!A:A,收发货!D:D)</f>
        <v>38</v>
      </c>
      <c r="L88" s="3">
        <f>SUMIF(收开票!A:A,采购合同!A:A,收开票!H:H)</f>
        <v>38</v>
      </c>
      <c r="M88" s="1">
        <f>SUMIF(收开票!A:A,采购合同!A:A,收开票!I:I)</f>
        <v>395200</v>
      </c>
      <c r="N88" s="2">
        <f>SUMIF(收付款!A:A,采购合同!A:A,收付款!E:E)</f>
        <v>395200</v>
      </c>
      <c r="O88" s="2"/>
      <c r="P88" s="90"/>
      <c r="Q88" s="1"/>
      <c r="R88" s="5"/>
      <c r="S88" s="4"/>
    </row>
    <row r="89" spans="1:19" ht="24.95" hidden="1" customHeight="1">
      <c r="A89" s="13" t="s">
        <v>1952</v>
      </c>
      <c r="B89" s="6" t="s">
        <v>0</v>
      </c>
      <c r="C89" s="6" t="s">
        <v>194</v>
      </c>
      <c r="D89" s="7">
        <v>42604</v>
      </c>
      <c r="E89" s="6" t="s">
        <v>1638</v>
      </c>
      <c r="F89" s="8" t="s">
        <v>223</v>
      </c>
      <c r="G89" s="9">
        <v>38</v>
      </c>
      <c r="H89" s="10">
        <v>10400</v>
      </c>
      <c r="I89" s="11">
        <f t="shared" si="5"/>
        <v>395200</v>
      </c>
      <c r="J89" s="12" t="s">
        <v>1637</v>
      </c>
      <c r="K89" s="3">
        <f>SUMIF(收发货!A:A,采购合同!A:A,收发货!D:D)</f>
        <v>38</v>
      </c>
      <c r="L89" s="3">
        <f>SUMIF(收开票!A:A,采购合同!A:A,收开票!H:H)</f>
        <v>38</v>
      </c>
      <c r="M89" s="1">
        <f>SUMIF(收开票!A:A,采购合同!A:A,收开票!I:I)</f>
        <v>395200</v>
      </c>
      <c r="N89" s="2">
        <f>SUMIF(收付款!A:A,采购合同!A:A,收付款!E:E)</f>
        <v>395200</v>
      </c>
      <c r="O89" s="2"/>
      <c r="P89" s="90"/>
      <c r="Q89" s="1"/>
      <c r="R89" s="5"/>
      <c r="S89" s="4"/>
    </row>
    <row r="90" spans="1:19" ht="50.1" hidden="1" customHeight="1">
      <c r="A90" s="13" t="s">
        <v>2329</v>
      </c>
      <c r="B90" s="6" t="s">
        <v>0</v>
      </c>
      <c r="C90" s="6" t="s">
        <v>1</v>
      </c>
      <c r="D90" s="7">
        <v>42605</v>
      </c>
      <c r="E90" s="6" t="s">
        <v>2010</v>
      </c>
      <c r="F90" s="8" t="s">
        <v>1867</v>
      </c>
      <c r="G90" s="9">
        <v>200</v>
      </c>
      <c r="H90" s="10">
        <v>6580</v>
      </c>
      <c r="I90" s="11">
        <f t="shared" si="5"/>
        <v>1316000</v>
      </c>
      <c r="J90" s="12" t="s">
        <v>1493</v>
      </c>
      <c r="K90" s="3">
        <f>SUMIF(收发货!A:A,采购合同!A:A,收发货!D:D)</f>
        <v>260.38</v>
      </c>
      <c r="L90" s="3">
        <f>SUMIF(收开票!A:A,采购合同!A:A,收开票!H:H)</f>
        <v>262.29649999999998</v>
      </c>
      <c r="M90" s="1">
        <f>SUMIF(收开票!A:A,采购合同!A:A,收开票!I:I)</f>
        <v>1687522.71</v>
      </c>
      <c r="N90" s="2">
        <f>SUMIF(收付款!A:A,采购合同!A:A,收付款!E:E)</f>
        <v>1687522.71</v>
      </c>
      <c r="O90" s="2">
        <f>M90-N90</f>
        <v>0</v>
      </c>
      <c r="P90" s="90"/>
      <c r="Q90" s="1"/>
      <c r="R90" s="5"/>
      <c r="S90" s="4"/>
    </row>
    <row r="91" spans="1:19" ht="50.1" hidden="1" customHeight="1">
      <c r="A91" s="13" t="s">
        <v>2325</v>
      </c>
      <c r="B91" s="6" t="s">
        <v>0</v>
      </c>
      <c r="C91" s="6" t="s">
        <v>603</v>
      </c>
      <c r="D91" s="7">
        <v>42605</v>
      </c>
      <c r="E91" s="6" t="s">
        <v>2</v>
      </c>
      <c r="F91" s="8" t="s">
        <v>223</v>
      </c>
      <c r="G91" s="9">
        <v>200</v>
      </c>
      <c r="H91" s="10">
        <v>6580</v>
      </c>
      <c r="I91" s="11">
        <f t="shared" si="5"/>
        <v>1316000</v>
      </c>
      <c r="J91" s="12" t="s">
        <v>1491</v>
      </c>
      <c r="K91" s="280">
        <f>SUMIF(收发货!A:A,采购合同!A:A,收发货!D:D)</f>
        <v>192</v>
      </c>
      <c r="L91" s="280">
        <f>SUMIF(收开票!A:A,采购合同!A:A,收开票!H:H)</f>
        <v>192.20060000000001</v>
      </c>
      <c r="M91" s="2">
        <f>SUMIF(收开票!A:A,采购合同!A:A,收开票!I:I)</f>
        <v>1213485.3399999999</v>
      </c>
      <c r="N91" s="2">
        <f>SUMIF(收付款!A:A,采购合同!A:A,收付款!E:E)</f>
        <v>1213485.3399999999</v>
      </c>
      <c r="O91" s="282">
        <f>M91-N91</f>
        <v>0</v>
      </c>
      <c r="P91" s="90"/>
      <c r="Q91" s="1"/>
      <c r="R91" s="5"/>
      <c r="S91" s="4"/>
    </row>
    <row r="92" spans="1:19" ht="50.1" hidden="1" customHeight="1">
      <c r="A92" s="13" t="s">
        <v>2330</v>
      </c>
      <c r="B92" s="6" t="s">
        <v>0</v>
      </c>
      <c r="C92" s="6" t="s">
        <v>1</v>
      </c>
      <c r="D92" s="7">
        <v>42605</v>
      </c>
      <c r="E92" s="6" t="s">
        <v>2808</v>
      </c>
      <c r="F92" s="8" t="s">
        <v>223</v>
      </c>
      <c r="G92" s="9">
        <v>200</v>
      </c>
      <c r="H92" s="10">
        <v>6580</v>
      </c>
      <c r="I92" s="11">
        <f t="shared" si="5"/>
        <v>1316000</v>
      </c>
      <c r="J92" s="12" t="s">
        <v>1492</v>
      </c>
      <c r="K92" s="3">
        <f>SUMIF(收发货!A:A,采购合同!A:A,收发货!D:D)</f>
        <v>224</v>
      </c>
      <c r="L92" s="3">
        <f>SUMIF(收开票!A:A,采购合同!A:A,收开票!H:H)</f>
        <v>224</v>
      </c>
      <c r="M92" s="1">
        <f>SUMIF(收开票!A:A,采购合同!A:A,收开票!I:I)</f>
        <v>1427889.45</v>
      </c>
      <c r="N92" s="2">
        <f>SUMIF(收付款!A:A,采购合同!A:A,收付款!E:E)</f>
        <v>1427889.45</v>
      </c>
      <c r="O92" s="282">
        <f>M92-N92</f>
        <v>0</v>
      </c>
      <c r="P92" s="90"/>
      <c r="Q92" s="1"/>
      <c r="R92" s="5"/>
      <c r="S92" s="4"/>
    </row>
    <row r="93" spans="1:19" ht="50.1" hidden="1" customHeight="1">
      <c r="A93" s="13" t="s">
        <v>1948</v>
      </c>
      <c r="B93" s="6" t="s">
        <v>0</v>
      </c>
      <c r="C93" s="6" t="s">
        <v>1</v>
      </c>
      <c r="D93" s="7">
        <v>42605</v>
      </c>
      <c r="E93" s="6" t="s">
        <v>1425</v>
      </c>
      <c r="F93" s="8" t="s">
        <v>223</v>
      </c>
      <c r="G93" s="9">
        <v>200</v>
      </c>
      <c r="H93" s="10">
        <v>6520</v>
      </c>
      <c r="I93" s="11">
        <f t="shared" si="5"/>
        <v>1304000</v>
      </c>
      <c r="J93" s="12" t="s">
        <v>1745</v>
      </c>
      <c r="K93" s="3">
        <f>SUMIF(收发货!A:A,采购合同!A:A,收发货!D:D)</f>
        <v>193.17</v>
      </c>
      <c r="L93" s="3">
        <f>SUMIF(收开票!A:A,采购合同!A:A,收开票!H:H)</f>
        <v>193.2945</v>
      </c>
      <c r="M93" s="1">
        <f>SUMIF(收开票!A:A,采购合同!A:A,收开票!I:I)</f>
        <v>1248228.33</v>
      </c>
      <c r="N93" s="2">
        <f>SUMIF(收付款!A:A,采购合同!A:A,收付款!E:E)</f>
        <v>1248228.33</v>
      </c>
      <c r="O93" s="2">
        <f>M93-N93</f>
        <v>0</v>
      </c>
      <c r="P93" s="90"/>
      <c r="Q93" s="1"/>
      <c r="R93" s="5"/>
      <c r="S93" s="4"/>
    </row>
    <row r="94" spans="1:19" ht="50.1" hidden="1" customHeight="1">
      <c r="A94" s="13" t="s">
        <v>2326</v>
      </c>
      <c r="B94" s="6" t="s">
        <v>5</v>
      </c>
      <c r="C94" s="6" t="s">
        <v>6</v>
      </c>
      <c r="D94" s="7">
        <v>42605</v>
      </c>
      <c r="E94" s="6" t="s">
        <v>7</v>
      </c>
      <c r="F94" s="8" t="s">
        <v>223</v>
      </c>
      <c r="G94" s="9">
        <v>200</v>
      </c>
      <c r="H94" s="10">
        <v>6520</v>
      </c>
      <c r="I94" s="11">
        <f t="shared" si="5"/>
        <v>1304000</v>
      </c>
      <c r="J94" s="12" t="s">
        <v>1745</v>
      </c>
      <c r="K94" s="3">
        <f>SUMIF(收发货!A:A,采购合同!A:A,收发货!D:D)</f>
        <v>204.12</v>
      </c>
      <c r="L94" s="3">
        <f>SUMIF(收开票!A:A,采购合同!A:A,收开票!H:H)</f>
        <v>208.51</v>
      </c>
      <c r="M94" s="1">
        <f>SUMIF(收开票!A:A,采购合同!A:A,收开票!I:I)</f>
        <v>1359515.19</v>
      </c>
      <c r="N94" s="2">
        <f>SUMIF(收付款!A:A,采购合同!A:A,收付款!E:E)</f>
        <v>1359515.19</v>
      </c>
      <c r="O94" s="2"/>
      <c r="P94" s="90"/>
      <c r="Q94" s="1"/>
      <c r="R94" s="5"/>
      <c r="S94" s="4"/>
    </row>
    <row r="95" spans="1:19" ht="24.95" hidden="1" customHeight="1">
      <c r="A95" s="13" t="s">
        <v>1747</v>
      </c>
      <c r="B95" s="6" t="s">
        <v>193</v>
      </c>
      <c r="C95" s="6" t="s">
        <v>194</v>
      </c>
      <c r="D95" s="7">
        <v>42586</v>
      </c>
      <c r="E95" s="6" t="s">
        <v>875</v>
      </c>
      <c r="F95" s="8" t="s">
        <v>876</v>
      </c>
      <c r="G95" s="9">
        <v>140</v>
      </c>
      <c r="H95" s="10">
        <v>1535</v>
      </c>
      <c r="I95" s="11">
        <f t="shared" si="5"/>
        <v>214900</v>
      </c>
      <c r="J95" s="12" t="s">
        <v>877</v>
      </c>
      <c r="K95" s="3">
        <f>SUMIF(收发货!A:A,采购合同!A:A,收发货!D:D)</f>
        <v>140</v>
      </c>
      <c r="L95" s="3">
        <f>SUMIF(收开票!A:A,采购合同!A:A,收开票!H:H)</f>
        <v>140</v>
      </c>
      <c r="M95" s="1">
        <f>SUMIF(收开票!A:A,采购合同!A:A,收开票!I:I)</f>
        <v>214900</v>
      </c>
      <c r="N95" s="2">
        <f>SUMIF(收付款!A:A,采购合同!A:A,收付款!E:E)</f>
        <v>214900</v>
      </c>
      <c r="O95" s="2"/>
      <c r="P95" s="90"/>
      <c r="Q95" s="1"/>
      <c r="R95" s="5"/>
      <c r="S95" s="4"/>
    </row>
    <row r="96" spans="1:19" ht="24.95" hidden="1" customHeight="1">
      <c r="A96" s="13" t="s">
        <v>1748</v>
      </c>
      <c r="B96" s="6" t="s">
        <v>193</v>
      </c>
      <c r="C96" s="6" t="s">
        <v>194</v>
      </c>
      <c r="D96" s="7">
        <v>42586</v>
      </c>
      <c r="E96" s="6" t="s">
        <v>875</v>
      </c>
      <c r="F96" s="8" t="s">
        <v>876</v>
      </c>
      <c r="G96" s="9">
        <v>60</v>
      </c>
      <c r="H96" s="10">
        <v>1535</v>
      </c>
      <c r="I96" s="11">
        <f t="shared" ref="I96:I103" si="6">G96*H96</f>
        <v>92100</v>
      </c>
      <c r="J96" s="12" t="s">
        <v>877</v>
      </c>
      <c r="K96" s="3">
        <f>SUMIF(收发货!A:A,采购合同!A:A,收发货!D:D)</f>
        <v>60</v>
      </c>
      <c r="L96" s="3">
        <f>SUMIF(收开票!A:A,采购合同!A:A,收开票!H:H)</f>
        <v>60</v>
      </c>
      <c r="M96" s="1">
        <f>SUMIF(收开票!A:A,采购合同!A:A,收开票!I:I)</f>
        <v>92100</v>
      </c>
      <c r="N96" s="2">
        <f>SUMIF(收付款!A:A,采购合同!A:A,收付款!E:E)</f>
        <v>92100</v>
      </c>
      <c r="O96" s="2"/>
      <c r="P96" s="90"/>
      <c r="Q96" s="1"/>
      <c r="R96" s="5"/>
      <c r="S96" s="4"/>
    </row>
    <row r="97" spans="1:19" ht="24.95" hidden="1" customHeight="1">
      <c r="A97" s="13" t="s">
        <v>1773</v>
      </c>
      <c r="B97" s="6" t="s">
        <v>0</v>
      </c>
      <c r="C97" s="6" t="s">
        <v>194</v>
      </c>
      <c r="D97" s="7">
        <v>42608</v>
      </c>
      <c r="E97" s="6" t="s">
        <v>2009</v>
      </c>
      <c r="F97" s="8" t="s">
        <v>223</v>
      </c>
      <c r="G97" s="9">
        <v>38</v>
      </c>
      <c r="H97" s="10">
        <v>10800</v>
      </c>
      <c r="I97" s="11">
        <f t="shared" si="6"/>
        <v>410400</v>
      </c>
      <c r="J97" s="12" t="s">
        <v>1637</v>
      </c>
      <c r="K97" s="3">
        <f>SUMIF(收发货!A:A,采购合同!A:A,收发货!D:D)</f>
        <v>38</v>
      </c>
      <c r="L97" s="3">
        <f>SUMIF(收开票!A:A,采购合同!A:A,收开票!H:H)</f>
        <v>38</v>
      </c>
      <c r="M97" s="1">
        <f>SUMIF(收开票!A:A,采购合同!A:A,收开票!I:I)</f>
        <v>410400</v>
      </c>
      <c r="N97" s="2">
        <f>SUMIF(收付款!A:A,采购合同!A:A,收付款!E:E)</f>
        <v>410400</v>
      </c>
      <c r="O97" s="2"/>
      <c r="P97" s="90"/>
      <c r="Q97" s="1"/>
      <c r="R97" s="5"/>
      <c r="S97" s="4"/>
    </row>
    <row r="98" spans="1:19" ht="24.95" hidden="1" customHeight="1">
      <c r="A98" s="13" t="s">
        <v>2241</v>
      </c>
      <c r="B98" s="6" t="s">
        <v>217</v>
      </c>
      <c r="C98" s="6" t="s">
        <v>1272</v>
      </c>
      <c r="D98" s="7">
        <v>42615</v>
      </c>
      <c r="E98" s="6" t="s">
        <v>902</v>
      </c>
      <c r="F98" s="8" t="s">
        <v>1867</v>
      </c>
      <c r="G98" s="9">
        <v>20000</v>
      </c>
      <c r="H98" s="10">
        <v>585.20000000000005</v>
      </c>
      <c r="I98" s="11">
        <f t="shared" si="6"/>
        <v>11704000</v>
      </c>
      <c r="J98" s="12" t="s">
        <v>1274</v>
      </c>
      <c r="K98" s="3">
        <f>SUMIF(收发货!A:A,采购合同!A:A,收发货!D:D)</f>
        <v>21000</v>
      </c>
      <c r="L98" s="3">
        <f>SUMIF(收开票!A:A,采购合同!A:A,收开票!H:H)</f>
        <v>18417.183499999999</v>
      </c>
      <c r="M98" s="1">
        <f>SUMIF(收开票!A:A,采购合同!A:A,收开票!I:I)</f>
        <v>10046331.07</v>
      </c>
      <c r="N98" s="2">
        <f>SUMIF(收付款!A:A,采购合同!A:A,收付款!E:E)</f>
        <v>10046331.070000002</v>
      </c>
      <c r="O98" s="2">
        <f>M98-N98</f>
        <v>0</v>
      </c>
      <c r="P98" s="90"/>
      <c r="Q98" s="1"/>
      <c r="R98" s="5"/>
      <c r="S98" s="4"/>
    </row>
    <row r="99" spans="1:19" ht="24.95" hidden="1" customHeight="1">
      <c r="A99" s="13" t="s">
        <v>1866</v>
      </c>
      <c r="B99" s="6" t="s">
        <v>217</v>
      </c>
      <c r="C99" s="6" t="s">
        <v>218</v>
      </c>
      <c r="D99" s="7">
        <v>42615</v>
      </c>
      <c r="E99" s="6" t="s">
        <v>220</v>
      </c>
      <c r="F99" s="8" t="s">
        <v>1867</v>
      </c>
      <c r="G99" s="9">
        <v>10000</v>
      </c>
      <c r="H99" s="10">
        <v>565.67999999999995</v>
      </c>
      <c r="I99" s="11">
        <f t="shared" si="6"/>
        <v>5656799.9999999991</v>
      </c>
      <c r="J99" s="12" t="s">
        <v>1274</v>
      </c>
      <c r="K99" s="3">
        <f>SUMIF(收发货!A:A,采购合同!A:A,收发货!D:D)</f>
        <v>10650</v>
      </c>
      <c r="L99" s="3">
        <f>SUMIF(收开票!A:A,采购合同!A:A,收开票!H:H)</f>
        <v>9408.7700999999997</v>
      </c>
      <c r="M99" s="1">
        <f>SUMIF(收开票!A:A,采购合同!A:A,收开票!I:I)</f>
        <v>5187625.3099999996</v>
      </c>
      <c r="N99" s="2">
        <f>SUMIF(收付款!A:A,采购合同!A:A,收付款!E:E)</f>
        <v>5187625.3099999996</v>
      </c>
      <c r="O99" s="2"/>
      <c r="P99" s="90"/>
      <c r="Q99" s="1"/>
      <c r="R99" s="5"/>
      <c r="S99" s="4"/>
    </row>
    <row r="100" spans="1:19" ht="55.5" hidden="1" customHeight="1">
      <c r="A100" s="13" t="s">
        <v>1876</v>
      </c>
      <c r="B100" s="6" t="s">
        <v>193</v>
      </c>
      <c r="C100" s="6" t="s">
        <v>710</v>
      </c>
      <c r="D100" s="7">
        <v>42618</v>
      </c>
      <c r="E100" s="6" t="s">
        <v>351</v>
      </c>
      <c r="F100" s="8" t="s">
        <v>2248</v>
      </c>
      <c r="G100" s="9">
        <v>500</v>
      </c>
      <c r="H100" s="10">
        <v>6030</v>
      </c>
      <c r="I100" s="11">
        <f t="shared" si="6"/>
        <v>3015000</v>
      </c>
      <c r="J100" s="12" t="s">
        <v>2250</v>
      </c>
      <c r="K100" s="3">
        <f>SUMIF(收发货!A:A,采购合同!A:A,收发货!D:D)</f>
        <v>431</v>
      </c>
      <c r="L100" s="3">
        <f>SUMIF(收开票!A:A,采购合同!A:A,收开票!H:H)</f>
        <v>438.38199999999995</v>
      </c>
      <c r="M100" s="1">
        <f>SUMIF(收开票!A:A,采购合同!A:A,收开票!I:I)</f>
        <v>2582438.4952599998</v>
      </c>
      <c r="N100" s="2">
        <f>SUMIF(收付款!A:A,采购合同!A:A,收付款!E:E)</f>
        <v>2582438.5</v>
      </c>
      <c r="O100" s="2"/>
      <c r="P100" s="90"/>
      <c r="Q100" s="1"/>
      <c r="R100" s="5"/>
      <c r="S100" s="4"/>
    </row>
    <row r="101" spans="1:19" ht="55.5" hidden="1" customHeight="1">
      <c r="A101" s="13" t="s">
        <v>1941</v>
      </c>
      <c r="B101" s="6" t="s">
        <v>193</v>
      </c>
      <c r="C101" s="6" t="s">
        <v>603</v>
      </c>
      <c r="D101" s="7">
        <v>42618</v>
      </c>
      <c r="E101" s="6" t="s">
        <v>479</v>
      </c>
      <c r="F101" s="8" t="s">
        <v>1867</v>
      </c>
      <c r="G101" s="9">
        <v>500</v>
      </c>
      <c r="H101" s="10">
        <v>6030</v>
      </c>
      <c r="I101" s="11">
        <f t="shared" si="6"/>
        <v>3015000</v>
      </c>
      <c r="J101" s="12" t="s">
        <v>1877</v>
      </c>
      <c r="K101" s="3">
        <f>SUMIF(收发货!A:A,采购合同!A:A,收发货!D:D)</f>
        <v>465.32</v>
      </c>
      <c r="L101" s="3">
        <f>SUMIF(收开票!A:A,采购合同!A:A,收开票!H:H)</f>
        <v>473.54570000000001</v>
      </c>
      <c r="M101" s="1">
        <f>SUMIF(收开票!A:A,采购合同!A:A,收开票!I:I)</f>
        <v>2784643.63</v>
      </c>
      <c r="N101" s="2">
        <f>SUMIF(收付款!A:A,采购合同!A:A,收付款!E:E)</f>
        <v>2784643.63</v>
      </c>
      <c r="O101" s="2">
        <f>M101-N101</f>
        <v>0</v>
      </c>
      <c r="P101" s="90"/>
      <c r="Q101" s="1"/>
      <c r="R101" s="5"/>
      <c r="S101" s="4"/>
    </row>
    <row r="102" spans="1:19" ht="55.5" hidden="1" customHeight="1">
      <c r="A102" s="13" t="s">
        <v>2586</v>
      </c>
      <c r="B102" s="6" t="s">
        <v>1878</v>
      </c>
      <c r="C102" s="6" t="s">
        <v>1106</v>
      </c>
      <c r="D102" s="7">
        <v>42618</v>
      </c>
      <c r="E102" s="6" t="s">
        <v>379</v>
      </c>
      <c r="F102" s="8" t="s">
        <v>1867</v>
      </c>
      <c r="G102" s="9">
        <v>370</v>
      </c>
      <c r="H102" s="10">
        <v>6030</v>
      </c>
      <c r="I102" s="11">
        <f t="shared" si="6"/>
        <v>2231100</v>
      </c>
      <c r="J102" s="12" t="s">
        <v>2246</v>
      </c>
      <c r="K102" s="3">
        <f>SUMIF(收发货!A:A,采购合同!A:A,收发货!D:D)</f>
        <v>370</v>
      </c>
      <c r="L102" s="3">
        <f>SUMIF(收开票!A:A,采购合同!A:A,收开票!H:H)</f>
        <v>375.33319999999998</v>
      </c>
      <c r="M102" s="1">
        <f>SUMIF(收开票!A:A,采购合同!A:A,收开票!I:I)</f>
        <v>2209906.83</v>
      </c>
      <c r="N102" s="2">
        <f>SUMIF(收付款!A:A,采购合同!A:A,收付款!E:E)</f>
        <v>2209906.87</v>
      </c>
      <c r="O102" s="2">
        <f>M102-N102</f>
        <v>-4.0000000037252903E-2</v>
      </c>
      <c r="P102" s="90"/>
      <c r="Q102" s="1"/>
      <c r="R102" s="5"/>
      <c r="S102" s="4"/>
    </row>
    <row r="103" spans="1:19" ht="55.5" hidden="1" customHeight="1">
      <c r="A103" s="13" t="s">
        <v>1891</v>
      </c>
      <c r="B103" s="6" t="s">
        <v>193</v>
      </c>
      <c r="C103" s="6" t="s">
        <v>710</v>
      </c>
      <c r="D103" s="7">
        <v>42619</v>
      </c>
      <c r="E103" s="6" t="s">
        <v>195</v>
      </c>
      <c r="F103" s="8" t="s">
        <v>2248</v>
      </c>
      <c r="G103" s="9">
        <v>1000</v>
      </c>
      <c r="H103" s="10">
        <v>5894</v>
      </c>
      <c r="I103" s="11">
        <f t="shared" si="6"/>
        <v>5894000</v>
      </c>
      <c r="J103" s="12" t="s">
        <v>2249</v>
      </c>
      <c r="K103" s="3">
        <f>SUMIF(收发货!A:A,采购合同!A:A,收发货!D:D)</f>
        <v>987.2</v>
      </c>
      <c r="L103" s="3">
        <f>SUMIF(收开票!A:A,采购合同!A:A,收开票!H:H)</f>
        <v>993.70279999999991</v>
      </c>
      <c r="M103" s="1">
        <f>SUMIF(收开票!A:A,采购合同!A:A,收开票!I:I)</f>
        <v>5857749.9100000001</v>
      </c>
      <c r="N103" s="2">
        <f>SUMIF(收付款!A:A,采购合同!A:A,收付款!E:E)</f>
        <v>5857749.9100000001</v>
      </c>
      <c r="O103" s="2">
        <f>M103-N103</f>
        <v>0</v>
      </c>
      <c r="P103" s="90"/>
      <c r="Q103" s="1"/>
      <c r="R103" s="5"/>
      <c r="S103" s="4"/>
    </row>
    <row r="104" spans="1:19" ht="55.5" hidden="1" customHeight="1">
      <c r="A104" s="13" t="s">
        <v>2312</v>
      </c>
      <c r="B104" s="6" t="s">
        <v>2313</v>
      </c>
      <c r="C104" s="6" t="s">
        <v>2314</v>
      </c>
      <c r="D104" s="7">
        <v>42619</v>
      </c>
      <c r="E104" s="6" t="s">
        <v>351</v>
      </c>
      <c r="F104" s="8" t="s">
        <v>2315</v>
      </c>
      <c r="G104" s="9">
        <v>500</v>
      </c>
      <c r="H104" s="10">
        <v>6030</v>
      </c>
      <c r="I104" s="11">
        <f>G104*H104</f>
        <v>3015000</v>
      </c>
      <c r="J104" s="12" t="s">
        <v>2316</v>
      </c>
      <c r="K104" s="3">
        <f>SUMIF(收发货!A:A,采购合同!A:A,收发货!D:D)</f>
        <v>440</v>
      </c>
      <c r="L104" s="3">
        <f>SUMIF(收开票!A:A,采购合同!A:A,收开票!H:H)</f>
        <v>448.13479999999998</v>
      </c>
      <c r="M104" s="1">
        <f>SUMIF(收开票!A:A,采购合同!A:A,收开票!I:I)</f>
        <v>2638715.34</v>
      </c>
      <c r="N104" s="2">
        <f>SUMIF(收付款!A:A,采购合同!A:A,收付款!E:E)</f>
        <v>2638715.34</v>
      </c>
      <c r="O104" s="2">
        <f>M104-N104</f>
        <v>0</v>
      </c>
      <c r="P104" s="90"/>
      <c r="Q104" s="1"/>
      <c r="R104" s="5"/>
      <c r="S104" s="4"/>
    </row>
    <row r="105" spans="1:19" ht="35.1" hidden="1" customHeight="1">
      <c r="A105" s="13" t="s">
        <v>2068</v>
      </c>
      <c r="B105" s="6" t="s">
        <v>1882</v>
      </c>
      <c r="C105" s="6" t="s">
        <v>273</v>
      </c>
      <c r="D105" s="7">
        <v>42634</v>
      </c>
      <c r="E105" s="6" t="s">
        <v>2011</v>
      </c>
      <c r="F105" s="8" t="s">
        <v>1867</v>
      </c>
      <c r="G105" s="9">
        <v>100</v>
      </c>
      <c r="H105" s="10">
        <v>11100</v>
      </c>
      <c r="I105" s="11">
        <f>G105*H105</f>
        <v>1110000</v>
      </c>
      <c r="J105" s="12" t="s">
        <v>2013</v>
      </c>
      <c r="K105" s="3">
        <f>SUMIF(收发货!A:A,采购合同!A:A,收发货!D:D)</f>
        <v>100</v>
      </c>
      <c r="L105" s="3">
        <f>SUMIF(收开票!A:A,采购合同!A:A,收开票!H:H)</f>
        <v>100</v>
      </c>
      <c r="M105" s="1">
        <f>SUMIF(收开票!A:A,采购合同!A:A,收开票!I:I)</f>
        <v>1110000</v>
      </c>
      <c r="N105" s="2">
        <f>SUMIF(收付款!A:A,采购合同!A:A,收付款!E:E)</f>
        <v>1110000</v>
      </c>
      <c r="O105" s="2"/>
      <c r="P105" s="90"/>
      <c r="Q105" s="1"/>
      <c r="R105" s="5"/>
      <c r="S105" s="4"/>
    </row>
    <row r="106" spans="1:19" ht="45" hidden="1" customHeight="1">
      <c r="A106" s="13" t="s">
        <v>4348</v>
      </c>
      <c r="B106" s="6" t="s">
        <v>2236</v>
      </c>
      <c r="C106" s="6" t="s">
        <v>4349</v>
      </c>
      <c r="D106" s="7">
        <v>42643</v>
      </c>
      <c r="E106" s="6" t="s">
        <v>902</v>
      </c>
      <c r="F106" s="8" t="s">
        <v>1867</v>
      </c>
      <c r="G106" s="9">
        <v>15000</v>
      </c>
      <c r="H106" s="10">
        <v>585.20000000000005</v>
      </c>
      <c r="I106" s="11">
        <f>G106*H106</f>
        <v>8778000</v>
      </c>
      <c r="J106" s="12" t="s">
        <v>1274</v>
      </c>
      <c r="K106" s="3">
        <f>SUMIF(收发货!A:A,采购合同!A:A,收发货!D:D)</f>
        <v>3800</v>
      </c>
      <c r="L106" s="3">
        <f>SUMIF(收开票!A:A,采购合同!A:A,收开票!H:H)</f>
        <v>3361.3807999999999</v>
      </c>
      <c r="M106" s="1">
        <f>SUMIF(收开票!A:A,采购合同!A:A,收开票!I:I)</f>
        <v>2126014.5499999998</v>
      </c>
      <c r="N106" s="2">
        <f>SUMIF(收付款!A:A,采购合同!A:A,收付款!E:E)</f>
        <v>2126014.5499999998</v>
      </c>
      <c r="O106" s="2">
        <f>M106-N106</f>
        <v>0</v>
      </c>
      <c r="P106" s="90"/>
      <c r="Q106" s="1"/>
      <c r="R106" s="5"/>
      <c r="S106" s="4"/>
    </row>
    <row r="107" spans="1:19" ht="35.1" hidden="1" customHeight="1">
      <c r="A107" s="13" t="s">
        <v>2148</v>
      </c>
      <c r="B107" s="6" t="s">
        <v>1882</v>
      </c>
      <c r="C107" s="6" t="s">
        <v>641</v>
      </c>
      <c r="D107" s="7">
        <v>42651</v>
      </c>
      <c r="E107" s="6" t="s">
        <v>195</v>
      </c>
      <c r="F107" s="8" t="s">
        <v>1056</v>
      </c>
      <c r="G107" s="9">
        <v>800</v>
      </c>
      <c r="H107" s="10">
        <v>7136</v>
      </c>
      <c r="I107" s="11">
        <f>G107*H107</f>
        <v>5708800</v>
      </c>
      <c r="J107" s="12" t="s">
        <v>2089</v>
      </c>
      <c r="K107" s="3">
        <f>SUMIF(收发货!A:A,采购合同!A:A,收发货!D:D)</f>
        <v>800</v>
      </c>
      <c r="L107" s="3">
        <f>SUMIF(收开票!A:A,采购合同!A:A,收开票!H:H)</f>
        <v>802.524</v>
      </c>
      <c r="M107" s="1">
        <f>SUMIF(收开票!A:A,采购合同!A:A,收开票!I:I)</f>
        <v>5723595.25</v>
      </c>
      <c r="N107" s="2">
        <f>SUMIF(收付款!A:A,采购合同!A:A,收付款!E:E)</f>
        <v>5723595.25</v>
      </c>
      <c r="O107" s="2">
        <f>M107-N107</f>
        <v>0</v>
      </c>
      <c r="P107" s="90"/>
      <c r="Q107" s="1"/>
      <c r="R107" s="5"/>
      <c r="S107" s="4"/>
    </row>
    <row r="108" spans="1:19" ht="50.25" hidden="1" customHeight="1">
      <c r="A108" s="13" t="s">
        <v>2165</v>
      </c>
      <c r="B108" s="6" t="s">
        <v>1882</v>
      </c>
      <c r="C108" s="6" t="s">
        <v>641</v>
      </c>
      <c r="D108" s="7">
        <v>42651</v>
      </c>
      <c r="E108" s="6" t="s">
        <v>351</v>
      </c>
      <c r="F108" s="8" t="s">
        <v>1056</v>
      </c>
      <c r="G108" s="9">
        <v>1000</v>
      </c>
      <c r="H108" s="10">
        <v>7320</v>
      </c>
      <c r="I108" s="11">
        <f>G108*H108</f>
        <v>7320000</v>
      </c>
      <c r="J108" s="12" t="s">
        <v>2237</v>
      </c>
      <c r="K108" s="3">
        <f>SUMIF(收发货!A:A,采购合同!A:A,收发货!D:D)</f>
        <v>860</v>
      </c>
      <c r="L108" s="3">
        <f>SUMIF(收开票!A:A,采购合同!A:A,收开票!H:H)</f>
        <v>875.89170000000001</v>
      </c>
      <c r="M108" s="1">
        <f>SUMIF(收开票!A:A,采购合同!A:A,收开票!I:I)</f>
        <v>6259789.2619100008</v>
      </c>
      <c r="N108" s="2">
        <f>SUMIF(收付款!A:A,采购合同!A:A,收付款!E:E)</f>
        <v>6259789.2619100008</v>
      </c>
      <c r="O108" s="2">
        <f>M108-N108</f>
        <v>0</v>
      </c>
      <c r="P108" s="90"/>
      <c r="Q108" s="1"/>
      <c r="R108" s="5"/>
      <c r="S108" s="4"/>
    </row>
    <row r="109" spans="1:19" ht="48.75" hidden="1" customHeight="1">
      <c r="A109" s="13" t="s">
        <v>2446</v>
      </c>
      <c r="B109" s="6" t="s">
        <v>1882</v>
      </c>
      <c r="C109" s="6" t="s">
        <v>641</v>
      </c>
      <c r="D109" s="7">
        <v>42651</v>
      </c>
      <c r="E109" s="6" t="s">
        <v>479</v>
      </c>
      <c r="F109" s="8" t="s">
        <v>1867</v>
      </c>
      <c r="G109" s="9">
        <v>600</v>
      </c>
      <c r="H109" s="10">
        <v>7310</v>
      </c>
      <c r="I109" s="11">
        <f t="shared" ref="I109:I116" si="7">G109*H109</f>
        <v>4386000</v>
      </c>
      <c r="J109" s="12" t="s">
        <v>2090</v>
      </c>
      <c r="K109" s="3">
        <f>SUMIF(收发货!A:A,采购合同!A:A,收发货!D:D)</f>
        <v>613</v>
      </c>
      <c r="L109" s="3">
        <f>SUMIF(收开票!A:A,采购合同!A:A,收开票!H:H)</f>
        <v>628.30889999999999</v>
      </c>
      <c r="M109" s="1">
        <f>SUMIF(收开票!A:A,采购合同!A:A,收开票!I:I)</f>
        <v>4489600.0942169996</v>
      </c>
      <c r="N109" s="2">
        <f>SUMIF(收付款!A:A,采购合同!A:A,收付款!E:E)</f>
        <v>4489600.0942169996</v>
      </c>
      <c r="O109" s="2">
        <f>M109-N109</f>
        <v>0</v>
      </c>
      <c r="P109" s="90"/>
      <c r="Q109" s="1"/>
      <c r="R109" s="5"/>
      <c r="S109" s="4"/>
    </row>
    <row r="110" spans="1:19" ht="35.1" hidden="1" customHeight="1">
      <c r="A110" s="13" t="s">
        <v>2158</v>
      </c>
      <c r="B110" s="6" t="s">
        <v>2238</v>
      </c>
      <c r="C110" s="6" t="s">
        <v>1106</v>
      </c>
      <c r="D110" s="7">
        <v>42651</v>
      </c>
      <c r="E110" s="6" t="s">
        <v>379</v>
      </c>
      <c r="F110" s="8" t="s">
        <v>1056</v>
      </c>
      <c r="G110" s="9">
        <v>300</v>
      </c>
      <c r="H110" s="10">
        <v>7310</v>
      </c>
      <c r="I110" s="11">
        <f t="shared" si="7"/>
        <v>2193000</v>
      </c>
      <c r="J110" s="12" t="s">
        <v>2091</v>
      </c>
      <c r="K110" s="3">
        <f>SUMIF(收发货!A:A,采购合同!A:A,收发货!D:D)</f>
        <v>280</v>
      </c>
      <c r="L110" s="3">
        <f>SUMIF(收开票!A:A,采购合同!A:A,收开票!H:H)</f>
        <v>282.11</v>
      </c>
      <c r="M110" s="1">
        <f>SUMIF(收开票!A:A,采购合同!A:A,收开票!I:I)</f>
        <v>2015830.95</v>
      </c>
      <c r="N110" s="2">
        <f>SUMIF(收付款!A:A,采购合同!A:A,收付款!E:E)</f>
        <v>2015830.9500000002</v>
      </c>
      <c r="O110" s="2"/>
      <c r="P110" s="90"/>
      <c r="Q110" s="1"/>
      <c r="R110" s="5"/>
      <c r="S110" s="4"/>
    </row>
    <row r="111" spans="1:19" ht="35.1" hidden="1" customHeight="1">
      <c r="A111" s="13" t="s">
        <v>2184</v>
      </c>
      <c r="B111" s="6" t="s">
        <v>1882</v>
      </c>
      <c r="C111" s="6" t="s">
        <v>641</v>
      </c>
      <c r="D111" s="7">
        <v>42651</v>
      </c>
      <c r="E111" s="6" t="s">
        <v>1392</v>
      </c>
      <c r="F111" s="8" t="s">
        <v>1056</v>
      </c>
      <c r="G111" s="9">
        <v>360</v>
      </c>
      <c r="H111" s="10">
        <v>7290</v>
      </c>
      <c r="I111" s="11">
        <f t="shared" si="7"/>
        <v>2624400</v>
      </c>
      <c r="J111" s="12" t="s">
        <v>2239</v>
      </c>
      <c r="K111" s="3">
        <f>SUMIF(收发货!A:A,采购合同!A:A,收发货!D:D)</f>
        <v>370</v>
      </c>
      <c r="L111" s="3">
        <f>SUMIF(收开票!A:A,采购合同!A:A,收开票!H:H)</f>
        <v>376.06400000000002</v>
      </c>
      <c r="M111" s="1">
        <f>SUMIF(收开票!A:A,采购合同!A:A,收开票!I:I)</f>
        <v>2679822.9</v>
      </c>
      <c r="N111" s="2">
        <f>SUMIF(收付款!A:A,采购合同!A:A,收付款!E:E)</f>
        <v>2679822.9</v>
      </c>
      <c r="O111" s="2">
        <f>M111-N111</f>
        <v>0</v>
      </c>
      <c r="P111" s="90"/>
      <c r="Q111" s="1"/>
      <c r="R111" s="5"/>
      <c r="S111" s="4"/>
    </row>
    <row r="112" spans="1:19" ht="35.1" hidden="1" customHeight="1">
      <c r="A112" s="13" t="s">
        <v>2121</v>
      </c>
      <c r="B112" s="6" t="s">
        <v>127</v>
      </c>
      <c r="C112" s="6" t="s">
        <v>194</v>
      </c>
      <c r="D112" s="7">
        <v>42644</v>
      </c>
      <c r="E112" s="6" t="s">
        <v>2336</v>
      </c>
      <c r="F112" s="8" t="s">
        <v>876</v>
      </c>
      <c r="G112" s="9">
        <v>120</v>
      </c>
      <c r="H112" s="10">
        <v>1710</v>
      </c>
      <c r="I112" s="11">
        <f t="shared" si="7"/>
        <v>205200</v>
      </c>
      <c r="J112" s="12" t="s">
        <v>877</v>
      </c>
      <c r="K112" s="3">
        <f>SUMIF(收发货!A:A,采购合同!A:A,收发货!D:D)</f>
        <v>120</v>
      </c>
      <c r="L112" s="3">
        <f>SUMIF(收开票!A:A,采购合同!A:A,收开票!H:H)</f>
        <v>120</v>
      </c>
      <c r="M112" s="1">
        <f>SUMIF(收开票!A:A,采购合同!A:A,收开票!I:I)</f>
        <v>205200</v>
      </c>
      <c r="N112" s="2">
        <f>SUMIF(收付款!A:A,采购合同!A:A,收付款!E:E)</f>
        <v>205200</v>
      </c>
      <c r="O112" s="2"/>
      <c r="P112" s="90"/>
      <c r="Q112" s="1"/>
      <c r="R112" s="5"/>
      <c r="S112" s="4"/>
    </row>
    <row r="113" spans="1:19" ht="35.1" hidden="1" customHeight="1">
      <c r="A113" s="13" t="s">
        <v>2122</v>
      </c>
      <c r="B113" s="6" t="s">
        <v>127</v>
      </c>
      <c r="C113" s="6" t="s">
        <v>194</v>
      </c>
      <c r="D113" s="7">
        <v>42644</v>
      </c>
      <c r="E113" s="6" t="s">
        <v>2336</v>
      </c>
      <c r="F113" s="8" t="s">
        <v>876</v>
      </c>
      <c r="G113" s="9">
        <v>200</v>
      </c>
      <c r="H113" s="10">
        <v>1595</v>
      </c>
      <c r="I113" s="11">
        <f t="shared" si="7"/>
        <v>319000</v>
      </c>
      <c r="J113" s="12" t="s">
        <v>877</v>
      </c>
      <c r="K113" s="3">
        <f>SUMIF(收发货!A:A,采购合同!A:A,收发货!D:D)</f>
        <v>200</v>
      </c>
      <c r="L113" s="3">
        <f>SUMIF(收开票!A:A,采购合同!A:A,收开票!H:H)</f>
        <v>200</v>
      </c>
      <c r="M113" s="1">
        <f>SUMIF(收开票!A:A,采购合同!A:A,收开票!I:I)</f>
        <v>319000</v>
      </c>
      <c r="N113" s="2">
        <f>SUMIF(收付款!A:A,采购合同!A:A,收付款!E:E)</f>
        <v>319000</v>
      </c>
      <c r="O113" s="2"/>
      <c r="P113" s="90"/>
      <c r="Q113" s="1"/>
      <c r="R113" s="5"/>
      <c r="S113" s="4"/>
    </row>
    <row r="114" spans="1:19" ht="24.95" hidden="1" customHeight="1">
      <c r="A114" s="13" t="s">
        <v>2123</v>
      </c>
      <c r="B114" s="6" t="s">
        <v>127</v>
      </c>
      <c r="C114" s="6" t="s">
        <v>194</v>
      </c>
      <c r="D114" s="7">
        <v>42644</v>
      </c>
      <c r="E114" s="6" t="s">
        <v>875</v>
      </c>
      <c r="F114" s="8" t="s">
        <v>876</v>
      </c>
      <c r="G114" s="9">
        <v>200</v>
      </c>
      <c r="H114" s="10">
        <v>1755</v>
      </c>
      <c r="I114" s="11">
        <f t="shared" si="7"/>
        <v>351000</v>
      </c>
      <c r="J114" s="12" t="s">
        <v>877</v>
      </c>
      <c r="K114" s="3">
        <f>SUMIF(收发货!A:A,采购合同!A:A,收发货!D:D)</f>
        <v>200</v>
      </c>
      <c r="L114" s="3">
        <f>SUMIF(收开票!A:A,采购合同!A:A,收开票!H:H)</f>
        <v>200</v>
      </c>
      <c r="M114" s="1">
        <f>SUMIF(收开票!A:A,采购合同!A:A,收开票!I:I)</f>
        <v>349515</v>
      </c>
      <c r="N114" s="2">
        <f>SUMIF(收付款!A:A,采购合同!A:A,收付款!E:E)</f>
        <v>349515</v>
      </c>
      <c r="O114" s="2"/>
      <c r="P114" s="90"/>
      <c r="Q114" s="1"/>
      <c r="R114" s="5"/>
      <c r="S114" s="4"/>
    </row>
    <row r="115" spans="1:19" ht="24.95" hidden="1" customHeight="1">
      <c r="A115" s="13" t="s">
        <v>2193</v>
      </c>
      <c r="B115" s="6" t="s">
        <v>0</v>
      </c>
      <c r="C115" s="6" t="s">
        <v>2194</v>
      </c>
      <c r="D115" s="7">
        <v>42660</v>
      </c>
      <c r="E115" s="6" t="s">
        <v>259</v>
      </c>
      <c r="F115" s="8" t="s">
        <v>223</v>
      </c>
      <c r="G115" s="9">
        <v>60</v>
      </c>
      <c r="H115" s="10">
        <v>10500</v>
      </c>
      <c r="I115" s="11">
        <f t="shared" si="7"/>
        <v>630000</v>
      </c>
      <c r="J115" s="12" t="s">
        <v>2195</v>
      </c>
      <c r="K115" s="3">
        <f>SUMIF(收发货!A:A,采购合同!A:A,收发货!D:D)</f>
        <v>60</v>
      </c>
      <c r="L115" s="3">
        <f>SUMIF(收开票!A:A,采购合同!A:A,收开票!H:H)</f>
        <v>60</v>
      </c>
      <c r="M115" s="1">
        <f>SUMIF(收开票!A:A,采购合同!A:A,收开票!I:I)</f>
        <v>630000</v>
      </c>
      <c r="N115" s="2">
        <f>SUMIF(收付款!A:A,采购合同!A:A,收付款!E:E)</f>
        <v>630000</v>
      </c>
      <c r="O115" s="2"/>
      <c r="P115" s="90"/>
      <c r="Q115" s="1"/>
      <c r="R115" s="5"/>
      <c r="S115" s="4"/>
    </row>
    <row r="116" spans="1:19" ht="43.5" hidden="1" customHeight="1">
      <c r="A116" s="13" t="s">
        <v>2992</v>
      </c>
      <c r="B116" s="6" t="s">
        <v>2201</v>
      </c>
      <c r="C116" s="6" t="s">
        <v>2203</v>
      </c>
      <c r="D116" s="7">
        <v>42662</v>
      </c>
      <c r="E116" s="6" t="s">
        <v>2204</v>
      </c>
      <c r="F116" s="8" t="s">
        <v>223</v>
      </c>
      <c r="G116" s="9">
        <v>5000</v>
      </c>
      <c r="H116" s="10">
        <v>507</v>
      </c>
      <c r="I116" s="11">
        <f t="shared" si="7"/>
        <v>2535000</v>
      </c>
      <c r="J116" s="12" t="s">
        <v>1274</v>
      </c>
      <c r="K116" s="3">
        <f>SUMIF(收发货!A:A,采购合同!A:A,收发货!D:D)</f>
        <v>5160.3</v>
      </c>
      <c r="L116" s="3">
        <f>SUMIF(收开票!A:A,采购合同!A:A,收开票!H:H)</f>
        <v>4214.0482000000002</v>
      </c>
      <c r="M116" s="1">
        <f>SUMIF(收开票!A:A,采购合同!A:A,收开票!I:I)</f>
        <v>2070356.3</v>
      </c>
      <c r="N116" s="2">
        <f>SUMIF(收付款!A:A,采购合同!A:A,收付款!E:E)</f>
        <v>2070356.4070349999</v>
      </c>
      <c r="O116" s="2"/>
      <c r="P116" s="90"/>
      <c r="Q116" s="1"/>
      <c r="R116" s="5"/>
      <c r="S116" s="4"/>
    </row>
    <row r="117" spans="1:19" ht="51" hidden="1" customHeight="1">
      <c r="A117" s="13" t="s">
        <v>2995</v>
      </c>
      <c r="B117" s="6" t="s">
        <v>1882</v>
      </c>
      <c r="C117" s="6" t="s">
        <v>603</v>
      </c>
      <c r="D117" s="7">
        <v>42675</v>
      </c>
      <c r="E117" s="6" t="s">
        <v>351</v>
      </c>
      <c r="F117" s="8" t="s">
        <v>1056</v>
      </c>
      <c r="G117" s="9">
        <v>780</v>
      </c>
      <c r="H117" s="10">
        <v>8080</v>
      </c>
      <c r="I117" s="11">
        <f>G117*H117</f>
        <v>6302400</v>
      </c>
      <c r="J117" s="12" t="s">
        <v>1491</v>
      </c>
      <c r="K117" s="3">
        <f>SUMIF(收发货!A:A,采购合同!A:A,收发货!D:D)</f>
        <v>769</v>
      </c>
      <c r="L117" s="3">
        <f>SUMIF(收开票!A:A,采购合同!A:A,收开票!H:H)</f>
        <v>785.13959999999997</v>
      </c>
      <c r="M117" s="1">
        <f>SUMIF(收开票!A:A,采购合同!A:A,收开票!I:I)</f>
        <v>6122143.9800000004</v>
      </c>
      <c r="N117" s="2">
        <f>SUMIF(收付款!A:A,采购合同!A:A,收付款!E:E)</f>
        <v>6122143.9800000004</v>
      </c>
      <c r="O117" s="2"/>
      <c r="P117" s="90"/>
      <c r="Q117" s="1"/>
      <c r="R117" s="5"/>
      <c r="S117" s="4"/>
    </row>
    <row r="118" spans="1:19" ht="63" hidden="1" customHeight="1">
      <c r="A118" s="13" t="s">
        <v>2474</v>
      </c>
      <c r="B118" s="6" t="s">
        <v>147</v>
      </c>
      <c r="C118" s="6" t="s">
        <v>603</v>
      </c>
      <c r="D118" s="7">
        <v>42675</v>
      </c>
      <c r="E118" s="6" t="s">
        <v>1392</v>
      </c>
      <c r="F118" s="8" t="s">
        <v>223</v>
      </c>
      <c r="G118" s="9">
        <v>300</v>
      </c>
      <c r="H118" s="10">
        <v>8080</v>
      </c>
      <c r="I118" s="11">
        <f>G118*H118</f>
        <v>2424000</v>
      </c>
      <c r="J118" s="12" t="s">
        <v>2290</v>
      </c>
      <c r="K118" s="3">
        <f>SUMIF(收发货!A:A,采购合同!A:A,收发货!D:D)</f>
        <v>281.71999999999997</v>
      </c>
      <c r="L118" s="3">
        <f>SUMIF(收开票!A:A,采购合同!A:A,收开票!H:H)</f>
        <v>286.30450000000002</v>
      </c>
      <c r="M118" s="1">
        <f>SUMIF(收开票!A:A,采购合同!A:A,收开票!I:I)</f>
        <v>2240201.12</v>
      </c>
      <c r="N118" s="2">
        <f>SUMIF(收付款!A:A,采购合同!A:A,收付款!E:E)</f>
        <v>2240201.12</v>
      </c>
      <c r="O118" s="2">
        <f>M118-N118</f>
        <v>0</v>
      </c>
      <c r="P118" s="90"/>
      <c r="Q118" s="1"/>
      <c r="R118" s="5"/>
      <c r="S118" s="4"/>
    </row>
    <row r="119" spans="1:19" ht="49.5" hidden="1" customHeight="1">
      <c r="A119" s="13" t="s">
        <v>2497</v>
      </c>
      <c r="B119" s="6" t="s">
        <v>147</v>
      </c>
      <c r="C119" s="6" t="s">
        <v>603</v>
      </c>
      <c r="D119" s="7">
        <v>42675</v>
      </c>
      <c r="E119" s="6" t="s">
        <v>479</v>
      </c>
      <c r="F119" s="8" t="s">
        <v>223</v>
      </c>
      <c r="G119" s="9">
        <v>300</v>
      </c>
      <c r="H119" s="10">
        <v>8090</v>
      </c>
      <c r="I119" s="11">
        <f>G119*H119</f>
        <v>2427000</v>
      </c>
      <c r="J119" s="12" t="s">
        <v>2291</v>
      </c>
      <c r="K119" s="3">
        <f>SUMIF(收发货!A:A,采购合同!A:A,收发货!D:D)</f>
        <v>300</v>
      </c>
      <c r="L119" s="3">
        <f>SUMIF(收开票!A:A,采购合同!A:A,收开票!H:H)</f>
        <v>300.50850000000003</v>
      </c>
      <c r="M119" s="1">
        <f>SUMIF(收开票!A:A,采购合同!A:A,收开票!I:I)</f>
        <v>2376415.21</v>
      </c>
      <c r="N119" s="2">
        <f>SUMIF(收付款!A:A,采购合同!A:A,收付款!E:E)</f>
        <v>2376415.21</v>
      </c>
      <c r="O119" s="2">
        <f>M119-N119</f>
        <v>0</v>
      </c>
      <c r="P119" s="90"/>
      <c r="Q119" s="1"/>
      <c r="R119" s="5"/>
      <c r="S119" s="4"/>
    </row>
    <row r="120" spans="1:19" ht="39" hidden="1" customHeight="1">
      <c r="A120" s="13" t="s">
        <v>2767</v>
      </c>
      <c r="B120" s="6" t="s">
        <v>147</v>
      </c>
      <c r="C120" s="6" t="s">
        <v>603</v>
      </c>
      <c r="D120" s="7">
        <v>42675</v>
      </c>
      <c r="E120" s="6" t="s">
        <v>195</v>
      </c>
      <c r="F120" s="8" t="s">
        <v>223</v>
      </c>
      <c r="G120" s="9">
        <v>600</v>
      </c>
      <c r="H120" s="10">
        <v>7898</v>
      </c>
      <c r="I120" s="11">
        <f>G120*H120</f>
        <v>4738800</v>
      </c>
      <c r="J120" s="12" t="s">
        <v>2292</v>
      </c>
      <c r="K120" s="3">
        <f>SUMIF(收发货!A:A,采购合同!A:A,收发货!D:D)</f>
        <v>600</v>
      </c>
      <c r="L120" s="3">
        <f>SUMIF(收开票!A:A,采购合同!A:A,收开票!H:H)</f>
        <v>595.95060000000001</v>
      </c>
      <c r="M120" s="1">
        <f>SUMIF(收开票!A:A,采购合同!A:A,收开票!I:I)</f>
        <v>4695580.8568000002</v>
      </c>
      <c r="N120" s="2">
        <f>SUMIF(收付款!A:A,采购合同!A:A,收付款!E:E)</f>
        <v>4695580.8600000003</v>
      </c>
      <c r="O120" s="2">
        <f>K120*H120*0.8-N120</f>
        <v>-904540.86000000034</v>
      </c>
      <c r="P120" s="90"/>
      <c r="Q120" s="1"/>
      <c r="R120" s="5"/>
      <c r="S120" s="4"/>
    </row>
    <row r="121" spans="1:19" ht="24.95" hidden="1" customHeight="1">
      <c r="A121" s="13" t="s">
        <v>2335</v>
      </c>
      <c r="B121" s="6" t="s">
        <v>217</v>
      </c>
      <c r="C121" s="6" t="s">
        <v>218</v>
      </c>
      <c r="D121" s="7">
        <v>42681</v>
      </c>
      <c r="E121" s="6" t="s">
        <v>2455</v>
      </c>
      <c r="F121" s="8" t="s">
        <v>223</v>
      </c>
      <c r="G121" s="9">
        <v>6000</v>
      </c>
      <c r="H121" s="10">
        <v>565.67999999999995</v>
      </c>
      <c r="I121" s="11">
        <f>G121*H121</f>
        <v>3394079.9999999995</v>
      </c>
      <c r="J121" s="12" t="s">
        <v>1274</v>
      </c>
      <c r="K121" s="3">
        <f>SUMIF(收发货!A:A,采购合同!A:A,收发货!D:D)</f>
        <v>4000</v>
      </c>
      <c r="L121" s="3">
        <f>SUMIF(收开票!A:A,采购合同!A:A,收开票!H:H)</f>
        <v>4716.558</v>
      </c>
      <c r="M121" s="1">
        <f>SUMIF(收开票!A:A,采购合同!A:A,收开票!I:I)</f>
        <v>2626733.8692999994</v>
      </c>
      <c r="N121" s="2">
        <f>SUMIF(收付款!A:A,采购合同!A:A,收付款!E:E)</f>
        <v>2626733.87</v>
      </c>
      <c r="O121" s="2"/>
      <c r="P121" s="90"/>
      <c r="Q121" s="1"/>
      <c r="R121" s="5"/>
      <c r="S121" s="4"/>
    </row>
    <row r="122" spans="1:19" ht="39" hidden="1" customHeight="1">
      <c r="A122" s="13" t="s">
        <v>2351</v>
      </c>
      <c r="B122" s="6" t="s">
        <v>147</v>
      </c>
      <c r="C122" s="6" t="s">
        <v>273</v>
      </c>
      <c r="D122" s="7">
        <v>42682</v>
      </c>
      <c r="E122" s="6" t="s">
        <v>195</v>
      </c>
      <c r="F122" s="8" t="s">
        <v>223</v>
      </c>
      <c r="G122" s="9">
        <v>30</v>
      </c>
      <c r="H122" s="10">
        <v>13340</v>
      </c>
      <c r="I122" s="11">
        <f t="shared" ref="I122:I127" si="8">G122*H122</f>
        <v>400200</v>
      </c>
      <c r="J122" s="12" t="s">
        <v>2352</v>
      </c>
      <c r="K122" s="3">
        <f>SUMIF(收发货!A:A,采购合同!A:A,收发货!D:D)</f>
        <v>30</v>
      </c>
      <c r="L122" s="3">
        <f>SUMIF(收开票!A:A,采购合同!A:A,收开票!H:H)</f>
        <v>30</v>
      </c>
      <c r="M122" s="1">
        <f>SUMIF(收开票!A:A,采购合同!A:A,收开票!I:I)</f>
        <v>400200</v>
      </c>
      <c r="N122" s="2">
        <f>SUMIF(收付款!A:A,采购合同!A:A,收付款!E:E)</f>
        <v>400200</v>
      </c>
      <c r="O122" s="2">
        <f t="shared" ref="O122:O136" si="9">K122*H122-N122</f>
        <v>0</v>
      </c>
      <c r="P122" s="90"/>
      <c r="Q122" s="1"/>
      <c r="R122" s="5"/>
      <c r="S122" s="4"/>
    </row>
    <row r="123" spans="1:19" ht="24.95" hidden="1" customHeight="1">
      <c r="A123" s="13" t="s">
        <v>2364</v>
      </c>
      <c r="B123" s="6" t="s">
        <v>217</v>
      </c>
      <c r="C123" s="6" t="s">
        <v>736</v>
      </c>
      <c r="D123" s="7">
        <v>42552</v>
      </c>
      <c r="E123" s="6" t="s">
        <v>737</v>
      </c>
      <c r="F123" s="8" t="s">
        <v>223</v>
      </c>
      <c r="G123" s="9">
        <v>1000</v>
      </c>
      <c r="H123" s="10">
        <v>390</v>
      </c>
      <c r="I123" s="11">
        <f t="shared" si="8"/>
        <v>390000</v>
      </c>
      <c r="J123" s="6" t="s">
        <v>1309</v>
      </c>
      <c r="K123" s="3">
        <f>SUMIF(收发货!A:A,采购合同!A:A,收发货!D:D)</f>
        <v>1000</v>
      </c>
      <c r="L123" s="3">
        <f>SUMIF(收开票!A:A,采购合同!A:A,收开票!H:H)</f>
        <v>1000</v>
      </c>
      <c r="M123" s="1">
        <f>SUMIF(收开票!A:A,采购合同!A:A,收开票!I:I)</f>
        <v>384000</v>
      </c>
      <c r="N123" s="2">
        <f>SUMIF(收付款!A:A,采购合同!A:A,收付款!E:E)</f>
        <v>384000</v>
      </c>
      <c r="O123" s="2">
        <f>K123*H123-N123</f>
        <v>6000</v>
      </c>
      <c r="P123" s="90"/>
      <c r="Q123" s="1"/>
      <c r="R123" s="5"/>
      <c r="S123" s="4"/>
    </row>
    <row r="124" spans="1:19" ht="24.95" hidden="1" customHeight="1">
      <c r="A124" s="13" t="s">
        <v>2365</v>
      </c>
      <c r="B124" s="6" t="s">
        <v>217</v>
      </c>
      <c r="C124" s="6" t="s">
        <v>736</v>
      </c>
      <c r="D124" s="7">
        <v>42552</v>
      </c>
      <c r="E124" s="6" t="s">
        <v>737</v>
      </c>
      <c r="F124" s="8" t="s">
        <v>223</v>
      </c>
      <c r="G124" s="9">
        <v>1000</v>
      </c>
      <c r="H124" s="10">
        <v>390</v>
      </c>
      <c r="I124" s="11">
        <f t="shared" si="8"/>
        <v>390000</v>
      </c>
      <c r="J124" s="6" t="s">
        <v>1309</v>
      </c>
      <c r="K124" s="3">
        <f>SUMIF(收发货!A:A,采购合同!A:A,收发货!D:D)</f>
        <v>1000</v>
      </c>
      <c r="L124" s="3">
        <f>SUMIF(收开票!A:A,采购合同!A:A,收开票!H:H)</f>
        <v>1000</v>
      </c>
      <c r="M124" s="1">
        <f>SUMIF(收开票!A:A,采购合同!A:A,收开票!I:I)</f>
        <v>390000</v>
      </c>
      <c r="N124" s="2">
        <f>SUMIF(收付款!A:A,采购合同!A:A,收付款!E:E)</f>
        <v>390000</v>
      </c>
      <c r="O124" s="2">
        <f t="shared" si="9"/>
        <v>0</v>
      </c>
      <c r="P124" s="90"/>
      <c r="Q124" s="1"/>
      <c r="R124" s="5"/>
      <c r="S124" s="4"/>
    </row>
    <row r="125" spans="1:19" ht="24.95" hidden="1" customHeight="1">
      <c r="A125" s="13" t="s">
        <v>2782</v>
      </c>
      <c r="B125" s="6" t="s">
        <v>217</v>
      </c>
      <c r="C125" s="6" t="s">
        <v>736</v>
      </c>
      <c r="D125" s="7">
        <v>42552</v>
      </c>
      <c r="E125" s="6" t="s">
        <v>737</v>
      </c>
      <c r="F125" s="8" t="s">
        <v>223</v>
      </c>
      <c r="G125" s="9">
        <v>1000</v>
      </c>
      <c r="H125" s="10">
        <v>390</v>
      </c>
      <c r="I125" s="11">
        <f t="shared" si="8"/>
        <v>390000</v>
      </c>
      <c r="J125" s="6" t="s">
        <v>1309</v>
      </c>
      <c r="K125" s="3">
        <f>SUMIF(收发货!A:A,采购合同!A:A,收发货!D:D)</f>
        <v>1000</v>
      </c>
      <c r="L125" s="3">
        <f>SUMIF(收开票!A:A,采购合同!A:A,收开票!H:H)</f>
        <v>1000</v>
      </c>
      <c r="M125" s="1">
        <f>SUMIF(收开票!A:A,采购合同!A:A,收开票!I:I)</f>
        <v>390000</v>
      </c>
      <c r="N125" s="2">
        <f>SUMIF(收付款!A:A,采购合同!A:A,收付款!E:E)</f>
        <v>390000</v>
      </c>
      <c r="O125" s="2">
        <f t="shared" si="9"/>
        <v>0</v>
      </c>
      <c r="P125" s="90"/>
      <c r="Q125" s="1"/>
      <c r="R125" s="5"/>
      <c r="S125" s="4"/>
    </row>
    <row r="126" spans="1:19" ht="24.95" hidden="1" customHeight="1">
      <c r="A126" s="13" t="s">
        <v>2367</v>
      </c>
      <c r="B126" s="6" t="s">
        <v>217</v>
      </c>
      <c r="C126" s="6" t="s">
        <v>736</v>
      </c>
      <c r="D126" s="7">
        <v>42552</v>
      </c>
      <c r="E126" s="6" t="s">
        <v>737</v>
      </c>
      <c r="F126" s="8" t="s">
        <v>223</v>
      </c>
      <c r="G126" s="9">
        <v>1000</v>
      </c>
      <c r="H126" s="10">
        <v>390</v>
      </c>
      <c r="I126" s="11">
        <f t="shared" si="8"/>
        <v>390000</v>
      </c>
      <c r="J126" s="6" t="s">
        <v>1309</v>
      </c>
      <c r="K126" s="3">
        <f>SUMIF(收发货!A:A,采购合同!A:A,收发货!D:D)</f>
        <v>1000</v>
      </c>
      <c r="L126" s="3">
        <f>SUMIF(收开票!A:A,采购合同!A:A,收开票!H:H)</f>
        <v>1000</v>
      </c>
      <c r="M126" s="1">
        <f>SUMIF(收开票!A:A,采购合同!A:A,收开票!I:I)</f>
        <v>390000</v>
      </c>
      <c r="N126" s="2">
        <f>SUMIF(收付款!A:A,采购合同!A:A,收付款!E:E)</f>
        <v>390000</v>
      </c>
      <c r="O126" s="2">
        <f t="shared" si="9"/>
        <v>0</v>
      </c>
      <c r="P126" s="90"/>
      <c r="Q126" s="1"/>
      <c r="R126" s="5"/>
      <c r="S126" s="4"/>
    </row>
    <row r="127" spans="1:19" ht="24.95" hidden="1" customHeight="1">
      <c r="A127" s="13" t="s">
        <v>2368</v>
      </c>
      <c r="B127" s="6" t="s">
        <v>217</v>
      </c>
      <c r="C127" s="6" t="s">
        <v>736</v>
      </c>
      <c r="D127" s="7">
        <v>42552</v>
      </c>
      <c r="E127" s="6" t="s">
        <v>737</v>
      </c>
      <c r="F127" s="8" t="s">
        <v>223</v>
      </c>
      <c r="G127" s="9">
        <v>1000</v>
      </c>
      <c r="H127" s="10">
        <v>390</v>
      </c>
      <c r="I127" s="11">
        <f t="shared" si="8"/>
        <v>390000</v>
      </c>
      <c r="J127" s="6" t="s">
        <v>1309</v>
      </c>
      <c r="K127" s="3">
        <f>SUMIF(收发货!A:A,采购合同!A:A,收发货!D:D)</f>
        <v>1000</v>
      </c>
      <c r="L127" s="3">
        <f>SUMIF(收开票!A:A,采购合同!A:A,收开票!H:H)</f>
        <v>1000</v>
      </c>
      <c r="M127" s="1">
        <f>SUMIF(收开票!A:A,采购合同!A:A,收开票!I:I)</f>
        <v>390000</v>
      </c>
      <c r="N127" s="2">
        <f>SUMIF(收付款!A:A,采购合同!A:A,收付款!E:E)</f>
        <v>390000</v>
      </c>
      <c r="O127" s="2">
        <f t="shared" si="9"/>
        <v>0</v>
      </c>
      <c r="P127" s="90"/>
      <c r="Q127" s="1"/>
      <c r="R127" s="5"/>
      <c r="S127" s="4"/>
    </row>
    <row r="128" spans="1:19" ht="36.75" hidden="1" customHeight="1">
      <c r="A128" s="13" t="s">
        <v>2506</v>
      </c>
      <c r="B128" s="6" t="s">
        <v>217</v>
      </c>
      <c r="C128" s="6" t="s">
        <v>218</v>
      </c>
      <c r="D128" s="7">
        <v>42682</v>
      </c>
      <c r="E128" s="6" t="s">
        <v>2337</v>
      </c>
      <c r="F128" s="8" t="s">
        <v>223</v>
      </c>
      <c r="G128" s="9">
        <v>10000</v>
      </c>
      <c r="H128" s="10">
        <v>648.77</v>
      </c>
      <c r="I128" s="11">
        <f>G128*H128</f>
        <v>6487700</v>
      </c>
      <c r="J128" s="12" t="s">
        <v>1274</v>
      </c>
      <c r="K128" s="3">
        <f>SUMIF(收发货!A:A,采购合同!A:A,收发货!D:D)</f>
        <v>10500</v>
      </c>
      <c r="L128" s="3">
        <f>SUMIF(收开票!A:A,采购合同!A:A,收开票!H:H)</f>
        <v>7813.5378999999994</v>
      </c>
      <c r="M128" s="1">
        <f>SUMIF(收开票!A:A,采购合同!A:A,收开票!I:I)</f>
        <v>4929620.9346779995</v>
      </c>
      <c r="N128" s="2">
        <f>SUMIF(收付款!A:A,采购合同!A:A,收付款!E:E)</f>
        <v>4929620.9300000006</v>
      </c>
      <c r="O128" s="2"/>
      <c r="P128" s="90"/>
      <c r="Q128" s="1"/>
      <c r="R128" s="5"/>
      <c r="S128" s="4"/>
    </row>
    <row r="129" spans="1:19" ht="43.5" hidden="1" customHeight="1">
      <c r="A129" s="13" t="s">
        <v>2437</v>
      </c>
      <c r="B129" s="6" t="s">
        <v>217</v>
      </c>
      <c r="C129" s="6" t="s">
        <v>2203</v>
      </c>
      <c r="D129" s="7">
        <v>42695</v>
      </c>
      <c r="E129" s="6" t="s">
        <v>2204</v>
      </c>
      <c r="F129" s="8" t="s">
        <v>223</v>
      </c>
      <c r="G129" s="9">
        <v>5000</v>
      </c>
      <c r="H129" s="10">
        <v>595.20000000000005</v>
      </c>
      <c r="I129" s="11">
        <f>G129*H129</f>
        <v>2976000</v>
      </c>
      <c r="J129" s="12" t="s">
        <v>1274</v>
      </c>
      <c r="K129" s="3">
        <f>SUMIF(收发货!A:A,采购合同!A:A,收发货!D:D)</f>
        <v>4997.9399999999996</v>
      </c>
      <c r="L129" s="3">
        <f>SUMIF(收开票!A:A,采购合同!A:A,收开票!H:H)</f>
        <v>4152.3100000000004</v>
      </c>
      <c r="M129" s="1">
        <f>SUMIF(收开票!A:A,采购合同!A:A,收开票!I:I)</f>
        <v>2308393.7000000002</v>
      </c>
      <c r="N129" s="2">
        <f>SUMIF(收付款!A:A,采购合同!A:A,收付款!E:E)</f>
        <v>2308393.7000000002</v>
      </c>
      <c r="O129" s="2">
        <f>M129-N129</f>
        <v>0</v>
      </c>
      <c r="P129" s="90"/>
      <c r="Q129" s="1"/>
      <c r="R129" s="5"/>
      <c r="S129" s="4"/>
    </row>
    <row r="130" spans="1:19" ht="24.95" hidden="1" customHeight="1">
      <c r="A130" s="13" t="s">
        <v>2482</v>
      </c>
      <c r="B130" s="6" t="s">
        <v>0</v>
      </c>
      <c r="C130" s="6" t="s">
        <v>194</v>
      </c>
      <c r="D130" s="7">
        <v>42704</v>
      </c>
      <c r="E130" s="6" t="s">
        <v>851</v>
      </c>
      <c r="F130" s="8" t="s">
        <v>223</v>
      </c>
      <c r="G130" s="9">
        <v>64</v>
      </c>
      <c r="H130" s="10">
        <v>14500</v>
      </c>
      <c r="I130" s="11">
        <f>G130*H130</f>
        <v>928000</v>
      </c>
      <c r="J130" s="12" t="s">
        <v>854</v>
      </c>
      <c r="K130" s="3">
        <f>SUMIF(收发货!A:A,采购合同!A:A,收发货!D:D)</f>
        <v>64</v>
      </c>
      <c r="L130" s="3">
        <f>SUMIF(收开票!A:A,采购合同!A:A,收开票!H:H)</f>
        <v>64</v>
      </c>
      <c r="M130" s="1">
        <f>SUMIF(收开票!A:A,采购合同!A:A,收开票!I:I)</f>
        <v>928000</v>
      </c>
      <c r="N130" s="2">
        <f>SUMIF(收付款!A:A,采购合同!A:A,收付款!E:E)</f>
        <v>928000</v>
      </c>
      <c r="O130" s="2">
        <f t="shared" si="9"/>
        <v>0</v>
      </c>
      <c r="P130" s="90"/>
      <c r="Q130" s="1"/>
      <c r="R130" s="5"/>
      <c r="S130" s="4"/>
    </row>
    <row r="131" spans="1:19" ht="43.5" hidden="1" customHeight="1">
      <c r="A131" s="13" t="s">
        <v>2484</v>
      </c>
      <c r="B131" s="6" t="s">
        <v>217</v>
      </c>
      <c r="C131" s="6" t="s">
        <v>2203</v>
      </c>
      <c r="D131" s="7">
        <v>42705</v>
      </c>
      <c r="E131" s="6" t="s">
        <v>2204</v>
      </c>
      <c r="F131" s="8" t="s">
        <v>223</v>
      </c>
      <c r="G131" s="9">
        <v>10000</v>
      </c>
      <c r="H131" s="10">
        <v>651</v>
      </c>
      <c r="I131" s="11">
        <f t="shared" ref="I131:I141" si="10">G131*H131</f>
        <v>6510000</v>
      </c>
      <c r="J131" s="12" t="s">
        <v>1274</v>
      </c>
      <c r="K131" s="3">
        <f>SUMIF(收发货!A:A,采购合同!A:A,收发货!D:D)</f>
        <v>9853.68</v>
      </c>
      <c r="L131" s="3">
        <f>SUMIF(收开票!A:A,采购合同!A:A,收开票!H:H)</f>
        <v>7746.7116999999998</v>
      </c>
      <c r="M131" s="1">
        <f>SUMIF(收开票!A:A,采购合同!A:A,收开票!I:I)</f>
        <v>4867507.5999999996</v>
      </c>
      <c r="N131" s="2">
        <f>SUMIF(收付款!A:A,采购合同!A:A,收付款!E:E)</f>
        <v>4867502.3686800003</v>
      </c>
      <c r="O131" s="2"/>
      <c r="P131" s="90"/>
      <c r="Q131" s="1"/>
      <c r="R131" s="5"/>
      <c r="S131" s="4"/>
    </row>
    <row r="132" spans="1:19" ht="51" hidden="1" customHeight="1">
      <c r="A132" s="13" t="s">
        <v>2634</v>
      </c>
      <c r="B132" s="6" t="s">
        <v>147</v>
      </c>
      <c r="C132" s="6" t="s">
        <v>194</v>
      </c>
      <c r="D132" s="7">
        <v>42709</v>
      </c>
      <c r="E132" s="6" t="s">
        <v>2633</v>
      </c>
      <c r="F132" s="8" t="s">
        <v>223</v>
      </c>
      <c r="G132" s="9">
        <v>128</v>
      </c>
      <c r="H132" s="10">
        <v>16145</v>
      </c>
      <c r="I132" s="11">
        <f t="shared" si="10"/>
        <v>2066560</v>
      </c>
      <c r="J132" s="12" t="s">
        <v>2495</v>
      </c>
      <c r="K132" s="3">
        <f>SUMIF(收发货!A:A,采购合同!A:A,收发货!D:D)</f>
        <v>128</v>
      </c>
      <c r="L132" s="3">
        <f>SUMIF(收开票!A:A,采购合同!A:A,收开票!H:H)</f>
        <v>128</v>
      </c>
      <c r="M132" s="1">
        <f>SUMIF(收开票!A:A,采购合同!A:A,收开票!I:I)</f>
        <v>2066560</v>
      </c>
      <c r="N132" s="2">
        <f>SUMIF(收付款!A:A,采购合同!A:A,收付款!E:E)</f>
        <v>2066560</v>
      </c>
      <c r="O132" s="2">
        <f t="shared" si="9"/>
        <v>0</v>
      </c>
      <c r="P132" s="90"/>
      <c r="Q132" s="1"/>
      <c r="R132" s="5"/>
      <c r="S132" s="4"/>
    </row>
    <row r="133" spans="1:19" ht="24.95" hidden="1" customHeight="1">
      <c r="A133" s="13" t="s">
        <v>2517</v>
      </c>
      <c r="B133" s="6" t="s">
        <v>127</v>
      </c>
      <c r="C133" s="6" t="s">
        <v>194</v>
      </c>
      <c r="D133" s="7">
        <v>42705</v>
      </c>
      <c r="E133" s="6" t="s">
        <v>875</v>
      </c>
      <c r="F133" s="8" t="s">
        <v>876</v>
      </c>
      <c r="G133" s="9">
        <v>120</v>
      </c>
      <c r="H133" s="10">
        <v>2380</v>
      </c>
      <c r="I133" s="11">
        <f>G133*H133</f>
        <v>285600</v>
      </c>
      <c r="J133" s="12" t="s">
        <v>877</v>
      </c>
      <c r="K133" s="3">
        <f>SUMIF(收发货!A:A,采购合同!A:A,收发货!D:D)</f>
        <v>120</v>
      </c>
      <c r="L133" s="3">
        <f>SUMIF(收开票!A:A,采购合同!A:A,收开票!H:H)</f>
        <v>120</v>
      </c>
      <c r="M133" s="1">
        <f>SUMIF(收开票!A:A,采购合同!A:A,收开票!I:I)</f>
        <v>285164.69</v>
      </c>
      <c r="N133" s="2">
        <f>SUMIF(收付款!A:A,采购合同!A:A,收付款!E:E)</f>
        <v>285164.69</v>
      </c>
      <c r="O133" s="2">
        <f t="shared" si="9"/>
        <v>435.30999999999767</v>
      </c>
      <c r="P133" s="90"/>
      <c r="Q133" s="1"/>
      <c r="R133" s="5"/>
      <c r="S133" s="4"/>
    </row>
    <row r="134" spans="1:19" ht="35.1" hidden="1" customHeight="1">
      <c r="A134" s="13" t="s">
        <v>2513</v>
      </c>
      <c r="B134" s="6" t="s">
        <v>127</v>
      </c>
      <c r="C134" s="6" t="s">
        <v>194</v>
      </c>
      <c r="D134" s="7">
        <v>42736</v>
      </c>
      <c r="E134" s="6" t="s">
        <v>2336</v>
      </c>
      <c r="F134" s="8" t="s">
        <v>876</v>
      </c>
      <c r="G134" s="9">
        <v>200</v>
      </c>
      <c r="H134" s="10">
        <v>2510</v>
      </c>
      <c r="I134" s="11">
        <f>G134*H134</f>
        <v>502000</v>
      </c>
      <c r="J134" s="12" t="s">
        <v>877</v>
      </c>
      <c r="K134" s="3">
        <f>SUMIF(收发货!A:A,采购合同!A:A,收发货!D:D)</f>
        <v>200</v>
      </c>
      <c r="L134" s="3">
        <f>SUMIF(收开票!A:A,采购合同!A:A,收开票!H:H)</f>
        <v>200</v>
      </c>
      <c r="M134" s="1">
        <f>SUMIF(收开票!A:A,采购合同!A:A,收开票!I:I)</f>
        <v>502000</v>
      </c>
      <c r="N134" s="2">
        <f>SUMIF(收付款!A:A,采购合同!A:A,收付款!E:E)</f>
        <v>502000</v>
      </c>
      <c r="O134" s="2">
        <f t="shared" si="9"/>
        <v>0</v>
      </c>
      <c r="P134" s="90"/>
      <c r="Q134" s="1"/>
      <c r="R134" s="5"/>
      <c r="S134" s="4"/>
    </row>
    <row r="135" spans="1:19" ht="24.95" hidden="1" customHeight="1">
      <c r="A135" s="13" t="s">
        <v>2514</v>
      </c>
      <c r="B135" s="6" t="s">
        <v>127</v>
      </c>
      <c r="C135" s="6" t="s">
        <v>194</v>
      </c>
      <c r="D135" s="7">
        <v>42736</v>
      </c>
      <c r="E135" s="6" t="s">
        <v>875</v>
      </c>
      <c r="F135" s="8" t="s">
        <v>876</v>
      </c>
      <c r="G135" s="9">
        <v>200</v>
      </c>
      <c r="H135" s="10">
        <v>2450</v>
      </c>
      <c r="I135" s="11">
        <f>G135*H135</f>
        <v>490000</v>
      </c>
      <c r="J135" s="12" t="s">
        <v>877</v>
      </c>
      <c r="K135" s="3">
        <f>SUMIF(收发货!A:A,采购合同!A:A,收发货!D:D)</f>
        <v>200</v>
      </c>
      <c r="L135" s="3">
        <f>SUMIF(收开票!A:A,采购合同!A:A,收开票!H:H)</f>
        <v>200</v>
      </c>
      <c r="M135" s="1">
        <f>SUMIF(收开票!A:A,采购合同!A:A,收开票!I:I)</f>
        <v>490000</v>
      </c>
      <c r="N135" s="2">
        <f>SUMIF(收付款!A:A,采购合同!A:A,收付款!E:E)</f>
        <v>490000</v>
      </c>
      <c r="O135" s="2">
        <f t="shared" si="9"/>
        <v>0</v>
      </c>
      <c r="P135" s="90"/>
      <c r="Q135" s="1"/>
      <c r="R135" s="5"/>
      <c r="S135" s="4"/>
    </row>
    <row r="136" spans="1:19" ht="24.95" hidden="1" customHeight="1">
      <c r="A136" s="13" t="s">
        <v>2515</v>
      </c>
      <c r="B136" s="6" t="s">
        <v>127</v>
      </c>
      <c r="C136" s="6" t="s">
        <v>194</v>
      </c>
      <c r="D136" s="7">
        <v>42767</v>
      </c>
      <c r="E136" s="6" t="s">
        <v>875</v>
      </c>
      <c r="F136" s="8" t="s">
        <v>876</v>
      </c>
      <c r="G136" s="9">
        <v>300</v>
      </c>
      <c r="H136" s="10">
        <v>2570</v>
      </c>
      <c r="I136" s="11">
        <f t="shared" si="10"/>
        <v>771000</v>
      </c>
      <c r="J136" s="12" t="s">
        <v>877</v>
      </c>
      <c r="K136" s="3">
        <f>SUMIF(收发货!A:A,采购合同!A:A,收发货!D:D)</f>
        <v>300</v>
      </c>
      <c r="L136" s="3">
        <f>SUMIF(收开票!A:A,采购合同!A:A,收开票!H:H)</f>
        <v>300</v>
      </c>
      <c r="M136" s="1">
        <f>SUMIF(收开票!A:A,采购合同!A:A,收开票!I:I)</f>
        <v>771000</v>
      </c>
      <c r="N136" s="2">
        <f>SUMIF(收付款!A:A,采购合同!A:A,收付款!E:E)</f>
        <v>769165.8</v>
      </c>
      <c r="O136" s="2">
        <f t="shared" si="9"/>
        <v>1834.1999999999534</v>
      </c>
      <c r="P136" s="90"/>
      <c r="Q136" s="1"/>
      <c r="R136" s="5"/>
      <c r="S136" s="4"/>
    </row>
    <row r="137" spans="1:19" ht="55.5" hidden="1" customHeight="1">
      <c r="A137" s="13" t="s">
        <v>2897</v>
      </c>
      <c r="B137" s="6" t="s">
        <v>2898</v>
      </c>
      <c r="C137" s="6" t="s">
        <v>2899</v>
      </c>
      <c r="D137" s="7">
        <v>42723</v>
      </c>
      <c r="E137" s="6" t="s">
        <v>2900</v>
      </c>
      <c r="F137" s="8" t="s">
        <v>2901</v>
      </c>
      <c r="G137" s="9">
        <v>240</v>
      </c>
      <c r="H137" s="10">
        <v>7980</v>
      </c>
      <c r="I137" s="11">
        <f t="shared" si="10"/>
        <v>1915200</v>
      </c>
      <c r="J137" s="12" t="s">
        <v>2902</v>
      </c>
      <c r="K137" s="3">
        <f>SUMIF(收发货!A:A,采购合同!A:A,收发货!D:D)</f>
        <v>240</v>
      </c>
      <c r="L137" s="3">
        <f>SUMIF(收开票!A:A,采购合同!A:A,收开票!H:H)</f>
        <v>244.17000000000002</v>
      </c>
      <c r="M137" s="1">
        <f>SUMIF(收开票!A:A,采购合同!A:A,收开票!I:I)</f>
        <v>1779675.42</v>
      </c>
      <c r="N137" s="2">
        <f>SUMIF(收付款!A:A,采购合同!A:A,收付款!E:E)</f>
        <v>1779675.42</v>
      </c>
      <c r="O137" s="2"/>
      <c r="P137" s="90"/>
      <c r="Q137" s="1"/>
      <c r="R137" s="5"/>
      <c r="S137" s="4"/>
    </row>
    <row r="138" spans="1:19" ht="35.1" hidden="1" customHeight="1">
      <c r="A138" s="13" t="s">
        <v>2576</v>
      </c>
      <c r="B138" s="6" t="s">
        <v>193</v>
      </c>
      <c r="C138" s="6" t="s">
        <v>194</v>
      </c>
      <c r="D138" s="7">
        <v>42732</v>
      </c>
      <c r="E138" s="6" t="s">
        <v>654</v>
      </c>
      <c r="F138" s="8" t="s">
        <v>2577</v>
      </c>
      <c r="G138" s="9">
        <v>32</v>
      </c>
      <c r="H138" s="10">
        <v>15650</v>
      </c>
      <c r="I138" s="11">
        <f t="shared" si="10"/>
        <v>500800</v>
      </c>
      <c r="J138" s="12" t="s">
        <v>657</v>
      </c>
      <c r="K138" s="3">
        <f>SUMIF(收发货!A:A,采购合同!A:A,收发货!D:D)</f>
        <v>32</v>
      </c>
      <c r="L138" s="3">
        <f>SUMIF(收开票!A:A,采购合同!A:A,收开票!H:H)</f>
        <v>32</v>
      </c>
      <c r="M138" s="1">
        <f>SUMIF(收开票!A:A,采购合同!A:A,收开票!I:I)</f>
        <v>500800</v>
      </c>
      <c r="N138" s="2">
        <f>SUMIF(收付款!A:A,采购合同!A:A,收付款!E:E)</f>
        <v>500800</v>
      </c>
      <c r="O138" s="2"/>
      <c r="P138" s="90"/>
      <c r="Q138" s="1"/>
      <c r="R138" s="5"/>
      <c r="S138" s="4"/>
    </row>
    <row r="139" spans="1:19" ht="35.1" hidden="1" customHeight="1">
      <c r="A139" s="13" t="s">
        <v>2606</v>
      </c>
      <c r="B139" s="6" t="s">
        <v>2607</v>
      </c>
      <c r="C139" s="6" t="s">
        <v>2612</v>
      </c>
      <c r="D139" s="7">
        <v>42638</v>
      </c>
      <c r="E139" s="6" t="s">
        <v>2608</v>
      </c>
      <c r="F139" s="8" t="s">
        <v>223</v>
      </c>
      <c r="G139" s="9">
        <v>4</v>
      </c>
      <c r="H139" s="10">
        <v>800</v>
      </c>
      <c r="I139" s="11">
        <f t="shared" si="10"/>
        <v>3200</v>
      </c>
      <c r="J139" s="12"/>
      <c r="K139" s="3">
        <f>SUMIF(收发货!A:A,采购合同!A:A,收发货!D:D)</f>
        <v>4</v>
      </c>
      <c r="L139" s="3">
        <f>SUMIF(收开票!A:A,采购合同!A:A,收开票!H:H)</f>
        <v>4</v>
      </c>
      <c r="M139" s="1">
        <f>SUMIF(收开票!A:A,采购合同!A:A,收开票!I:I)</f>
        <v>3200</v>
      </c>
      <c r="N139" s="2">
        <f>SUMIF(收付款!A:A,采购合同!A:A,收付款!E:E)</f>
        <v>3200</v>
      </c>
      <c r="O139" s="2"/>
      <c r="P139" s="90"/>
      <c r="Q139" s="1"/>
      <c r="R139" s="5"/>
      <c r="S139" s="4"/>
    </row>
    <row r="140" spans="1:19" ht="35.1" hidden="1" customHeight="1">
      <c r="A140" s="13" t="s">
        <v>2609</v>
      </c>
      <c r="B140" s="6" t="s">
        <v>2607</v>
      </c>
      <c r="C140" s="6" t="s">
        <v>2613</v>
      </c>
      <c r="D140" s="7">
        <v>42638</v>
      </c>
      <c r="E140" s="6" t="s">
        <v>2608</v>
      </c>
      <c r="F140" s="8" t="s">
        <v>223</v>
      </c>
      <c r="G140" s="9">
        <v>4</v>
      </c>
      <c r="H140" s="10">
        <v>200</v>
      </c>
      <c r="I140" s="11">
        <f t="shared" si="10"/>
        <v>800</v>
      </c>
      <c r="J140" s="12"/>
      <c r="K140" s="3">
        <f>SUMIF(收发货!A:A,采购合同!A:A,收发货!D:D)</f>
        <v>4</v>
      </c>
      <c r="L140" s="3">
        <f>SUMIF(收开票!A:A,采购合同!A:A,收开票!H:H)</f>
        <v>4</v>
      </c>
      <c r="M140" s="1">
        <f>SUMIF(收开票!A:A,采购合同!A:A,收开票!I:I)</f>
        <v>800</v>
      </c>
      <c r="N140" s="2">
        <f>SUMIF(收付款!A:A,采购合同!A:A,收付款!E:E)</f>
        <v>800</v>
      </c>
      <c r="O140" s="2"/>
      <c r="P140" s="90"/>
      <c r="Q140" s="1"/>
      <c r="R140" s="5"/>
      <c r="S140" s="4"/>
    </row>
    <row r="141" spans="1:19" ht="35.1" hidden="1" customHeight="1">
      <c r="A141" s="13" t="s">
        <v>2610</v>
      </c>
      <c r="B141" s="6" t="s">
        <v>2607</v>
      </c>
      <c r="C141" s="6" t="s">
        <v>2611</v>
      </c>
      <c r="D141" s="7">
        <v>42638</v>
      </c>
      <c r="E141" s="6" t="s">
        <v>2608</v>
      </c>
      <c r="F141" s="8" t="s">
        <v>223</v>
      </c>
      <c r="G141" s="9">
        <v>4</v>
      </c>
      <c r="H141" s="10">
        <v>1560</v>
      </c>
      <c r="I141" s="11">
        <f t="shared" si="10"/>
        <v>6240</v>
      </c>
      <c r="J141" s="12"/>
      <c r="K141" s="3">
        <f>SUMIF(收发货!A:A,采购合同!A:A,收发货!D:D)</f>
        <v>4</v>
      </c>
      <c r="L141" s="3">
        <f>SUMIF(收开票!A:A,采购合同!A:A,收开票!H:H)</f>
        <v>4</v>
      </c>
      <c r="M141" s="1">
        <f>SUMIF(收开票!A:A,采购合同!A:A,收开票!I:I)</f>
        <v>6240</v>
      </c>
      <c r="N141" s="2">
        <f>SUMIF(收付款!A:A,采购合同!A:A,收付款!E:E)</f>
        <v>6240</v>
      </c>
      <c r="O141" s="2"/>
      <c r="P141" s="90"/>
      <c r="Q141" s="1"/>
      <c r="R141" s="5"/>
      <c r="S141" s="4"/>
    </row>
    <row r="142" spans="1:19" ht="43.5" hidden="1" customHeight="1">
      <c r="A142" s="13" t="s">
        <v>2811</v>
      </c>
      <c r="B142" s="6" t="s">
        <v>217</v>
      </c>
      <c r="C142" s="6" t="s">
        <v>2203</v>
      </c>
      <c r="D142" s="7">
        <v>42745</v>
      </c>
      <c r="E142" s="6" t="s">
        <v>2204</v>
      </c>
      <c r="F142" s="8" t="s">
        <v>1867</v>
      </c>
      <c r="G142" s="9">
        <v>5000</v>
      </c>
      <c r="H142" s="10">
        <v>667</v>
      </c>
      <c r="I142" s="11">
        <f t="shared" ref="I142:I147" si="11">G142*H142</f>
        <v>3335000</v>
      </c>
      <c r="J142" s="12" t="s">
        <v>1274</v>
      </c>
      <c r="K142" s="3">
        <f>SUMIF(收发货!A:A,采购合同!A:A,收发货!D:D)</f>
        <v>4958.24</v>
      </c>
      <c r="L142" s="3">
        <f>SUMIF(收开票!A:A,采购合同!A:A,收开票!H:H)</f>
        <v>4166.2975999999999</v>
      </c>
      <c r="M142" s="1">
        <f>SUMIF(收开票!A:A,采购合同!A:A,收开票!I:I)</f>
        <v>2708423.7572699999</v>
      </c>
      <c r="N142" s="2">
        <f>SUMIF(收付款!A:A,采购合同!A:A,收付款!E:E)</f>
        <v>2708423.7572699999</v>
      </c>
      <c r="O142" s="2"/>
      <c r="P142" s="90"/>
      <c r="Q142" s="1"/>
      <c r="R142" s="5"/>
      <c r="S142" s="4"/>
    </row>
    <row r="143" spans="1:19" ht="29.25" hidden="1" customHeight="1">
      <c r="A143" s="13" t="s">
        <v>2648</v>
      </c>
      <c r="B143" s="6" t="s">
        <v>0</v>
      </c>
      <c r="C143" s="6" t="s">
        <v>194</v>
      </c>
      <c r="D143" s="7">
        <v>42752</v>
      </c>
      <c r="E143" s="6" t="s">
        <v>851</v>
      </c>
      <c r="F143" s="8" t="s">
        <v>3</v>
      </c>
      <c r="G143" s="9">
        <v>96</v>
      </c>
      <c r="H143" s="10">
        <v>13200</v>
      </c>
      <c r="I143" s="11">
        <f t="shared" si="11"/>
        <v>1267200</v>
      </c>
      <c r="J143" s="12" t="s">
        <v>2649</v>
      </c>
      <c r="K143" s="3">
        <f>SUMIF(收发货!A:A,采购合同!A:A,收发货!D:D)</f>
        <v>96</v>
      </c>
      <c r="L143" s="3">
        <f>SUMIF(收开票!A:A,采购合同!A:A,收开票!H:H)</f>
        <v>96</v>
      </c>
      <c r="M143" s="1">
        <f>SUMIF(收开票!A:A,采购合同!A:A,收开票!I:I)</f>
        <v>1267200</v>
      </c>
      <c r="N143" s="2">
        <f>SUMIF(收付款!A:A,采购合同!A:A,收付款!E:E)</f>
        <v>1267200</v>
      </c>
      <c r="O143" s="2">
        <f>K143*H143-N143</f>
        <v>0</v>
      </c>
      <c r="P143" s="90"/>
      <c r="Q143" s="1"/>
      <c r="R143" s="5"/>
      <c r="S143" s="4"/>
    </row>
    <row r="144" spans="1:19" ht="24.95" hidden="1" customHeight="1">
      <c r="A144" s="13" t="s">
        <v>2652</v>
      </c>
      <c r="B144" s="6" t="s">
        <v>0</v>
      </c>
      <c r="C144" s="6" t="s">
        <v>194</v>
      </c>
      <c r="D144" s="7">
        <v>42752</v>
      </c>
      <c r="E144" s="6" t="s">
        <v>3629</v>
      </c>
      <c r="F144" s="8" t="s">
        <v>223</v>
      </c>
      <c r="G144" s="9">
        <v>32</v>
      </c>
      <c r="H144" s="10">
        <v>13000</v>
      </c>
      <c r="I144" s="11">
        <f t="shared" si="11"/>
        <v>416000</v>
      </c>
      <c r="J144" s="12" t="s">
        <v>2654</v>
      </c>
      <c r="K144" s="3">
        <f>SUMIF(收发货!A:A,采购合同!A:A,收发货!D:D)</f>
        <v>32</v>
      </c>
      <c r="L144" s="3">
        <f>SUMIF(收开票!A:A,采购合同!A:A,收开票!H:H)</f>
        <v>32</v>
      </c>
      <c r="M144" s="1">
        <f>SUMIF(收开票!A:A,采购合同!A:A,收开票!I:I)</f>
        <v>416000</v>
      </c>
      <c r="N144" s="2">
        <f>SUMIF(收付款!A:A,采购合同!A:A,收付款!E:E)</f>
        <v>416000</v>
      </c>
      <c r="O144" s="2"/>
      <c r="P144" s="90"/>
      <c r="Q144" s="1"/>
      <c r="R144" s="5"/>
      <c r="S144" s="4"/>
    </row>
    <row r="145" spans="1:19" ht="49.5" hidden="1" customHeight="1">
      <c r="A145" s="13" t="s">
        <v>2655</v>
      </c>
      <c r="B145" s="6" t="s">
        <v>147</v>
      </c>
      <c r="C145" s="6" t="s">
        <v>603</v>
      </c>
      <c r="D145" s="7">
        <v>42752</v>
      </c>
      <c r="E145" s="6" t="s">
        <v>479</v>
      </c>
      <c r="F145" s="8" t="s">
        <v>223</v>
      </c>
      <c r="G145" s="9">
        <v>240</v>
      </c>
      <c r="H145" s="10">
        <v>7400</v>
      </c>
      <c r="I145" s="11">
        <f t="shared" si="11"/>
        <v>1776000</v>
      </c>
      <c r="J145" s="12" t="s">
        <v>2656</v>
      </c>
      <c r="K145" s="3">
        <f>SUMIF(收发货!A:A,采购合同!A:A,收发货!D:D)</f>
        <v>240</v>
      </c>
      <c r="L145" s="3">
        <f>SUMIF(收开票!A:A,采购合同!A:A,收开票!H:H)</f>
        <v>245.97380000000001</v>
      </c>
      <c r="M145" s="1">
        <f>SUMIF(收开票!A:A,采购合同!A:A,收开票!I:I)</f>
        <v>1820206.12</v>
      </c>
      <c r="N145" s="2">
        <f>SUMIF(收付款!A:A,采购合同!A:A,收付款!E:E)</f>
        <v>1820206.12</v>
      </c>
      <c r="O145" s="2"/>
      <c r="P145" s="90"/>
      <c r="Q145" s="1"/>
      <c r="R145" s="5"/>
      <c r="S145" s="4"/>
    </row>
    <row r="146" spans="1:19" ht="35.1" hidden="1" customHeight="1">
      <c r="A146" s="13" t="s">
        <v>2683</v>
      </c>
      <c r="B146" s="6" t="s">
        <v>2607</v>
      </c>
      <c r="C146" s="6" t="s">
        <v>2612</v>
      </c>
      <c r="D146" s="7">
        <v>42675</v>
      </c>
      <c r="E146" s="6" t="s">
        <v>2608</v>
      </c>
      <c r="F146" s="8" t="s">
        <v>223</v>
      </c>
      <c r="G146" s="9">
        <v>20</v>
      </c>
      <c r="H146" s="10">
        <v>650</v>
      </c>
      <c r="I146" s="11">
        <f t="shared" si="11"/>
        <v>13000</v>
      </c>
      <c r="J146" s="12"/>
      <c r="K146" s="3">
        <f>SUMIF(收发货!A:A,采购合同!A:A,收发货!D:D)</f>
        <v>20</v>
      </c>
      <c r="L146" s="3">
        <f>SUMIF(收开票!A:A,采购合同!A:A,收开票!H:H)</f>
        <v>20</v>
      </c>
      <c r="M146" s="1">
        <f>SUMIF(收开票!A:A,采购合同!A:A,收开票!I:I)</f>
        <v>13000</v>
      </c>
      <c r="N146" s="2">
        <f>SUMIF(收付款!A:A,采购合同!A:A,收付款!E:E)</f>
        <v>13000</v>
      </c>
      <c r="O146" s="2"/>
      <c r="P146" s="90"/>
      <c r="Q146" s="1"/>
      <c r="R146" s="5"/>
      <c r="S146" s="4"/>
    </row>
    <row r="147" spans="1:19" ht="35.1" hidden="1" customHeight="1">
      <c r="A147" s="13" t="s">
        <v>2684</v>
      </c>
      <c r="B147" s="6" t="s">
        <v>2607</v>
      </c>
      <c r="C147" s="6" t="s">
        <v>2613</v>
      </c>
      <c r="D147" s="7">
        <v>42675</v>
      </c>
      <c r="E147" s="6" t="s">
        <v>2608</v>
      </c>
      <c r="F147" s="8" t="s">
        <v>223</v>
      </c>
      <c r="G147" s="9">
        <v>20</v>
      </c>
      <c r="H147" s="10">
        <v>125</v>
      </c>
      <c r="I147" s="11">
        <f t="shared" si="11"/>
        <v>2500</v>
      </c>
      <c r="J147" s="12"/>
      <c r="K147" s="3">
        <f>SUMIF(收发货!A:A,采购合同!A:A,收发货!D:D)</f>
        <v>20</v>
      </c>
      <c r="L147" s="3">
        <f>SUMIF(收开票!A:A,采购合同!A:A,收开票!H:H)</f>
        <v>20</v>
      </c>
      <c r="M147" s="1">
        <f>SUMIF(收开票!A:A,采购合同!A:A,收开票!I:I)</f>
        <v>2500</v>
      </c>
      <c r="N147" s="2">
        <f>SUMIF(收付款!A:A,采购合同!A:A,收付款!E:E)</f>
        <v>2500</v>
      </c>
      <c r="O147" s="2"/>
      <c r="P147" s="90"/>
      <c r="Q147" s="1"/>
      <c r="R147" s="5"/>
      <c r="S147" s="4"/>
    </row>
    <row r="148" spans="1:19" ht="43.5" hidden="1" customHeight="1">
      <c r="A148" s="13" t="s">
        <v>2697</v>
      </c>
      <c r="B148" s="6" t="s">
        <v>217</v>
      </c>
      <c r="C148" s="6" t="s">
        <v>2203</v>
      </c>
      <c r="D148" s="7">
        <v>42757</v>
      </c>
      <c r="E148" s="6" t="s">
        <v>2204</v>
      </c>
      <c r="F148" s="8" t="s">
        <v>1867</v>
      </c>
      <c r="G148" s="9">
        <v>5000</v>
      </c>
      <c r="H148" s="10">
        <v>670</v>
      </c>
      <c r="I148" s="11">
        <f t="shared" ref="I148:I154" si="12">G148*H148</f>
        <v>3350000</v>
      </c>
      <c r="J148" s="12" t="s">
        <v>2698</v>
      </c>
      <c r="K148" s="3">
        <f>SUMIF(收发货!A:A,采购合同!A:A,收发货!D:D)</f>
        <v>4534.3599999999997</v>
      </c>
      <c r="L148" s="3">
        <f>SUMIF(收开票!A:A,采购合同!A:A,收开票!H:H)</f>
        <v>3883.6723999999999</v>
      </c>
      <c r="M148" s="1">
        <f>SUMIF(收开票!A:A,采购合同!A:A,收开票!I:I)</f>
        <v>2554348.4088060004</v>
      </c>
      <c r="N148" s="2">
        <f>SUMIF(收付款!A:A,采购合同!A:A,收付款!E:E)</f>
        <v>2554348.4088060004</v>
      </c>
      <c r="O148" s="2">
        <f>M148-N148</f>
        <v>0</v>
      </c>
      <c r="P148" s="90"/>
      <c r="Q148" s="1"/>
      <c r="R148" s="5"/>
      <c r="S148" s="4"/>
    </row>
    <row r="149" spans="1:19" ht="51" hidden="1" customHeight="1">
      <c r="A149" s="13" t="s">
        <v>2796</v>
      </c>
      <c r="B149" s="6" t="s">
        <v>147</v>
      </c>
      <c r="C149" s="6" t="s">
        <v>194</v>
      </c>
      <c r="D149" s="7">
        <v>42767</v>
      </c>
      <c r="E149" s="6" t="s">
        <v>2011</v>
      </c>
      <c r="F149" s="8" t="s">
        <v>223</v>
      </c>
      <c r="G149" s="9">
        <v>64</v>
      </c>
      <c r="H149" s="10">
        <v>12834</v>
      </c>
      <c r="I149" s="11">
        <f t="shared" si="12"/>
        <v>821376</v>
      </c>
      <c r="J149" s="12" t="s">
        <v>2700</v>
      </c>
      <c r="K149" s="3">
        <f>SUMIF(收发货!A:A,采购合同!A:A,收发货!D:D)</f>
        <v>64</v>
      </c>
      <c r="L149" s="3">
        <f>SUMIF(收开票!A:A,采购合同!A:A,收开票!H:H)</f>
        <v>64</v>
      </c>
      <c r="M149" s="1">
        <f>SUMIF(收开票!A:A,采购合同!A:A,收开票!I:I)</f>
        <v>821376</v>
      </c>
      <c r="N149" s="2">
        <f>SUMIF(收付款!A:A,采购合同!A:A,收付款!E:E)</f>
        <v>821376</v>
      </c>
      <c r="O149" s="2"/>
      <c r="P149" s="90"/>
      <c r="Q149" s="1"/>
      <c r="R149" s="5"/>
      <c r="S149" s="4"/>
    </row>
    <row r="150" spans="1:19" ht="43.5" hidden="1" customHeight="1">
      <c r="A150" s="13" t="s">
        <v>2701</v>
      </c>
      <c r="B150" s="6" t="s">
        <v>127</v>
      </c>
      <c r="C150" s="6" t="s">
        <v>194</v>
      </c>
      <c r="D150" s="7">
        <v>42767</v>
      </c>
      <c r="E150" s="6" t="s">
        <v>2336</v>
      </c>
      <c r="F150" s="8" t="s">
        <v>223</v>
      </c>
      <c r="G150" s="9">
        <v>120</v>
      </c>
      <c r="H150" s="10">
        <v>13350</v>
      </c>
      <c r="I150" s="11">
        <f t="shared" si="12"/>
        <v>1602000</v>
      </c>
      <c r="J150" s="12" t="s">
        <v>2702</v>
      </c>
      <c r="K150" s="3">
        <f>SUMIF(收发货!A:A,采购合同!A:A,收发货!D:D)</f>
        <v>128</v>
      </c>
      <c r="L150" s="3">
        <f>SUMIF(收开票!A:A,采购合同!A:A,收开票!H:H)</f>
        <v>128</v>
      </c>
      <c r="M150" s="1">
        <f>SUMIF(收开票!A:A,采购合同!A:A,收开票!I:I)</f>
        <v>1708800</v>
      </c>
      <c r="N150" s="2">
        <f>SUMIF(收付款!A:A,采购合同!A:A,收付款!E:E)</f>
        <v>1708800</v>
      </c>
      <c r="O150" s="2"/>
      <c r="P150" s="90"/>
      <c r="Q150" s="1"/>
      <c r="R150" s="5"/>
      <c r="S150" s="4"/>
    </row>
    <row r="151" spans="1:19" ht="50.1" hidden="1" customHeight="1">
      <c r="A151" s="13" t="s">
        <v>2756</v>
      </c>
      <c r="B151" s="6" t="s">
        <v>0</v>
      </c>
      <c r="C151" s="6" t="s">
        <v>1</v>
      </c>
      <c r="D151" s="7">
        <v>42783</v>
      </c>
      <c r="E151" s="6" t="s">
        <v>4050</v>
      </c>
      <c r="F151" s="8" t="s">
        <v>2757</v>
      </c>
      <c r="G151" s="9">
        <v>180</v>
      </c>
      <c r="H151" s="10">
        <v>6400</v>
      </c>
      <c r="I151" s="11">
        <f t="shared" si="12"/>
        <v>1152000</v>
      </c>
      <c r="J151" s="12" t="s">
        <v>2758</v>
      </c>
      <c r="K151" s="3">
        <f>SUMIF(收发货!A:A,采购合同!A:A,收发货!D:D)</f>
        <v>182.76</v>
      </c>
      <c r="L151" s="3">
        <f>SUMIF(收开票!A:A,采购合同!A:A,收开票!H:H)</f>
        <v>187.12270000000001</v>
      </c>
      <c r="M151" s="1">
        <f>SUMIF(收开票!A:A,采购合同!A:A,收开票!I:I)</f>
        <v>1196845.47</v>
      </c>
      <c r="N151" s="2">
        <f>SUMIF(收付款!A:A,采购合同!A:A,收付款!E:E)</f>
        <v>1196845.47</v>
      </c>
      <c r="O151" s="2">
        <f>M151-N151</f>
        <v>0</v>
      </c>
      <c r="P151" s="90"/>
      <c r="Q151" s="1"/>
      <c r="R151" s="5"/>
      <c r="S151" s="4"/>
    </row>
    <row r="152" spans="1:19" ht="50.1" hidden="1" customHeight="1">
      <c r="A152" s="13" t="s">
        <v>2798</v>
      </c>
      <c r="B152" s="6" t="s">
        <v>2760</v>
      </c>
      <c r="C152" s="6" t="s">
        <v>2761</v>
      </c>
      <c r="D152" s="7">
        <v>42789</v>
      </c>
      <c r="E152" s="6" t="s">
        <v>2797</v>
      </c>
      <c r="F152" s="8" t="s">
        <v>2757</v>
      </c>
      <c r="G152" s="9">
        <v>15000</v>
      </c>
      <c r="H152" s="10">
        <v>915</v>
      </c>
      <c r="I152" s="11">
        <f t="shared" si="12"/>
        <v>13725000</v>
      </c>
      <c r="J152" s="12" t="s">
        <v>2762</v>
      </c>
      <c r="K152" s="3">
        <f>SUMIF(收发货!A:A,采购合同!A:A,收发货!D:D)</f>
        <v>15000</v>
      </c>
      <c r="L152" s="3">
        <f>SUMIF(收开票!A:A,采购合同!A:A,收开票!H:H)</f>
        <v>14560.7</v>
      </c>
      <c r="M152" s="1">
        <f>SUMIF(收开票!A:A,采购合同!A:A,收开票!I:I)</f>
        <v>13323040.5</v>
      </c>
      <c r="N152" s="2">
        <f>SUMIF(收付款!A:A,采购合同!A:A,收付款!E:E)</f>
        <v>13323040.5</v>
      </c>
      <c r="O152" s="2"/>
      <c r="P152" s="90"/>
      <c r="Q152" s="1"/>
      <c r="R152" s="5"/>
      <c r="S152" s="4"/>
    </row>
    <row r="153" spans="1:19" ht="24.95" hidden="1" customHeight="1">
      <c r="A153" s="13" t="s">
        <v>2785</v>
      </c>
      <c r="B153" s="6" t="s">
        <v>217</v>
      </c>
      <c r="C153" s="6" t="s">
        <v>736</v>
      </c>
      <c r="D153" s="7">
        <v>42744</v>
      </c>
      <c r="E153" s="6" t="s">
        <v>737</v>
      </c>
      <c r="F153" s="8" t="s">
        <v>223</v>
      </c>
      <c r="G153" s="9">
        <v>800</v>
      </c>
      <c r="H153" s="10">
        <v>400</v>
      </c>
      <c r="I153" s="11">
        <f t="shared" si="12"/>
        <v>320000</v>
      </c>
      <c r="J153" s="6" t="s">
        <v>1309</v>
      </c>
      <c r="K153" s="3">
        <f>SUMIF(收发货!A:A,采购合同!A:A,收发货!D:D)</f>
        <v>800</v>
      </c>
      <c r="L153" s="3">
        <f>SUMIF(收开票!A:A,采购合同!A:A,收开票!H:H)</f>
        <v>800</v>
      </c>
      <c r="M153" s="1">
        <f>SUMIF(收开票!A:A,采购合同!A:A,收开票!I:I)</f>
        <v>320000</v>
      </c>
      <c r="N153" s="2">
        <f>SUMIF(收付款!A:A,采购合同!A:A,收付款!E:E)</f>
        <v>320000</v>
      </c>
      <c r="O153" s="2">
        <f>K153*H153-N153</f>
        <v>0</v>
      </c>
      <c r="P153" s="90"/>
      <c r="Q153" s="1"/>
      <c r="R153" s="5"/>
      <c r="S153" s="4"/>
    </row>
    <row r="154" spans="1:19" ht="24.95" hidden="1" customHeight="1">
      <c r="A154" s="13" t="s">
        <v>2942</v>
      </c>
      <c r="B154" s="6" t="s">
        <v>217</v>
      </c>
      <c r="C154" s="6" t="s">
        <v>736</v>
      </c>
      <c r="D154" s="7">
        <v>42744</v>
      </c>
      <c r="E154" s="6" t="s">
        <v>737</v>
      </c>
      <c r="F154" s="8" t="s">
        <v>223</v>
      </c>
      <c r="G154" s="9">
        <v>900</v>
      </c>
      <c r="H154" s="10">
        <v>400</v>
      </c>
      <c r="I154" s="11">
        <f t="shared" si="12"/>
        <v>360000</v>
      </c>
      <c r="J154" s="6" t="s">
        <v>1309</v>
      </c>
      <c r="K154" s="3">
        <f>SUMIF(收发货!A:A,采购合同!A:A,收发货!D:D)</f>
        <v>900</v>
      </c>
      <c r="L154" s="3">
        <f>SUMIF(收开票!A:A,采购合同!A:A,收开票!H:H)</f>
        <v>900</v>
      </c>
      <c r="M154" s="1">
        <f>SUMIF(收开票!A:A,采购合同!A:A,收开票!I:I)</f>
        <v>360000</v>
      </c>
      <c r="N154" s="2">
        <f>SUMIF(收付款!A:A,采购合同!A:A,收付款!E:E)</f>
        <v>360000</v>
      </c>
      <c r="O154" s="2">
        <f>K154*H154-N154</f>
        <v>0</v>
      </c>
      <c r="P154" s="90"/>
      <c r="Q154" s="1"/>
      <c r="R154" s="5"/>
      <c r="S154" s="4"/>
    </row>
    <row r="155" spans="1:19" ht="24.95" hidden="1" customHeight="1">
      <c r="A155" s="13" t="s">
        <v>2944</v>
      </c>
      <c r="B155" s="6" t="s">
        <v>217</v>
      </c>
      <c r="C155" s="6" t="s">
        <v>736</v>
      </c>
      <c r="D155" s="7">
        <v>42744</v>
      </c>
      <c r="E155" s="6" t="s">
        <v>737</v>
      </c>
      <c r="F155" s="8" t="s">
        <v>223</v>
      </c>
      <c r="G155" s="9">
        <v>1000</v>
      </c>
      <c r="H155" s="10">
        <v>424.5</v>
      </c>
      <c r="I155" s="11">
        <f>400*300+435*700</f>
        <v>424500</v>
      </c>
      <c r="J155" s="6" t="s">
        <v>1309</v>
      </c>
      <c r="K155" s="3">
        <f>SUMIF(收发货!A:A,采购合同!A:A,收发货!D:D)</f>
        <v>1000</v>
      </c>
      <c r="L155" s="3">
        <f>SUMIF(收开票!A:A,采购合同!A:A,收开票!H:H)</f>
        <v>1000</v>
      </c>
      <c r="M155" s="1">
        <f>SUMIF(收开票!A:A,采购合同!A:A,收开票!I:I)</f>
        <v>424500</v>
      </c>
      <c r="N155" s="2">
        <f>SUMIF(收付款!A:A,采购合同!A:A,收付款!E:E)</f>
        <v>424500</v>
      </c>
      <c r="O155" s="2">
        <f>K155*H155-N155</f>
        <v>0</v>
      </c>
      <c r="P155" s="90"/>
      <c r="Q155" s="1"/>
      <c r="R155" s="5"/>
      <c r="S155" s="4"/>
    </row>
    <row r="156" spans="1:19" ht="24.95" hidden="1" customHeight="1">
      <c r="A156" s="13" t="s">
        <v>2947</v>
      </c>
      <c r="B156" s="6" t="s">
        <v>217</v>
      </c>
      <c r="C156" s="6" t="s">
        <v>736</v>
      </c>
      <c r="D156" s="7">
        <v>42744</v>
      </c>
      <c r="E156" s="6" t="s">
        <v>737</v>
      </c>
      <c r="F156" s="8" t="s">
        <v>223</v>
      </c>
      <c r="G156" s="9">
        <v>1300</v>
      </c>
      <c r="H156" s="10">
        <v>435</v>
      </c>
      <c r="I156" s="11">
        <f t="shared" ref="I156:I167" si="13">G156*H156</f>
        <v>565500</v>
      </c>
      <c r="J156" s="6" t="s">
        <v>1309</v>
      </c>
      <c r="K156" s="3">
        <f>SUMIF(收发货!A:A,采购合同!A:A,收发货!D:D)</f>
        <v>1300</v>
      </c>
      <c r="L156" s="3">
        <f>SUMIF(收开票!A:A,采购合同!A:A,收开票!H:H)</f>
        <v>1300</v>
      </c>
      <c r="M156" s="1">
        <f>SUMIF(收开票!A:A,采购合同!A:A,收开票!I:I)</f>
        <v>565500</v>
      </c>
      <c r="N156" s="2">
        <f>SUMIF(收付款!A:A,采购合同!A:A,收付款!E:E)</f>
        <v>565500</v>
      </c>
      <c r="O156" s="2">
        <f>K156*H156-N156</f>
        <v>0</v>
      </c>
      <c r="P156" s="90"/>
      <c r="Q156" s="1"/>
      <c r="R156" s="5"/>
      <c r="S156" s="4"/>
    </row>
    <row r="157" spans="1:19" ht="24.95" hidden="1" customHeight="1">
      <c r="A157" s="13" t="s">
        <v>2781</v>
      </c>
      <c r="B157" s="6" t="s">
        <v>217</v>
      </c>
      <c r="C157" s="6" t="s">
        <v>736</v>
      </c>
      <c r="D157" s="7">
        <v>42744</v>
      </c>
      <c r="E157" s="6" t="s">
        <v>737</v>
      </c>
      <c r="F157" s="8" t="s">
        <v>223</v>
      </c>
      <c r="G157" s="9">
        <v>1000</v>
      </c>
      <c r="H157" s="10">
        <v>435</v>
      </c>
      <c r="I157" s="11">
        <f t="shared" si="13"/>
        <v>435000</v>
      </c>
      <c r="J157" s="6" t="s">
        <v>1309</v>
      </c>
      <c r="K157" s="3">
        <f>SUMIF(收发货!A:A,采购合同!A:A,收发货!D:D)</f>
        <v>1000</v>
      </c>
      <c r="L157" s="3">
        <f>SUMIF(收开票!A:A,采购合同!A:A,收开票!H:H)</f>
        <v>1000</v>
      </c>
      <c r="M157" s="1">
        <f>SUMIF(收开票!A:A,采购合同!A:A,收开票!I:I)</f>
        <v>435000</v>
      </c>
      <c r="N157" s="2">
        <f>SUMIF(收付款!A:A,采购合同!A:A,收付款!E:E)</f>
        <v>435000</v>
      </c>
      <c r="O157" s="2">
        <f>K157*H157-N157</f>
        <v>0</v>
      </c>
      <c r="P157" s="90"/>
      <c r="Q157" s="1"/>
      <c r="R157" s="5"/>
      <c r="S157" s="4"/>
    </row>
    <row r="158" spans="1:19" ht="43.5" hidden="1" customHeight="1">
      <c r="A158" s="13" t="s">
        <v>2993</v>
      </c>
      <c r="B158" s="6" t="s">
        <v>217</v>
      </c>
      <c r="C158" s="6" t="s">
        <v>2203</v>
      </c>
      <c r="D158" s="7">
        <v>42800</v>
      </c>
      <c r="E158" s="6" t="s">
        <v>2204</v>
      </c>
      <c r="F158" s="8" t="s">
        <v>1867</v>
      </c>
      <c r="G158" s="9">
        <v>10000</v>
      </c>
      <c r="H158" s="10">
        <v>725</v>
      </c>
      <c r="I158" s="11">
        <f t="shared" si="13"/>
        <v>7250000</v>
      </c>
      <c r="J158" s="12" t="s">
        <v>1274</v>
      </c>
      <c r="K158" s="3">
        <f>SUMIF(收发货!A:A,采购合同!A:A,收发货!D:D)</f>
        <v>10046.41</v>
      </c>
      <c r="L158" s="3">
        <f>SUMIF(收开票!A:A,采购合同!A:A,收开票!H:H)</f>
        <v>8130.74</v>
      </c>
      <c r="M158" s="1">
        <f>SUMIF(收开票!A:A,采购合同!A:A,收开票!I:I)</f>
        <v>5747921.9439239996</v>
      </c>
      <c r="N158" s="2">
        <f>SUMIF(收付款!A:A,采购合同!A:A,收付款!E:E)</f>
        <v>5747922.053923999</v>
      </c>
      <c r="O158" s="2"/>
      <c r="P158" s="90"/>
      <c r="Q158" s="1"/>
      <c r="R158" s="5"/>
      <c r="S158" s="4"/>
    </row>
    <row r="159" spans="1:19" ht="51" hidden="1" customHeight="1">
      <c r="A159" s="13" t="s">
        <v>2800</v>
      </c>
      <c r="B159" s="6" t="s">
        <v>147</v>
      </c>
      <c r="C159" s="6" t="s">
        <v>194</v>
      </c>
      <c r="D159" s="7">
        <v>42801</v>
      </c>
      <c r="E159" s="6" t="s">
        <v>2011</v>
      </c>
      <c r="F159" s="8" t="s">
        <v>223</v>
      </c>
      <c r="G159" s="9">
        <v>64</v>
      </c>
      <c r="H159" s="10">
        <v>12380</v>
      </c>
      <c r="I159" s="11">
        <f t="shared" si="13"/>
        <v>792320</v>
      </c>
      <c r="J159" s="12" t="s">
        <v>2866</v>
      </c>
      <c r="K159" s="3">
        <f>SUMIF(收发货!A:A,采购合同!A:A,收发货!D:D)</f>
        <v>64</v>
      </c>
      <c r="L159" s="3">
        <f>SUMIF(收开票!A:A,采购合同!A:A,收开票!H:H)</f>
        <v>64</v>
      </c>
      <c r="M159" s="1">
        <f>SUMIF(收开票!A:A,采购合同!A:A,收开票!I:I)</f>
        <v>792320</v>
      </c>
      <c r="N159" s="2">
        <f>SUMIF(收付款!A:A,采购合同!A:A,收付款!E:E)</f>
        <v>792320</v>
      </c>
      <c r="O159" s="2"/>
      <c r="P159" s="90"/>
      <c r="Q159" s="1"/>
      <c r="R159" s="5"/>
      <c r="S159" s="4"/>
    </row>
    <row r="160" spans="1:19" ht="24.95" hidden="1" customHeight="1">
      <c r="A160" s="13" t="s">
        <v>2990</v>
      </c>
      <c r="B160" s="6" t="s">
        <v>217</v>
      </c>
      <c r="C160" s="6" t="s">
        <v>736</v>
      </c>
      <c r="D160" s="7">
        <v>42744</v>
      </c>
      <c r="E160" s="6" t="s">
        <v>737</v>
      </c>
      <c r="F160" s="8" t="s">
        <v>223</v>
      </c>
      <c r="G160" s="9">
        <v>1000</v>
      </c>
      <c r="H160" s="10">
        <v>435</v>
      </c>
      <c r="I160" s="11">
        <f t="shared" si="13"/>
        <v>435000</v>
      </c>
      <c r="J160" s="6" t="s">
        <v>1309</v>
      </c>
      <c r="K160" s="3">
        <f>SUMIF(收发货!A:A,采购合同!A:A,收发货!D:D)</f>
        <v>1000</v>
      </c>
      <c r="L160" s="3">
        <f>SUMIF(收开票!A:A,采购合同!A:A,收开票!H:H)</f>
        <v>1000</v>
      </c>
      <c r="M160" s="1">
        <f>SUMIF(收开票!A:A,采购合同!A:A,收开票!I:I)</f>
        <v>435000</v>
      </c>
      <c r="N160" s="2">
        <f>SUMIF(收付款!A:A,采购合同!A:A,收付款!E:E)</f>
        <v>435000</v>
      </c>
      <c r="O160" s="2">
        <f>K160*H160-N160</f>
        <v>0</v>
      </c>
      <c r="P160" s="90"/>
      <c r="Q160" s="1"/>
      <c r="R160" s="5"/>
      <c r="S160" s="4"/>
    </row>
    <row r="161" spans="1:19" ht="24.95" hidden="1" customHeight="1">
      <c r="A161" s="13" t="s">
        <v>3071</v>
      </c>
      <c r="B161" s="6" t="s">
        <v>217</v>
      </c>
      <c r="C161" s="6" t="s">
        <v>736</v>
      </c>
      <c r="D161" s="7">
        <v>42744</v>
      </c>
      <c r="E161" s="6" t="s">
        <v>737</v>
      </c>
      <c r="F161" s="8" t="s">
        <v>223</v>
      </c>
      <c r="G161" s="9">
        <v>1000</v>
      </c>
      <c r="H161" s="10">
        <v>435</v>
      </c>
      <c r="I161" s="11">
        <f t="shared" si="13"/>
        <v>435000</v>
      </c>
      <c r="J161" s="6" t="s">
        <v>1309</v>
      </c>
      <c r="K161" s="3">
        <f>SUMIF(收发货!A:A,采购合同!A:A,收发货!D:D)</f>
        <v>1000</v>
      </c>
      <c r="L161" s="3">
        <f>SUMIF(收开票!A:A,采购合同!A:A,收开票!H:H)</f>
        <v>1000</v>
      </c>
      <c r="M161" s="1">
        <f>SUMIF(收开票!A:A,采购合同!A:A,收开票!I:I)</f>
        <v>435000</v>
      </c>
      <c r="N161" s="2">
        <f>SUMIF(收付款!A:A,采购合同!A:A,收付款!E:E)</f>
        <v>435000</v>
      </c>
      <c r="O161" s="2">
        <f>K161*H161-N161</f>
        <v>0</v>
      </c>
      <c r="P161" s="90"/>
      <c r="Q161" s="1"/>
      <c r="R161" s="5"/>
      <c r="S161" s="4"/>
    </row>
    <row r="162" spans="1:19" ht="43.5" hidden="1" customHeight="1">
      <c r="A162" s="13" t="s">
        <v>2889</v>
      </c>
      <c r="B162" s="6" t="s">
        <v>127</v>
      </c>
      <c r="C162" s="6" t="s">
        <v>194</v>
      </c>
      <c r="D162" s="7">
        <v>42810</v>
      </c>
      <c r="E162" s="6" t="s">
        <v>2336</v>
      </c>
      <c r="F162" s="8" t="s">
        <v>1867</v>
      </c>
      <c r="G162" s="9">
        <v>200</v>
      </c>
      <c r="H162" s="10">
        <v>12500</v>
      </c>
      <c r="I162" s="11">
        <f t="shared" si="13"/>
        <v>2500000</v>
      </c>
      <c r="J162" s="12" t="s">
        <v>2890</v>
      </c>
      <c r="K162" s="3">
        <f>SUMIF(收发货!A:A,采购合同!A:A,收发货!D:D)</f>
        <v>200</v>
      </c>
      <c r="L162" s="3">
        <f>SUMIF(收开票!A:A,采购合同!A:A,收开票!H:H)</f>
        <v>200</v>
      </c>
      <c r="M162" s="1">
        <f>SUMIF(收开票!A:A,采购合同!A:A,收开票!I:I)</f>
        <v>2500000</v>
      </c>
      <c r="N162" s="2">
        <f>SUMIF(收付款!A:A,采购合同!A:A,收付款!E:E)</f>
        <v>2500000</v>
      </c>
      <c r="O162" s="2"/>
      <c r="P162" s="90"/>
      <c r="Q162" s="1"/>
      <c r="R162" s="5"/>
      <c r="S162" s="4"/>
    </row>
    <row r="163" spans="1:19" ht="24.95" hidden="1" customHeight="1">
      <c r="A163" s="13" t="s">
        <v>2891</v>
      </c>
      <c r="B163" s="6" t="s">
        <v>2313</v>
      </c>
      <c r="C163" s="6" t="s">
        <v>273</v>
      </c>
      <c r="D163" s="7">
        <v>42811</v>
      </c>
      <c r="E163" s="6" t="s">
        <v>2892</v>
      </c>
      <c r="F163" s="8" t="s">
        <v>2893</v>
      </c>
      <c r="G163" s="9">
        <v>100</v>
      </c>
      <c r="H163" s="10">
        <v>12600</v>
      </c>
      <c r="I163" s="11">
        <f t="shared" si="13"/>
        <v>1260000</v>
      </c>
      <c r="J163" s="6" t="s">
        <v>2894</v>
      </c>
      <c r="K163" s="3">
        <f>SUMIF(收发货!A:A,采购合同!A:A,收发货!D:D)</f>
        <v>100</v>
      </c>
      <c r="L163" s="3">
        <f>SUMIF(收开票!A:A,采购合同!A:A,收开票!H:H)</f>
        <v>100</v>
      </c>
      <c r="M163" s="1">
        <f>SUMIF(收开票!A:A,采购合同!A:A,收开票!I:I)</f>
        <v>1260000</v>
      </c>
      <c r="N163" s="2">
        <f>SUMIF(收付款!A:A,采购合同!A:A,收付款!E:E)</f>
        <v>1260000</v>
      </c>
      <c r="O163" s="2"/>
      <c r="P163" s="90"/>
      <c r="Q163" s="1"/>
      <c r="R163" s="5"/>
      <c r="S163" s="4"/>
    </row>
    <row r="164" spans="1:19" ht="30" hidden="1" customHeight="1">
      <c r="A164" s="13" t="s">
        <v>3195</v>
      </c>
      <c r="B164" s="6" t="s">
        <v>127</v>
      </c>
      <c r="C164" s="6" t="s">
        <v>194</v>
      </c>
      <c r="D164" s="7">
        <v>42830</v>
      </c>
      <c r="E164" s="6" t="s">
        <v>875</v>
      </c>
      <c r="F164" s="8" t="s">
        <v>876</v>
      </c>
      <c r="G164" s="9">
        <v>200</v>
      </c>
      <c r="H164" s="10">
        <v>1810</v>
      </c>
      <c r="I164" s="11">
        <f t="shared" si="13"/>
        <v>362000</v>
      </c>
      <c r="J164" s="12" t="s">
        <v>877</v>
      </c>
      <c r="K164" s="3">
        <f>SUMIF(收发货!A:A,采购合同!A:A,收发货!D:D)</f>
        <v>200</v>
      </c>
      <c r="L164" s="3">
        <f>SUMIF(收开票!A:A,采购合同!A:A,收开票!H:H)</f>
        <v>200</v>
      </c>
      <c r="M164" s="1">
        <f>SUMIF(收开票!A:A,采购合同!A:A,收开票!I:I)</f>
        <v>362000</v>
      </c>
      <c r="N164" s="2">
        <f>SUMIF(收付款!A:A,采购合同!A:A,收付款!E:E)</f>
        <v>361208.19</v>
      </c>
      <c r="O164" s="2">
        <f>K164*H164-N164</f>
        <v>791.80999999999767</v>
      </c>
      <c r="P164" s="90"/>
      <c r="Q164" s="1"/>
      <c r="R164" s="5"/>
      <c r="S164" s="4"/>
    </row>
    <row r="165" spans="1:19" ht="51" hidden="1" customHeight="1">
      <c r="A165" s="13" t="s">
        <v>2982</v>
      </c>
      <c r="B165" s="6" t="s">
        <v>147</v>
      </c>
      <c r="C165" s="6" t="s">
        <v>194</v>
      </c>
      <c r="D165" s="7">
        <v>42830</v>
      </c>
      <c r="E165" s="6" t="s">
        <v>2011</v>
      </c>
      <c r="F165" s="8" t="s">
        <v>223</v>
      </c>
      <c r="G165" s="9">
        <v>64</v>
      </c>
      <c r="H165" s="10">
        <v>12874</v>
      </c>
      <c r="I165" s="11">
        <f t="shared" si="13"/>
        <v>823936</v>
      </c>
      <c r="J165" s="12" t="s">
        <v>3093</v>
      </c>
      <c r="K165" s="3">
        <f>SUMIF(收发货!A:A,采购合同!A:A,收发货!D:D)</f>
        <v>64</v>
      </c>
      <c r="L165" s="3">
        <f>SUMIF(收开票!A:A,采购合同!A:A,收开票!H:H)</f>
        <v>64</v>
      </c>
      <c r="M165" s="1">
        <f>SUMIF(收开票!A:A,采购合同!A:A,收开票!I:I)</f>
        <v>823936</v>
      </c>
      <c r="N165" s="2">
        <f>SUMIF(收付款!A:A,采购合同!A:A,收付款!E:E)</f>
        <v>823936</v>
      </c>
      <c r="O165" s="2">
        <f>I165-N165</f>
        <v>0</v>
      </c>
      <c r="P165" s="90"/>
      <c r="Q165" s="1"/>
      <c r="R165" s="5"/>
      <c r="S165" s="4"/>
    </row>
    <row r="166" spans="1:19" ht="51" hidden="1" customHeight="1">
      <c r="A166" s="13" t="s">
        <v>2998</v>
      </c>
      <c r="B166" s="6" t="s">
        <v>485</v>
      </c>
      <c r="C166" s="6" t="s">
        <v>2999</v>
      </c>
      <c r="D166" s="7">
        <v>42832</v>
      </c>
      <c r="E166" s="6" t="s">
        <v>3000</v>
      </c>
      <c r="F166" s="8" t="s">
        <v>223</v>
      </c>
      <c r="G166" s="9">
        <v>20</v>
      </c>
      <c r="H166" s="10">
        <v>137000</v>
      </c>
      <c r="I166" s="11">
        <f t="shared" si="13"/>
        <v>2740000</v>
      </c>
      <c r="J166" s="12" t="s">
        <v>2997</v>
      </c>
      <c r="K166" s="3">
        <f>SUMIF(收发货!A:A,采购合同!A:A,收发货!D:D)</f>
        <v>20</v>
      </c>
      <c r="L166" s="3">
        <f>SUMIF(收开票!A:A,采购合同!A:A,收开票!H:H)</f>
        <v>20</v>
      </c>
      <c r="M166" s="1">
        <f>SUMIF(收开票!A:A,采购合同!A:A,收开票!I:I)</f>
        <v>2740000</v>
      </c>
      <c r="N166" s="2">
        <f>SUMIF(收付款!A:A,采购合同!A:A,收付款!E:E)</f>
        <v>2740000</v>
      </c>
      <c r="O166" s="2"/>
      <c r="P166" s="90"/>
      <c r="Q166" s="1"/>
      <c r="R166" s="5"/>
      <c r="S166" s="4"/>
    </row>
    <row r="167" spans="1:19" ht="50.1" hidden="1" customHeight="1">
      <c r="A167" s="13" t="s">
        <v>3009</v>
      </c>
      <c r="B167" s="6" t="s">
        <v>485</v>
      </c>
      <c r="C167" s="6" t="s">
        <v>1</v>
      </c>
      <c r="D167" s="7">
        <v>42837</v>
      </c>
      <c r="E167" s="6" t="s">
        <v>4050</v>
      </c>
      <c r="F167" s="8" t="s">
        <v>1867</v>
      </c>
      <c r="G167" s="9">
        <v>150</v>
      </c>
      <c r="H167" s="10">
        <v>6630</v>
      </c>
      <c r="I167" s="11">
        <f t="shared" si="13"/>
        <v>994500</v>
      </c>
      <c r="J167" s="12" t="s">
        <v>3011</v>
      </c>
      <c r="K167" s="3">
        <f>SUMIF(收发货!A:A,采购合同!A:A,收发货!D:D)</f>
        <v>136.44999999999999</v>
      </c>
      <c r="L167" s="3">
        <f>SUMIF(收开票!A:A,采购合同!A:A,收开票!H:H)</f>
        <v>135</v>
      </c>
      <c r="M167" s="1">
        <f>SUMIF(收开票!A:A,采购合同!A:A,收开票!I:I)</f>
        <v>895050</v>
      </c>
      <c r="N167" s="2">
        <f>SUMIF(收付款!A:A,采购合同!A:A,收付款!E:E)</f>
        <v>895050</v>
      </c>
      <c r="O167" s="2"/>
      <c r="P167" s="90"/>
      <c r="Q167" s="1"/>
      <c r="R167" s="5"/>
      <c r="S167" s="4"/>
    </row>
    <row r="168" spans="1:19" ht="50.1" hidden="1" customHeight="1">
      <c r="A168" s="13" t="s">
        <v>3029</v>
      </c>
      <c r="B168" s="6" t="s">
        <v>485</v>
      </c>
      <c r="C168" s="6" t="s">
        <v>1</v>
      </c>
      <c r="D168" s="7">
        <v>42842</v>
      </c>
      <c r="E168" s="6" t="s">
        <v>3010</v>
      </c>
      <c r="F168" s="8" t="s">
        <v>1867</v>
      </c>
      <c r="G168" s="9">
        <v>300</v>
      </c>
      <c r="H168" s="10">
        <v>6630</v>
      </c>
      <c r="I168" s="11">
        <f t="shared" ref="I168:I175" si="14">G168*H168</f>
        <v>1989000</v>
      </c>
      <c r="J168" s="12" t="s">
        <v>3030</v>
      </c>
      <c r="K168" s="3">
        <f>SUMIF(收发货!A:A,采购合同!A:A,收发货!D:D)</f>
        <v>306.97000000000003</v>
      </c>
      <c r="L168" s="3">
        <f>SUMIF(收开票!A:A,采购合同!A:A,收开票!H:H)</f>
        <v>309.29200000000003</v>
      </c>
      <c r="M168" s="1">
        <f>SUMIF(收开票!A:A,采购合同!A:A,收开票!I:I)</f>
        <v>2049542.96</v>
      </c>
      <c r="N168" s="2">
        <f>SUMIF(收付款!A:A,采购合同!A:A,收付款!E:E)</f>
        <v>2049542.96</v>
      </c>
      <c r="O168" s="2"/>
      <c r="P168" s="90"/>
      <c r="Q168" s="1"/>
      <c r="R168" s="5"/>
      <c r="S168" s="4"/>
    </row>
    <row r="169" spans="1:19" ht="24.95" hidden="1" customHeight="1">
      <c r="A169" s="13" t="s">
        <v>3929</v>
      </c>
      <c r="B169" s="6" t="s">
        <v>217</v>
      </c>
      <c r="C169" s="6" t="s">
        <v>736</v>
      </c>
      <c r="D169" s="7">
        <v>42744</v>
      </c>
      <c r="E169" s="6" t="s">
        <v>737</v>
      </c>
      <c r="F169" s="8" t="s">
        <v>223</v>
      </c>
      <c r="G169" s="9">
        <v>1000</v>
      </c>
      <c r="H169" s="10">
        <v>445</v>
      </c>
      <c r="I169" s="11">
        <f t="shared" si="14"/>
        <v>445000</v>
      </c>
      <c r="J169" s="6" t="s">
        <v>1309</v>
      </c>
      <c r="K169" s="3">
        <f>SUMIF(收发货!A:A,采购合同!A:A,收发货!D:D)</f>
        <v>1000</v>
      </c>
      <c r="L169" s="3">
        <f>SUMIF(收开票!A:A,采购合同!A:A,收开票!H:H)</f>
        <v>1000</v>
      </c>
      <c r="M169" s="1">
        <f>SUMIF(收开票!A:A,采购合同!A:A,收开票!I:I)</f>
        <v>445000</v>
      </c>
      <c r="N169" s="2">
        <f>SUMIF(收付款!A:A,采购合同!A:A,收付款!E:E)</f>
        <v>445000</v>
      </c>
      <c r="O169" s="2">
        <f>K169*H169-N169</f>
        <v>0</v>
      </c>
      <c r="P169" s="90"/>
      <c r="Q169" s="1"/>
      <c r="R169" s="5"/>
      <c r="S169" s="4"/>
    </row>
    <row r="170" spans="1:19" ht="24.95" hidden="1" customHeight="1">
      <c r="A170" s="13" t="s">
        <v>3069</v>
      </c>
      <c r="B170" s="6" t="s">
        <v>217</v>
      </c>
      <c r="C170" s="6" t="s">
        <v>736</v>
      </c>
      <c r="D170" s="7">
        <v>42744</v>
      </c>
      <c r="E170" s="6" t="s">
        <v>737</v>
      </c>
      <c r="F170" s="8" t="s">
        <v>223</v>
      </c>
      <c r="G170" s="9">
        <v>1000</v>
      </c>
      <c r="H170" s="10">
        <v>445</v>
      </c>
      <c r="I170" s="11">
        <f t="shared" si="14"/>
        <v>445000</v>
      </c>
      <c r="J170" s="6" t="s">
        <v>1309</v>
      </c>
      <c r="K170" s="3">
        <f>SUMIF(收发货!A:A,采购合同!A:A,收发货!D:D)</f>
        <v>0</v>
      </c>
      <c r="L170" s="3">
        <f>SUMIF(收开票!A:A,采购合同!A:A,收开票!H:H)</f>
        <v>0</v>
      </c>
      <c r="M170" s="1">
        <f>SUMIF(收开票!A:A,采购合同!A:A,收开票!I:I)</f>
        <v>0</v>
      </c>
      <c r="N170" s="2">
        <f>SUMIF(收付款!A:A,采购合同!A:A,收付款!E:E)</f>
        <v>0</v>
      </c>
      <c r="O170" s="2">
        <f>K170*H170-N170</f>
        <v>0</v>
      </c>
      <c r="P170" s="90"/>
      <c r="Q170" s="1"/>
      <c r="R170" s="5"/>
      <c r="S170" s="4"/>
    </row>
    <row r="171" spans="1:19" ht="24.95" hidden="1" customHeight="1">
      <c r="A171" s="13" t="s">
        <v>3070</v>
      </c>
      <c r="B171" s="6" t="s">
        <v>217</v>
      </c>
      <c r="C171" s="6" t="s">
        <v>736</v>
      </c>
      <c r="D171" s="7">
        <v>42744</v>
      </c>
      <c r="E171" s="6" t="s">
        <v>3931</v>
      </c>
      <c r="F171" s="8" t="s">
        <v>223</v>
      </c>
      <c r="G171" s="9">
        <v>1000</v>
      </c>
      <c r="H171" s="10">
        <v>445</v>
      </c>
      <c r="I171" s="11">
        <f t="shared" si="14"/>
        <v>445000</v>
      </c>
      <c r="J171" s="6" t="s">
        <v>1309</v>
      </c>
      <c r="K171" s="3">
        <f>SUMIF(收发货!A:A,采购合同!A:A,收发货!D:D)</f>
        <v>0</v>
      </c>
      <c r="L171" s="3">
        <f>SUMIF(收开票!A:A,采购合同!A:A,收开票!H:H)</f>
        <v>0</v>
      </c>
      <c r="M171" s="1">
        <f>SUMIF(收开票!A:A,采购合同!A:A,收开票!I:I)</f>
        <v>0</v>
      </c>
      <c r="N171" s="2">
        <f>SUMIF(收付款!A:A,采购合同!A:A,收付款!E:E)</f>
        <v>43500</v>
      </c>
      <c r="O171" s="2">
        <f>K171*H171-N171</f>
        <v>-43500</v>
      </c>
      <c r="P171" s="90"/>
      <c r="Q171" s="1"/>
      <c r="R171" s="5"/>
      <c r="S171" s="4"/>
    </row>
    <row r="172" spans="1:19" ht="51" hidden="1" customHeight="1">
      <c r="A172" s="13" t="s">
        <v>3091</v>
      </c>
      <c r="B172" s="6" t="s">
        <v>147</v>
      </c>
      <c r="C172" s="6" t="s">
        <v>194</v>
      </c>
      <c r="D172" s="7">
        <v>42856</v>
      </c>
      <c r="E172" s="6" t="s">
        <v>2011</v>
      </c>
      <c r="F172" s="8" t="s">
        <v>223</v>
      </c>
      <c r="G172" s="9">
        <v>96</v>
      </c>
      <c r="H172" s="10">
        <v>12960</v>
      </c>
      <c r="I172" s="11">
        <f t="shared" si="14"/>
        <v>1244160</v>
      </c>
      <c r="J172" s="12" t="s">
        <v>3092</v>
      </c>
      <c r="K172" s="3">
        <f>SUMIF(收发货!A:A,采购合同!A:A,收发货!D:D)</f>
        <v>96</v>
      </c>
      <c r="L172" s="3">
        <f>SUMIF(收开票!A:A,采购合同!A:A,收开票!H:H)</f>
        <v>96</v>
      </c>
      <c r="M172" s="1">
        <f>SUMIF(收开票!A:A,采购合同!A:A,收开票!I:I)</f>
        <v>1244160</v>
      </c>
      <c r="N172" s="2">
        <f>SUMIF(收付款!A:A,采购合同!A:A,收付款!E:E)</f>
        <v>1244160</v>
      </c>
      <c r="O172" s="2"/>
      <c r="P172" s="90"/>
      <c r="Q172" s="1"/>
      <c r="R172" s="5"/>
      <c r="S172" s="4"/>
    </row>
    <row r="173" spans="1:19" ht="51" hidden="1" customHeight="1">
      <c r="A173" s="13" t="s">
        <v>3114</v>
      </c>
      <c r="B173" s="6" t="s">
        <v>485</v>
      </c>
      <c r="C173" s="6" t="s">
        <v>2999</v>
      </c>
      <c r="D173" s="7">
        <v>42858</v>
      </c>
      <c r="E173" s="6" t="s">
        <v>3000</v>
      </c>
      <c r="F173" s="8" t="s">
        <v>223</v>
      </c>
      <c r="G173" s="9">
        <v>40</v>
      </c>
      <c r="H173" s="10">
        <v>145500</v>
      </c>
      <c r="I173" s="11">
        <f t="shared" si="14"/>
        <v>5820000</v>
      </c>
      <c r="J173" s="12" t="s">
        <v>3234</v>
      </c>
      <c r="K173" s="3">
        <f>SUMIF(收发货!A:A,采购合同!A:A,收发货!D:D)</f>
        <v>40</v>
      </c>
      <c r="L173" s="3">
        <f>SUMIF(收开票!A:A,采购合同!A:A,收开票!H:H)</f>
        <v>40</v>
      </c>
      <c r="M173" s="1">
        <f>SUMIF(收开票!A:A,采购合同!A:A,收开票!I:I)</f>
        <v>5818716</v>
      </c>
      <c r="N173" s="2">
        <f>SUMIF(收付款!A:A,采购合同!A:A,收付款!E:E)</f>
        <v>5818716</v>
      </c>
      <c r="O173" s="2"/>
      <c r="P173" s="90"/>
      <c r="Q173" s="1"/>
      <c r="R173" s="5"/>
      <c r="S173" s="4"/>
    </row>
    <row r="174" spans="1:19" ht="24.95" hidden="1" customHeight="1">
      <c r="A174" s="13" t="s">
        <v>3116</v>
      </c>
      <c r="B174" s="6" t="s">
        <v>127</v>
      </c>
      <c r="C174" s="6" t="s">
        <v>194</v>
      </c>
      <c r="D174" s="7">
        <v>42852</v>
      </c>
      <c r="E174" s="6" t="s">
        <v>875</v>
      </c>
      <c r="F174" s="8" t="s">
        <v>876</v>
      </c>
      <c r="G174" s="9">
        <v>140</v>
      </c>
      <c r="H174" s="10">
        <v>1840</v>
      </c>
      <c r="I174" s="11">
        <f t="shared" si="14"/>
        <v>257600</v>
      </c>
      <c r="J174" s="12" t="s">
        <v>877</v>
      </c>
      <c r="K174" s="3">
        <f>SUMIF(收发货!A:A,采购合同!A:A,收发货!D:D)</f>
        <v>140</v>
      </c>
      <c r="L174" s="3">
        <f>SUMIF(收开票!A:A,采购合同!A:A,收开票!H:H)</f>
        <v>140</v>
      </c>
      <c r="M174" s="1">
        <f>SUMIF(收开票!A:A,采购合同!A:A,收开票!I:I)</f>
        <v>257600</v>
      </c>
      <c r="N174" s="2">
        <f>SUMIF(收付款!A:A,采购合同!A:A,收付款!E:E)</f>
        <v>257043.65</v>
      </c>
      <c r="O174" s="2">
        <f>K174*H174-N174</f>
        <v>556.35000000000582</v>
      </c>
      <c r="P174" s="90"/>
      <c r="Q174" s="1"/>
      <c r="R174" s="5"/>
      <c r="S174" s="4"/>
    </row>
    <row r="175" spans="1:19" ht="24.95" hidden="1" customHeight="1">
      <c r="A175" s="13" t="s">
        <v>3117</v>
      </c>
      <c r="B175" s="6" t="s">
        <v>127</v>
      </c>
      <c r="C175" s="6" t="s">
        <v>194</v>
      </c>
      <c r="D175" s="7">
        <v>42852</v>
      </c>
      <c r="E175" s="6" t="s">
        <v>875</v>
      </c>
      <c r="F175" s="8" t="s">
        <v>876</v>
      </c>
      <c r="G175" s="9">
        <v>160</v>
      </c>
      <c r="H175" s="10">
        <v>1840</v>
      </c>
      <c r="I175" s="11">
        <f t="shared" si="14"/>
        <v>294400</v>
      </c>
      <c r="J175" s="12" t="s">
        <v>877</v>
      </c>
      <c r="K175" s="3">
        <f>SUMIF(收发货!A:A,采购合同!A:A,收发货!D:D)</f>
        <v>160</v>
      </c>
      <c r="L175" s="3">
        <f>SUMIF(收开票!A:A,采购合同!A:A,收开票!H:H)</f>
        <v>160</v>
      </c>
      <c r="M175" s="1">
        <f>SUMIF(收开票!A:A,采购合同!A:A,收开票!I:I)</f>
        <v>294400</v>
      </c>
      <c r="N175" s="2">
        <f>SUMIF(收付款!A:A,采购合同!A:A,收付款!E:E)</f>
        <v>293758.5</v>
      </c>
      <c r="O175" s="2">
        <f>K175*H175-N175</f>
        <v>641.5</v>
      </c>
      <c r="P175" s="90"/>
      <c r="Q175" s="1"/>
      <c r="R175" s="5"/>
      <c r="S175" s="4"/>
    </row>
    <row r="176" spans="1:19" ht="51" hidden="1" customHeight="1">
      <c r="A176" s="13" t="s">
        <v>3132</v>
      </c>
      <c r="B176" s="6" t="s">
        <v>147</v>
      </c>
      <c r="C176" s="6" t="s">
        <v>194</v>
      </c>
      <c r="D176" s="7">
        <v>42864</v>
      </c>
      <c r="E176" s="6" t="s">
        <v>3133</v>
      </c>
      <c r="F176" s="8" t="s">
        <v>1867</v>
      </c>
      <c r="G176" s="9">
        <v>64</v>
      </c>
      <c r="H176" s="10">
        <v>13450</v>
      </c>
      <c r="I176" s="11">
        <f t="shared" ref="I176:I188" si="15">G176*H176</f>
        <v>860800</v>
      </c>
      <c r="J176" s="12" t="s">
        <v>3134</v>
      </c>
      <c r="K176" s="3">
        <f>SUMIF(收发货!A:A,采购合同!A:A,收发货!D:D)</f>
        <v>64</v>
      </c>
      <c r="L176" s="3">
        <f>SUMIF(收开票!A:A,采购合同!A:A,收开票!H:H)</f>
        <v>64</v>
      </c>
      <c r="M176" s="1">
        <f>SUMIF(收开票!A:A,采购合同!A:A,收开票!I:I)</f>
        <v>860800</v>
      </c>
      <c r="N176" s="2">
        <f>SUMIF(收付款!A:A,采购合同!A:A,收付款!E:E)</f>
        <v>860800</v>
      </c>
      <c r="O176" s="2"/>
      <c r="P176" s="90"/>
      <c r="Q176" s="1"/>
      <c r="R176" s="5"/>
      <c r="S176" s="4"/>
    </row>
    <row r="177" spans="1:19" ht="51" hidden="1" customHeight="1">
      <c r="A177" s="13" t="s">
        <v>3135</v>
      </c>
      <c r="B177" s="6" t="s">
        <v>147</v>
      </c>
      <c r="C177" s="6" t="s">
        <v>194</v>
      </c>
      <c r="D177" s="7">
        <v>42864</v>
      </c>
      <c r="E177" s="6" t="s">
        <v>3136</v>
      </c>
      <c r="F177" s="8" t="s">
        <v>1867</v>
      </c>
      <c r="G177" s="9">
        <v>32</v>
      </c>
      <c r="H177" s="10">
        <v>13550</v>
      </c>
      <c r="I177" s="11">
        <f t="shared" si="15"/>
        <v>433600</v>
      </c>
      <c r="J177" s="12" t="s">
        <v>3134</v>
      </c>
      <c r="K177" s="3">
        <f>SUMIF(收发货!A:A,采购合同!A:A,收发货!D:D)</f>
        <v>32</v>
      </c>
      <c r="L177" s="3">
        <f>SUMIF(收开票!A:A,采购合同!A:A,收开票!H:H)</f>
        <v>32</v>
      </c>
      <c r="M177" s="1">
        <f>SUMIF(收开票!A:A,采购合同!A:A,收开票!I:I)</f>
        <v>433600</v>
      </c>
      <c r="N177" s="2">
        <f>SUMIF(收付款!A:A,采购合同!A:A,收付款!E:E)</f>
        <v>433600</v>
      </c>
      <c r="O177" s="2"/>
      <c r="P177" s="90"/>
      <c r="Q177" s="1"/>
      <c r="R177" s="5"/>
      <c r="S177" s="4"/>
    </row>
    <row r="178" spans="1:19" ht="51" hidden="1" customHeight="1">
      <c r="A178" s="13" t="s">
        <v>3152</v>
      </c>
      <c r="B178" s="6" t="s">
        <v>147</v>
      </c>
      <c r="C178" s="6" t="s">
        <v>194</v>
      </c>
      <c r="D178" s="7">
        <v>42877</v>
      </c>
      <c r="E178" s="6" t="s">
        <v>3133</v>
      </c>
      <c r="F178" s="8" t="s">
        <v>1867</v>
      </c>
      <c r="G178" s="9">
        <v>64</v>
      </c>
      <c r="H178" s="10">
        <v>12500</v>
      </c>
      <c r="I178" s="11">
        <f t="shared" si="15"/>
        <v>800000</v>
      </c>
      <c r="J178" s="12" t="s">
        <v>3153</v>
      </c>
      <c r="K178" s="3">
        <f>SUMIF(收发货!A:A,采购合同!A:A,收发货!D:D)</f>
        <v>64</v>
      </c>
      <c r="L178" s="3">
        <f>SUMIF(收开票!A:A,采购合同!A:A,收开票!H:H)</f>
        <v>64</v>
      </c>
      <c r="M178" s="1">
        <f>SUMIF(收开票!A:A,采购合同!A:A,收开票!I:I)</f>
        <v>800000</v>
      </c>
      <c r="N178" s="2">
        <f>SUMIF(收付款!A:A,采购合同!A:A,收付款!E:E)</f>
        <v>800000</v>
      </c>
      <c r="O178" s="2"/>
      <c r="P178" s="90"/>
      <c r="Q178" s="1"/>
      <c r="R178" s="5"/>
      <c r="S178" s="4"/>
    </row>
    <row r="179" spans="1:19" ht="51" hidden="1" customHeight="1">
      <c r="A179" s="13" t="s">
        <v>3156</v>
      </c>
      <c r="B179" s="6" t="s">
        <v>147</v>
      </c>
      <c r="C179" s="6" t="s">
        <v>194</v>
      </c>
      <c r="D179" s="7">
        <v>42886</v>
      </c>
      <c r="E179" s="6" t="s">
        <v>3133</v>
      </c>
      <c r="F179" s="8" t="s">
        <v>1867</v>
      </c>
      <c r="G179" s="9">
        <v>32</v>
      </c>
      <c r="H179" s="10">
        <v>11900</v>
      </c>
      <c r="I179" s="11">
        <f t="shared" si="15"/>
        <v>380800</v>
      </c>
      <c r="J179" s="12" t="s">
        <v>3157</v>
      </c>
      <c r="K179" s="3">
        <f>SUMIF(收发货!A:A,采购合同!A:A,收发货!D:D)</f>
        <v>32</v>
      </c>
      <c r="L179" s="3">
        <f>SUMIF(收开票!A:A,采购合同!A:A,收开票!H:H)</f>
        <v>32</v>
      </c>
      <c r="M179" s="1">
        <f>SUMIF(收开票!A:A,采购合同!A:A,收开票!I:I)</f>
        <v>380800</v>
      </c>
      <c r="N179" s="2">
        <f>SUMIF(收付款!A:A,采购合同!A:A,收付款!E:E)</f>
        <v>380800</v>
      </c>
      <c r="O179" s="2"/>
      <c r="P179" s="90"/>
      <c r="Q179" s="1"/>
      <c r="R179" s="5"/>
      <c r="S179" s="4"/>
    </row>
    <row r="180" spans="1:19" ht="24.95" hidden="1" customHeight="1">
      <c r="A180" s="13" t="s">
        <v>3183</v>
      </c>
      <c r="B180" s="6" t="s">
        <v>127</v>
      </c>
      <c r="C180" s="6" t="s">
        <v>194</v>
      </c>
      <c r="D180" s="7">
        <v>42878</v>
      </c>
      <c r="E180" s="6" t="s">
        <v>875</v>
      </c>
      <c r="F180" s="8" t="s">
        <v>876</v>
      </c>
      <c r="G180" s="9">
        <v>100</v>
      </c>
      <c r="H180" s="10">
        <v>1827</v>
      </c>
      <c r="I180" s="11">
        <f t="shared" si="15"/>
        <v>182700</v>
      </c>
      <c r="J180" s="12" t="s">
        <v>877</v>
      </c>
      <c r="K180" s="3">
        <f>SUMIF(收发货!A:A,采购合同!A:A,收发货!D:D)</f>
        <v>100</v>
      </c>
      <c r="L180" s="3">
        <f>SUMIF(收开票!A:A,采购合同!A:A,收开票!H:H)</f>
        <v>100</v>
      </c>
      <c r="M180" s="1">
        <f>SUMIF(收开票!A:A,采购合同!A:A,收开票!I:I)</f>
        <v>182700</v>
      </c>
      <c r="N180" s="2">
        <f>SUMIF(收付款!A:A,采购合同!A:A,收付款!E:E)</f>
        <v>182298.22</v>
      </c>
      <c r="O180" s="2">
        <f>K180*H180-N180</f>
        <v>401.77999999999884</v>
      </c>
      <c r="P180" s="90"/>
      <c r="Q180" s="1"/>
      <c r="R180" s="5"/>
      <c r="S180" s="4"/>
    </row>
    <row r="181" spans="1:19" ht="24.95" hidden="1" customHeight="1">
      <c r="A181" s="13" t="s">
        <v>3184</v>
      </c>
      <c r="B181" s="6" t="s">
        <v>127</v>
      </c>
      <c r="C181" s="6" t="s">
        <v>194</v>
      </c>
      <c r="D181" s="7">
        <v>42878</v>
      </c>
      <c r="E181" s="6" t="s">
        <v>3186</v>
      </c>
      <c r="F181" s="8" t="s">
        <v>876</v>
      </c>
      <c r="G181" s="9">
        <v>100</v>
      </c>
      <c r="H181" s="10">
        <v>1830</v>
      </c>
      <c r="I181" s="11">
        <f t="shared" si="15"/>
        <v>183000</v>
      </c>
      <c r="J181" s="12" t="s">
        <v>877</v>
      </c>
      <c r="K181" s="3">
        <f>SUMIF(收发货!A:A,采购合同!A:A,收发货!D:D)</f>
        <v>100</v>
      </c>
      <c r="L181" s="3">
        <f>SUMIF(收开票!A:A,采购合同!A:A,收开票!H:H)</f>
        <v>100</v>
      </c>
      <c r="M181" s="1">
        <f>SUMIF(收开票!A:A,采购合同!A:A,收开票!I:I)</f>
        <v>183000</v>
      </c>
      <c r="N181" s="2">
        <f>SUMIF(收付款!A:A,采购合同!A:A,收付款!E:E)</f>
        <v>183000</v>
      </c>
      <c r="O181" s="2">
        <f>K181*H181-N181</f>
        <v>0</v>
      </c>
      <c r="P181" s="90"/>
      <c r="Q181" s="1"/>
      <c r="R181" s="5"/>
      <c r="S181" s="4"/>
    </row>
    <row r="182" spans="1:19" ht="51" hidden="1" customHeight="1">
      <c r="A182" s="13" t="s">
        <v>3199</v>
      </c>
      <c r="B182" s="6" t="s">
        <v>147</v>
      </c>
      <c r="C182" s="6" t="s">
        <v>194</v>
      </c>
      <c r="D182" s="7">
        <v>42891</v>
      </c>
      <c r="E182" s="6" t="s">
        <v>2011</v>
      </c>
      <c r="F182" s="8" t="s">
        <v>1867</v>
      </c>
      <c r="G182" s="9">
        <v>64</v>
      </c>
      <c r="H182" s="10">
        <v>11800</v>
      </c>
      <c r="I182" s="11">
        <f t="shared" si="15"/>
        <v>755200</v>
      </c>
      <c r="J182" s="12" t="s">
        <v>3200</v>
      </c>
      <c r="K182" s="3">
        <f>SUMIF(收发货!A:A,采购合同!A:A,收发货!D:D)</f>
        <v>64</v>
      </c>
      <c r="L182" s="3">
        <f>SUMIF(收开票!A:A,采购合同!A:A,收开票!H:H)</f>
        <v>64</v>
      </c>
      <c r="M182" s="1">
        <f>SUMIF(收开票!A:A,采购合同!A:A,收开票!I:I)</f>
        <v>706048</v>
      </c>
      <c r="N182" s="2">
        <f>SUMIF(收付款!A:A,采购合同!A:A,收付款!E:E)</f>
        <v>706048</v>
      </c>
      <c r="O182" s="2"/>
      <c r="P182" s="90"/>
      <c r="Q182" s="1"/>
      <c r="R182" s="5"/>
      <c r="S182" s="4"/>
    </row>
    <row r="183" spans="1:19" ht="51" hidden="1" customHeight="1">
      <c r="A183" s="13" t="s">
        <v>3201</v>
      </c>
      <c r="B183" s="6" t="s">
        <v>147</v>
      </c>
      <c r="C183" s="6" t="s">
        <v>194</v>
      </c>
      <c r="D183" s="7">
        <v>42891</v>
      </c>
      <c r="E183" s="6" t="s">
        <v>3202</v>
      </c>
      <c r="F183" s="8" t="s">
        <v>1867</v>
      </c>
      <c r="G183" s="9">
        <v>96</v>
      </c>
      <c r="H183" s="10">
        <v>11600</v>
      </c>
      <c r="I183" s="11">
        <f t="shared" si="15"/>
        <v>1113600</v>
      </c>
      <c r="J183" s="12" t="s">
        <v>3203</v>
      </c>
      <c r="K183" s="3">
        <f>SUMIF(收发货!A:A,采购合同!A:A,收发货!D:D)</f>
        <v>96</v>
      </c>
      <c r="L183" s="3">
        <f>SUMIF(收开票!A:A,采购合同!A:A,收开票!H:H)</f>
        <v>96</v>
      </c>
      <c r="M183" s="1">
        <f>SUMIF(收开票!A:A,采购合同!A:A,收开票!I:I)</f>
        <v>1113600</v>
      </c>
      <c r="N183" s="2">
        <f>SUMIF(收付款!A:A,采购合同!A:A,收付款!E:E)</f>
        <v>1113600</v>
      </c>
      <c r="O183" s="2"/>
      <c r="P183" s="90"/>
      <c r="Q183" s="1"/>
      <c r="R183" s="5"/>
      <c r="S183" s="4"/>
    </row>
    <row r="184" spans="1:19" ht="39" hidden="1" customHeight="1">
      <c r="A184" s="13" t="s">
        <v>3213</v>
      </c>
      <c r="B184" s="6" t="s">
        <v>147</v>
      </c>
      <c r="C184" s="6" t="s">
        <v>194</v>
      </c>
      <c r="D184" s="7">
        <v>42898</v>
      </c>
      <c r="E184" s="6" t="s">
        <v>195</v>
      </c>
      <c r="F184" s="8" t="s">
        <v>1867</v>
      </c>
      <c r="G184" s="9">
        <v>64</v>
      </c>
      <c r="H184" s="10">
        <v>11100</v>
      </c>
      <c r="I184" s="11">
        <f t="shared" si="15"/>
        <v>710400</v>
      </c>
      <c r="J184" s="12" t="s">
        <v>3214</v>
      </c>
      <c r="K184" s="3">
        <f>SUMIF(收发货!A:A,采购合同!A:A,收发货!D:D)</f>
        <v>64</v>
      </c>
      <c r="L184" s="3">
        <f>SUMIF(收开票!A:A,采购合同!A:A,收开票!H:H)</f>
        <v>64</v>
      </c>
      <c r="M184" s="1">
        <f>SUMIF(收开票!A:A,采购合同!A:A,收开票!I:I)</f>
        <v>710400</v>
      </c>
      <c r="N184" s="2">
        <f>SUMIF(收付款!A:A,采购合同!A:A,收付款!E:E)</f>
        <v>710400</v>
      </c>
      <c r="O184" s="2">
        <f>K184*H184-N184</f>
        <v>0</v>
      </c>
      <c r="P184" s="90"/>
      <c r="Q184" s="1"/>
      <c r="R184" s="5"/>
      <c r="S184" s="4"/>
    </row>
    <row r="185" spans="1:19" ht="39" hidden="1" customHeight="1">
      <c r="A185" s="13" t="s">
        <v>3215</v>
      </c>
      <c r="B185" s="6" t="s">
        <v>147</v>
      </c>
      <c r="C185" s="6" t="s">
        <v>194</v>
      </c>
      <c r="D185" s="7">
        <v>42898</v>
      </c>
      <c r="E185" s="6" t="s">
        <v>3216</v>
      </c>
      <c r="F185" s="8" t="s">
        <v>1867</v>
      </c>
      <c r="G185" s="9">
        <v>96</v>
      </c>
      <c r="H185" s="10">
        <v>11050</v>
      </c>
      <c r="I185" s="11">
        <f t="shared" si="15"/>
        <v>1060800</v>
      </c>
      <c r="J185" s="12" t="s">
        <v>3239</v>
      </c>
      <c r="K185" s="3">
        <f>SUMIF(收发货!A:A,采购合同!A:A,收发货!D:D)</f>
        <v>96</v>
      </c>
      <c r="L185" s="3">
        <f>SUMIF(收开票!A:A,采购合同!A:A,收开票!H:H)</f>
        <v>96</v>
      </c>
      <c r="M185" s="1">
        <f>SUMIF(收开票!A:A,采购合同!A:A,收开票!I:I)</f>
        <v>1060800</v>
      </c>
      <c r="N185" s="2">
        <f>SUMIF(收付款!A:A,采购合同!A:A,收付款!E:E)</f>
        <v>1060800</v>
      </c>
      <c r="O185" s="2">
        <f>K185*H185-N185</f>
        <v>0</v>
      </c>
      <c r="P185" s="90"/>
      <c r="Q185" s="1"/>
      <c r="R185" s="5"/>
      <c r="S185" s="4"/>
    </row>
    <row r="186" spans="1:19" ht="50.25" hidden="1" customHeight="1">
      <c r="A186" s="13" t="s">
        <v>3227</v>
      </c>
      <c r="B186" s="6" t="s">
        <v>217</v>
      </c>
      <c r="C186" s="6" t="s">
        <v>218</v>
      </c>
      <c r="D186" s="7">
        <v>42901</v>
      </c>
      <c r="E186" s="6" t="s">
        <v>2337</v>
      </c>
      <c r="F186" s="8" t="s">
        <v>223</v>
      </c>
      <c r="G186" s="9">
        <v>8000</v>
      </c>
      <c r="H186" s="10">
        <v>560</v>
      </c>
      <c r="I186" s="11">
        <f t="shared" si="15"/>
        <v>4480000</v>
      </c>
      <c r="J186" s="12" t="s">
        <v>1274</v>
      </c>
      <c r="K186" s="3">
        <f>SUMIF(收发货!A:A,采购合同!A:A,收发货!D:D)</f>
        <v>8300</v>
      </c>
      <c r="L186" s="3">
        <f>SUMIF(收开票!A:A,采购合同!A:A,收开票!H:H)</f>
        <v>7353.5041000000001</v>
      </c>
      <c r="M186" s="1">
        <f>SUMIF(收开票!A:A,采购合同!A:A,收开票!I:I)</f>
        <v>4019164.9660220006</v>
      </c>
      <c r="N186" s="2">
        <f>SUMIF(收付款!A:A,采购合同!A:A,收付款!E:E)</f>
        <v>4019164.9699999997</v>
      </c>
      <c r="O186" s="2"/>
      <c r="P186" s="90"/>
      <c r="Q186" s="1"/>
      <c r="R186" s="5"/>
      <c r="S186" s="4"/>
    </row>
    <row r="187" spans="1:19" ht="39" hidden="1" customHeight="1">
      <c r="A187" s="13" t="s">
        <v>3236</v>
      </c>
      <c r="B187" s="6" t="s">
        <v>147</v>
      </c>
      <c r="C187" s="6" t="s">
        <v>194</v>
      </c>
      <c r="D187" s="7">
        <v>42907</v>
      </c>
      <c r="E187" s="6" t="s">
        <v>3237</v>
      </c>
      <c r="F187" s="8" t="s">
        <v>1867</v>
      </c>
      <c r="G187" s="9">
        <v>64</v>
      </c>
      <c r="H187" s="10">
        <v>10700</v>
      </c>
      <c r="I187" s="11">
        <f t="shared" si="15"/>
        <v>684800</v>
      </c>
      <c r="J187" s="12" t="s">
        <v>3238</v>
      </c>
      <c r="K187" s="3">
        <f>SUMIF(收发货!A:A,采购合同!A:A,收发货!D:D)</f>
        <v>64</v>
      </c>
      <c r="L187" s="3">
        <f>SUMIF(收开票!A:A,采购合同!A:A,收开票!H:H)</f>
        <v>64</v>
      </c>
      <c r="M187" s="1">
        <f>SUMIF(收开票!A:A,采购合同!A:A,收开票!I:I)</f>
        <v>684800</v>
      </c>
      <c r="N187" s="2">
        <f>SUMIF(收付款!A:A,采购合同!A:A,收付款!E:E)</f>
        <v>684800</v>
      </c>
      <c r="O187" s="2">
        <f>K187*H187-N187</f>
        <v>0</v>
      </c>
      <c r="P187" s="90"/>
      <c r="Q187" s="1"/>
      <c r="R187" s="5"/>
      <c r="S187" s="4"/>
    </row>
    <row r="188" spans="1:19" ht="39" hidden="1" customHeight="1">
      <c r="A188" s="13" t="s">
        <v>3245</v>
      </c>
      <c r="B188" s="6" t="s">
        <v>147</v>
      </c>
      <c r="C188" s="6" t="s">
        <v>194</v>
      </c>
      <c r="D188" s="7">
        <v>42912</v>
      </c>
      <c r="E188" s="6" t="s">
        <v>3237</v>
      </c>
      <c r="F188" s="8" t="s">
        <v>1867</v>
      </c>
      <c r="G188" s="9">
        <v>64</v>
      </c>
      <c r="H188" s="10">
        <v>10730</v>
      </c>
      <c r="I188" s="11">
        <f t="shared" si="15"/>
        <v>686720</v>
      </c>
      <c r="J188" s="12" t="s">
        <v>3238</v>
      </c>
      <c r="K188" s="3">
        <f>SUMIF(收发货!A:A,采购合同!A:A,收发货!D:D)</f>
        <v>64</v>
      </c>
      <c r="L188" s="3">
        <f>SUMIF(收开票!A:A,采购合同!A:A,收开票!H:H)</f>
        <v>64</v>
      </c>
      <c r="M188" s="1">
        <f>SUMIF(收开票!A:A,采购合同!A:A,收开票!I:I)</f>
        <v>686720</v>
      </c>
      <c r="N188" s="2">
        <f>SUMIF(收付款!A:A,采购合同!A:A,收付款!E:E)</f>
        <v>686720</v>
      </c>
      <c r="O188" s="2">
        <f>K188*H188-N188</f>
        <v>0</v>
      </c>
      <c r="P188" s="90"/>
      <c r="Q188" s="1"/>
      <c r="R188" s="5"/>
      <c r="S188" s="4"/>
    </row>
    <row r="189" spans="1:19" ht="39" hidden="1" customHeight="1">
      <c r="A189" s="13" t="s">
        <v>3254</v>
      </c>
      <c r="B189" s="6" t="s">
        <v>147</v>
      </c>
      <c r="C189" s="6" t="s">
        <v>603</v>
      </c>
      <c r="D189" s="7">
        <v>42914</v>
      </c>
      <c r="E189" s="6" t="s">
        <v>3255</v>
      </c>
      <c r="F189" s="8" t="s">
        <v>1867</v>
      </c>
      <c r="G189" s="9">
        <v>300</v>
      </c>
      <c r="H189" s="10">
        <v>6270</v>
      </c>
      <c r="I189" s="11">
        <f t="shared" ref="I189:I201" si="16">G189*H189</f>
        <v>1881000</v>
      </c>
      <c r="J189" s="12" t="s">
        <v>3261</v>
      </c>
      <c r="K189" s="3">
        <f>SUMIF(收发货!A:A,采购合同!A:A,收发货!D:D)</f>
        <v>293</v>
      </c>
      <c r="L189" s="3">
        <f>SUMIF(收开票!A:A,采购合同!A:A,收开票!H:H)</f>
        <v>297.9477</v>
      </c>
      <c r="M189" s="1">
        <f>SUMIF(收开票!A:A,采购合同!A:A,收开票!I:I)</f>
        <v>1855841.58</v>
      </c>
      <c r="N189" s="2">
        <f>SUMIF(收付款!A:A,采购合同!A:A,收付款!E:E)</f>
        <v>1855841.58</v>
      </c>
      <c r="O189" s="2">
        <f>N189-M189</f>
        <v>0</v>
      </c>
      <c r="P189" s="90"/>
      <c r="Q189" s="1"/>
      <c r="R189" s="5"/>
      <c r="S189" s="4"/>
    </row>
    <row r="190" spans="1:19" ht="51" hidden="1" customHeight="1">
      <c r="A190" s="13" t="s">
        <v>3259</v>
      </c>
      <c r="B190" s="6" t="s">
        <v>147</v>
      </c>
      <c r="C190" s="6" t="s">
        <v>194</v>
      </c>
      <c r="D190" s="7">
        <v>42919</v>
      </c>
      <c r="E190" s="6" t="s">
        <v>2011</v>
      </c>
      <c r="F190" s="8" t="s">
        <v>1867</v>
      </c>
      <c r="G190" s="9">
        <v>64</v>
      </c>
      <c r="H190" s="10">
        <v>10600</v>
      </c>
      <c r="I190" s="11">
        <f t="shared" si="16"/>
        <v>678400</v>
      </c>
      <c r="J190" s="12" t="s">
        <v>3260</v>
      </c>
      <c r="K190" s="3">
        <f>SUMIF(收发货!A:A,采购合同!A:A,收发货!D:D)</f>
        <v>64</v>
      </c>
      <c r="L190" s="3">
        <f>SUMIF(收开票!A:A,采购合同!A:A,收开票!H:H)</f>
        <v>64</v>
      </c>
      <c r="M190" s="1">
        <f>SUMIF(收开票!A:A,采购合同!A:A,收开票!I:I)</f>
        <v>652800</v>
      </c>
      <c r="N190" s="2">
        <f>SUMIF(收付款!A:A,采购合同!A:A,收付款!E:E)</f>
        <v>652800</v>
      </c>
      <c r="O190" s="2"/>
      <c r="P190" s="90"/>
      <c r="Q190" s="1"/>
      <c r="R190" s="5"/>
      <c r="S190" s="4"/>
    </row>
    <row r="191" spans="1:19" ht="24.95" hidden="1" customHeight="1">
      <c r="A191" s="13" t="s">
        <v>3262</v>
      </c>
      <c r="B191" s="6" t="s">
        <v>127</v>
      </c>
      <c r="C191" s="6" t="s">
        <v>3263</v>
      </c>
      <c r="D191" s="7">
        <v>42913</v>
      </c>
      <c r="E191" s="6" t="s">
        <v>875</v>
      </c>
      <c r="F191" s="8" t="s">
        <v>876</v>
      </c>
      <c r="G191" s="9">
        <v>200</v>
      </c>
      <c r="H191" s="10">
        <v>1142</v>
      </c>
      <c r="I191" s="11">
        <f t="shared" si="16"/>
        <v>228400</v>
      </c>
      <c r="J191" s="12" t="s">
        <v>877</v>
      </c>
      <c r="K191" s="3">
        <f>SUMIF(收发货!A:A,采购合同!A:A,收发货!D:D)</f>
        <v>200</v>
      </c>
      <c r="L191" s="3">
        <f>SUMIF(收开票!A:A,采购合同!A:A,收开票!H:H)</f>
        <v>200</v>
      </c>
      <c r="M191" s="1">
        <f>SUMIF(收开票!A:A,采购合同!A:A,收开票!I:I)</f>
        <v>228400</v>
      </c>
      <c r="N191" s="2">
        <f>SUMIF(收付款!A:A,采购合同!A:A,收付款!E:E)</f>
        <v>228400</v>
      </c>
      <c r="O191" s="2">
        <f t="shared" ref="O191:O199" si="17">K191*H191-N191</f>
        <v>0</v>
      </c>
      <c r="P191" s="90"/>
      <c r="Q191" s="1"/>
      <c r="R191" s="5"/>
      <c r="S191" s="4"/>
    </row>
    <row r="192" spans="1:19" ht="24.95" hidden="1" customHeight="1">
      <c r="A192" s="13" t="s">
        <v>3432</v>
      </c>
      <c r="B192" s="6" t="s">
        <v>127</v>
      </c>
      <c r="C192" s="6" t="s">
        <v>3263</v>
      </c>
      <c r="D192" s="7">
        <v>42914</v>
      </c>
      <c r="E192" s="6" t="s">
        <v>875</v>
      </c>
      <c r="F192" s="8" t="s">
        <v>876</v>
      </c>
      <c r="G192" s="9">
        <v>300</v>
      </c>
      <c r="H192" s="10">
        <v>1140</v>
      </c>
      <c r="I192" s="11">
        <f t="shared" si="16"/>
        <v>342000</v>
      </c>
      <c r="J192" s="12" t="s">
        <v>877</v>
      </c>
      <c r="K192" s="3">
        <f>SUMIF(收发货!A:A,采购合同!A:A,收发货!D:D)</f>
        <v>300</v>
      </c>
      <c r="L192" s="3">
        <f>SUMIF(收开票!A:A,采购合同!A:A,收开票!H:H)</f>
        <v>300</v>
      </c>
      <c r="M192" s="1">
        <f>SUMIF(收开票!A:A,采购合同!A:A,收开票!I:I)</f>
        <v>342000</v>
      </c>
      <c r="N192" s="2">
        <f>SUMIF(收付款!A:A,采购合同!A:A,收付款!E:E)</f>
        <v>342000</v>
      </c>
      <c r="O192" s="2">
        <f t="shared" si="17"/>
        <v>0</v>
      </c>
      <c r="P192" s="90"/>
      <c r="Q192" s="1"/>
      <c r="R192" s="5"/>
      <c r="S192" s="4"/>
    </row>
    <row r="193" spans="1:19" ht="24.95" hidden="1" customHeight="1">
      <c r="A193" s="13" t="s">
        <v>3373</v>
      </c>
      <c r="B193" s="6" t="s">
        <v>127</v>
      </c>
      <c r="C193" s="6" t="s">
        <v>3263</v>
      </c>
      <c r="D193" s="7">
        <v>42915</v>
      </c>
      <c r="E193" s="6" t="s">
        <v>875</v>
      </c>
      <c r="F193" s="8" t="s">
        <v>876</v>
      </c>
      <c r="G193" s="9">
        <v>300</v>
      </c>
      <c r="H193" s="10">
        <v>1150</v>
      </c>
      <c r="I193" s="11">
        <f t="shared" si="16"/>
        <v>345000</v>
      </c>
      <c r="J193" s="12" t="s">
        <v>877</v>
      </c>
      <c r="K193" s="3">
        <f>SUMIF(收发货!A:A,采购合同!A:A,收发货!D:D)</f>
        <v>300</v>
      </c>
      <c r="L193" s="3">
        <f>SUMIF(收开票!A:A,采购合同!A:A,收开票!H:H)</f>
        <v>300</v>
      </c>
      <c r="M193" s="1">
        <f>SUMIF(收开票!A:A,采购合同!A:A,收开票!I:I)</f>
        <v>343500</v>
      </c>
      <c r="N193" s="2">
        <f>SUMIF(收付款!A:A,采购合同!A:A,收付款!E:E)</f>
        <v>345000</v>
      </c>
      <c r="O193" s="2">
        <f t="shared" si="17"/>
        <v>0</v>
      </c>
      <c r="P193" s="90"/>
      <c r="Q193" s="1"/>
      <c r="R193" s="5"/>
      <c r="S193" s="4"/>
    </row>
    <row r="194" spans="1:19" ht="24.95" hidden="1" customHeight="1">
      <c r="A194" s="13" t="s">
        <v>3269</v>
      </c>
      <c r="B194" s="6" t="s">
        <v>127</v>
      </c>
      <c r="C194" s="6" t="s">
        <v>3263</v>
      </c>
      <c r="D194" s="7">
        <v>42915</v>
      </c>
      <c r="E194" s="6" t="s">
        <v>875</v>
      </c>
      <c r="F194" s="8" t="s">
        <v>876</v>
      </c>
      <c r="G194" s="9">
        <v>300</v>
      </c>
      <c r="H194" s="10">
        <v>1145</v>
      </c>
      <c r="I194" s="11">
        <f t="shared" si="16"/>
        <v>343500</v>
      </c>
      <c r="J194" s="12" t="s">
        <v>877</v>
      </c>
      <c r="K194" s="3">
        <f>SUMIF(收发货!A:A,采购合同!A:A,收发货!D:D)</f>
        <v>300</v>
      </c>
      <c r="L194" s="3">
        <f>SUMIF(收开票!A:A,采购合同!A:A,收开票!H:H)</f>
        <v>300</v>
      </c>
      <c r="M194" s="1">
        <f>SUMIF(收开票!A:A,采购合同!A:A,收开票!I:I)</f>
        <v>345000</v>
      </c>
      <c r="N194" s="2">
        <f>SUMIF(收付款!A:A,采购合同!A:A,收付款!E:E)</f>
        <v>343500</v>
      </c>
      <c r="O194" s="2">
        <f t="shared" si="17"/>
        <v>0</v>
      </c>
      <c r="P194" s="90"/>
      <c r="Q194" s="1"/>
      <c r="R194" s="5"/>
      <c r="S194" s="4"/>
    </row>
    <row r="195" spans="1:19" ht="24.95" hidden="1" customHeight="1">
      <c r="A195" s="13" t="s">
        <v>3374</v>
      </c>
      <c r="B195" s="6" t="s">
        <v>127</v>
      </c>
      <c r="C195" s="6" t="s">
        <v>3263</v>
      </c>
      <c r="D195" s="7">
        <v>42915</v>
      </c>
      <c r="E195" s="6" t="s">
        <v>875</v>
      </c>
      <c r="F195" s="8" t="s">
        <v>876</v>
      </c>
      <c r="G195" s="9">
        <v>100</v>
      </c>
      <c r="H195" s="10">
        <v>1125</v>
      </c>
      <c r="I195" s="11">
        <f t="shared" si="16"/>
        <v>112500</v>
      </c>
      <c r="J195" s="12" t="s">
        <v>877</v>
      </c>
      <c r="K195" s="3">
        <f>SUMIF(收发货!A:A,采购合同!A:A,收发货!D:D)</f>
        <v>100</v>
      </c>
      <c r="L195" s="3">
        <f>SUMIF(收开票!A:A,采购合同!A:A,收开票!H:H)</f>
        <v>100</v>
      </c>
      <c r="M195" s="1">
        <f>SUMIF(收开票!A:A,采购合同!A:A,收开票!I:I)</f>
        <v>112500</v>
      </c>
      <c r="N195" s="2">
        <f>SUMIF(收付款!A:A,采购合同!A:A,收付款!E:E)</f>
        <v>112500</v>
      </c>
      <c r="O195" s="2">
        <f t="shared" si="17"/>
        <v>0</v>
      </c>
      <c r="P195" s="90"/>
      <c r="Q195" s="1"/>
      <c r="R195" s="5"/>
      <c r="S195" s="4"/>
    </row>
    <row r="196" spans="1:19" ht="24.95" hidden="1" customHeight="1">
      <c r="A196" s="13" t="s">
        <v>3582</v>
      </c>
      <c r="B196" s="6" t="s">
        <v>127</v>
      </c>
      <c r="C196" s="6" t="s">
        <v>3263</v>
      </c>
      <c r="D196" s="7">
        <v>42916</v>
      </c>
      <c r="E196" s="6" t="s">
        <v>875</v>
      </c>
      <c r="F196" s="8" t="s">
        <v>876</v>
      </c>
      <c r="G196" s="9">
        <v>400</v>
      </c>
      <c r="H196" s="10">
        <v>1140</v>
      </c>
      <c r="I196" s="11">
        <f t="shared" si="16"/>
        <v>456000</v>
      </c>
      <c r="J196" s="12" t="s">
        <v>877</v>
      </c>
      <c r="K196" s="3">
        <f>SUMIF(收发货!A:A,采购合同!A:A,收发货!D:D)</f>
        <v>400</v>
      </c>
      <c r="L196" s="3">
        <f>SUMIF(收开票!A:A,采购合同!A:A,收开票!H:H)</f>
        <v>400</v>
      </c>
      <c r="M196" s="1">
        <f>SUMIF(收开票!A:A,采购合同!A:A,收开票!I:I)</f>
        <v>456000</v>
      </c>
      <c r="N196" s="2">
        <f>SUMIF(收付款!A:A,采购合同!A:A,收付款!E:E)</f>
        <v>456000</v>
      </c>
      <c r="O196" s="2">
        <f t="shared" si="17"/>
        <v>0</v>
      </c>
      <c r="P196" s="90"/>
      <c r="Q196" s="1"/>
      <c r="R196" s="5"/>
      <c r="S196" s="4"/>
    </row>
    <row r="197" spans="1:19" ht="24.95" hidden="1" customHeight="1">
      <c r="A197" s="13" t="s">
        <v>3273</v>
      </c>
      <c r="B197" s="6" t="s">
        <v>127</v>
      </c>
      <c r="C197" s="6" t="s">
        <v>3263</v>
      </c>
      <c r="D197" s="7">
        <v>42916</v>
      </c>
      <c r="E197" s="6" t="s">
        <v>875</v>
      </c>
      <c r="F197" s="8" t="s">
        <v>876</v>
      </c>
      <c r="G197" s="9">
        <v>200</v>
      </c>
      <c r="H197" s="10">
        <v>1125</v>
      </c>
      <c r="I197" s="11">
        <f t="shared" si="16"/>
        <v>225000</v>
      </c>
      <c r="J197" s="12" t="s">
        <v>877</v>
      </c>
      <c r="K197" s="3">
        <f>SUMIF(收发货!A:A,采购合同!A:A,收发货!D:D)</f>
        <v>200</v>
      </c>
      <c r="L197" s="3">
        <f>SUMIF(收开票!A:A,采购合同!A:A,收开票!H:H)</f>
        <v>200</v>
      </c>
      <c r="M197" s="1">
        <f>SUMIF(收开票!A:A,采购合同!A:A,收开票!I:I)</f>
        <v>225000</v>
      </c>
      <c r="N197" s="2">
        <f>SUMIF(收付款!A:A,采购合同!A:A,收付款!E:E)</f>
        <v>225000</v>
      </c>
      <c r="O197" s="2">
        <f t="shared" si="17"/>
        <v>0</v>
      </c>
      <c r="P197" s="90"/>
      <c r="Q197" s="1"/>
      <c r="R197" s="5"/>
      <c r="S197" s="4"/>
    </row>
    <row r="198" spans="1:19" ht="24.95" hidden="1" customHeight="1">
      <c r="A198" s="13" t="s">
        <v>3276</v>
      </c>
      <c r="B198" s="6" t="s">
        <v>127</v>
      </c>
      <c r="C198" s="6" t="s">
        <v>3263</v>
      </c>
      <c r="D198" s="7">
        <v>42916</v>
      </c>
      <c r="E198" s="6" t="s">
        <v>875</v>
      </c>
      <c r="F198" s="8" t="s">
        <v>876</v>
      </c>
      <c r="G198" s="9">
        <v>200</v>
      </c>
      <c r="H198" s="10">
        <v>1125</v>
      </c>
      <c r="I198" s="11">
        <f t="shared" si="16"/>
        <v>225000</v>
      </c>
      <c r="J198" s="12" t="s">
        <v>877</v>
      </c>
      <c r="K198" s="3">
        <f>SUMIF(收发货!A:A,采购合同!A:A,收发货!D:D)</f>
        <v>200</v>
      </c>
      <c r="L198" s="3">
        <f>SUMIF(收开票!A:A,采购合同!A:A,收开票!H:H)</f>
        <v>200</v>
      </c>
      <c r="M198" s="1">
        <f>SUMIF(收开票!A:A,采购合同!A:A,收开票!I:I)</f>
        <v>225000</v>
      </c>
      <c r="N198" s="2">
        <f>SUMIF(收付款!A:A,采购合同!A:A,收付款!E:E)</f>
        <v>225000</v>
      </c>
      <c r="O198" s="2">
        <f>M198-N198</f>
        <v>0</v>
      </c>
      <c r="P198" s="90"/>
      <c r="Q198" s="1"/>
      <c r="R198" s="5"/>
      <c r="S198" s="4"/>
    </row>
    <row r="199" spans="1:19" ht="39" hidden="1" customHeight="1">
      <c r="A199" s="13" t="s">
        <v>3279</v>
      </c>
      <c r="B199" s="6" t="s">
        <v>147</v>
      </c>
      <c r="C199" s="6" t="s">
        <v>194</v>
      </c>
      <c r="D199" s="7">
        <v>42920</v>
      </c>
      <c r="E199" s="6" t="s">
        <v>3237</v>
      </c>
      <c r="F199" s="8" t="s">
        <v>1867</v>
      </c>
      <c r="G199" s="9">
        <v>96</v>
      </c>
      <c r="H199" s="10">
        <v>10400</v>
      </c>
      <c r="I199" s="11">
        <f t="shared" si="16"/>
        <v>998400</v>
      </c>
      <c r="J199" s="12" t="s">
        <v>3238</v>
      </c>
      <c r="K199" s="3">
        <f>SUMIF(收发货!A:A,采购合同!A:A,收发货!D:D)</f>
        <v>96</v>
      </c>
      <c r="L199" s="3">
        <f>SUMIF(收开票!A:A,采购合同!A:A,收开票!H:H)</f>
        <v>96</v>
      </c>
      <c r="M199" s="1">
        <f>SUMIF(收开票!A:A,采购合同!A:A,收开票!I:I)</f>
        <v>998400</v>
      </c>
      <c r="N199" s="2">
        <f>SUMIF(收付款!A:A,采购合同!A:A,收付款!E:E)</f>
        <v>998400</v>
      </c>
      <c r="O199" s="2">
        <f t="shared" si="17"/>
        <v>0</v>
      </c>
      <c r="P199" s="90"/>
      <c r="Q199" s="1"/>
      <c r="R199" s="5"/>
      <c r="S199" s="4"/>
    </row>
    <row r="200" spans="1:19" ht="35.1" hidden="1" customHeight="1">
      <c r="A200" s="13" t="s">
        <v>3284</v>
      </c>
      <c r="B200" s="6" t="s">
        <v>193</v>
      </c>
      <c r="C200" s="6" t="s">
        <v>194</v>
      </c>
      <c r="D200" s="7">
        <v>42920</v>
      </c>
      <c r="E200" s="6" t="s">
        <v>654</v>
      </c>
      <c r="F200" s="8" t="s">
        <v>3</v>
      </c>
      <c r="G200" s="9">
        <v>64</v>
      </c>
      <c r="H200" s="10">
        <v>10720</v>
      </c>
      <c r="I200" s="11">
        <f t="shared" si="16"/>
        <v>686080</v>
      </c>
      <c r="J200" s="12" t="s">
        <v>3285</v>
      </c>
      <c r="K200" s="3">
        <f>SUMIF(收发货!A:A,采购合同!A:A,收发货!D:D)</f>
        <v>64</v>
      </c>
      <c r="L200" s="3">
        <f>SUMIF(收开票!A:A,采购合同!A:A,收开票!H:H)</f>
        <v>64</v>
      </c>
      <c r="M200" s="1">
        <f>SUMIF(收开票!A:A,采购合同!A:A,收开票!I:I)</f>
        <v>686080</v>
      </c>
      <c r="N200" s="2">
        <f>SUMIF(收付款!A:A,采购合同!A:A,收付款!E:E)</f>
        <v>686080</v>
      </c>
      <c r="O200" s="2"/>
      <c r="P200" s="90"/>
      <c r="Q200" s="1"/>
      <c r="R200" s="5"/>
      <c r="S200" s="4"/>
    </row>
    <row r="201" spans="1:19" ht="50.25" hidden="1" customHeight="1">
      <c r="A201" s="13" t="s">
        <v>3315</v>
      </c>
      <c r="B201" s="6" t="s">
        <v>217</v>
      </c>
      <c r="C201" s="6" t="s">
        <v>218</v>
      </c>
      <c r="D201" s="7">
        <v>42923</v>
      </c>
      <c r="E201" s="6" t="s">
        <v>3470</v>
      </c>
      <c r="F201" s="8" t="s">
        <v>1867</v>
      </c>
      <c r="G201" s="9">
        <v>5000</v>
      </c>
      <c r="H201" s="10">
        <v>615</v>
      </c>
      <c r="I201" s="11">
        <f t="shared" si="16"/>
        <v>3075000</v>
      </c>
      <c r="J201" s="12" t="s">
        <v>3480</v>
      </c>
      <c r="K201" s="3">
        <f>SUMIF(收发货!A:A,采购合同!A:A,收发货!D:D)</f>
        <v>5000</v>
      </c>
      <c r="L201" s="3">
        <f>SUMIF(收开票!A:A,采购合同!A:A,收开票!H:H)</f>
        <v>4473.5200000000004</v>
      </c>
      <c r="M201" s="1">
        <f>SUMIF(收开票!A:A,采购合同!A:A,收开票!I:I)</f>
        <v>2698025.97</v>
      </c>
      <c r="N201" s="2">
        <f>SUMIF(收付款!A:A,采购合同!A:A,收付款!E:E)</f>
        <v>2698025.97</v>
      </c>
      <c r="O201" s="2"/>
      <c r="P201" s="90"/>
      <c r="Q201" s="1"/>
      <c r="R201" s="5"/>
      <c r="S201" s="4"/>
    </row>
    <row r="202" spans="1:19" ht="50.25" hidden="1" customHeight="1">
      <c r="A202" s="13" t="s">
        <v>3338</v>
      </c>
      <c r="B202" s="6" t="s">
        <v>217</v>
      </c>
      <c r="C202" s="6" t="s">
        <v>218</v>
      </c>
      <c r="D202" s="7">
        <v>42923</v>
      </c>
      <c r="E202" s="6" t="s">
        <v>3339</v>
      </c>
      <c r="F202" s="8" t="s">
        <v>1867</v>
      </c>
      <c r="G202" s="9">
        <v>5000</v>
      </c>
      <c r="H202" s="10">
        <v>617</v>
      </c>
      <c r="I202" s="11">
        <f t="shared" ref="I202:I210" si="18">G202*H202</f>
        <v>3085000</v>
      </c>
      <c r="J202" s="12" t="s">
        <v>1274</v>
      </c>
      <c r="K202" s="3">
        <f>SUMIF(收发货!A:A,采购合同!A:A,收发货!D:D)</f>
        <v>5084.92</v>
      </c>
      <c r="L202" s="3">
        <f>SUMIF(收开票!A:A,采购合同!A:A,收开票!H:H)</f>
        <v>4381.1363999999994</v>
      </c>
      <c r="M202" s="1">
        <f>SUMIF(收开票!A:A,采购合同!A:A,收开票!I:I)</f>
        <v>2663582.2904000003</v>
      </c>
      <c r="N202" s="2">
        <f>SUMIF(收付款!A:A,采购合同!A:A,收付款!E:E)</f>
        <v>2663582.2904000003</v>
      </c>
      <c r="O202" s="2">
        <f>M202-N202</f>
        <v>0</v>
      </c>
      <c r="P202" s="90"/>
      <c r="Q202" s="1"/>
      <c r="R202" s="5"/>
      <c r="S202" s="4"/>
    </row>
    <row r="203" spans="1:19" ht="39" hidden="1" customHeight="1">
      <c r="A203" s="13" t="s">
        <v>3335</v>
      </c>
      <c r="B203" s="6" t="s">
        <v>147</v>
      </c>
      <c r="C203" s="6" t="s">
        <v>194</v>
      </c>
      <c r="D203" s="7">
        <v>42920</v>
      </c>
      <c r="E203" s="6" t="s">
        <v>3237</v>
      </c>
      <c r="F203" s="8" t="s">
        <v>1867</v>
      </c>
      <c r="G203" s="9">
        <v>160</v>
      </c>
      <c r="H203" s="10">
        <v>10250</v>
      </c>
      <c r="I203" s="11">
        <f t="shared" si="18"/>
        <v>1640000</v>
      </c>
      <c r="J203" s="12" t="s">
        <v>3238</v>
      </c>
      <c r="K203" s="3">
        <f>SUMIF(收发货!A:A,采购合同!A:A,收发货!D:D)</f>
        <v>160</v>
      </c>
      <c r="L203" s="3">
        <f>SUMIF(收开票!A:A,采购合同!A:A,收开票!H:H)</f>
        <v>160</v>
      </c>
      <c r="M203" s="1">
        <f>SUMIF(收开票!A:A,采购合同!A:A,收开票!I:I)</f>
        <v>1640000</v>
      </c>
      <c r="N203" s="2">
        <f>SUMIF(收付款!A:A,采购合同!A:A,收付款!E:E)</f>
        <v>1640000</v>
      </c>
      <c r="O203" s="2">
        <f>K203*H203-N203</f>
        <v>0</v>
      </c>
      <c r="P203" s="90"/>
      <c r="Q203" s="1"/>
      <c r="R203" s="5"/>
      <c r="S203" s="4"/>
    </row>
    <row r="204" spans="1:19" ht="39" hidden="1" customHeight="1">
      <c r="A204" s="13" t="s">
        <v>3563</v>
      </c>
      <c r="B204" s="6" t="s">
        <v>147</v>
      </c>
      <c r="C204" s="6" t="s">
        <v>603</v>
      </c>
      <c r="D204" s="7">
        <v>42927</v>
      </c>
      <c r="E204" s="6" t="s">
        <v>3255</v>
      </c>
      <c r="F204" s="8" t="s">
        <v>1867</v>
      </c>
      <c r="G204" s="9">
        <v>200</v>
      </c>
      <c r="H204" s="10">
        <v>6370</v>
      </c>
      <c r="I204" s="11">
        <f t="shared" si="18"/>
        <v>1274000</v>
      </c>
      <c r="J204" s="12" t="s">
        <v>3344</v>
      </c>
      <c r="K204" s="3">
        <f>SUMIF(收发货!A:A,采购合同!A:A,收发货!D:D)</f>
        <v>195</v>
      </c>
      <c r="L204" s="3">
        <f>SUMIF(收开票!A:A,采购合同!A:A,收开票!H:H)</f>
        <v>198.36019999999999</v>
      </c>
      <c r="M204" s="1">
        <f>SUMIF(收开票!A:A,采购合同!A:A,收开票!I:I)</f>
        <v>1280219.07</v>
      </c>
      <c r="N204" s="2">
        <f>SUMIF(收付款!A:A,采购合同!A:A,收付款!E:E)</f>
        <v>1280219.07</v>
      </c>
      <c r="O204" s="2">
        <f>N204-M204</f>
        <v>0</v>
      </c>
      <c r="P204" s="90"/>
      <c r="Q204" s="1"/>
      <c r="R204" s="5"/>
      <c r="S204" s="4"/>
    </row>
    <row r="205" spans="1:19" ht="35.1" hidden="1" customHeight="1">
      <c r="A205" s="13" t="s">
        <v>3354</v>
      </c>
      <c r="B205" s="6" t="s">
        <v>193</v>
      </c>
      <c r="C205" s="6" t="s">
        <v>194</v>
      </c>
      <c r="D205" s="7">
        <v>42928</v>
      </c>
      <c r="E205" s="6" t="s">
        <v>654</v>
      </c>
      <c r="F205" s="8" t="s">
        <v>3</v>
      </c>
      <c r="G205" s="9">
        <v>64</v>
      </c>
      <c r="H205" s="10">
        <v>10520</v>
      </c>
      <c r="I205" s="11">
        <f t="shared" si="18"/>
        <v>673280</v>
      </c>
      <c r="J205" s="12" t="s">
        <v>3355</v>
      </c>
      <c r="K205" s="3">
        <f>SUMIF(收发货!A:A,采购合同!A:A,收发货!D:D)</f>
        <v>64</v>
      </c>
      <c r="L205" s="3">
        <f>SUMIF(收开票!A:A,采购合同!A:A,收开票!H:H)</f>
        <v>64</v>
      </c>
      <c r="M205" s="1">
        <f>SUMIF(收开票!A:A,采购合同!A:A,收开票!I:I)</f>
        <v>673280</v>
      </c>
      <c r="N205" s="2">
        <f>SUMIF(收付款!A:A,采购合同!A:A,收付款!E:E)</f>
        <v>673280</v>
      </c>
      <c r="O205" s="2"/>
      <c r="P205" s="90"/>
      <c r="Q205" s="1"/>
      <c r="R205" s="5"/>
      <c r="S205" s="4"/>
    </row>
    <row r="206" spans="1:19" ht="37.5" hidden="1" customHeight="1">
      <c r="A206" s="13" t="s">
        <v>3465</v>
      </c>
      <c r="B206" s="6" t="s">
        <v>193</v>
      </c>
      <c r="C206" s="6" t="s">
        <v>194</v>
      </c>
      <c r="D206" s="7">
        <v>42928</v>
      </c>
      <c r="E206" s="6" t="s">
        <v>3357</v>
      </c>
      <c r="F206" s="8" t="s">
        <v>3</v>
      </c>
      <c r="G206" s="9">
        <v>32</v>
      </c>
      <c r="H206" s="10">
        <v>10200</v>
      </c>
      <c r="I206" s="11">
        <f t="shared" si="18"/>
        <v>326400</v>
      </c>
      <c r="J206" s="12" t="s">
        <v>3372</v>
      </c>
      <c r="K206" s="3">
        <f>SUMIF(收发货!A:A,采购合同!A:A,收发货!D:D)</f>
        <v>32</v>
      </c>
      <c r="L206" s="3">
        <f>SUMIF(收开票!A:A,采购合同!A:A,收开票!H:H)</f>
        <v>32</v>
      </c>
      <c r="M206" s="1">
        <f>SUMIF(收开票!A:A,采购合同!A:A,收开票!I:I)</f>
        <v>326400</v>
      </c>
      <c r="N206" s="2">
        <f>SUMIF(收付款!A:A,采购合同!A:A,收付款!E:E)</f>
        <v>326400</v>
      </c>
      <c r="O206" s="2"/>
      <c r="P206" s="90"/>
      <c r="Q206" s="1"/>
      <c r="R206" s="5"/>
      <c r="S206" s="4"/>
    </row>
    <row r="207" spans="1:19" ht="39" hidden="1" customHeight="1">
      <c r="A207" s="13" t="s">
        <v>3362</v>
      </c>
      <c r="B207" s="6" t="s">
        <v>147</v>
      </c>
      <c r="C207" s="6" t="s">
        <v>194</v>
      </c>
      <c r="D207" s="7">
        <v>42929</v>
      </c>
      <c r="E207" s="6" t="s">
        <v>3237</v>
      </c>
      <c r="F207" s="8" t="s">
        <v>1867</v>
      </c>
      <c r="G207" s="9">
        <v>320</v>
      </c>
      <c r="H207" s="10">
        <v>10150</v>
      </c>
      <c r="I207" s="11">
        <f t="shared" si="18"/>
        <v>3248000</v>
      </c>
      <c r="J207" s="12" t="s">
        <v>3238</v>
      </c>
      <c r="K207" s="3">
        <f>SUMIF(收发货!A:A,采购合同!A:A,收发货!D:D)</f>
        <v>320</v>
      </c>
      <c r="L207" s="3">
        <f>SUMIF(收开票!A:A,采购合同!A:A,收开票!H:H)</f>
        <v>320</v>
      </c>
      <c r="M207" s="1">
        <f>SUMIF(收开票!A:A,采购合同!A:A,收开票!I:I)</f>
        <v>3248000</v>
      </c>
      <c r="N207" s="2">
        <f>SUMIF(收付款!A:A,采购合同!A:A,收付款!E:E)</f>
        <v>3248000</v>
      </c>
      <c r="O207" s="2">
        <f>K207*H207-N207</f>
        <v>0</v>
      </c>
      <c r="P207" s="90"/>
      <c r="Q207" s="1"/>
      <c r="R207" s="5"/>
      <c r="S207" s="4"/>
    </row>
    <row r="208" spans="1:19" ht="35.1" hidden="1" customHeight="1">
      <c r="A208" s="13" t="s">
        <v>3408</v>
      </c>
      <c r="B208" s="6" t="s">
        <v>193</v>
      </c>
      <c r="C208" s="6" t="s">
        <v>194</v>
      </c>
      <c r="D208" s="7">
        <v>42929</v>
      </c>
      <c r="E208" s="6" t="s">
        <v>654</v>
      </c>
      <c r="F208" s="8" t="s">
        <v>3</v>
      </c>
      <c r="G208" s="9">
        <v>64</v>
      </c>
      <c r="H208" s="10">
        <v>10520</v>
      </c>
      <c r="I208" s="11">
        <f t="shared" si="18"/>
        <v>673280</v>
      </c>
      <c r="J208" s="12" t="s">
        <v>3355</v>
      </c>
      <c r="K208" s="3">
        <f>SUMIF(收发货!A:A,采购合同!A:A,收发货!D:D)</f>
        <v>64</v>
      </c>
      <c r="L208" s="3">
        <f>SUMIF(收开票!A:A,采购合同!A:A,收开票!H:H)</f>
        <v>64</v>
      </c>
      <c r="M208" s="1">
        <f>SUMIF(收开票!A:A,采购合同!A:A,收开票!I:I)</f>
        <v>673280</v>
      </c>
      <c r="N208" s="2">
        <f>SUMIF(收付款!A:A,采购合同!A:A,收付款!E:E)</f>
        <v>673280</v>
      </c>
      <c r="O208" s="2"/>
      <c r="P208" s="90"/>
      <c r="Q208" s="1"/>
      <c r="R208" s="5"/>
      <c r="S208" s="4"/>
    </row>
    <row r="209" spans="1:19" ht="45" hidden="1">
      <c r="A209" s="13" t="s">
        <v>3413</v>
      </c>
      <c r="B209" s="6" t="s">
        <v>217</v>
      </c>
      <c r="C209" s="6" t="s">
        <v>2761</v>
      </c>
      <c r="D209" s="7">
        <v>42933</v>
      </c>
      <c r="E209" s="6" t="s">
        <v>2797</v>
      </c>
      <c r="F209" s="8" t="s">
        <v>1867</v>
      </c>
      <c r="G209" s="9">
        <v>15000</v>
      </c>
      <c r="H209" s="10">
        <v>1160</v>
      </c>
      <c r="I209" s="11">
        <f t="shared" si="18"/>
        <v>17400000</v>
      </c>
      <c r="J209" s="12" t="s">
        <v>3414</v>
      </c>
      <c r="K209" s="3">
        <f>SUMIF(收发货!A:A,采购合同!A:A,收发货!D:D)</f>
        <v>17369.8</v>
      </c>
      <c r="L209" s="3">
        <f>SUMIF(收开票!A:A,采购合同!A:A,收开票!H:H)</f>
        <v>16917.958999999999</v>
      </c>
      <c r="M209" s="1">
        <f>SUMIF(收开票!A:A,采购合同!A:A,收开票!I:I)</f>
        <v>19624832.439999998</v>
      </c>
      <c r="N209" s="2">
        <f>SUMIF(收付款!A:A,采购合同!A:A,收付款!E:E)</f>
        <v>19624832.440000001</v>
      </c>
      <c r="O209" s="2"/>
      <c r="P209" s="90"/>
      <c r="Q209" s="1"/>
      <c r="R209" s="5"/>
      <c r="S209" s="4"/>
    </row>
    <row r="210" spans="1:19" ht="24.95" hidden="1" customHeight="1">
      <c r="A210" s="13" t="s">
        <v>3450</v>
      </c>
      <c r="B210" s="6" t="s">
        <v>127</v>
      </c>
      <c r="C210" s="6" t="s">
        <v>3263</v>
      </c>
      <c r="D210" s="7">
        <v>42923</v>
      </c>
      <c r="E210" s="6" t="s">
        <v>875</v>
      </c>
      <c r="F210" s="8" t="s">
        <v>876</v>
      </c>
      <c r="G210" s="9">
        <v>200</v>
      </c>
      <c r="H210" s="10">
        <v>1215</v>
      </c>
      <c r="I210" s="11">
        <f t="shared" si="18"/>
        <v>243000</v>
      </c>
      <c r="J210" s="12" t="s">
        <v>877</v>
      </c>
      <c r="K210" s="3">
        <f>SUMIF(收发货!A:A,采购合同!A:A,收发货!D:D)</f>
        <v>200</v>
      </c>
      <c r="L210" s="3">
        <f>SUMIF(收开票!A:A,采购合同!A:A,收开票!H:H)</f>
        <v>200</v>
      </c>
      <c r="M210" s="1">
        <f>SUMIF(收开票!A:A,采购合同!A:A,收开票!I:I)</f>
        <v>243000</v>
      </c>
      <c r="N210" s="2">
        <f>SUMIF(收付款!A:A,采购合同!A:A,收付款!E:E)</f>
        <v>243000</v>
      </c>
      <c r="O210" s="2">
        <f t="shared" ref="O210:O211" si="19">M210-N210</f>
        <v>0</v>
      </c>
      <c r="P210" s="90"/>
      <c r="Q210" s="1"/>
      <c r="R210" s="5"/>
      <c r="S210" s="4"/>
    </row>
    <row r="211" spans="1:19" ht="24.95" hidden="1" customHeight="1">
      <c r="A211" s="13" t="s">
        <v>3429</v>
      </c>
      <c r="B211" s="6" t="s">
        <v>127</v>
      </c>
      <c r="C211" s="6" t="s">
        <v>3263</v>
      </c>
      <c r="D211" s="7">
        <v>42935</v>
      </c>
      <c r="E211" s="6" t="s">
        <v>875</v>
      </c>
      <c r="F211" s="8" t="s">
        <v>876</v>
      </c>
      <c r="G211" s="9">
        <v>240</v>
      </c>
      <c r="H211" s="10">
        <v>1160</v>
      </c>
      <c r="I211" s="11">
        <f t="shared" ref="I211:I234" si="20">G211*H211</f>
        <v>278400</v>
      </c>
      <c r="J211" s="12" t="s">
        <v>877</v>
      </c>
      <c r="K211" s="3">
        <f>SUMIF(收发货!A:A,采购合同!A:A,收发货!D:D)</f>
        <v>240</v>
      </c>
      <c r="L211" s="3">
        <f>SUMIF(收开票!A:A,采购合同!A:A,收开票!H:H)</f>
        <v>240</v>
      </c>
      <c r="M211" s="1">
        <f>SUMIF(收开票!A:A,采购合同!A:A,收开票!I:I)</f>
        <v>278400</v>
      </c>
      <c r="N211" s="2">
        <f>SUMIF(收付款!A:A,采购合同!A:A,收付款!E:E)</f>
        <v>278400</v>
      </c>
      <c r="O211" s="2">
        <f t="shared" si="19"/>
        <v>0</v>
      </c>
      <c r="P211" s="90"/>
      <c r="Q211" s="1"/>
      <c r="R211" s="5"/>
      <c r="S211" s="4"/>
    </row>
    <row r="212" spans="1:19" ht="39" hidden="1" customHeight="1">
      <c r="A212" s="13" t="s">
        <v>3454</v>
      </c>
      <c r="B212" s="6" t="s">
        <v>147</v>
      </c>
      <c r="C212" s="6" t="s">
        <v>603</v>
      </c>
      <c r="D212" s="7">
        <v>42940</v>
      </c>
      <c r="E212" s="6" t="s">
        <v>3255</v>
      </c>
      <c r="F212" s="8" t="s">
        <v>1867</v>
      </c>
      <c r="G212" s="9">
        <v>400</v>
      </c>
      <c r="H212" s="10">
        <v>6995</v>
      </c>
      <c r="I212" s="11">
        <f t="shared" si="20"/>
        <v>2798000</v>
      </c>
      <c r="J212" s="12" t="s">
        <v>3657</v>
      </c>
      <c r="K212" s="3">
        <f>SUMIF(收发货!A:A,采购合同!A:A,收发货!D:D)</f>
        <v>381</v>
      </c>
      <c r="L212" s="448">
        <f>SUMIF(收开票!A:A,采购合同!A:A,收开票!H:H)</f>
        <v>389.65269999999998</v>
      </c>
      <c r="M212" s="1">
        <f>SUMIF(收开票!A:A,采购合同!A:A,收开票!I:I)</f>
        <v>2686457.4299999997</v>
      </c>
      <c r="N212" s="2">
        <f>SUMIF(收付款!A:A,采购合同!A:A,收付款!E:E)</f>
        <v>2686457.4299999997</v>
      </c>
      <c r="O212" s="2">
        <f>M212-N212</f>
        <v>0</v>
      </c>
      <c r="P212" s="90"/>
      <c r="Q212" s="1"/>
      <c r="R212" s="5"/>
      <c r="S212" s="4"/>
    </row>
    <row r="213" spans="1:19" ht="56.25" hidden="1" customHeight="1">
      <c r="A213" s="13" t="s">
        <v>3656</v>
      </c>
      <c r="B213" s="6" t="s">
        <v>147</v>
      </c>
      <c r="C213" s="6" t="s">
        <v>194</v>
      </c>
      <c r="D213" s="7">
        <v>42948</v>
      </c>
      <c r="E213" s="6" t="s">
        <v>2011</v>
      </c>
      <c r="F213" s="8" t="s">
        <v>1867</v>
      </c>
      <c r="G213" s="9">
        <v>200</v>
      </c>
      <c r="H213" s="10">
        <v>10509</v>
      </c>
      <c r="I213" s="11">
        <f t="shared" si="20"/>
        <v>2101800</v>
      </c>
      <c r="J213" s="12" t="s">
        <v>3501</v>
      </c>
      <c r="K213" s="3">
        <f>SUMIF(收发货!A:A,采购合同!A:A,收发货!D:D)</f>
        <v>200</v>
      </c>
      <c r="L213" s="3">
        <f>SUMIF(收开票!A:A,采购合同!A:A,收开票!H:H)</f>
        <v>200</v>
      </c>
      <c r="M213" s="1">
        <f>SUMIF(收开票!A:A,采购合同!A:A,收开票!I:I)</f>
        <v>2101800</v>
      </c>
      <c r="N213" s="2">
        <f>SUMIF(收付款!A:A,采购合同!A:A,收付款!E:E)</f>
        <v>2101800</v>
      </c>
      <c r="O213" s="2"/>
      <c r="P213" s="90"/>
      <c r="Q213" s="1"/>
      <c r="R213" s="5"/>
      <c r="S213" s="4"/>
    </row>
    <row r="214" spans="1:19" ht="56.25" hidden="1" customHeight="1">
      <c r="A214" s="13" t="s">
        <v>3513</v>
      </c>
      <c r="B214" s="6" t="s">
        <v>193</v>
      </c>
      <c r="C214" s="6" t="s">
        <v>194</v>
      </c>
      <c r="D214" s="7">
        <v>42948</v>
      </c>
      <c r="E214" s="6" t="s">
        <v>3043</v>
      </c>
      <c r="F214" s="8" t="s">
        <v>1867</v>
      </c>
      <c r="G214" s="9">
        <v>150</v>
      </c>
      <c r="H214" s="10">
        <v>10350</v>
      </c>
      <c r="I214" s="11">
        <f t="shared" si="20"/>
        <v>1552500</v>
      </c>
      <c r="J214" s="12" t="s">
        <v>3514</v>
      </c>
      <c r="K214" s="3">
        <f>SUMIF(收发货!A:A,采购合同!A:A,收发货!D:D)</f>
        <v>310</v>
      </c>
      <c r="L214" s="3">
        <f>SUMIF(收开票!A:A,采购合同!A:A,收开票!H:H)</f>
        <v>150</v>
      </c>
      <c r="M214" s="1">
        <f>SUMIF(收开票!A:A,采购合同!A:A,收开票!I:I)</f>
        <v>1552500</v>
      </c>
      <c r="N214" s="2">
        <f>SUMIF(收付款!A:A,采购合同!A:A,收付款!E:E)</f>
        <v>1552500</v>
      </c>
      <c r="O214" s="2"/>
      <c r="P214" s="90"/>
      <c r="Q214" s="1"/>
      <c r="R214" s="5"/>
      <c r="S214" s="4"/>
    </row>
    <row r="215" spans="1:19" ht="54.75" hidden="1" customHeight="1">
      <c r="A215" s="13" t="s">
        <v>3515</v>
      </c>
      <c r="B215" s="6" t="s">
        <v>147</v>
      </c>
      <c r="C215" s="6" t="s">
        <v>194</v>
      </c>
      <c r="D215" s="7">
        <v>42948</v>
      </c>
      <c r="E215" s="6" t="s">
        <v>3237</v>
      </c>
      <c r="F215" s="8" t="s">
        <v>1867</v>
      </c>
      <c r="G215" s="9">
        <v>96</v>
      </c>
      <c r="H215" s="10">
        <v>10450</v>
      </c>
      <c r="I215" s="11">
        <f t="shared" si="20"/>
        <v>1003200</v>
      </c>
      <c r="J215" s="12" t="s">
        <v>3516</v>
      </c>
      <c r="K215" s="3">
        <f>SUMIF(收发货!A:A,采购合同!A:A,收发货!D:D)</f>
        <v>96</v>
      </c>
      <c r="L215" s="3">
        <f>SUMIF(收开票!A:A,采购合同!A:A,收开票!H:H)</f>
        <v>96</v>
      </c>
      <c r="M215" s="1">
        <f>SUMIF(收开票!A:A,采购合同!A:A,收开票!I:I)</f>
        <v>1003200</v>
      </c>
      <c r="N215" s="2">
        <f>SUMIF(收付款!A:A,采购合同!A:A,收付款!E:E)</f>
        <v>1003200</v>
      </c>
      <c r="O215" s="2"/>
      <c r="P215" s="90"/>
      <c r="Q215" s="1"/>
      <c r="R215" s="5"/>
      <c r="S215" s="4"/>
    </row>
    <row r="216" spans="1:19" ht="51" hidden="1" customHeight="1">
      <c r="A216" s="13" t="s">
        <v>4046</v>
      </c>
      <c r="B216" s="6" t="s">
        <v>485</v>
      </c>
      <c r="C216" s="6" t="s">
        <v>2999</v>
      </c>
      <c r="D216" s="7">
        <v>42948</v>
      </c>
      <c r="E216" s="6" t="s">
        <v>4047</v>
      </c>
      <c r="F216" s="8" t="s">
        <v>223</v>
      </c>
      <c r="G216" s="9">
        <v>20</v>
      </c>
      <c r="H216" s="10">
        <v>295000</v>
      </c>
      <c r="I216" s="11">
        <f t="shared" si="20"/>
        <v>5900000</v>
      </c>
      <c r="J216" s="12" t="s">
        <v>3525</v>
      </c>
      <c r="K216" s="3">
        <f>SUMIF(收发货!A:A,采购合同!A:A,收发货!D:D)</f>
        <v>20</v>
      </c>
      <c r="L216" s="3">
        <f>SUMIF(收开票!A:A,采购合同!A:A,收开票!H:H)</f>
        <v>20</v>
      </c>
      <c r="M216" s="1">
        <f>SUMIF(收开票!A:A,采购合同!A:A,收开票!I:I)</f>
        <v>5878323.8100000005</v>
      </c>
      <c r="N216" s="2">
        <f>SUMIF(收付款!A:A,采购合同!A:A,收付款!E:E)</f>
        <v>5900000</v>
      </c>
      <c r="O216" s="2">
        <f>M216-N216</f>
        <v>-21676.189999999478</v>
      </c>
      <c r="P216" s="90"/>
      <c r="Q216" s="1"/>
      <c r="R216" s="5"/>
      <c r="S216" s="4"/>
    </row>
    <row r="217" spans="1:19" ht="50.25" hidden="1" customHeight="1">
      <c r="A217" s="13" t="s">
        <v>3526</v>
      </c>
      <c r="B217" s="6" t="s">
        <v>217</v>
      </c>
      <c r="C217" s="6" t="s">
        <v>218</v>
      </c>
      <c r="D217" s="7">
        <v>42948</v>
      </c>
      <c r="E217" s="6" t="s">
        <v>2337</v>
      </c>
      <c r="F217" s="8" t="s">
        <v>1867</v>
      </c>
      <c r="G217" s="9">
        <v>5000</v>
      </c>
      <c r="H217" s="10">
        <v>678</v>
      </c>
      <c r="I217" s="11">
        <f t="shared" si="20"/>
        <v>3390000</v>
      </c>
      <c r="J217" s="12" t="s">
        <v>3527</v>
      </c>
      <c r="K217" s="3">
        <f>SUMIF(收发货!A:A,采购合同!A:A,收发货!D:D)</f>
        <v>4600</v>
      </c>
      <c r="L217" s="3">
        <f>SUMIF(收开票!A:A,采购合同!A:A,收开票!H:H)</f>
        <v>4013.8</v>
      </c>
      <c r="M217" s="1">
        <f>SUMIF(收开票!A:A,采购合同!A:A,收开票!I:I)</f>
        <v>2625160.39</v>
      </c>
      <c r="N217" s="2">
        <f>SUMIF(收付款!A:A,采购合同!A:A,收付款!E:E)</f>
        <v>2675160.39</v>
      </c>
      <c r="O217" s="2">
        <f>M217-N217</f>
        <v>-50000</v>
      </c>
      <c r="P217" s="90"/>
      <c r="Q217" s="1"/>
      <c r="R217" s="5"/>
      <c r="S217" s="4"/>
    </row>
    <row r="218" spans="1:19" ht="50.25" hidden="1" customHeight="1">
      <c r="A218" s="13" t="s">
        <v>3562</v>
      </c>
      <c r="B218" s="6" t="s">
        <v>217</v>
      </c>
      <c r="C218" s="6" t="s">
        <v>218</v>
      </c>
      <c r="D218" s="7">
        <v>42948</v>
      </c>
      <c r="E218" s="6" t="s">
        <v>3339</v>
      </c>
      <c r="F218" s="8" t="s">
        <v>1867</v>
      </c>
      <c r="G218" s="9">
        <v>5000</v>
      </c>
      <c r="H218" s="10">
        <v>658</v>
      </c>
      <c r="I218" s="11">
        <f t="shared" si="20"/>
        <v>3290000</v>
      </c>
      <c r="J218" s="12" t="s">
        <v>1274</v>
      </c>
      <c r="K218" s="3">
        <f>SUMIF(收发货!A:A,采购合同!A:A,收发货!D:D)</f>
        <v>4700</v>
      </c>
      <c r="L218" s="3">
        <f>SUMIF(收开票!A:A,采购合同!A:A,收开票!H:H)</f>
        <v>4005.0839000000001</v>
      </c>
      <c r="M218" s="1">
        <f>SUMIF(收开票!A:A,采购合同!A:A,收开票!I:I)</f>
        <v>2530496.099585</v>
      </c>
      <c r="N218" s="2">
        <f>SUMIF(收付款!A:A,采购合同!A:A,收付款!E:E)</f>
        <v>2530496.099585</v>
      </c>
      <c r="O218" s="2">
        <f>M218-N218</f>
        <v>0</v>
      </c>
      <c r="P218" s="90"/>
      <c r="Q218" s="1"/>
      <c r="R218" s="5"/>
      <c r="S218" s="4"/>
    </row>
    <row r="219" spans="1:19" ht="35.25" hidden="1" customHeight="1">
      <c r="A219" s="13" t="s">
        <v>3544</v>
      </c>
      <c r="B219" s="6" t="s">
        <v>127</v>
      </c>
      <c r="C219" s="6" t="s">
        <v>3554</v>
      </c>
      <c r="D219" s="7">
        <v>42930</v>
      </c>
      <c r="E219" s="6" t="s">
        <v>2336</v>
      </c>
      <c r="F219" s="8" t="s">
        <v>1867</v>
      </c>
      <c r="G219" s="9">
        <v>155</v>
      </c>
      <c r="H219" s="10">
        <v>11000</v>
      </c>
      <c r="I219" s="11">
        <f t="shared" si="20"/>
        <v>1705000</v>
      </c>
      <c r="J219" s="403" t="s">
        <v>3946</v>
      </c>
      <c r="K219" s="3">
        <f>SUMIF(收发货!A:A,采购合同!A:A,收发货!D:D)</f>
        <v>155</v>
      </c>
      <c r="L219" s="3">
        <f>SUMIF(收开票!A:A,采购合同!A:A,收开票!H:H)</f>
        <v>151.9521</v>
      </c>
      <c r="M219" s="1">
        <f>SUMIF(收开票!A:A,采购合同!A:A,收开票!I:I)</f>
        <v>1671472.9</v>
      </c>
      <c r="N219" s="2">
        <f>SUMIF(收付款!A:A,采购合同!A:A,收付款!E:E)</f>
        <v>1671472.9</v>
      </c>
      <c r="O219" s="2"/>
      <c r="P219" s="90"/>
      <c r="Q219" s="1"/>
      <c r="R219" s="5"/>
      <c r="S219" s="4"/>
    </row>
    <row r="220" spans="1:19" ht="24.95" hidden="1" customHeight="1">
      <c r="A220" s="13" t="s">
        <v>3568</v>
      </c>
      <c r="B220" s="6" t="s">
        <v>127</v>
      </c>
      <c r="C220" s="6" t="s">
        <v>3263</v>
      </c>
      <c r="D220" s="7">
        <v>42942</v>
      </c>
      <c r="E220" s="6" t="s">
        <v>875</v>
      </c>
      <c r="F220" s="8" t="s">
        <v>876</v>
      </c>
      <c r="G220" s="9">
        <v>40</v>
      </c>
      <c r="H220" s="10">
        <v>1270</v>
      </c>
      <c r="I220" s="11">
        <f t="shared" si="20"/>
        <v>50800</v>
      </c>
      <c r="J220" s="12" t="s">
        <v>877</v>
      </c>
      <c r="K220" s="3">
        <f>SUMIF(收发货!A:A,采购合同!A:A,收发货!D:D)</f>
        <v>40</v>
      </c>
      <c r="L220" s="3">
        <f>SUMIF(收开票!A:A,采购合同!A:A,收开票!H:H)</f>
        <v>40</v>
      </c>
      <c r="M220" s="1">
        <f>SUMIF(收开票!A:A,采购合同!A:A,收开票!I:I)</f>
        <v>50800</v>
      </c>
      <c r="N220" s="2">
        <f>SUMIF(收付款!A:A,采购合同!A:A,收付款!E:E)</f>
        <v>50800</v>
      </c>
      <c r="O220" s="2">
        <f t="shared" ref="O220:O221" si="21">M220-N220</f>
        <v>0</v>
      </c>
      <c r="P220" s="90"/>
      <c r="Q220" s="1"/>
      <c r="R220" s="5"/>
      <c r="S220" s="4"/>
    </row>
    <row r="221" spans="1:19" ht="24.95" hidden="1" customHeight="1">
      <c r="A221" s="13" t="s">
        <v>3569</v>
      </c>
      <c r="B221" s="6" t="s">
        <v>127</v>
      </c>
      <c r="C221" s="6" t="s">
        <v>3263</v>
      </c>
      <c r="D221" s="7">
        <v>42947</v>
      </c>
      <c r="E221" s="6" t="s">
        <v>875</v>
      </c>
      <c r="F221" s="8" t="s">
        <v>876</v>
      </c>
      <c r="G221" s="9">
        <v>100</v>
      </c>
      <c r="H221" s="10">
        <v>1170</v>
      </c>
      <c r="I221" s="11">
        <f t="shared" si="20"/>
        <v>117000</v>
      </c>
      <c r="J221" s="12" t="s">
        <v>877</v>
      </c>
      <c r="K221" s="3">
        <f>SUMIF(收发货!A:A,采购合同!A:A,收发货!D:D)</f>
        <v>100</v>
      </c>
      <c r="L221" s="3">
        <f>SUMIF(收开票!A:A,采购合同!A:A,收开票!H:H)</f>
        <v>100</v>
      </c>
      <c r="M221" s="1">
        <f>SUMIF(收开票!A:A,采购合同!A:A,收开票!I:I)</f>
        <v>117000</v>
      </c>
      <c r="N221" s="2">
        <f>SUMIF(收付款!A:A,采购合同!A:A,收付款!E:E)</f>
        <v>117000</v>
      </c>
      <c r="O221" s="2">
        <f t="shared" si="21"/>
        <v>0</v>
      </c>
      <c r="P221" s="90"/>
      <c r="Q221" s="1"/>
      <c r="R221" s="5"/>
      <c r="S221" s="4"/>
    </row>
    <row r="222" spans="1:19" ht="24.95" hidden="1" customHeight="1">
      <c r="A222" s="13" t="s">
        <v>3829</v>
      </c>
      <c r="B222" s="6" t="s">
        <v>127</v>
      </c>
      <c r="C222" s="6" t="s">
        <v>194</v>
      </c>
      <c r="D222" s="7">
        <v>42949</v>
      </c>
      <c r="E222" s="6" t="s">
        <v>3575</v>
      </c>
      <c r="F222" s="8" t="s">
        <v>876</v>
      </c>
      <c r="G222" s="9">
        <v>300</v>
      </c>
      <c r="H222" s="10">
        <v>1485</v>
      </c>
      <c r="I222" s="11">
        <f t="shared" si="20"/>
        <v>445500</v>
      </c>
      <c r="J222" s="12" t="s">
        <v>877</v>
      </c>
      <c r="K222" s="3">
        <f>SUMIF(收发货!A:A,采购合同!A:A,收发货!D:D)</f>
        <v>300</v>
      </c>
      <c r="L222" s="3">
        <f>SUMIF(收开票!A:A,采购合同!A:A,收开票!H:H)</f>
        <v>300</v>
      </c>
      <c r="M222" s="1">
        <f>SUMIF(收开票!A:A,采购合同!A:A,收开票!I:I)</f>
        <v>445500</v>
      </c>
      <c r="N222" s="2">
        <f>SUMIF(收付款!A:A,采购合同!A:A,收付款!E:E)</f>
        <v>445500</v>
      </c>
      <c r="O222" s="2">
        <f>K222*H222-N222</f>
        <v>0</v>
      </c>
      <c r="P222" s="90"/>
      <c r="Q222" s="1"/>
      <c r="R222" s="5"/>
      <c r="S222" s="4"/>
    </row>
    <row r="223" spans="1:19" ht="24.95" hidden="1" customHeight="1">
      <c r="A223" s="13" t="s">
        <v>3631</v>
      </c>
      <c r="B223" s="6" t="s">
        <v>0</v>
      </c>
      <c r="C223" s="6" t="s">
        <v>3630</v>
      </c>
      <c r="D223" s="7">
        <v>42962</v>
      </c>
      <c r="E223" s="6" t="s">
        <v>3629</v>
      </c>
      <c r="F223" s="8" t="s">
        <v>223</v>
      </c>
      <c r="G223" s="9">
        <v>224</v>
      </c>
      <c r="H223" s="10">
        <v>550</v>
      </c>
      <c r="I223" s="11">
        <f t="shared" si="20"/>
        <v>123200</v>
      </c>
      <c r="J223" s="12" t="s">
        <v>2654</v>
      </c>
      <c r="K223" s="3">
        <f>SUMIF(收发货!A:A,采购合同!A:A,收发货!D:D)</f>
        <v>221</v>
      </c>
      <c r="L223" s="3">
        <f>SUMIF(收开票!A:A,采购合同!A:A,收开票!H:H)</f>
        <v>221</v>
      </c>
      <c r="M223" s="1">
        <f>SUMIF(收开票!A:A,采购合同!A:A,收开票!I:I)</f>
        <v>121550</v>
      </c>
      <c r="N223" s="2">
        <f>SUMIF(收付款!A:A,采购合同!A:A,收付款!E:E)</f>
        <v>121550</v>
      </c>
      <c r="O223" s="2"/>
      <c r="P223" s="90"/>
      <c r="Q223" s="1"/>
      <c r="R223" s="5"/>
      <c r="S223" s="4"/>
    </row>
    <row r="224" spans="1:19" ht="34.5" hidden="1" customHeight="1">
      <c r="A224" s="13" t="s">
        <v>3660</v>
      </c>
      <c r="B224" s="6" t="s">
        <v>0</v>
      </c>
      <c r="C224" s="6" t="s">
        <v>3630</v>
      </c>
      <c r="D224" s="7">
        <v>42969</v>
      </c>
      <c r="E224" s="6" t="s">
        <v>2653</v>
      </c>
      <c r="F224" s="8" t="s">
        <v>223</v>
      </c>
      <c r="G224" s="9">
        <v>276</v>
      </c>
      <c r="H224" s="10">
        <v>550</v>
      </c>
      <c r="I224" s="11">
        <f t="shared" si="20"/>
        <v>151800</v>
      </c>
      <c r="J224" s="12" t="s">
        <v>2654</v>
      </c>
      <c r="K224" s="3">
        <f>SUMIF(收发货!A:A,采购合同!A:A,收发货!D:D)</f>
        <v>279</v>
      </c>
      <c r="L224" s="3">
        <f>SUMIF(收开票!A:A,采购合同!A:A,收开票!H:H)</f>
        <v>279</v>
      </c>
      <c r="M224" s="1">
        <f>SUMIF(收开票!A:A,采购合同!A:A,收开票!I:I)</f>
        <v>153450</v>
      </c>
      <c r="N224" s="2">
        <f>SUMIF(收付款!A:A,采购合同!A:A,收付款!E:E)</f>
        <v>153450</v>
      </c>
      <c r="O224" s="2"/>
      <c r="P224" s="90"/>
      <c r="Q224" s="1"/>
      <c r="R224" s="5"/>
      <c r="S224" s="4"/>
    </row>
    <row r="225" spans="1:19" s="430" customFormat="1" ht="41.25" hidden="1" customHeight="1">
      <c r="A225" s="417" t="s">
        <v>3676</v>
      </c>
      <c r="B225" s="418" t="s">
        <v>147</v>
      </c>
      <c r="C225" s="418" t="s">
        <v>194</v>
      </c>
      <c r="D225" s="419">
        <v>42972</v>
      </c>
      <c r="E225" s="418" t="s">
        <v>3677</v>
      </c>
      <c r="F225" s="420" t="s">
        <v>1867</v>
      </c>
      <c r="G225" s="361">
        <v>32</v>
      </c>
      <c r="H225" s="421">
        <v>10600</v>
      </c>
      <c r="I225" s="422">
        <f t="shared" si="20"/>
        <v>339200</v>
      </c>
      <c r="J225" s="423" t="s">
        <v>4041</v>
      </c>
      <c r="K225" s="424">
        <f>SUMIF(收发货!A:A,采购合同!A:A,收发货!D:D)</f>
        <v>32</v>
      </c>
      <c r="L225" s="424">
        <f>SUMIF(收开票!A:A,采购合同!A:A,收开票!H:H)</f>
        <v>32</v>
      </c>
      <c r="M225" s="425">
        <f>SUMIF(收开票!A:A,采购合同!A:A,收开票!I:I)</f>
        <v>339200</v>
      </c>
      <c r="N225" s="426">
        <f>SUMIF(收付款!A:A,采购合同!A:A,收付款!E:E)</f>
        <v>339200</v>
      </c>
      <c r="O225" s="426"/>
      <c r="P225" s="427"/>
      <c r="Q225" s="425"/>
      <c r="R225" s="428"/>
      <c r="S225" s="429"/>
    </row>
    <row r="226" spans="1:19" ht="24.95" hidden="1" customHeight="1">
      <c r="A226" s="13" t="s">
        <v>3685</v>
      </c>
      <c r="B226" s="6" t="s">
        <v>127</v>
      </c>
      <c r="C226" s="6" t="s">
        <v>3263</v>
      </c>
      <c r="D226" s="7">
        <v>42961</v>
      </c>
      <c r="E226" s="6" t="s">
        <v>875</v>
      </c>
      <c r="F226" s="8" t="s">
        <v>876</v>
      </c>
      <c r="G226" s="9">
        <v>40</v>
      </c>
      <c r="H226" s="10">
        <v>1235</v>
      </c>
      <c r="I226" s="11">
        <f t="shared" si="20"/>
        <v>49400</v>
      </c>
      <c r="J226" s="12" t="s">
        <v>877</v>
      </c>
      <c r="K226" s="3">
        <f>SUMIF(收发货!A:A,采购合同!A:A,收发货!D:D)</f>
        <v>40</v>
      </c>
      <c r="L226" s="3">
        <f>SUMIF(收开票!A:A,采购合同!A:A,收开票!H:H)</f>
        <v>40</v>
      </c>
      <c r="M226" s="1">
        <f>SUMIF(收开票!A:A,采购合同!A:A,收开票!I:I)</f>
        <v>49400</v>
      </c>
      <c r="N226" s="2">
        <f>SUMIF(收付款!A:A,采购合同!A:A,收付款!E:E)</f>
        <v>49400</v>
      </c>
      <c r="O226" s="2">
        <f t="shared" ref="O226:O229" si="22">M226-N226</f>
        <v>0</v>
      </c>
      <c r="P226" s="90"/>
      <c r="Q226" s="1"/>
      <c r="R226" s="5"/>
      <c r="S226" s="4"/>
    </row>
    <row r="227" spans="1:19" ht="24.95" hidden="1" customHeight="1">
      <c r="A227" s="13" t="s">
        <v>3686</v>
      </c>
      <c r="B227" s="6" t="s">
        <v>127</v>
      </c>
      <c r="C227" s="6" t="s">
        <v>3263</v>
      </c>
      <c r="D227" s="7">
        <v>42965</v>
      </c>
      <c r="E227" s="6" t="s">
        <v>3687</v>
      </c>
      <c r="F227" s="8" t="s">
        <v>876</v>
      </c>
      <c r="G227" s="9">
        <v>200</v>
      </c>
      <c r="H227" s="10">
        <v>1415</v>
      </c>
      <c r="I227" s="11">
        <f t="shared" si="20"/>
        <v>283000</v>
      </c>
      <c r="J227" s="12" t="s">
        <v>877</v>
      </c>
      <c r="K227" s="3">
        <f>SUMIF(收发货!A:A,采购合同!A:A,收发货!D:D)</f>
        <v>200</v>
      </c>
      <c r="L227" s="3">
        <f>SUMIF(收开票!A:A,采购合同!A:A,收开票!H:H)</f>
        <v>200</v>
      </c>
      <c r="M227" s="1">
        <f>SUMIF(收开票!A:A,采购合同!A:A,收开票!I:I)</f>
        <v>283000</v>
      </c>
      <c r="N227" s="2">
        <f>SUMIF(收付款!A:A,采购合同!A:A,收付款!E:E)</f>
        <v>283000</v>
      </c>
      <c r="O227" s="2">
        <f t="shared" si="22"/>
        <v>0</v>
      </c>
      <c r="P227" s="90"/>
      <c r="Q227" s="1"/>
      <c r="R227" s="5"/>
      <c r="S227" s="4"/>
    </row>
    <row r="228" spans="1:19" ht="24.95" hidden="1" customHeight="1">
      <c r="A228" s="13" t="s">
        <v>4019</v>
      </c>
      <c r="B228" s="6" t="s">
        <v>127</v>
      </c>
      <c r="C228" s="6" t="s">
        <v>3263</v>
      </c>
      <c r="D228" s="7">
        <v>42965</v>
      </c>
      <c r="E228" s="6" t="s">
        <v>875</v>
      </c>
      <c r="F228" s="8" t="s">
        <v>876</v>
      </c>
      <c r="G228" s="9">
        <v>220</v>
      </c>
      <c r="H228" s="10">
        <v>1405</v>
      </c>
      <c r="I228" s="11">
        <f t="shared" si="20"/>
        <v>309100</v>
      </c>
      <c r="J228" s="12" t="s">
        <v>877</v>
      </c>
      <c r="K228" s="3">
        <f>SUMIF(收发货!A:A,采购合同!A:A,收发货!D:D)</f>
        <v>220</v>
      </c>
      <c r="L228" s="3">
        <f>SUMIF(收开票!A:A,采购合同!A:A,收开票!H:H)</f>
        <v>220</v>
      </c>
      <c r="M228" s="1">
        <f>SUMIF(收开票!A:A,采购合同!A:A,收开票!I:I)</f>
        <v>309100</v>
      </c>
      <c r="N228" s="2">
        <f>SUMIF(收付款!A:A,采购合同!A:A,收付款!E:E)</f>
        <v>309100</v>
      </c>
      <c r="O228" s="2">
        <f t="shared" si="22"/>
        <v>0</v>
      </c>
      <c r="P228" s="90"/>
      <c r="Q228" s="1"/>
      <c r="R228" s="5"/>
      <c r="S228" s="4"/>
    </row>
    <row r="229" spans="1:19" ht="24.95" hidden="1" customHeight="1">
      <c r="A229" s="13" t="s">
        <v>4000</v>
      </c>
      <c r="B229" s="6" t="s">
        <v>127</v>
      </c>
      <c r="C229" s="6" t="s">
        <v>3263</v>
      </c>
      <c r="D229" s="7">
        <v>42965</v>
      </c>
      <c r="E229" s="6" t="s">
        <v>875</v>
      </c>
      <c r="F229" s="8" t="s">
        <v>876</v>
      </c>
      <c r="G229" s="9">
        <v>220</v>
      </c>
      <c r="H229" s="10">
        <v>1405</v>
      </c>
      <c r="I229" s="11">
        <f t="shared" si="20"/>
        <v>309100</v>
      </c>
      <c r="J229" s="12" t="s">
        <v>3947</v>
      </c>
      <c r="K229" s="3">
        <f>SUMIF(收发货!A:A,采购合同!A:A,收发货!D:D)</f>
        <v>220</v>
      </c>
      <c r="L229" s="3">
        <f>SUMIF(收开票!A:A,采购合同!A:A,收开票!H:H)</f>
        <v>220</v>
      </c>
      <c r="M229" s="1">
        <f>SUMIF(收开票!A:A,采购合同!A:A,收开票!I:I)</f>
        <v>309100</v>
      </c>
      <c r="N229" s="2">
        <f>SUMIF(收付款!A:A,采购合同!A:A,收付款!E:E)</f>
        <v>309100</v>
      </c>
      <c r="O229" s="2">
        <f t="shared" si="22"/>
        <v>0</v>
      </c>
      <c r="P229" s="90"/>
      <c r="Q229" s="1"/>
      <c r="R229" s="5"/>
      <c r="S229" s="4"/>
    </row>
    <row r="230" spans="1:19" ht="24.95" hidden="1" customHeight="1">
      <c r="A230" s="13" t="s">
        <v>3688</v>
      </c>
      <c r="B230" s="6" t="s">
        <v>127</v>
      </c>
      <c r="C230" s="6" t="s">
        <v>194</v>
      </c>
      <c r="D230" s="7">
        <v>42970</v>
      </c>
      <c r="E230" s="6" t="s">
        <v>875</v>
      </c>
      <c r="F230" s="8" t="s">
        <v>876</v>
      </c>
      <c r="G230" s="9">
        <v>200</v>
      </c>
      <c r="H230" s="10">
        <v>1570</v>
      </c>
      <c r="I230" s="11">
        <f t="shared" si="20"/>
        <v>314000</v>
      </c>
      <c r="J230" s="12" t="s">
        <v>877</v>
      </c>
      <c r="K230" s="3">
        <f>SUMIF(收发货!A:A,采购合同!A:A,收发货!D:D)</f>
        <v>200</v>
      </c>
      <c r="L230" s="3">
        <f>SUMIF(收开票!A:A,采购合同!A:A,收开票!H:H)</f>
        <v>200</v>
      </c>
      <c r="M230" s="1">
        <f>SUMIF(收开票!A:A,采购合同!A:A,收开票!I:I)</f>
        <v>314000</v>
      </c>
      <c r="N230" s="2">
        <f>SUMIF(收付款!A:A,采购合同!A:A,收付款!E:E)</f>
        <v>314000</v>
      </c>
      <c r="O230" s="2">
        <f t="shared" ref="O230" si="23">K230*H230-N230</f>
        <v>0</v>
      </c>
      <c r="P230" s="90"/>
      <c r="Q230" s="1"/>
      <c r="R230" s="5"/>
      <c r="S230" s="4"/>
    </row>
    <row r="231" spans="1:19" customFormat="1" ht="24.95" hidden="1" customHeight="1">
      <c r="A231" s="391" t="s">
        <v>4120</v>
      </c>
      <c r="B231" s="392" t="s">
        <v>127</v>
      </c>
      <c r="C231" s="392" t="s">
        <v>3263</v>
      </c>
      <c r="D231" s="431">
        <v>42976</v>
      </c>
      <c r="E231" s="392" t="s">
        <v>875</v>
      </c>
      <c r="F231" s="432" t="s">
        <v>876</v>
      </c>
      <c r="G231" s="433">
        <v>400</v>
      </c>
      <c r="H231" s="434">
        <v>1510</v>
      </c>
      <c r="I231" s="435">
        <f t="shared" si="20"/>
        <v>604000</v>
      </c>
      <c r="J231" s="436" t="s">
        <v>877</v>
      </c>
      <c r="K231" s="437">
        <f>SUMIF(收发货!A:A,采购合同!A:A,收发货!D:D)</f>
        <v>400</v>
      </c>
      <c r="L231" s="437">
        <f>SUMIF(收开票!A:A,采购合同!A:A,收开票!H:H)</f>
        <v>400</v>
      </c>
      <c r="M231" s="438">
        <f>SUMIF(收开票!A:A,采购合同!A:A,收开票!I:I)</f>
        <v>604000</v>
      </c>
      <c r="N231" s="439">
        <f>SUMIF(收付款!A:A,采购合同!A:A,收付款!E:E)</f>
        <v>603892.19999999995</v>
      </c>
      <c r="O231" s="2">
        <f>M231-N231</f>
        <v>107.80000000004657</v>
      </c>
      <c r="P231" s="440"/>
      <c r="Q231" s="438"/>
      <c r="R231" s="441"/>
      <c r="S231" s="442"/>
    </row>
    <row r="232" spans="1:19" s="416" customFormat="1" ht="39" hidden="1" customHeight="1">
      <c r="A232" s="406" t="s">
        <v>5387</v>
      </c>
      <c r="B232" s="63" t="s">
        <v>147</v>
      </c>
      <c r="C232" s="63" t="s">
        <v>603</v>
      </c>
      <c r="D232" s="64">
        <v>42977</v>
      </c>
      <c r="E232" s="63" t="s">
        <v>5390</v>
      </c>
      <c r="F232" s="407" t="s">
        <v>1867</v>
      </c>
      <c r="G232" s="65">
        <v>500</v>
      </c>
      <c r="H232" s="337">
        <v>7285</v>
      </c>
      <c r="I232" s="408">
        <f t="shared" si="20"/>
        <v>3642500</v>
      </c>
      <c r="J232" s="409" t="s">
        <v>4574</v>
      </c>
      <c r="K232" s="410">
        <f>SUMIF(收发货!A:A,采购合同!A:A,收发货!D:D)</f>
        <v>34.119999999999997</v>
      </c>
      <c r="L232" s="410">
        <f>SUMIF(收开票!A:A,采购合同!A:A,收开票!H:H)</f>
        <v>0</v>
      </c>
      <c r="M232" s="411">
        <f>SUMIF(收开票!A:A,采购合同!A:A,收开票!I:I)</f>
        <v>0</v>
      </c>
      <c r="N232" s="412">
        <f>SUMIF(收付款!A:A,采购合同!A:A,收付款!E:E)</f>
        <v>433178.92000000039</v>
      </c>
      <c r="O232" s="412"/>
      <c r="P232" s="413"/>
      <c r="Q232" s="411"/>
      <c r="R232" s="414"/>
      <c r="S232" s="415"/>
    </row>
    <row r="233" spans="1:19" ht="41.25" hidden="1" customHeight="1">
      <c r="A233" s="13" t="s">
        <v>3714</v>
      </c>
      <c r="B233" s="6" t="s">
        <v>147</v>
      </c>
      <c r="C233" s="6" t="s">
        <v>194</v>
      </c>
      <c r="D233" s="7">
        <v>42979</v>
      </c>
      <c r="E233" s="6" t="s">
        <v>2011</v>
      </c>
      <c r="F233" s="8" t="s">
        <v>1867</v>
      </c>
      <c r="G233" s="9">
        <v>96</v>
      </c>
      <c r="H233" s="10">
        <v>10809</v>
      </c>
      <c r="I233" s="11">
        <f t="shared" si="20"/>
        <v>1037664</v>
      </c>
      <c r="J233" s="12" t="s">
        <v>4048</v>
      </c>
      <c r="K233" s="3">
        <f>SUMIF(收发货!A:A,采购合同!A:A,收发货!D:D)</f>
        <v>96</v>
      </c>
      <c r="L233" s="3">
        <f>SUMIF(收开票!A:A,采购合同!A:A,收开票!H:H)</f>
        <v>96</v>
      </c>
      <c r="M233" s="1">
        <f>SUMIF(收开票!A:A,采购合同!A:A,收开票!I:I)</f>
        <v>1037664</v>
      </c>
      <c r="N233" s="2">
        <f>SUMIF(收付款!A:A,采购合同!A:A,收付款!E:E)</f>
        <v>1037664</v>
      </c>
      <c r="O233" s="2">
        <f>K233*H233-N233</f>
        <v>0</v>
      </c>
      <c r="P233" s="90"/>
      <c r="Q233" s="1"/>
      <c r="R233" s="5"/>
      <c r="S233" s="4"/>
    </row>
    <row r="234" spans="1:19" ht="43.5" hidden="1" customHeight="1">
      <c r="A234" s="13" t="s">
        <v>4461</v>
      </c>
      <c r="B234" s="6" t="s">
        <v>0</v>
      </c>
      <c r="C234" s="6" t="s">
        <v>1</v>
      </c>
      <c r="D234" s="7">
        <v>43004</v>
      </c>
      <c r="E234" s="6" t="s">
        <v>2</v>
      </c>
      <c r="F234" s="8" t="s">
        <v>3</v>
      </c>
      <c r="G234" s="9">
        <v>500</v>
      </c>
      <c r="H234" s="10">
        <v>7300</v>
      </c>
      <c r="I234" s="11">
        <f t="shared" si="20"/>
        <v>3650000</v>
      </c>
      <c r="J234" s="12" t="s">
        <v>3787</v>
      </c>
      <c r="K234" s="3">
        <f>SUMIF(收发货!A:A,采购合同!A:A,收发货!D:D)</f>
        <v>501</v>
      </c>
      <c r="L234" s="450">
        <f>SUMIF(收开票!A:A,采购合同!A:A,收开票!H:H)</f>
        <v>508.77449999999999</v>
      </c>
      <c r="M234" s="1">
        <f>SUMIF(收开票!A:A,采购合同!A:A,收开票!I:I)</f>
        <v>3679675.35</v>
      </c>
      <c r="N234" s="2">
        <f>SUMIF(收付款!A:A,采购合同!A:A,收付款!E:E)</f>
        <v>3679675.35</v>
      </c>
      <c r="O234" s="2">
        <f>M234-N234</f>
        <v>0</v>
      </c>
      <c r="P234" s="90"/>
      <c r="Q234" s="1">
        <v>0</v>
      </c>
      <c r="R234" s="5"/>
      <c r="S234" s="4"/>
    </row>
    <row r="235" spans="1:19" ht="24.95" hidden="1" customHeight="1">
      <c r="A235" s="13" t="s">
        <v>3838</v>
      </c>
      <c r="B235" s="6" t="s">
        <v>3841</v>
      </c>
      <c r="C235" s="6" t="s">
        <v>3263</v>
      </c>
      <c r="D235" s="7">
        <v>42979</v>
      </c>
      <c r="E235" s="6" t="s">
        <v>875</v>
      </c>
      <c r="F235" s="8" t="s">
        <v>876</v>
      </c>
      <c r="G235" s="9">
        <v>200</v>
      </c>
      <c r="H235" s="10">
        <v>1510</v>
      </c>
      <c r="I235" s="11">
        <f t="shared" ref="I235:I242" si="24">G235*H235</f>
        <v>302000</v>
      </c>
      <c r="J235" s="12" t="s">
        <v>877</v>
      </c>
      <c r="K235" s="3">
        <f>SUMIF(收发货!A:A,采购合同!A:A,收发货!D:D)</f>
        <v>200</v>
      </c>
      <c r="L235" s="3">
        <f>SUMIF(收开票!A:A,采购合同!A:A,收开票!H:H)</f>
        <v>200</v>
      </c>
      <c r="M235" s="1">
        <f>SUMIF(收开票!A:A,采购合同!A:A,收开票!I:I)</f>
        <v>302000</v>
      </c>
      <c r="N235" s="2">
        <f>SUMIF(收付款!A:A,采购合同!A:A,收付款!E:E)</f>
        <v>302000</v>
      </c>
      <c r="O235" s="2">
        <f t="shared" ref="O235:O242" si="25">M235-N235</f>
        <v>0</v>
      </c>
      <c r="P235" s="90"/>
      <c r="Q235" s="1"/>
      <c r="R235" s="5"/>
      <c r="S235" s="4"/>
    </row>
    <row r="236" spans="1:19" ht="24.95" hidden="1" customHeight="1">
      <c r="A236" s="13" t="s">
        <v>3839</v>
      </c>
      <c r="B236" s="6" t="s">
        <v>3841</v>
      </c>
      <c r="C236" s="6" t="s">
        <v>3263</v>
      </c>
      <c r="D236" s="7">
        <v>42979</v>
      </c>
      <c r="E236" s="6" t="s">
        <v>875</v>
      </c>
      <c r="F236" s="8" t="s">
        <v>876</v>
      </c>
      <c r="G236" s="9">
        <v>200</v>
      </c>
      <c r="H236" s="10">
        <v>1510</v>
      </c>
      <c r="I236" s="11">
        <f t="shared" si="24"/>
        <v>302000</v>
      </c>
      <c r="J236" s="12" t="s">
        <v>877</v>
      </c>
      <c r="K236" s="3">
        <f>SUMIF(收发货!A:A,采购合同!A:A,收发货!D:D)</f>
        <v>200</v>
      </c>
      <c r="L236" s="3">
        <f>SUMIF(收开票!A:A,采购合同!A:A,收开票!H:H)</f>
        <v>200</v>
      </c>
      <c r="M236" s="1">
        <f>SUMIF(收开票!A:A,采购合同!A:A,收开票!I:I)</f>
        <v>302000</v>
      </c>
      <c r="N236" s="2">
        <f>SUMIF(收付款!A:A,采购合同!A:A,收付款!E:E)</f>
        <v>302000</v>
      </c>
      <c r="O236" s="2">
        <f t="shared" si="25"/>
        <v>0</v>
      </c>
      <c r="P236" s="90"/>
      <c r="Q236" s="1"/>
      <c r="R236" s="5"/>
      <c r="S236" s="4"/>
    </row>
    <row r="237" spans="1:19" ht="24.95" hidden="1" customHeight="1">
      <c r="A237" s="13" t="s">
        <v>3842</v>
      </c>
      <c r="B237" s="6" t="s">
        <v>3841</v>
      </c>
      <c r="C237" s="6" t="s">
        <v>3263</v>
      </c>
      <c r="D237" s="7">
        <v>42986</v>
      </c>
      <c r="E237" s="6" t="s">
        <v>875</v>
      </c>
      <c r="F237" s="8" t="s">
        <v>876</v>
      </c>
      <c r="G237" s="9">
        <v>100</v>
      </c>
      <c r="H237" s="10">
        <v>1590</v>
      </c>
      <c r="I237" s="11">
        <f t="shared" si="24"/>
        <v>159000</v>
      </c>
      <c r="J237" s="12" t="s">
        <v>877</v>
      </c>
      <c r="K237" s="3">
        <f>SUMIF(收发货!A:A,采购合同!A:A,收发货!D:D)</f>
        <v>100</v>
      </c>
      <c r="L237" s="3">
        <f>SUMIF(收开票!A:A,采购合同!A:A,收开票!H:H)</f>
        <v>100</v>
      </c>
      <c r="M237" s="1">
        <f>SUMIF(收开票!A:A,采购合同!A:A,收开票!I:I)</f>
        <v>159000</v>
      </c>
      <c r="N237" s="2">
        <f>SUMIF(收付款!A:A,采购合同!A:A,收付款!E:E)</f>
        <v>159000</v>
      </c>
      <c r="O237" s="2">
        <f t="shared" si="25"/>
        <v>0</v>
      </c>
      <c r="P237" s="90"/>
      <c r="Q237" s="1"/>
      <c r="R237" s="5"/>
      <c r="S237" s="4"/>
    </row>
    <row r="238" spans="1:19" ht="24.95" hidden="1" customHeight="1">
      <c r="A238" s="13" t="s">
        <v>4001</v>
      </c>
      <c r="B238" s="6" t="s">
        <v>3841</v>
      </c>
      <c r="C238" s="6" t="s">
        <v>3263</v>
      </c>
      <c r="D238" s="7">
        <v>42986</v>
      </c>
      <c r="E238" s="6" t="s">
        <v>875</v>
      </c>
      <c r="F238" s="8" t="s">
        <v>876</v>
      </c>
      <c r="G238" s="9">
        <v>160</v>
      </c>
      <c r="H238" s="10">
        <v>1590</v>
      </c>
      <c r="I238" s="11">
        <f t="shared" si="24"/>
        <v>254400</v>
      </c>
      <c r="J238" s="12" t="s">
        <v>877</v>
      </c>
      <c r="K238" s="3">
        <f>SUMIF(收发货!A:A,采购合同!A:A,收发货!D:D)</f>
        <v>160</v>
      </c>
      <c r="L238" s="3">
        <f>SUMIF(收开票!A:A,采购合同!A:A,收开票!H:H)</f>
        <v>160</v>
      </c>
      <c r="M238" s="1">
        <f>SUMIF(收开票!A:A,采购合同!A:A,收开票!I:I)</f>
        <v>254400</v>
      </c>
      <c r="N238" s="2">
        <f>SUMIF(收付款!A:A,采购合同!A:A,收付款!E:E)</f>
        <v>254400</v>
      </c>
      <c r="O238" s="2">
        <f t="shared" si="25"/>
        <v>0</v>
      </c>
      <c r="P238" s="90"/>
      <c r="Q238" s="1"/>
      <c r="R238" s="5"/>
      <c r="S238" s="4"/>
    </row>
    <row r="239" spans="1:19" ht="24.95" hidden="1" customHeight="1">
      <c r="A239" s="13" t="s">
        <v>4002</v>
      </c>
      <c r="B239" s="6" t="s">
        <v>3841</v>
      </c>
      <c r="C239" s="6" t="s">
        <v>3263</v>
      </c>
      <c r="D239" s="7">
        <v>42986</v>
      </c>
      <c r="E239" s="6" t="s">
        <v>875</v>
      </c>
      <c r="F239" s="8" t="s">
        <v>876</v>
      </c>
      <c r="G239" s="9">
        <v>100</v>
      </c>
      <c r="H239" s="10">
        <v>1590</v>
      </c>
      <c r="I239" s="11">
        <f t="shared" si="24"/>
        <v>159000</v>
      </c>
      <c r="J239" s="12" t="s">
        <v>877</v>
      </c>
      <c r="K239" s="3">
        <f>SUMIF(收发货!A:A,采购合同!A:A,收发货!D:D)</f>
        <v>100</v>
      </c>
      <c r="L239" s="3">
        <f>SUMIF(收开票!A:A,采购合同!A:A,收开票!H:H)</f>
        <v>100</v>
      </c>
      <c r="M239" s="1">
        <f>SUMIF(收开票!A:A,采购合同!A:A,收开票!I:I)</f>
        <v>159000</v>
      </c>
      <c r="N239" s="2">
        <f>SUMIF(收付款!A:A,采购合同!A:A,收付款!E:E)</f>
        <v>159000</v>
      </c>
      <c r="O239" s="2">
        <f t="shared" si="25"/>
        <v>0</v>
      </c>
      <c r="P239" s="90"/>
      <c r="Q239" s="1"/>
      <c r="R239" s="5"/>
      <c r="S239" s="4"/>
    </row>
    <row r="240" spans="1:19" ht="24.95" hidden="1" customHeight="1">
      <c r="A240" s="13" t="s">
        <v>3840</v>
      </c>
      <c r="B240" s="6" t="s">
        <v>3841</v>
      </c>
      <c r="C240" s="6" t="s">
        <v>3263</v>
      </c>
      <c r="D240" s="7">
        <v>42992</v>
      </c>
      <c r="E240" s="6" t="s">
        <v>875</v>
      </c>
      <c r="F240" s="8" t="s">
        <v>876</v>
      </c>
      <c r="G240" s="9">
        <v>100</v>
      </c>
      <c r="H240" s="10">
        <v>1460</v>
      </c>
      <c r="I240" s="11">
        <f t="shared" si="24"/>
        <v>146000</v>
      </c>
      <c r="J240" s="12" t="s">
        <v>877</v>
      </c>
      <c r="K240" s="3">
        <f>SUMIF(收发货!A:A,采购合同!A:A,收发货!D:D)</f>
        <v>100</v>
      </c>
      <c r="L240" s="3">
        <f>SUMIF(收开票!A:A,采购合同!A:A,收开票!H:H)</f>
        <v>100</v>
      </c>
      <c r="M240" s="1">
        <f>SUMIF(收开票!A:A,采购合同!A:A,收开票!I:I)</f>
        <v>146000</v>
      </c>
      <c r="N240" s="2">
        <f>SUMIF(收付款!A:A,采购合同!A:A,收付款!E:E)</f>
        <v>146000</v>
      </c>
      <c r="O240" s="2">
        <f t="shared" si="25"/>
        <v>0</v>
      </c>
      <c r="P240" s="90"/>
      <c r="Q240" s="1"/>
      <c r="R240" s="5"/>
      <c r="S240" s="4"/>
    </row>
    <row r="241" spans="1:19" ht="24.95" hidden="1" customHeight="1">
      <c r="A241" s="13" t="s">
        <v>4104</v>
      </c>
      <c r="B241" s="6" t="s">
        <v>3841</v>
      </c>
      <c r="C241" s="6" t="s">
        <v>3263</v>
      </c>
      <c r="D241" s="7">
        <v>42992</v>
      </c>
      <c r="E241" s="6" t="s">
        <v>875</v>
      </c>
      <c r="F241" s="8" t="s">
        <v>876</v>
      </c>
      <c r="G241" s="9">
        <v>100</v>
      </c>
      <c r="H241" s="10">
        <v>1460</v>
      </c>
      <c r="I241" s="11">
        <f t="shared" si="24"/>
        <v>146000</v>
      </c>
      <c r="J241" s="12" t="s">
        <v>877</v>
      </c>
      <c r="K241" s="3">
        <f>SUMIF(收发货!A:A,采购合同!A:A,收发货!D:D)</f>
        <v>100</v>
      </c>
      <c r="L241" s="3">
        <f>SUMIF(收开票!A:A,采购合同!A:A,收开票!H:H)</f>
        <v>100</v>
      </c>
      <c r="M241" s="1">
        <f>SUMIF(收开票!A:A,采购合同!A:A,收开票!I:I)</f>
        <v>146000</v>
      </c>
      <c r="N241" s="2">
        <f>SUMIF(收付款!A:A,采购合同!A:A,收付款!E:E)</f>
        <v>146000</v>
      </c>
      <c r="O241" s="2">
        <f t="shared" si="25"/>
        <v>0</v>
      </c>
      <c r="P241" s="90"/>
      <c r="Q241" s="1"/>
      <c r="R241" s="5"/>
      <c r="S241" s="4"/>
    </row>
    <row r="242" spans="1:19" ht="24.95" hidden="1" customHeight="1">
      <c r="A242" s="13" t="s">
        <v>4003</v>
      </c>
      <c r="B242" s="6" t="s">
        <v>3841</v>
      </c>
      <c r="C242" s="6" t="s">
        <v>3263</v>
      </c>
      <c r="D242" s="7">
        <v>43007</v>
      </c>
      <c r="E242" s="6" t="s">
        <v>875</v>
      </c>
      <c r="F242" s="8" t="s">
        <v>876</v>
      </c>
      <c r="G242" s="9">
        <v>40</v>
      </c>
      <c r="H242" s="10">
        <v>1268</v>
      </c>
      <c r="I242" s="11">
        <f t="shared" si="24"/>
        <v>50720</v>
      </c>
      <c r="J242" s="12" t="s">
        <v>877</v>
      </c>
      <c r="K242" s="3">
        <f>SUMIF(收发货!A:A,采购合同!A:A,收发货!D:D)</f>
        <v>40</v>
      </c>
      <c r="L242" s="3">
        <f>SUMIF(收开票!A:A,采购合同!A:A,收开票!H:H)</f>
        <v>40</v>
      </c>
      <c r="M242" s="1">
        <f>SUMIF(收开票!A:A,采购合同!A:A,收开票!I:I)</f>
        <v>50720</v>
      </c>
      <c r="N242" s="2">
        <f>SUMIF(收付款!A:A,采购合同!A:A,收付款!E:E)</f>
        <v>50720</v>
      </c>
      <c r="O242" s="2">
        <f t="shared" si="25"/>
        <v>0</v>
      </c>
      <c r="P242" s="90"/>
      <c r="Q242" s="1"/>
      <c r="R242" s="5"/>
      <c r="S242" s="4"/>
    </row>
    <row r="243" spans="1:19" ht="45" hidden="1" customHeight="1">
      <c r="A243" s="13" t="s">
        <v>4293</v>
      </c>
      <c r="B243" s="6" t="s">
        <v>0</v>
      </c>
      <c r="C243" s="6" t="s">
        <v>1</v>
      </c>
      <c r="D243" s="7">
        <v>43008</v>
      </c>
      <c r="E243" s="6" t="s">
        <v>2</v>
      </c>
      <c r="F243" s="8" t="s">
        <v>3</v>
      </c>
      <c r="G243" s="9">
        <v>500</v>
      </c>
      <c r="H243" s="10">
        <v>7200</v>
      </c>
      <c r="I243" s="11">
        <f t="shared" ref="I243:I249" si="26">G243*H243</f>
        <v>3600000</v>
      </c>
      <c r="J243" s="12" t="s">
        <v>3797</v>
      </c>
      <c r="K243" s="3">
        <f>SUMIF(收发货!A:A,采购合同!A:A,收发货!D:D)</f>
        <v>550</v>
      </c>
      <c r="L243" s="449">
        <f>SUMIF(收开票!A:A,采购合同!A:A,收开票!H:H)</f>
        <v>500</v>
      </c>
      <c r="M243" s="1">
        <f>SUMIF(收开票!A:A,采购合同!A:A,收开票!I:I)</f>
        <v>3600000</v>
      </c>
      <c r="N243" s="2">
        <f>SUMIF(收付款!A:A,采购合同!A:A,收付款!E:E)</f>
        <v>3600000</v>
      </c>
      <c r="O243" s="2">
        <f>M243-N243</f>
        <v>0</v>
      </c>
      <c r="P243" s="90"/>
      <c r="Q243" s="1">
        <v>0</v>
      </c>
      <c r="R243" s="5"/>
      <c r="S243" s="4"/>
    </row>
    <row r="244" spans="1:19" ht="41.25" hidden="1" customHeight="1">
      <c r="A244" s="13" t="s">
        <v>4559</v>
      </c>
      <c r="B244" s="6" t="s">
        <v>147</v>
      </c>
      <c r="C244" s="6" t="s">
        <v>194</v>
      </c>
      <c r="D244" s="7">
        <v>43024</v>
      </c>
      <c r="E244" s="6" t="s">
        <v>2011</v>
      </c>
      <c r="F244" s="8" t="s">
        <v>1867</v>
      </c>
      <c r="G244" s="9">
        <v>32</v>
      </c>
      <c r="H244" s="10">
        <v>11223.53</v>
      </c>
      <c r="I244" s="11">
        <f t="shared" si="26"/>
        <v>359152.96</v>
      </c>
      <c r="J244" s="12" t="s">
        <v>3872</v>
      </c>
      <c r="K244" s="3">
        <f>SUMIF(收发货!A:A,采购合同!A:A,收发货!D:D)</f>
        <v>32</v>
      </c>
      <c r="L244" s="3">
        <f>SUMIF(收开票!A:A,采购合同!A:A,收开票!H:H)</f>
        <v>32</v>
      </c>
      <c r="M244" s="1">
        <f>SUMIF(收开票!A:A,采购合同!A:A,收开票!I:I)</f>
        <v>359152.96</v>
      </c>
      <c r="N244" s="2">
        <f>SUMIF(收付款!A:A,采购合同!A:A,收付款!E:E)</f>
        <v>359152.96</v>
      </c>
      <c r="O244" s="2">
        <f>K244*H244-N244</f>
        <v>0</v>
      </c>
      <c r="P244" s="90"/>
      <c r="Q244" s="1"/>
      <c r="R244" s="5"/>
      <c r="S244" s="4"/>
    </row>
    <row r="245" spans="1:19" ht="50.1" hidden="1" customHeight="1">
      <c r="A245" s="13" t="s">
        <v>4049</v>
      </c>
      <c r="B245" s="6" t="s">
        <v>485</v>
      </c>
      <c r="C245" s="6" t="s">
        <v>1</v>
      </c>
      <c r="D245" s="7">
        <v>43024</v>
      </c>
      <c r="E245" s="6" t="s">
        <v>4295</v>
      </c>
      <c r="F245" s="8" t="s">
        <v>1867</v>
      </c>
      <c r="G245" s="9">
        <v>300</v>
      </c>
      <c r="H245" s="10">
        <v>7117</v>
      </c>
      <c r="I245" s="11">
        <f t="shared" si="26"/>
        <v>2135100</v>
      </c>
      <c r="J245" s="12" t="s">
        <v>3873</v>
      </c>
      <c r="K245" s="3">
        <f>SUMIF(收发货!A:A,采购合同!A:A,收发货!D:D)</f>
        <v>300</v>
      </c>
      <c r="L245" s="449">
        <f>SUMIF(收开票!A:A,采购合同!A:A,收开票!H:H)</f>
        <v>305.36369999999999</v>
      </c>
      <c r="M245" s="1">
        <f>SUMIF(收开票!A:A,采购合同!A:A,收开票!I:I)</f>
        <v>2198960.67</v>
      </c>
      <c r="N245" s="2">
        <f>SUMIF(收付款!A:A,采购合同!A:A,收付款!E:E)</f>
        <v>2198960.67</v>
      </c>
      <c r="O245" s="2">
        <f>M245-N245</f>
        <v>0</v>
      </c>
      <c r="P245" s="90"/>
      <c r="Q245" s="1"/>
      <c r="R245" s="5"/>
      <c r="S245" s="4"/>
    </row>
    <row r="246" spans="1:19" ht="50.1" hidden="1" customHeight="1">
      <c r="A246" s="13" t="s">
        <v>4462</v>
      </c>
      <c r="B246" s="6" t="s">
        <v>3908</v>
      </c>
      <c r="C246" s="6" t="s">
        <v>1</v>
      </c>
      <c r="D246" s="7">
        <v>43025</v>
      </c>
      <c r="E246" s="6" t="s">
        <v>4290</v>
      </c>
      <c r="F246" s="8" t="s">
        <v>3909</v>
      </c>
      <c r="G246" s="9">
        <v>200</v>
      </c>
      <c r="H246" s="10">
        <v>7200</v>
      </c>
      <c r="I246" s="11">
        <f t="shared" si="26"/>
        <v>1440000</v>
      </c>
      <c r="J246" s="12" t="s">
        <v>3910</v>
      </c>
      <c r="K246" s="3">
        <f>SUMIF(收发货!A:A,采购合同!A:A,收发货!D:D)</f>
        <v>175</v>
      </c>
      <c r="L246" s="449">
        <f>SUMIF(收开票!A:A,采购合同!A:A,收开票!H:H)</f>
        <v>240.0198</v>
      </c>
      <c r="M246" s="1">
        <f>SUMIF(收开票!A:A,采购合同!A:A,收开票!I:I)</f>
        <v>1712139.25</v>
      </c>
      <c r="N246" s="2">
        <f>SUMIF(收付款!A:A,采购合同!A:A,收付款!E:E)</f>
        <v>1712139.25</v>
      </c>
      <c r="O246" s="2">
        <f>M246-N246</f>
        <v>0</v>
      </c>
      <c r="P246" s="90"/>
      <c r="Q246" s="1">
        <v>0</v>
      </c>
      <c r="R246" s="5"/>
      <c r="S246" s="4"/>
    </row>
    <row r="247" spans="1:19" ht="50.1" hidden="1" customHeight="1">
      <c r="A247" s="13" t="s">
        <v>3949</v>
      </c>
      <c r="B247" s="6" t="s">
        <v>147</v>
      </c>
      <c r="C247" s="6" t="s">
        <v>194</v>
      </c>
      <c r="D247" s="7">
        <v>43026</v>
      </c>
      <c r="E247" s="6" t="s">
        <v>3912</v>
      </c>
      <c r="F247" s="8" t="s">
        <v>3909</v>
      </c>
      <c r="G247" s="9">
        <v>64</v>
      </c>
      <c r="H247" s="10">
        <v>11900</v>
      </c>
      <c r="I247" s="11">
        <f t="shared" si="26"/>
        <v>761600</v>
      </c>
      <c r="J247" s="12" t="s">
        <v>3913</v>
      </c>
      <c r="K247" s="3">
        <f>SUMIF(收发货!A:A,采购合同!A:A,收发货!D:D)</f>
        <v>64</v>
      </c>
      <c r="L247" s="3">
        <f>SUMIF(收开票!A:A,采购合同!A:A,收开票!H:H)</f>
        <v>64</v>
      </c>
      <c r="M247" s="1">
        <f>SUMIF(收开票!A:A,采购合同!A:A,收开票!I:I)</f>
        <v>761600</v>
      </c>
      <c r="N247" s="2">
        <f>SUMIF(收付款!A:A,采购合同!A:A,收付款!E:E)</f>
        <v>761600</v>
      </c>
      <c r="O247" s="2">
        <f>K247*H247-N247</f>
        <v>0</v>
      </c>
      <c r="P247" s="90"/>
      <c r="Q247" s="1"/>
      <c r="R247" s="5"/>
      <c r="S247" s="4"/>
    </row>
    <row r="248" spans="1:19" ht="50.1" hidden="1" customHeight="1">
      <c r="A248" s="13" t="s">
        <v>3944</v>
      </c>
      <c r="B248" s="6" t="s">
        <v>147</v>
      </c>
      <c r="C248" s="6" t="s">
        <v>237</v>
      </c>
      <c r="D248" s="7">
        <v>43026</v>
      </c>
      <c r="E248" s="6" t="s">
        <v>3945</v>
      </c>
      <c r="F248" s="8" t="s">
        <v>3916</v>
      </c>
      <c r="G248" s="9">
        <v>96</v>
      </c>
      <c r="H248" s="10">
        <v>11900</v>
      </c>
      <c r="I248" s="11">
        <f t="shared" si="26"/>
        <v>1142400</v>
      </c>
      <c r="J248" s="12" t="s">
        <v>3917</v>
      </c>
      <c r="K248" s="3">
        <f>SUMIF(收发货!A:A,采购合同!A:A,收发货!D:D)</f>
        <v>96</v>
      </c>
      <c r="L248" s="3">
        <f>SUMIF(收开票!A:A,采购合同!A:A,收开票!H:H)</f>
        <v>96</v>
      </c>
      <c r="M248" s="1">
        <f>SUMIF(收开票!A:A,采购合同!A:A,收开票!I:I)</f>
        <v>1142400</v>
      </c>
      <c r="N248" s="2">
        <f>SUMIF(收付款!A:A,采购合同!A:A,收付款!E:E)</f>
        <v>1142400</v>
      </c>
      <c r="O248" s="2">
        <f>K248*H248-N248</f>
        <v>0</v>
      </c>
      <c r="P248" s="90"/>
      <c r="Q248" s="1"/>
      <c r="R248" s="5"/>
      <c r="S248" s="4"/>
    </row>
    <row r="249" spans="1:19" ht="45" hidden="1">
      <c r="A249" s="13" t="s">
        <v>4267</v>
      </c>
      <c r="B249" s="6" t="s">
        <v>217</v>
      </c>
      <c r="C249" s="6" t="s">
        <v>2761</v>
      </c>
      <c r="D249" s="7">
        <v>43033</v>
      </c>
      <c r="E249" s="6" t="s">
        <v>4033</v>
      </c>
      <c r="F249" s="8" t="s">
        <v>1867</v>
      </c>
      <c r="G249" s="9">
        <v>15000</v>
      </c>
      <c r="H249" s="10">
        <v>1070</v>
      </c>
      <c r="I249" s="11">
        <f t="shared" si="26"/>
        <v>16050000</v>
      </c>
      <c r="J249" s="12" t="s">
        <v>3414</v>
      </c>
      <c r="K249" s="3">
        <f>SUMIF(收发货!A:A,采购合同!A:A,收发货!D:D)</f>
        <v>13500</v>
      </c>
      <c r="L249" s="3">
        <f>SUMIF(收开票!A:A,采购合同!A:A,收开票!H:H)</f>
        <v>13594.029999999999</v>
      </c>
      <c r="M249" s="1">
        <f>SUMIF(收开票!A:A,采购合同!A:A,收开票!I:I)</f>
        <v>14545616.379999999</v>
      </c>
      <c r="N249" s="2">
        <f>SUMIF(收付款!A:A,采购合同!A:A,收付款!E:E)</f>
        <v>14545616.379999999</v>
      </c>
      <c r="O249" s="2">
        <f>M249-N249</f>
        <v>0</v>
      </c>
      <c r="P249" s="90"/>
      <c r="Q249" s="1"/>
      <c r="R249" s="5"/>
      <c r="S249" s="4"/>
    </row>
    <row r="250" spans="1:19" ht="45" hidden="1">
      <c r="A250" s="13" t="s">
        <v>4280</v>
      </c>
      <c r="B250" s="6" t="s">
        <v>217</v>
      </c>
      <c r="C250" s="6" t="s">
        <v>3954</v>
      </c>
      <c r="D250" s="7">
        <v>43040</v>
      </c>
      <c r="E250" s="6" t="s">
        <v>4281</v>
      </c>
      <c r="F250" s="8" t="s">
        <v>223</v>
      </c>
      <c r="G250" s="9">
        <v>3000</v>
      </c>
      <c r="H250" s="10">
        <f>1969+50</f>
        <v>2019</v>
      </c>
      <c r="I250" s="11">
        <f t="shared" ref="I250:I255" si="27">G250*H250</f>
        <v>6057000</v>
      </c>
      <c r="J250" s="12" t="s">
        <v>3955</v>
      </c>
      <c r="K250" s="3">
        <f>SUMIF(收发货!A:A,采购合同!A:A,收发货!D:D)</f>
        <v>0</v>
      </c>
      <c r="L250" s="3">
        <f>SUMIF(收开票!A:A,采购合同!A:A,收开票!H:H)</f>
        <v>0</v>
      </c>
      <c r="M250" s="1">
        <f>SUMIF(收开票!A:A,采购合同!A:A,收开票!I:I)</f>
        <v>0</v>
      </c>
      <c r="N250" s="2">
        <f>SUMIF(收付款!A:A,采购合同!A:A,收付款!E:E)</f>
        <v>0</v>
      </c>
      <c r="O250" s="2">
        <f>M250-N250</f>
        <v>0</v>
      </c>
      <c r="P250" s="90"/>
      <c r="Q250" s="1"/>
      <c r="R250" s="5"/>
      <c r="S250" s="4"/>
    </row>
    <row r="251" spans="1:19" ht="24.95" hidden="1" customHeight="1">
      <c r="A251" s="13" t="s">
        <v>3967</v>
      </c>
      <c r="B251" s="6" t="s">
        <v>3968</v>
      </c>
      <c r="C251" s="6" t="s">
        <v>3376</v>
      </c>
      <c r="D251" s="7">
        <v>43020</v>
      </c>
      <c r="E251" s="6" t="s">
        <v>875</v>
      </c>
      <c r="F251" s="8" t="s">
        <v>3969</v>
      </c>
      <c r="G251" s="9">
        <v>192</v>
      </c>
      <c r="H251" s="10">
        <v>1200</v>
      </c>
      <c r="I251" s="11">
        <f t="shared" si="27"/>
        <v>230400</v>
      </c>
      <c r="J251" s="12" t="s">
        <v>3970</v>
      </c>
      <c r="K251" s="3">
        <f>SUMIF(收发货!A:A,采购合同!A:A,收发货!D:D)</f>
        <v>192</v>
      </c>
      <c r="L251" s="3">
        <f>SUMIF(收开票!A:A,采购合同!A:A,收开票!H:H)</f>
        <v>192</v>
      </c>
      <c r="M251" s="1">
        <f>SUMIF(收开票!A:A,采购合同!A:A,收开票!I:I)</f>
        <v>230400</v>
      </c>
      <c r="N251" s="2">
        <f>SUMIF(收付款!A:A,采购合同!A:A,收付款!E:E)</f>
        <v>230400</v>
      </c>
      <c r="O251" s="2">
        <f t="shared" ref="O251:O257" si="28">M251-N251</f>
        <v>0</v>
      </c>
      <c r="P251" s="90"/>
      <c r="Q251" s="1"/>
      <c r="R251" s="5"/>
      <c r="S251" s="4"/>
    </row>
    <row r="252" spans="1:19" ht="24.95" hidden="1" customHeight="1">
      <c r="A252" s="13" t="s">
        <v>3966</v>
      </c>
      <c r="B252" s="6" t="s">
        <v>3968</v>
      </c>
      <c r="C252" s="6" t="s">
        <v>3376</v>
      </c>
      <c r="D252" s="7">
        <v>43019</v>
      </c>
      <c r="E252" s="6" t="s">
        <v>875</v>
      </c>
      <c r="F252" s="8" t="s">
        <v>3969</v>
      </c>
      <c r="G252" s="9">
        <v>100</v>
      </c>
      <c r="H252" s="10">
        <v>1225</v>
      </c>
      <c r="I252" s="11">
        <f t="shared" si="27"/>
        <v>122500</v>
      </c>
      <c r="J252" s="12" t="s">
        <v>3970</v>
      </c>
      <c r="K252" s="3">
        <f>SUMIF(收发货!A:A,采购合同!A:A,收发货!D:D)</f>
        <v>100</v>
      </c>
      <c r="L252" s="3">
        <f>SUMIF(收开票!A:A,采购合同!A:A,收开票!H:H)</f>
        <v>100</v>
      </c>
      <c r="M252" s="1">
        <f>SUMIF(收开票!A:A,采购合同!A:A,收开票!I:I)</f>
        <v>122500</v>
      </c>
      <c r="N252" s="2">
        <f>SUMIF(收付款!A:A,采购合同!A:A,收付款!E:E)</f>
        <v>122500</v>
      </c>
      <c r="O252" s="2">
        <f t="shared" si="28"/>
        <v>0</v>
      </c>
      <c r="P252" s="90"/>
      <c r="Q252" s="1"/>
      <c r="R252" s="5"/>
      <c r="S252" s="4"/>
    </row>
    <row r="253" spans="1:19" ht="24.95" hidden="1" customHeight="1">
      <c r="A253" s="13" t="s">
        <v>3971</v>
      </c>
      <c r="B253" s="6" t="s">
        <v>3968</v>
      </c>
      <c r="C253" s="6" t="s">
        <v>3376</v>
      </c>
      <c r="D253" s="7">
        <v>43019</v>
      </c>
      <c r="E253" s="6" t="s">
        <v>875</v>
      </c>
      <c r="F253" s="8" t="s">
        <v>3969</v>
      </c>
      <c r="G253" s="9">
        <v>40</v>
      </c>
      <c r="H253" s="10">
        <v>1235</v>
      </c>
      <c r="I253" s="11">
        <f t="shared" si="27"/>
        <v>49400</v>
      </c>
      <c r="J253" s="12" t="s">
        <v>3970</v>
      </c>
      <c r="K253" s="3">
        <f>SUMIF(收发货!A:A,采购合同!A:A,收发货!D:D)</f>
        <v>40</v>
      </c>
      <c r="L253" s="3">
        <f>SUMIF(收开票!A:A,采购合同!A:A,收开票!H:H)</f>
        <v>40</v>
      </c>
      <c r="M253" s="1">
        <f>SUMIF(收开票!A:A,采购合同!A:A,收开票!I:I)</f>
        <v>49400</v>
      </c>
      <c r="N253" s="2">
        <f>SUMIF(收付款!A:A,采购合同!A:A,收付款!E:E)</f>
        <v>49400</v>
      </c>
      <c r="O253" s="2">
        <f t="shared" si="28"/>
        <v>0</v>
      </c>
      <c r="P253" s="90"/>
      <c r="Q253" s="1"/>
      <c r="R253" s="5"/>
      <c r="S253" s="4"/>
    </row>
    <row r="254" spans="1:19" ht="24.95" hidden="1" customHeight="1">
      <c r="A254" s="13" t="s">
        <v>3972</v>
      </c>
      <c r="B254" s="6" t="s">
        <v>3968</v>
      </c>
      <c r="C254" s="6" t="s">
        <v>3376</v>
      </c>
      <c r="D254" s="7">
        <v>43024</v>
      </c>
      <c r="E254" s="6" t="s">
        <v>875</v>
      </c>
      <c r="F254" s="8" t="s">
        <v>3969</v>
      </c>
      <c r="G254" s="9">
        <v>40</v>
      </c>
      <c r="H254" s="10">
        <v>1205</v>
      </c>
      <c r="I254" s="11">
        <f t="shared" si="27"/>
        <v>48200</v>
      </c>
      <c r="J254" s="12" t="s">
        <v>3970</v>
      </c>
      <c r="K254" s="3">
        <f>SUMIF(收发货!A:A,采购合同!A:A,收发货!D:D)</f>
        <v>40</v>
      </c>
      <c r="L254" s="3">
        <f>SUMIF(收开票!A:A,采购合同!A:A,收开票!H:H)</f>
        <v>40</v>
      </c>
      <c r="M254" s="1">
        <f>SUMIF(收开票!A:A,采购合同!A:A,收开票!I:I)</f>
        <v>48200</v>
      </c>
      <c r="N254" s="2">
        <f>SUMIF(收付款!A:A,采购合同!A:A,收付款!E:E)</f>
        <v>48200</v>
      </c>
      <c r="O254" s="2">
        <f t="shared" si="28"/>
        <v>0</v>
      </c>
      <c r="P254" s="90"/>
      <c r="Q254" s="1"/>
      <c r="R254" s="5"/>
      <c r="S254" s="4"/>
    </row>
    <row r="255" spans="1:19" ht="24.95" hidden="1" customHeight="1">
      <c r="A255" s="13" t="s">
        <v>3973</v>
      </c>
      <c r="B255" s="6" t="s">
        <v>3968</v>
      </c>
      <c r="C255" s="6" t="s">
        <v>3376</v>
      </c>
      <c r="D255" s="7">
        <v>43024</v>
      </c>
      <c r="E255" s="6" t="s">
        <v>875</v>
      </c>
      <c r="F255" s="8" t="s">
        <v>3969</v>
      </c>
      <c r="G255" s="9">
        <v>200</v>
      </c>
      <c r="H255" s="10">
        <v>1200</v>
      </c>
      <c r="I255" s="11">
        <f t="shared" si="27"/>
        <v>240000</v>
      </c>
      <c r="J255" s="12" t="s">
        <v>3970</v>
      </c>
      <c r="K255" s="3">
        <f>SUMIF(收发货!A:A,采购合同!A:A,收发货!D:D)</f>
        <v>200</v>
      </c>
      <c r="L255" s="3">
        <f>SUMIF(收开票!A:A,采购合同!A:A,收开票!H:H)</f>
        <v>200</v>
      </c>
      <c r="M255" s="1">
        <f>SUMIF(收开票!A:A,采购合同!A:A,收开票!I:I)</f>
        <v>240000</v>
      </c>
      <c r="N255" s="2">
        <f>SUMIF(收付款!A:A,采购合同!A:A,收付款!E:E)</f>
        <v>240000</v>
      </c>
      <c r="O255" s="2">
        <f t="shared" si="28"/>
        <v>0</v>
      </c>
      <c r="P255" s="90"/>
      <c r="Q255" s="1"/>
      <c r="R255" s="5"/>
      <c r="S255" s="4"/>
    </row>
    <row r="256" spans="1:19" ht="24.95" hidden="1" customHeight="1">
      <c r="A256" s="13" t="s">
        <v>4102</v>
      </c>
      <c r="B256" s="6" t="s">
        <v>3968</v>
      </c>
      <c r="C256" s="6" t="s">
        <v>3376</v>
      </c>
      <c r="D256" s="7">
        <v>43024</v>
      </c>
      <c r="E256" s="6" t="s">
        <v>875</v>
      </c>
      <c r="F256" s="8" t="s">
        <v>3969</v>
      </c>
      <c r="G256" s="9">
        <v>60</v>
      </c>
      <c r="H256" s="10">
        <v>1300</v>
      </c>
      <c r="I256" s="11">
        <f t="shared" ref="I256:I262" si="29">G256*H256</f>
        <v>78000</v>
      </c>
      <c r="J256" s="12" t="s">
        <v>3970</v>
      </c>
      <c r="K256" s="3">
        <f>SUMIF(收发货!A:A,采购合同!A:A,收发货!D:D)</f>
        <v>60</v>
      </c>
      <c r="L256" s="3">
        <f>SUMIF(收开票!A:A,采购合同!A:A,收开票!H:H)</f>
        <v>60</v>
      </c>
      <c r="M256" s="1">
        <f>SUMIF(收开票!A:A,采购合同!A:A,收开票!I:I)</f>
        <v>78000</v>
      </c>
      <c r="N256" s="2">
        <f>SUMIF(收付款!A:A,采购合同!A:A,收付款!E:E)</f>
        <v>78000</v>
      </c>
      <c r="O256" s="2">
        <f t="shared" si="28"/>
        <v>0</v>
      </c>
      <c r="P256" s="90"/>
      <c r="Q256" s="1"/>
      <c r="R256" s="5"/>
      <c r="S256" s="4"/>
    </row>
    <row r="257" spans="1:19" ht="24.95" hidden="1" customHeight="1">
      <c r="A257" s="13" t="s">
        <v>3974</v>
      </c>
      <c r="B257" s="6" t="s">
        <v>3968</v>
      </c>
      <c r="C257" s="6" t="s">
        <v>3376</v>
      </c>
      <c r="D257" s="7">
        <v>43046</v>
      </c>
      <c r="E257" s="6" t="s">
        <v>875</v>
      </c>
      <c r="F257" s="8" t="s">
        <v>3969</v>
      </c>
      <c r="G257" s="9">
        <v>400</v>
      </c>
      <c r="H257" s="10">
        <v>1305</v>
      </c>
      <c r="I257" s="11">
        <f t="shared" si="29"/>
        <v>522000</v>
      </c>
      <c r="J257" s="12" t="s">
        <v>3970</v>
      </c>
      <c r="K257" s="3">
        <f>SUMIF(收发货!A:A,采购合同!A:A,收发货!D:D)</f>
        <v>360</v>
      </c>
      <c r="L257" s="3">
        <f>SUMIF(收开票!A:A,采购合同!A:A,收开票!H:H)</f>
        <v>360</v>
      </c>
      <c r="M257" s="1">
        <f>SUMIF(收开票!A:A,采购合同!A:A,收开票!I:I)</f>
        <v>469800</v>
      </c>
      <c r="N257" s="2">
        <f>SUMIF(收付款!A:A,采购合同!A:A,收付款!E:E)</f>
        <v>469800</v>
      </c>
      <c r="O257" s="2">
        <f t="shared" si="28"/>
        <v>0</v>
      </c>
      <c r="P257" s="90"/>
      <c r="Q257" s="1"/>
      <c r="R257" s="5"/>
      <c r="S257" s="4"/>
    </row>
    <row r="258" spans="1:19" ht="24.95" hidden="1" customHeight="1">
      <c r="A258" s="13" t="s">
        <v>3975</v>
      </c>
      <c r="B258" s="6" t="s">
        <v>3968</v>
      </c>
      <c r="C258" s="6" t="s">
        <v>714</v>
      </c>
      <c r="D258" s="7">
        <v>43047</v>
      </c>
      <c r="E258" s="6" t="s">
        <v>875</v>
      </c>
      <c r="F258" s="8" t="s">
        <v>3969</v>
      </c>
      <c r="G258" s="9">
        <v>513</v>
      </c>
      <c r="H258" s="10">
        <v>1628</v>
      </c>
      <c r="I258" s="11">
        <f t="shared" si="29"/>
        <v>835164</v>
      </c>
      <c r="J258" s="12" t="s">
        <v>3970</v>
      </c>
      <c r="K258" s="3">
        <f>SUMIF(收发货!A:A,采购合同!A:A,收发货!D:D)</f>
        <v>513</v>
      </c>
      <c r="L258" s="3">
        <f>SUMIF(收开票!A:A,采购合同!A:A,收开票!H:H)</f>
        <v>513</v>
      </c>
      <c r="M258" s="1">
        <f>SUMIF(收开票!A:A,采购合同!A:A,收开票!I:I)</f>
        <v>835164</v>
      </c>
      <c r="N258" s="2">
        <f>SUMIF(收付款!A:A,采购合同!A:A,收付款!E:E)</f>
        <v>835164</v>
      </c>
      <c r="O258" s="2">
        <f t="shared" ref="O258" si="30">K258*H258-N258</f>
        <v>0</v>
      </c>
      <c r="P258" s="90"/>
      <c r="Q258" s="1"/>
      <c r="R258" s="5"/>
      <c r="S258" s="4"/>
    </row>
    <row r="259" spans="1:19" ht="24.95" hidden="1" customHeight="1">
      <c r="A259" s="13" t="s">
        <v>3986</v>
      </c>
      <c r="B259" s="6" t="s">
        <v>3968</v>
      </c>
      <c r="C259" s="6" t="s">
        <v>3376</v>
      </c>
      <c r="D259" s="7">
        <v>43053</v>
      </c>
      <c r="E259" s="6" t="s">
        <v>875</v>
      </c>
      <c r="F259" s="8" t="s">
        <v>3969</v>
      </c>
      <c r="G259" s="9">
        <v>100</v>
      </c>
      <c r="H259" s="10">
        <v>1330</v>
      </c>
      <c r="I259" s="11">
        <f t="shared" si="29"/>
        <v>133000</v>
      </c>
      <c r="J259" s="12" t="s">
        <v>3970</v>
      </c>
      <c r="K259" s="3">
        <f>SUMIF(收发货!A:A,采购合同!A:A,收发货!D:D)</f>
        <v>100</v>
      </c>
      <c r="L259" s="3">
        <f>SUMIF(收开票!A:A,采购合同!A:A,收开票!H:H)</f>
        <v>100</v>
      </c>
      <c r="M259" s="1">
        <f>SUMIF(收开票!A:A,采购合同!A:A,收开票!I:I)</f>
        <v>133000</v>
      </c>
      <c r="N259" s="2">
        <f>SUMIF(收付款!A:A,采购合同!A:A,收付款!E:E)</f>
        <v>133000</v>
      </c>
      <c r="O259" s="2">
        <f t="shared" ref="O259:O262" si="31">M259-N259</f>
        <v>0</v>
      </c>
      <c r="P259" s="90"/>
      <c r="Q259" s="1"/>
      <c r="R259" s="5"/>
      <c r="S259" s="4"/>
    </row>
    <row r="260" spans="1:19" ht="24.95" hidden="1" customHeight="1">
      <c r="A260" s="13" t="s">
        <v>4490</v>
      </c>
      <c r="B260" s="6" t="s">
        <v>3968</v>
      </c>
      <c r="C260" s="6" t="s">
        <v>3376</v>
      </c>
      <c r="D260" s="7">
        <v>43053</v>
      </c>
      <c r="E260" s="6" t="s">
        <v>875</v>
      </c>
      <c r="F260" s="8" t="s">
        <v>3969</v>
      </c>
      <c r="G260" s="9">
        <v>160</v>
      </c>
      <c r="H260" s="10">
        <v>1330</v>
      </c>
      <c r="I260" s="11">
        <f t="shared" si="29"/>
        <v>212800</v>
      </c>
      <c r="J260" s="12" t="s">
        <v>3970</v>
      </c>
      <c r="K260" s="3">
        <f>SUMIF(收发货!A:A,采购合同!A:A,收发货!D:D)</f>
        <v>160</v>
      </c>
      <c r="L260" s="3">
        <f>SUMIF(收开票!A:A,采购合同!A:A,收开票!H:H)</f>
        <v>160</v>
      </c>
      <c r="M260" s="1">
        <f>SUMIF(收开票!A:A,采购合同!A:A,收开票!I:I)</f>
        <v>212800</v>
      </c>
      <c r="N260" s="2">
        <f>SUMIF(收付款!A:A,采购合同!A:A,收付款!E:E)</f>
        <v>212800</v>
      </c>
      <c r="O260" s="2">
        <f t="shared" si="31"/>
        <v>0</v>
      </c>
      <c r="P260" s="90"/>
      <c r="Q260" s="1"/>
      <c r="R260" s="5"/>
      <c r="S260" s="4"/>
    </row>
    <row r="261" spans="1:19" ht="24.95" hidden="1" customHeight="1">
      <c r="A261" s="13" t="s">
        <v>3987</v>
      </c>
      <c r="B261" s="6" t="s">
        <v>3968</v>
      </c>
      <c r="C261" s="6" t="s">
        <v>3376</v>
      </c>
      <c r="D261" s="7">
        <v>43053</v>
      </c>
      <c r="E261" s="6" t="s">
        <v>875</v>
      </c>
      <c r="F261" s="8" t="s">
        <v>3969</v>
      </c>
      <c r="G261" s="9">
        <v>40</v>
      </c>
      <c r="H261" s="10">
        <v>1345</v>
      </c>
      <c r="I261" s="11">
        <f t="shared" si="29"/>
        <v>53800</v>
      </c>
      <c r="J261" s="12" t="s">
        <v>3970</v>
      </c>
      <c r="K261" s="3">
        <f>SUMIF(收发货!A:A,采购合同!A:A,收发货!D:D)</f>
        <v>40</v>
      </c>
      <c r="L261" s="3">
        <f>SUMIF(收开票!A:A,采购合同!A:A,收开票!H:H)</f>
        <v>40</v>
      </c>
      <c r="M261" s="1">
        <f>SUMIF(收开票!A:A,采购合同!A:A,收开票!I:I)</f>
        <v>53800</v>
      </c>
      <c r="N261" s="2">
        <f>SUMIF(收付款!A:A,采购合同!A:A,收付款!E:E)</f>
        <v>53800</v>
      </c>
      <c r="O261" s="2">
        <f t="shared" si="31"/>
        <v>0</v>
      </c>
      <c r="P261" s="90"/>
      <c r="Q261" s="1"/>
      <c r="R261" s="5"/>
      <c r="S261" s="4"/>
    </row>
    <row r="262" spans="1:19" ht="24.95" hidden="1" customHeight="1">
      <c r="A262" s="13" t="s">
        <v>3988</v>
      </c>
      <c r="B262" s="6" t="s">
        <v>3968</v>
      </c>
      <c r="C262" s="6" t="s">
        <v>3376</v>
      </c>
      <c r="D262" s="7">
        <v>43053</v>
      </c>
      <c r="E262" s="6" t="s">
        <v>875</v>
      </c>
      <c r="F262" s="8" t="s">
        <v>3969</v>
      </c>
      <c r="G262" s="9">
        <v>40</v>
      </c>
      <c r="H262" s="10">
        <v>1460</v>
      </c>
      <c r="I262" s="11">
        <f t="shared" si="29"/>
        <v>58400</v>
      </c>
      <c r="J262" s="12" t="s">
        <v>3970</v>
      </c>
      <c r="K262" s="3">
        <f>SUMIF(收发货!A:A,采购合同!A:A,收发货!D:D)</f>
        <v>40</v>
      </c>
      <c r="L262" s="3">
        <f>SUMIF(收开票!A:A,采购合同!A:A,收开票!H:H)</f>
        <v>40</v>
      </c>
      <c r="M262" s="1">
        <f>SUMIF(收开票!A:A,采购合同!A:A,收开票!I:I)</f>
        <v>58400</v>
      </c>
      <c r="N262" s="2">
        <f>SUMIF(收付款!A:A,采购合同!A:A,收付款!E:E)</f>
        <v>58400</v>
      </c>
      <c r="O262" s="2">
        <f t="shared" si="31"/>
        <v>0</v>
      </c>
      <c r="P262" s="90"/>
      <c r="Q262" s="1"/>
      <c r="R262" s="5"/>
      <c r="S262" s="4"/>
    </row>
    <row r="263" spans="1:19" ht="24.95" hidden="1" customHeight="1">
      <c r="A263" s="13" t="s">
        <v>4262</v>
      </c>
      <c r="B263" s="6" t="s">
        <v>4037</v>
      </c>
      <c r="C263" s="6" t="s">
        <v>4038</v>
      </c>
      <c r="D263" s="7">
        <v>43055</v>
      </c>
      <c r="E263" s="6" t="s">
        <v>4270</v>
      </c>
      <c r="F263" s="8" t="s">
        <v>4040</v>
      </c>
      <c r="G263" s="9">
        <v>1849.0719999999999</v>
      </c>
      <c r="H263" s="10">
        <f>27.5*33.88</f>
        <v>931.7</v>
      </c>
      <c r="I263" s="11">
        <f>G263*H263+0.01</f>
        <v>1722780.3924</v>
      </c>
      <c r="J263" s="12" t="s">
        <v>877</v>
      </c>
      <c r="K263" s="3">
        <f>SUMIF(收发货!A:A,采购合同!A:A,收发货!D:D)</f>
        <v>2000</v>
      </c>
      <c r="L263" s="3">
        <f>SUMIF(收开票!A:A,采购合同!A:A,收开票!H:H)</f>
        <v>1849.0719999999999</v>
      </c>
      <c r="M263" s="1">
        <f>SUMIF(收开票!A:A,采购合同!A:A,收开票!I:I)</f>
        <v>1722780.39</v>
      </c>
      <c r="N263" s="2">
        <f>SUMIF(收付款!A:A,采购合同!A:A,收付款!E:E)</f>
        <v>1722780.39</v>
      </c>
      <c r="O263" s="2">
        <f>M263-N263</f>
        <v>0</v>
      </c>
      <c r="P263" s="90"/>
      <c r="Q263" s="1"/>
      <c r="R263" s="5"/>
      <c r="S263" s="4"/>
    </row>
    <row r="264" spans="1:19" ht="45" hidden="1">
      <c r="A264" s="13" t="s">
        <v>4043</v>
      </c>
      <c r="B264" s="6" t="s">
        <v>217</v>
      </c>
      <c r="C264" s="6" t="s">
        <v>3954</v>
      </c>
      <c r="D264" s="7">
        <v>43040</v>
      </c>
      <c r="E264" s="6" t="s">
        <v>4630</v>
      </c>
      <c r="F264" s="8" t="s">
        <v>223</v>
      </c>
      <c r="G264" s="9">
        <v>3000</v>
      </c>
      <c r="H264" s="10">
        <f>1969+50</f>
        <v>2019</v>
      </c>
      <c r="I264" s="11">
        <f>G264*H264</f>
        <v>6057000</v>
      </c>
      <c r="J264" s="12" t="s">
        <v>3955</v>
      </c>
      <c r="K264" s="3">
        <f>SUMIF(收发货!A:A,采购合同!A:A,收发货!D:D)</f>
        <v>814.32999999999993</v>
      </c>
      <c r="L264" s="3">
        <f>SUMIF(收开票!A:A,采购合同!A:A,收开票!H:H)</f>
        <v>753.55</v>
      </c>
      <c r="M264" s="1">
        <f>SUMIF(收开票!A:A,采购合同!A:A,收开票!I:I)</f>
        <v>1519491.5</v>
      </c>
      <c r="N264" s="2">
        <f>SUMIF(收付款!A:A,采购合同!A:A,收付款!E:E)</f>
        <v>1519491.5000000002</v>
      </c>
      <c r="O264" s="2">
        <f>M264-N264</f>
        <v>0</v>
      </c>
      <c r="P264" s="90"/>
      <c r="Q264" s="1"/>
      <c r="R264" s="5"/>
      <c r="S264" s="4"/>
    </row>
    <row r="265" spans="1:19" ht="24.95" hidden="1" customHeight="1">
      <c r="A265" s="13" t="s">
        <v>4353</v>
      </c>
      <c r="B265" s="6" t="s">
        <v>485</v>
      </c>
      <c r="C265" s="6" t="s">
        <v>4038</v>
      </c>
      <c r="D265" s="7">
        <v>43063</v>
      </c>
      <c r="E265" s="6" t="s">
        <v>4039</v>
      </c>
      <c r="F265" s="8" t="s">
        <v>2757</v>
      </c>
      <c r="G265" s="9">
        <v>1822.444</v>
      </c>
      <c r="H265" s="10">
        <f>27.5*33.88</f>
        <v>931.7</v>
      </c>
      <c r="I265" s="11">
        <f>G265*H265+0.01</f>
        <v>1697971.0848000001</v>
      </c>
      <c r="J265" s="12" t="s">
        <v>877</v>
      </c>
      <c r="K265" s="3">
        <f>SUMIF(收发货!A:A,采购合同!A:A,收发货!D:D)</f>
        <v>2000</v>
      </c>
      <c r="L265" s="3">
        <f>SUMIF(收开票!A:A,采购合同!A:A,收开票!H:H)</f>
        <v>1822.444</v>
      </c>
      <c r="M265" s="1">
        <f>SUMIF(收开票!A:A,采购合同!A:A,收开票!I:I)</f>
        <v>1697971.08</v>
      </c>
      <c r="N265" s="2">
        <f>SUMIF(收付款!A:A,采购合同!A:A,收付款!E:E)</f>
        <v>1697971.08</v>
      </c>
      <c r="O265" s="2">
        <f>M265-N265</f>
        <v>0</v>
      </c>
      <c r="P265" s="90"/>
      <c r="Q265" s="1"/>
      <c r="R265" s="5"/>
      <c r="S265" s="4"/>
    </row>
    <row r="266" spans="1:19" ht="45" hidden="1">
      <c r="A266" s="13" t="s">
        <v>4407</v>
      </c>
      <c r="B266" s="6" t="s">
        <v>217</v>
      </c>
      <c r="C266" s="6" t="s">
        <v>2761</v>
      </c>
      <c r="D266" s="7">
        <v>43068</v>
      </c>
      <c r="E266" s="6" t="s">
        <v>2797</v>
      </c>
      <c r="F266" s="8" t="s">
        <v>1867</v>
      </c>
      <c r="G266" s="9">
        <v>20000</v>
      </c>
      <c r="H266" s="10">
        <v>1280</v>
      </c>
      <c r="I266" s="11">
        <f t="shared" ref="I266:I273" si="32">G266*H266</f>
        <v>25600000</v>
      </c>
      <c r="J266" s="12" t="s">
        <v>3414</v>
      </c>
      <c r="K266" s="3">
        <f>SUMIF(收发货!A:A,采购合同!A:A,收发货!D:D)</f>
        <v>16500</v>
      </c>
      <c r="L266" s="3">
        <f>SUMIF(收开票!A:A,采购合同!A:A,收开票!H:H)</f>
        <v>16301.445</v>
      </c>
      <c r="M266" s="1">
        <f>SUMIF(收开票!A:A,采购合同!A:A,收开票!I:I)</f>
        <v>20865849.600000001</v>
      </c>
      <c r="N266" s="2">
        <f>SUMIF(收付款!A:A,采购合同!A:A,收付款!E:E)</f>
        <v>20865849.600000001</v>
      </c>
      <c r="O266" s="2">
        <f>M266-N266</f>
        <v>0</v>
      </c>
      <c r="P266" s="90"/>
      <c r="Q266" s="1"/>
      <c r="R266" s="5"/>
      <c r="S266" s="4"/>
    </row>
    <row r="267" spans="1:19" ht="24.95" hidden="1" customHeight="1">
      <c r="A267" s="13" t="s">
        <v>4064</v>
      </c>
      <c r="B267" s="6" t="s">
        <v>127</v>
      </c>
      <c r="C267" s="6" t="s">
        <v>3263</v>
      </c>
      <c r="D267" s="7">
        <v>43055</v>
      </c>
      <c r="E267" s="6" t="s">
        <v>875</v>
      </c>
      <c r="F267" s="8" t="s">
        <v>876</v>
      </c>
      <c r="G267" s="9">
        <v>300</v>
      </c>
      <c r="H267" s="10">
        <v>1335</v>
      </c>
      <c r="I267" s="11">
        <f t="shared" si="32"/>
        <v>400500</v>
      </c>
      <c r="J267" s="12" t="s">
        <v>877</v>
      </c>
      <c r="K267" s="3">
        <f>SUMIF(收发货!A:A,采购合同!A:A,收发货!D:D)</f>
        <v>300</v>
      </c>
      <c r="L267" s="3">
        <f>SUMIF(收开票!A:A,采购合同!A:A,收开票!H:H)</f>
        <v>300</v>
      </c>
      <c r="M267" s="1">
        <f>SUMIF(收开票!A:A,采购合同!A:A,收开票!I:I)</f>
        <v>400500</v>
      </c>
      <c r="N267" s="2">
        <f>SUMIF(收付款!A:A,采购合同!A:A,收付款!E:E)</f>
        <v>400500</v>
      </c>
      <c r="O267" s="2">
        <f t="shared" ref="O267:O271" si="33">M267-N267</f>
        <v>0</v>
      </c>
      <c r="P267" s="90"/>
      <c r="Q267" s="1"/>
      <c r="R267" s="5"/>
      <c r="S267" s="4"/>
    </row>
    <row r="268" spans="1:19" ht="24.95" hidden="1" customHeight="1">
      <c r="A268" s="13" t="s">
        <v>4065</v>
      </c>
      <c r="B268" s="6" t="s">
        <v>127</v>
      </c>
      <c r="C268" s="6" t="s">
        <v>3263</v>
      </c>
      <c r="D268" s="7">
        <v>43056</v>
      </c>
      <c r="E268" s="6" t="s">
        <v>875</v>
      </c>
      <c r="F268" s="8" t="s">
        <v>876</v>
      </c>
      <c r="G268" s="9">
        <v>100</v>
      </c>
      <c r="H268" s="10">
        <v>1330</v>
      </c>
      <c r="I268" s="11">
        <f t="shared" si="32"/>
        <v>133000</v>
      </c>
      <c r="J268" s="12" t="s">
        <v>877</v>
      </c>
      <c r="K268" s="3">
        <f>SUMIF(收发货!A:A,采购合同!A:A,收发货!D:D)</f>
        <v>100</v>
      </c>
      <c r="L268" s="3">
        <f>SUMIF(收开票!A:A,采购合同!A:A,收开票!H:H)</f>
        <v>100</v>
      </c>
      <c r="M268" s="1">
        <f>SUMIF(收开票!A:A,采购合同!A:A,收开票!I:I)</f>
        <v>133000</v>
      </c>
      <c r="N268" s="2">
        <f>SUMIF(收付款!A:A,采购合同!A:A,收付款!E:E)</f>
        <v>133000</v>
      </c>
      <c r="O268" s="2">
        <f t="shared" si="33"/>
        <v>0</v>
      </c>
      <c r="P268" s="90"/>
      <c r="Q268" s="1"/>
      <c r="R268" s="5"/>
      <c r="S268" s="4"/>
    </row>
    <row r="269" spans="1:19" ht="24.95" hidden="1" customHeight="1">
      <c r="A269" s="13" t="s">
        <v>4618</v>
      </c>
      <c r="B269" s="6" t="s">
        <v>127</v>
      </c>
      <c r="C269" s="6" t="s">
        <v>3263</v>
      </c>
      <c r="D269" s="7">
        <v>43069</v>
      </c>
      <c r="E269" s="6" t="s">
        <v>875</v>
      </c>
      <c r="F269" s="8" t="s">
        <v>876</v>
      </c>
      <c r="G269" s="9">
        <v>200</v>
      </c>
      <c r="H269" s="10">
        <v>1335</v>
      </c>
      <c r="I269" s="11">
        <f t="shared" si="32"/>
        <v>267000</v>
      </c>
      <c r="J269" s="12" t="s">
        <v>877</v>
      </c>
      <c r="K269" s="3">
        <f>SUMIF(收发货!A:A,采购合同!A:A,收发货!D:D)</f>
        <v>200</v>
      </c>
      <c r="L269" s="3">
        <f>SUMIF(收开票!A:A,采购合同!A:A,收开票!H:H)</f>
        <v>200</v>
      </c>
      <c r="M269" s="1">
        <f>SUMIF(收开票!A:A,采购合同!A:A,收开票!I:I)</f>
        <v>267000</v>
      </c>
      <c r="N269" s="2">
        <f>SUMIF(收付款!A:A,采购合同!A:A,收付款!E:E)</f>
        <v>267000</v>
      </c>
      <c r="O269" s="2">
        <f t="shared" si="33"/>
        <v>0</v>
      </c>
      <c r="P269" s="90"/>
      <c r="Q269" s="1"/>
      <c r="R269" s="5"/>
      <c r="S269" s="4"/>
    </row>
    <row r="270" spans="1:19" ht="24.95" hidden="1" customHeight="1">
      <c r="A270" s="394" t="s">
        <v>4116</v>
      </c>
      <c r="B270" s="6" t="s">
        <v>127</v>
      </c>
      <c r="C270" s="6" t="s">
        <v>3263</v>
      </c>
      <c r="D270" s="7">
        <v>43077</v>
      </c>
      <c r="E270" s="6" t="s">
        <v>875</v>
      </c>
      <c r="F270" s="8" t="s">
        <v>876</v>
      </c>
      <c r="G270" s="9">
        <v>200</v>
      </c>
      <c r="H270" s="10">
        <v>1665</v>
      </c>
      <c r="I270" s="11">
        <f t="shared" si="32"/>
        <v>333000</v>
      </c>
      <c r="J270" s="12" t="s">
        <v>877</v>
      </c>
      <c r="K270" s="3">
        <f>SUMIF(收发货!A:A,采购合同!A:A,收发货!D:D)</f>
        <v>200</v>
      </c>
      <c r="L270" s="3">
        <f>SUMIF(收开票!A:A,采购合同!A:A,收开票!H:H)</f>
        <v>200</v>
      </c>
      <c r="M270" s="1">
        <f>SUMIF(收开票!A:A,采购合同!A:A,收开票!I:I)</f>
        <v>333000</v>
      </c>
      <c r="N270" s="2">
        <f>SUMIF(收付款!A:A,采购合同!A:A,收付款!E:E)</f>
        <v>333000</v>
      </c>
      <c r="O270" s="2">
        <f t="shared" si="33"/>
        <v>0</v>
      </c>
      <c r="P270" s="90"/>
      <c r="Q270" s="1"/>
      <c r="R270" s="5"/>
      <c r="S270" s="4"/>
    </row>
    <row r="271" spans="1:19" ht="24.95" hidden="1" customHeight="1">
      <c r="A271" s="13" t="s">
        <v>4117</v>
      </c>
      <c r="B271" s="6" t="s">
        <v>127</v>
      </c>
      <c r="C271" s="6" t="s">
        <v>3263</v>
      </c>
      <c r="D271" s="7">
        <v>43082</v>
      </c>
      <c r="E271" s="6" t="s">
        <v>4347</v>
      </c>
      <c r="F271" s="8" t="s">
        <v>3969</v>
      </c>
      <c r="G271" s="9">
        <v>66</v>
      </c>
      <c r="H271" s="10">
        <v>1855</v>
      </c>
      <c r="I271" s="11">
        <f t="shared" si="32"/>
        <v>122430</v>
      </c>
      <c r="J271" s="12" t="s">
        <v>3947</v>
      </c>
      <c r="K271" s="3">
        <f>SUMIF(收发货!A:A,采购合同!A:A,收发货!D:D)</f>
        <v>66</v>
      </c>
      <c r="L271" s="3">
        <f>SUMIF(收开票!A:A,采购合同!A:A,收开票!H:H)</f>
        <v>66</v>
      </c>
      <c r="M271" s="1">
        <f>SUMIF(收开票!A:A,采购合同!A:A,收开票!I:I)</f>
        <v>122430</v>
      </c>
      <c r="N271" s="2">
        <f>SUMIF(收付款!A:A,采购合同!A:A,收付款!E:E)</f>
        <v>122430</v>
      </c>
      <c r="O271" s="2">
        <f t="shared" si="33"/>
        <v>0</v>
      </c>
      <c r="P271" s="90"/>
      <c r="Q271" s="1"/>
      <c r="R271" s="5"/>
      <c r="S271" s="4"/>
    </row>
    <row r="272" spans="1:19" ht="45" hidden="1">
      <c r="A272" s="13" t="s">
        <v>4633</v>
      </c>
      <c r="B272" s="6" t="s">
        <v>217</v>
      </c>
      <c r="C272" s="6" t="s">
        <v>3954</v>
      </c>
      <c r="D272" s="7">
        <v>43070</v>
      </c>
      <c r="E272" s="6" t="s">
        <v>4042</v>
      </c>
      <c r="F272" s="8" t="s">
        <v>223</v>
      </c>
      <c r="G272" s="9">
        <v>3000</v>
      </c>
      <c r="H272" s="10">
        <f>2127.37+47.49</f>
        <v>2174.8599999999997</v>
      </c>
      <c r="I272" s="11">
        <f t="shared" si="32"/>
        <v>6524579.9999999991</v>
      </c>
      <c r="J272" s="12" t="s">
        <v>3955</v>
      </c>
      <c r="K272" s="3">
        <f>SUMIF(收发货!A:A,采购合同!A:A,收发货!D:D)</f>
        <v>0</v>
      </c>
      <c r="L272" s="3">
        <f>SUMIF(收开票!A:A,采购合同!A:A,收开票!H:H)</f>
        <v>0</v>
      </c>
      <c r="M272" s="1">
        <f>SUMIF(收开票!A:A,采购合同!A:A,收开票!I:I)</f>
        <v>0</v>
      </c>
      <c r="N272" s="2">
        <f>SUMIF(收付款!A:A,采购合同!A:A,收付款!E:E)</f>
        <v>2.3283064365386963E-10</v>
      </c>
      <c r="O272" s="2">
        <f>M272-N272</f>
        <v>-2.3283064365386963E-10</v>
      </c>
      <c r="P272" s="90"/>
      <c r="Q272" s="1"/>
      <c r="R272" s="5"/>
      <c r="S272" s="4"/>
    </row>
    <row r="273" spans="1:19" ht="60" hidden="1">
      <c r="A273" s="13" t="s">
        <v>4222</v>
      </c>
      <c r="B273" s="6" t="s">
        <v>217</v>
      </c>
      <c r="C273" s="6" t="s">
        <v>4219</v>
      </c>
      <c r="D273" s="7">
        <v>43070</v>
      </c>
      <c r="E273" s="6" t="s">
        <v>4302</v>
      </c>
      <c r="F273" s="8" t="s">
        <v>1867</v>
      </c>
      <c r="G273" s="9">
        <v>2000</v>
      </c>
      <c r="H273" s="10">
        <v>2904</v>
      </c>
      <c r="I273" s="11">
        <f t="shared" si="32"/>
        <v>5808000</v>
      </c>
      <c r="J273" s="12" t="s">
        <v>4221</v>
      </c>
      <c r="K273" s="3">
        <f>SUMIF(收发货!A:A,采购合同!A:A,收发货!D:D)</f>
        <v>1917.84</v>
      </c>
      <c r="L273" s="3">
        <f>SUMIF(收开票!A:A,采购合同!A:A,收开票!H:H)</f>
        <v>1917.8400000000004</v>
      </c>
      <c r="M273" s="1">
        <f>SUMIF(收开票!A:A,采购合同!A:A,收开票!I:I)</f>
        <v>5544594.7849999992</v>
      </c>
      <c r="N273" s="2">
        <f>SUMIF(收付款!A:A,采购合同!A:A,收付款!E:E)</f>
        <v>5544594.79</v>
      </c>
      <c r="O273" s="2"/>
      <c r="P273" s="90"/>
      <c r="Q273" s="1"/>
      <c r="R273" s="5"/>
      <c r="S273" s="4"/>
    </row>
    <row r="274" spans="1:19" ht="45" hidden="1">
      <c r="A274" s="13" t="s">
        <v>4396</v>
      </c>
      <c r="B274" s="6" t="s">
        <v>217</v>
      </c>
      <c r="C274" s="6" t="s">
        <v>3954</v>
      </c>
      <c r="D274" s="7">
        <v>43070</v>
      </c>
      <c r="E274" s="6" t="s">
        <v>4271</v>
      </c>
      <c r="F274" s="8" t="s">
        <v>223</v>
      </c>
      <c r="G274" s="9">
        <v>3000</v>
      </c>
      <c r="H274" s="10">
        <f>2358.85+47.75</f>
        <v>2406.6</v>
      </c>
      <c r="I274" s="11">
        <f t="shared" ref="I274:I281" si="34">G274*H274</f>
        <v>7219800</v>
      </c>
      <c r="J274" s="12" t="s">
        <v>3955</v>
      </c>
      <c r="K274" s="3">
        <f>SUMIF(收发货!A:A,采购合同!A:A,收发货!D:D)</f>
        <v>983.1099999999999</v>
      </c>
      <c r="L274" s="3">
        <f>SUMIF(收开票!A:A,采购合同!A:A,收开票!H:H)</f>
        <v>977.55</v>
      </c>
      <c r="M274" s="1">
        <f>SUMIF(收开票!A:A,采购合同!A:A,收开票!I:I)</f>
        <v>2335360.0499999998</v>
      </c>
      <c r="N274" s="2">
        <f>SUMIF(收付款!A:A,采购合同!A:A,收付款!E:E)</f>
        <v>2335360.0499999998</v>
      </c>
      <c r="O274" s="2">
        <f>M274-N274</f>
        <v>0</v>
      </c>
      <c r="P274" s="90"/>
      <c r="Q274" s="1"/>
      <c r="R274" s="5"/>
      <c r="S274" s="4"/>
    </row>
    <row r="275" spans="1:19" ht="60" hidden="1">
      <c r="A275" s="13" t="s">
        <v>4582</v>
      </c>
      <c r="B275" s="6" t="s">
        <v>217</v>
      </c>
      <c r="C275" s="6" t="s">
        <v>4219</v>
      </c>
      <c r="D275" s="7">
        <v>43070</v>
      </c>
      <c r="E275" s="6" t="s">
        <v>4431</v>
      </c>
      <c r="F275" s="8" t="s">
        <v>1867</v>
      </c>
      <c r="G275" s="9">
        <v>1000</v>
      </c>
      <c r="H275" s="10">
        <v>3080</v>
      </c>
      <c r="I275" s="11">
        <f t="shared" si="34"/>
        <v>3080000</v>
      </c>
      <c r="J275" s="12" t="s">
        <v>4221</v>
      </c>
      <c r="K275" s="3">
        <f>SUMIF(收发货!A:A,采购合同!A:A,收发货!D:D)</f>
        <v>655.32000000000005</v>
      </c>
      <c r="L275" s="3">
        <f>SUMIF(收开票!A:A,采购合同!A:A,收开票!H:H)</f>
        <v>687.34</v>
      </c>
      <c r="M275" s="1">
        <f>SUMIF(收开票!A:A,采购合同!A:A,收开票!I:I)</f>
        <v>2117007.2000000002</v>
      </c>
      <c r="N275" s="2">
        <f>SUMIF(收付款!A:A,采购合同!A:A,收付款!E:E)</f>
        <v>2117007.2000000002</v>
      </c>
      <c r="O275" s="2">
        <f>M275-N275</f>
        <v>0</v>
      </c>
      <c r="P275" s="90"/>
      <c r="Q275" s="1"/>
      <c r="R275" s="5"/>
      <c r="S275" s="4"/>
    </row>
    <row r="276" spans="1:19" ht="24.95" hidden="1" customHeight="1">
      <c r="A276" s="13" t="s">
        <v>4502</v>
      </c>
      <c r="B276" s="6" t="s">
        <v>3968</v>
      </c>
      <c r="C276" s="6" t="s">
        <v>3577</v>
      </c>
      <c r="D276" s="7">
        <v>43082</v>
      </c>
      <c r="E276" s="6" t="s">
        <v>3687</v>
      </c>
      <c r="F276" s="8" t="s">
        <v>4307</v>
      </c>
      <c r="G276" s="9">
        <v>60</v>
      </c>
      <c r="H276" s="10">
        <v>1660</v>
      </c>
      <c r="I276" s="11">
        <f t="shared" si="34"/>
        <v>99600</v>
      </c>
      <c r="J276" s="12" t="s">
        <v>3947</v>
      </c>
      <c r="K276" s="3">
        <f>SUMIF(收发货!A:A,采购合同!A:A,收发货!D:D)</f>
        <v>60</v>
      </c>
      <c r="L276" s="3">
        <f>SUMIF(收开票!A:A,采购合同!A:A,收开票!H:H)</f>
        <v>60</v>
      </c>
      <c r="M276" s="1">
        <f>SUMIF(收开票!A:A,采购合同!A:A,收开票!I:I)</f>
        <v>99600</v>
      </c>
      <c r="N276" s="2">
        <f>SUMIF(收付款!A:A,采购合同!A:A,收付款!E:E)</f>
        <v>99600</v>
      </c>
      <c r="O276" s="2">
        <f t="shared" ref="O276:O281" si="35">M276-N276</f>
        <v>0</v>
      </c>
      <c r="P276" s="90"/>
      <c r="Q276" s="1"/>
      <c r="R276" s="5"/>
      <c r="S276" s="4"/>
    </row>
    <row r="277" spans="1:19" ht="24.95" hidden="1" customHeight="1">
      <c r="A277" s="13" t="s">
        <v>4308</v>
      </c>
      <c r="B277" s="6" t="s">
        <v>3968</v>
      </c>
      <c r="C277" s="6" t="s">
        <v>3577</v>
      </c>
      <c r="D277" s="7">
        <v>43082</v>
      </c>
      <c r="E277" s="6" t="s">
        <v>3687</v>
      </c>
      <c r="F277" s="8" t="s">
        <v>4307</v>
      </c>
      <c r="G277" s="9">
        <v>160</v>
      </c>
      <c r="H277" s="10">
        <v>1705</v>
      </c>
      <c r="I277" s="11">
        <f t="shared" si="34"/>
        <v>272800</v>
      </c>
      <c r="J277" s="12" t="s">
        <v>3947</v>
      </c>
      <c r="K277" s="3">
        <f>SUMIF(收发货!A:A,采购合同!A:A,收发货!D:D)</f>
        <v>160</v>
      </c>
      <c r="L277" s="3">
        <f>SUMIF(收开票!A:A,采购合同!A:A,收开票!H:H)</f>
        <v>160</v>
      </c>
      <c r="M277" s="1">
        <f>SUMIF(收开票!A:A,采购合同!A:A,收开票!I:I)</f>
        <v>272800</v>
      </c>
      <c r="N277" s="2">
        <f>SUMIF(收付款!A:A,采购合同!A:A,收付款!E:E)</f>
        <v>272800</v>
      </c>
      <c r="O277" s="2">
        <f t="shared" si="35"/>
        <v>0</v>
      </c>
      <c r="P277" s="90"/>
      <c r="Q277" s="1"/>
      <c r="R277" s="5"/>
      <c r="S277" s="4"/>
    </row>
    <row r="278" spans="1:19" ht="24.95" hidden="1" customHeight="1">
      <c r="A278" s="13" t="s">
        <v>4309</v>
      </c>
      <c r="B278" s="6" t="s">
        <v>3968</v>
      </c>
      <c r="C278" s="6" t="s">
        <v>3577</v>
      </c>
      <c r="D278" s="7">
        <v>43082</v>
      </c>
      <c r="E278" s="6" t="s">
        <v>3687</v>
      </c>
      <c r="F278" s="8" t="s">
        <v>4307</v>
      </c>
      <c r="G278" s="9">
        <v>160</v>
      </c>
      <c r="H278" s="10">
        <v>1705</v>
      </c>
      <c r="I278" s="11">
        <f t="shared" si="34"/>
        <v>272800</v>
      </c>
      <c r="J278" s="12" t="s">
        <v>3947</v>
      </c>
      <c r="K278" s="3">
        <f>SUMIF(收发货!A:A,采购合同!A:A,收发货!D:D)</f>
        <v>160</v>
      </c>
      <c r="L278" s="3">
        <f>SUMIF(收开票!A:A,采购合同!A:A,收开票!H:H)</f>
        <v>160</v>
      </c>
      <c r="M278" s="1">
        <f>SUMIF(收开票!A:A,采购合同!A:A,收开票!I:I)</f>
        <v>272800</v>
      </c>
      <c r="N278" s="2">
        <f>SUMIF(收付款!A:A,采购合同!A:A,收付款!E:E)</f>
        <v>272800</v>
      </c>
      <c r="O278" s="2">
        <f t="shared" si="35"/>
        <v>0</v>
      </c>
      <c r="P278" s="90"/>
      <c r="Q278" s="1"/>
      <c r="R278" s="5"/>
      <c r="S278" s="4"/>
    </row>
    <row r="279" spans="1:19" ht="24.95" hidden="1" customHeight="1">
      <c r="A279" s="13" t="s">
        <v>4310</v>
      </c>
      <c r="B279" s="6" t="s">
        <v>3968</v>
      </c>
      <c r="C279" s="6" t="s">
        <v>3577</v>
      </c>
      <c r="D279" s="7">
        <v>43082</v>
      </c>
      <c r="E279" s="6" t="s">
        <v>3687</v>
      </c>
      <c r="F279" s="8" t="s">
        <v>4307</v>
      </c>
      <c r="G279" s="9">
        <v>40</v>
      </c>
      <c r="H279" s="10">
        <v>1715</v>
      </c>
      <c r="I279" s="11">
        <f t="shared" si="34"/>
        <v>68600</v>
      </c>
      <c r="J279" s="12" t="s">
        <v>3947</v>
      </c>
      <c r="K279" s="3">
        <f>SUMIF(收发货!A:A,采购合同!A:A,收发货!D:D)</f>
        <v>40</v>
      </c>
      <c r="L279" s="3">
        <f>SUMIF(收开票!A:A,采购合同!A:A,收开票!H:H)</f>
        <v>40</v>
      </c>
      <c r="M279" s="1">
        <f>SUMIF(收开票!A:A,采购合同!A:A,收开票!I:I)</f>
        <v>68600</v>
      </c>
      <c r="N279" s="2">
        <f>SUMIF(收付款!A:A,采购合同!A:A,收付款!E:E)</f>
        <v>68600</v>
      </c>
      <c r="O279" s="2">
        <f t="shared" si="35"/>
        <v>0</v>
      </c>
      <c r="P279" s="90"/>
      <c r="Q279" s="1"/>
      <c r="R279" s="5"/>
      <c r="S279" s="4"/>
    </row>
    <row r="280" spans="1:19" ht="24.95" hidden="1" customHeight="1">
      <c r="A280" s="13" t="s">
        <v>4311</v>
      </c>
      <c r="B280" s="6" t="s">
        <v>3968</v>
      </c>
      <c r="C280" s="6" t="s">
        <v>3577</v>
      </c>
      <c r="D280" s="7">
        <v>43082</v>
      </c>
      <c r="E280" s="6" t="s">
        <v>3687</v>
      </c>
      <c r="F280" s="8" t="s">
        <v>4307</v>
      </c>
      <c r="G280" s="9">
        <v>100</v>
      </c>
      <c r="H280" s="10">
        <v>1720</v>
      </c>
      <c r="I280" s="11">
        <f t="shared" si="34"/>
        <v>172000</v>
      </c>
      <c r="J280" s="12" t="s">
        <v>3947</v>
      </c>
      <c r="K280" s="3">
        <f>SUMIF(收发货!A:A,采购合同!A:A,收发货!D:D)</f>
        <v>100</v>
      </c>
      <c r="L280" s="3">
        <f>SUMIF(收开票!A:A,采购合同!A:A,收开票!H:H)</f>
        <v>100</v>
      </c>
      <c r="M280" s="1">
        <f>SUMIF(收开票!A:A,采购合同!A:A,收开票!I:I)</f>
        <v>172000</v>
      </c>
      <c r="N280" s="2">
        <f>SUMIF(收付款!A:A,采购合同!A:A,收付款!E:E)</f>
        <v>172000</v>
      </c>
      <c r="O280" s="2">
        <f t="shared" si="35"/>
        <v>0</v>
      </c>
      <c r="P280" s="90"/>
      <c r="Q280" s="1"/>
      <c r="R280" s="5"/>
      <c r="S280" s="4"/>
    </row>
    <row r="281" spans="1:19" ht="24.95" hidden="1" customHeight="1">
      <c r="A281" s="13" t="s">
        <v>4312</v>
      </c>
      <c r="B281" s="6" t="s">
        <v>3968</v>
      </c>
      <c r="C281" s="6" t="s">
        <v>3577</v>
      </c>
      <c r="D281" s="7">
        <v>43082</v>
      </c>
      <c r="E281" s="6" t="s">
        <v>3687</v>
      </c>
      <c r="F281" s="8" t="s">
        <v>4307</v>
      </c>
      <c r="G281" s="9">
        <v>40</v>
      </c>
      <c r="H281" s="10">
        <v>1715</v>
      </c>
      <c r="I281" s="11">
        <f t="shared" si="34"/>
        <v>68600</v>
      </c>
      <c r="J281" s="12" t="s">
        <v>3947</v>
      </c>
      <c r="K281" s="3">
        <f>SUMIF(收发货!A:A,采购合同!A:A,收发货!D:D)</f>
        <v>40</v>
      </c>
      <c r="L281" s="3">
        <f>SUMIF(收开票!A:A,采购合同!A:A,收开票!H:H)</f>
        <v>40</v>
      </c>
      <c r="M281" s="1">
        <f>SUMIF(收开票!A:A,采购合同!A:A,收开票!I:I)</f>
        <v>68600</v>
      </c>
      <c r="N281" s="2">
        <f>SUMIF(收付款!A:A,采购合同!A:A,收付款!E:E)</f>
        <v>68600</v>
      </c>
      <c r="O281" s="2">
        <f t="shared" si="35"/>
        <v>0</v>
      </c>
      <c r="P281" s="90"/>
      <c r="Q281" s="1"/>
      <c r="R281" s="5"/>
      <c r="S281" s="4"/>
    </row>
    <row r="282" spans="1:19" ht="45" hidden="1">
      <c r="A282" s="13" t="s">
        <v>4363</v>
      </c>
      <c r="B282" s="6" t="s">
        <v>217</v>
      </c>
      <c r="C282" s="6" t="s">
        <v>3954</v>
      </c>
      <c r="D282" s="7">
        <v>43101</v>
      </c>
      <c r="E282" s="6" t="s">
        <v>4521</v>
      </c>
      <c r="F282" s="8" t="s">
        <v>223</v>
      </c>
      <c r="G282" s="9">
        <v>3000</v>
      </c>
      <c r="H282" s="10">
        <f>2292+47.75</f>
        <v>2339.75</v>
      </c>
      <c r="I282" s="11">
        <f t="shared" ref="I282:I288" si="36">G282*H282</f>
        <v>7019250</v>
      </c>
      <c r="J282" s="12" t="s">
        <v>3955</v>
      </c>
      <c r="K282" s="3">
        <f>SUMIF(收发货!A:A,采购合同!A:A,收发货!D:D)</f>
        <v>1249.97</v>
      </c>
      <c r="L282" s="3">
        <f>SUMIF(收开票!A:A,采购合同!A:A,收开票!H:H)</f>
        <v>1246.05</v>
      </c>
      <c r="M282" s="1">
        <f>SUMIF(收开票!A:A,采购合同!A:A,收开票!I:I)</f>
        <v>3000000</v>
      </c>
      <c r="N282" s="2">
        <f>SUMIF(收付款!A:A,采购合同!A:A,收付款!E:E)</f>
        <v>3000000</v>
      </c>
      <c r="O282" s="2">
        <f>M282-N282</f>
        <v>0</v>
      </c>
      <c r="P282" s="90"/>
      <c r="Q282" s="1"/>
      <c r="R282" s="5"/>
      <c r="S282" s="4"/>
    </row>
    <row r="283" spans="1:19" ht="24.95" hidden="1" customHeight="1">
      <c r="A283" s="13" t="s">
        <v>4504</v>
      </c>
      <c r="B283" s="6" t="s">
        <v>3968</v>
      </c>
      <c r="C283" s="6" t="s">
        <v>237</v>
      </c>
      <c r="D283" s="7">
        <v>43111</v>
      </c>
      <c r="E283" s="6" t="s">
        <v>875</v>
      </c>
      <c r="F283" s="8" t="s">
        <v>3969</v>
      </c>
      <c r="G283" s="9">
        <v>60</v>
      </c>
      <c r="H283" s="10">
        <v>1785</v>
      </c>
      <c r="I283" s="11">
        <f t="shared" si="36"/>
        <v>107100</v>
      </c>
      <c r="J283" s="12" t="s">
        <v>3970</v>
      </c>
      <c r="K283" s="3">
        <f>SUMIF(收发货!A:A,采购合同!A:A,收发货!D:D)</f>
        <v>60</v>
      </c>
      <c r="L283" s="3">
        <f>SUMIF(收开票!A:A,采购合同!A:A,收开票!H:H)</f>
        <v>60</v>
      </c>
      <c r="M283" s="1">
        <f>SUMIF(收开票!A:A,采购合同!A:A,收开票!I:I)</f>
        <v>107100</v>
      </c>
      <c r="N283" s="2">
        <f>SUMIF(收付款!A:A,采购合同!A:A,收付款!E:E)</f>
        <v>106853.43</v>
      </c>
      <c r="O283" s="2">
        <f>K283*H283-N283</f>
        <v>246.57000000000698</v>
      </c>
      <c r="P283" s="90"/>
      <c r="Q283" s="1"/>
      <c r="R283" s="5"/>
      <c r="S283" s="4"/>
    </row>
    <row r="284" spans="1:19" ht="24.95" hidden="1" customHeight="1">
      <c r="A284" s="13" t="s">
        <v>4388</v>
      </c>
      <c r="B284" s="6" t="s">
        <v>147</v>
      </c>
      <c r="C284" s="6" t="s">
        <v>194</v>
      </c>
      <c r="D284" s="7">
        <v>43109</v>
      </c>
      <c r="E284" s="6" t="s">
        <v>4389</v>
      </c>
      <c r="F284" s="8" t="s">
        <v>1867</v>
      </c>
      <c r="G284" s="9">
        <v>64</v>
      </c>
      <c r="H284" s="10">
        <v>11850</v>
      </c>
      <c r="I284" s="11">
        <f t="shared" si="36"/>
        <v>758400</v>
      </c>
      <c r="J284" s="12" t="s">
        <v>4985</v>
      </c>
      <c r="K284" s="3">
        <f>SUMIF(收发货!A:A,采购合同!A:A,收发货!D:D)</f>
        <v>64</v>
      </c>
      <c r="L284" s="3">
        <f>SUMIF(收开票!A:A,采购合同!A:A,收开票!H:H)</f>
        <v>64</v>
      </c>
      <c r="M284" s="1">
        <f>SUMIF(收开票!A:A,采购合同!A:A,收开票!I:I)</f>
        <v>758400</v>
      </c>
      <c r="N284" s="2">
        <f>SUMIF(收付款!A:A,采购合同!A:A,收付款!E:E)</f>
        <v>758400</v>
      </c>
      <c r="O284" s="2">
        <f>K284*H284-N284</f>
        <v>0</v>
      </c>
      <c r="P284" s="90"/>
      <c r="Q284" s="1"/>
      <c r="R284" s="5"/>
      <c r="S284" s="4"/>
    </row>
    <row r="285" spans="1:19" ht="50.1" hidden="1" customHeight="1">
      <c r="A285" s="13" t="s">
        <v>4576</v>
      </c>
      <c r="B285" s="6" t="s">
        <v>4372</v>
      </c>
      <c r="C285" s="6" t="s">
        <v>1</v>
      </c>
      <c r="D285" s="7">
        <v>43117</v>
      </c>
      <c r="E285" s="6" t="s">
        <v>4387</v>
      </c>
      <c r="F285" s="8" t="s">
        <v>1867</v>
      </c>
      <c r="G285" s="9">
        <v>160</v>
      </c>
      <c r="H285" s="10">
        <v>8300</v>
      </c>
      <c r="I285" s="11">
        <f t="shared" si="36"/>
        <v>1328000</v>
      </c>
      <c r="J285" s="12" t="s">
        <v>4386</v>
      </c>
      <c r="K285" s="3">
        <f>SUMIF(收发货!A:A,采购合同!A:A,收发货!D:D)</f>
        <v>170</v>
      </c>
      <c r="L285" s="437">
        <f>SUMIF(收开票!A:A,采购合同!A:A,收开票!H:H)</f>
        <v>170.774</v>
      </c>
      <c r="M285" s="1">
        <f>SUMIF(收开票!A:A,采购合同!A:A,收开票!I:I)</f>
        <v>1423944.21</v>
      </c>
      <c r="N285" s="2">
        <f>SUMIF(收付款!A:A,采购合同!A:A,收付款!E:E)</f>
        <v>1423944.21</v>
      </c>
      <c r="O285" s="2">
        <f>M285-N285</f>
        <v>0</v>
      </c>
      <c r="P285" s="90"/>
      <c r="Q285" s="1">
        <v>0</v>
      </c>
      <c r="R285" s="5"/>
      <c r="S285" s="4"/>
    </row>
    <row r="286" spans="1:19" ht="60" hidden="1">
      <c r="A286" s="13" t="s">
        <v>4438</v>
      </c>
      <c r="B286" s="6" t="s">
        <v>217</v>
      </c>
      <c r="C286" s="6" t="s">
        <v>4219</v>
      </c>
      <c r="D286" s="7">
        <v>43116</v>
      </c>
      <c r="E286" s="6" t="s">
        <v>4220</v>
      </c>
      <c r="F286" s="8" t="s">
        <v>1867</v>
      </c>
      <c r="G286" s="9">
        <v>2000</v>
      </c>
      <c r="H286" s="10">
        <v>2880</v>
      </c>
      <c r="I286" s="11">
        <f t="shared" si="36"/>
        <v>5760000</v>
      </c>
      <c r="J286" s="12" t="s">
        <v>4221</v>
      </c>
      <c r="K286" s="3">
        <f>SUMIF(收发货!A:A,采购合同!A:A,收发货!D:D)</f>
        <v>1595.22</v>
      </c>
      <c r="L286" s="3">
        <f>SUMIF(收开票!A:A,采购合同!A:A,收开票!H:H)</f>
        <v>1590.459989</v>
      </c>
      <c r="M286" s="1">
        <f>SUMIF(收开票!A:A,采购合同!A:A,收开票!I:I)</f>
        <v>4550897.3099999996</v>
      </c>
      <c r="N286" s="2">
        <f>SUMIF(收付款!A:A,采购合同!A:A,收付款!E:E)</f>
        <v>4550897.3100000005</v>
      </c>
      <c r="O286" s="2">
        <f>M286-N286</f>
        <v>0</v>
      </c>
      <c r="P286" s="90"/>
      <c r="Q286" s="1"/>
      <c r="R286" s="5"/>
      <c r="S286" s="4"/>
    </row>
    <row r="287" spans="1:19" ht="50.1" hidden="1" customHeight="1">
      <c r="A287" s="13" t="s">
        <v>4377</v>
      </c>
      <c r="B287" s="6" t="s">
        <v>3908</v>
      </c>
      <c r="C287" s="6" t="s">
        <v>1</v>
      </c>
      <c r="D287" s="7">
        <v>43126</v>
      </c>
      <c r="E287" s="6" t="s">
        <v>4290</v>
      </c>
      <c r="F287" s="8" t="s">
        <v>3909</v>
      </c>
      <c r="G287" s="9">
        <v>30</v>
      </c>
      <c r="H287" s="10">
        <v>8400</v>
      </c>
      <c r="I287" s="11">
        <f t="shared" si="36"/>
        <v>252000</v>
      </c>
      <c r="J287" s="12" t="s">
        <v>4378</v>
      </c>
      <c r="K287" s="3">
        <f>SUMIF(收发货!A:A,采购合同!A:A,收发货!D:D)</f>
        <v>34.020000000000003</v>
      </c>
      <c r="L287" s="437">
        <f>SUMIF(收开票!A:A,采购合同!A:A,收开票!H:H)</f>
        <v>0</v>
      </c>
      <c r="M287" s="1">
        <f>SUMIF(收开票!A:A,采购合同!A:A,收开票!I:I)</f>
        <v>0</v>
      </c>
      <c r="N287" s="2">
        <f>SUMIF(收付款!A:A,采购合同!A:A,收付款!E:E)</f>
        <v>0</v>
      </c>
      <c r="O287" s="2">
        <f>M287-N287</f>
        <v>0</v>
      </c>
      <c r="P287" s="90"/>
      <c r="Q287" s="1">
        <v>0</v>
      </c>
      <c r="R287" s="5"/>
      <c r="S287" s="4"/>
    </row>
    <row r="288" spans="1:19" ht="50.1" hidden="1" customHeight="1">
      <c r="A288" s="13" t="s">
        <v>4774</v>
      </c>
      <c r="B288" s="6" t="s">
        <v>3908</v>
      </c>
      <c r="C288" s="6" t="s">
        <v>1</v>
      </c>
      <c r="D288" s="7">
        <v>43126</v>
      </c>
      <c r="E288" s="6" t="s">
        <v>4290</v>
      </c>
      <c r="F288" s="8" t="s">
        <v>3909</v>
      </c>
      <c r="G288" s="9">
        <v>200</v>
      </c>
      <c r="H288" s="10">
        <v>8100</v>
      </c>
      <c r="I288" s="11">
        <f t="shared" si="36"/>
        <v>1620000</v>
      </c>
      <c r="J288" s="12" t="s">
        <v>4379</v>
      </c>
      <c r="K288" s="3">
        <f>SUMIF(收发货!A:A,采购合同!A:A,收发货!D:D)</f>
        <v>179.48</v>
      </c>
      <c r="L288" s="437">
        <f>SUMIF(收开票!A:A,采购合同!A:A,收开票!H:H)</f>
        <v>217.63749999999999</v>
      </c>
      <c r="M288" s="1">
        <f>SUMIF(收开票!A:A,采购合同!A:A,收开票!I:I)</f>
        <v>1762275.88</v>
      </c>
      <c r="N288" s="2">
        <f>SUMIF(收付款!A:A,采购合同!A:A,收付款!E:E)</f>
        <v>1762275.88</v>
      </c>
      <c r="O288" s="2">
        <f>M288-N288</f>
        <v>0</v>
      </c>
      <c r="P288" s="90"/>
      <c r="Q288" s="1">
        <v>0</v>
      </c>
      <c r="R288" s="5"/>
      <c r="S288" s="4"/>
    </row>
    <row r="289" spans="1:19" customFormat="1" ht="24.95" hidden="1" customHeight="1">
      <c r="A289" s="391" t="s">
        <v>4557</v>
      </c>
      <c r="B289" s="392" t="s">
        <v>147</v>
      </c>
      <c r="C289" s="392" t="s">
        <v>194</v>
      </c>
      <c r="D289" s="431">
        <v>43117</v>
      </c>
      <c r="E289" s="392" t="s">
        <v>4558</v>
      </c>
      <c r="F289" s="432" t="s">
        <v>1867</v>
      </c>
      <c r="G289" s="433">
        <v>160</v>
      </c>
      <c r="H289" s="434">
        <v>11800</v>
      </c>
      <c r="I289" s="435">
        <f t="shared" ref="I289:I295" si="37">G289*H289</f>
        <v>1888000</v>
      </c>
      <c r="J289" s="436" t="s">
        <v>4984</v>
      </c>
      <c r="K289" s="437">
        <f>SUMIF(收发货!A:A,采购合同!A:A,收发货!D:D)</f>
        <v>160</v>
      </c>
      <c r="L289" s="437">
        <f>SUMIF(收开票!A:A,采购合同!A:A,收开票!H:H)</f>
        <v>160</v>
      </c>
      <c r="M289" s="438">
        <f>SUMIF(收开票!A:A,采购合同!A:A,收开票!I:I)</f>
        <v>1888000</v>
      </c>
      <c r="N289" s="439">
        <f>SUMIF(收付款!A:A,采购合同!A:A,收付款!E:E)</f>
        <v>1888000</v>
      </c>
      <c r="O289" s="439">
        <f>K289*H289-N289</f>
        <v>0</v>
      </c>
      <c r="P289" s="440"/>
      <c r="Q289" s="438"/>
      <c r="R289" s="441"/>
      <c r="S289" s="442"/>
    </row>
    <row r="290" spans="1:19" ht="24.95" hidden="1" customHeight="1">
      <c r="A290" s="13" t="s">
        <v>4412</v>
      </c>
      <c r="B290" s="6" t="s">
        <v>3968</v>
      </c>
      <c r="C290" s="6" t="s">
        <v>3577</v>
      </c>
      <c r="D290" s="7">
        <v>43115</v>
      </c>
      <c r="E290" s="6" t="s">
        <v>3687</v>
      </c>
      <c r="F290" s="8" t="s">
        <v>4307</v>
      </c>
      <c r="G290" s="9">
        <v>100</v>
      </c>
      <c r="H290" s="10">
        <v>1555</v>
      </c>
      <c r="I290" s="11">
        <f t="shared" si="37"/>
        <v>155500</v>
      </c>
      <c r="J290" s="12" t="s">
        <v>3947</v>
      </c>
      <c r="K290" s="3">
        <f>SUMIF(收发货!A:A,采购合同!A:A,收发货!D:D)</f>
        <v>100</v>
      </c>
      <c r="L290" s="3">
        <f>SUMIF(收开票!A:A,采购合同!A:A,收开票!H:H)</f>
        <v>100</v>
      </c>
      <c r="M290" s="1">
        <f>SUMIF(收开票!A:A,采购合同!A:A,收开票!I:I)</f>
        <v>155500</v>
      </c>
      <c r="N290" s="2">
        <f>SUMIF(收付款!A:A,采购合同!A:A,收付款!E:E)</f>
        <v>155500</v>
      </c>
      <c r="O290" s="2">
        <f t="shared" ref="O290:O291" si="38">M290-N290</f>
        <v>0</v>
      </c>
      <c r="P290" s="90"/>
      <c r="Q290" s="1"/>
      <c r="R290" s="5"/>
      <c r="S290" s="4"/>
    </row>
    <row r="291" spans="1:19" ht="24.95" hidden="1" customHeight="1">
      <c r="A291" s="13" t="s">
        <v>4413</v>
      </c>
      <c r="B291" s="6" t="s">
        <v>3968</v>
      </c>
      <c r="C291" s="6" t="s">
        <v>3577</v>
      </c>
      <c r="D291" s="7">
        <v>43118</v>
      </c>
      <c r="E291" s="6" t="s">
        <v>3687</v>
      </c>
      <c r="F291" s="8" t="s">
        <v>4307</v>
      </c>
      <c r="G291" s="9">
        <v>100</v>
      </c>
      <c r="H291" s="10">
        <v>1480</v>
      </c>
      <c r="I291" s="11">
        <f t="shared" si="37"/>
        <v>148000</v>
      </c>
      <c r="J291" s="12" t="s">
        <v>3947</v>
      </c>
      <c r="K291" s="3">
        <f>SUMIF(收发货!A:A,采购合同!A:A,收发货!D:D)</f>
        <v>100</v>
      </c>
      <c r="L291" s="3">
        <f>SUMIF(收开票!A:A,采购合同!A:A,收开票!H:H)</f>
        <v>100</v>
      </c>
      <c r="M291" s="1">
        <f>SUMIF(收开票!A:A,采购合同!A:A,收开票!I:I)</f>
        <v>148000</v>
      </c>
      <c r="N291" s="2">
        <f>SUMIF(收付款!A:A,采购合同!A:A,收付款!E:E)</f>
        <v>148000</v>
      </c>
      <c r="O291" s="2">
        <f t="shared" si="38"/>
        <v>0</v>
      </c>
      <c r="P291" s="90"/>
      <c r="Q291" s="1"/>
      <c r="R291" s="5"/>
      <c r="S291" s="4"/>
    </row>
    <row r="292" spans="1:19" ht="45" hidden="1">
      <c r="A292" s="13" t="s">
        <v>4632</v>
      </c>
      <c r="B292" s="6" t="s">
        <v>217</v>
      </c>
      <c r="C292" s="6" t="s">
        <v>3954</v>
      </c>
      <c r="D292" s="7">
        <v>43040</v>
      </c>
      <c r="E292" s="6" t="s">
        <v>4444</v>
      </c>
      <c r="F292" s="8" t="s">
        <v>223</v>
      </c>
      <c r="G292" s="9">
        <v>1500</v>
      </c>
      <c r="H292" s="10">
        <f>1969+50</f>
        <v>2019</v>
      </c>
      <c r="I292" s="11">
        <f t="shared" si="37"/>
        <v>3028500</v>
      </c>
      <c r="J292" s="12" t="s">
        <v>3955</v>
      </c>
      <c r="K292" s="3">
        <f>SUMIF(收发货!A:A,采购合同!A:A,收发货!D:D)</f>
        <v>1562.02</v>
      </c>
      <c r="L292" s="3">
        <f>SUMIF(收开票!A:A,采购合同!A:A,收开票!H:H)</f>
        <v>1562.02</v>
      </c>
      <c r="M292" s="1">
        <f>SUMIF(收开票!A:A,采购合同!A:A,收开票!I:I)</f>
        <v>3161688.24</v>
      </c>
      <c r="N292" s="2">
        <f>SUMIF(收付款!A:A,采购合同!A:A,收付款!E:E)</f>
        <v>3161688.24</v>
      </c>
      <c r="O292" s="2">
        <f>M292-N292</f>
        <v>0</v>
      </c>
      <c r="P292" s="90"/>
      <c r="Q292" s="1"/>
      <c r="R292" s="5"/>
      <c r="S292" s="4"/>
    </row>
    <row r="293" spans="1:19" ht="45" hidden="1">
      <c r="A293" s="13" t="s">
        <v>4746</v>
      </c>
      <c r="B293" s="6" t="s">
        <v>217</v>
      </c>
      <c r="C293" s="6" t="s">
        <v>3954</v>
      </c>
      <c r="D293" s="7">
        <v>43132</v>
      </c>
      <c r="E293" s="6" t="s">
        <v>4528</v>
      </c>
      <c r="F293" s="8" t="s">
        <v>223</v>
      </c>
      <c r="G293" s="9">
        <v>3000</v>
      </c>
      <c r="H293" s="10">
        <f>2750*0.955</f>
        <v>2626.25</v>
      </c>
      <c r="I293" s="11">
        <f t="shared" si="37"/>
        <v>7878750</v>
      </c>
      <c r="J293" s="12" t="s">
        <v>3955</v>
      </c>
      <c r="K293" s="3">
        <f>SUMIF(收发货!A:A,采购合同!A:A,收发货!D:D)</f>
        <v>0</v>
      </c>
      <c r="L293" s="3">
        <f>SUMIF(收开票!A:A,采购合同!A:A,收开票!H:H)</f>
        <v>0</v>
      </c>
      <c r="M293" s="1">
        <f>SUMIF(收开票!A:A,采购合同!A:A,收开票!I:I)</f>
        <v>0</v>
      </c>
      <c r="N293" s="2">
        <f>SUMIF(收付款!A:A,采购合同!A:A,收付款!E:E)</f>
        <v>0</v>
      </c>
      <c r="O293" s="2">
        <f>M293-N293</f>
        <v>0</v>
      </c>
      <c r="P293" s="90"/>
      <c r="Q293" s="1"/>
      <c r="R293" s="5"/>
      <c r="S293" s="4"/>
    </row>
    <row r="294" spans="1:19" ht="60" hidden="1">
      <c r="A294" s="13" t="s">
        <v>4642</v>
      </c>
      <c r="B294" s="6" t="s">
        <v>217</v>
      </c>
      <c r="C294" s="6" t="s">
        <v>4219</v>
      </c>
      <c r="D294" s="7">
        <v>43129</v>
      </c>
      <c r="E294" s="6" t="s">
        <v>4220</v>
      </c>
      <c r="F294" s="8" t="s">
        <v>1867</v>
      </c>
      <c r="G294" s="9">
        <v>2000</v>
      </c>
      <c r="H294" s="10">
        <v>2970</v>
      </c>
      <c r="I294" s="11">
        <f t="shared" si="37"/>
        <v>5940000</v>
      </c>
      <c r="J294" s="12" t="s">
        <v>4221</v>
      </c>
      <c r="K294" s="3">
        <f>SUMIF(收发货!A:A,采购合同!A:A,收发货!D:D)</f>
        <v>1678.92</v>
      </c>
      <c r="L294" s="3">
        <f>SUMIF(收开票!A:A,采购合同!A:A,收开票!H:H)</f>
        <v>1545.6804</v>
      </c>
      <c r="M294" s="1">
        <f>SUMIF(收开票!A:A,采购合同!A:A,收开票!I:I)</f>
        <v>4576864.82</v>
      </c>
      <c r="N294" s="2">
        <f>SUMIF(收付款!A:A,采购合同!A:A,收付款!E:E)</f>
        <v>4576864.82</v>
      </c>
      <c r="O294" s="2">
        <f>M294-N294</f>
        <v>0</v>
      </c>
      <c r="P294" s="90"/>
      <c r="Q294" s="1"/>
      <c r="R294" s="5"/>
      <c r="S294" s="4"/>
    </row>
    <row r="295" spans="1:19" ht="45" hidden="1">
      <c r="A295" s="13" t="s">
        <v>4572</v>
      </c>
      <c r="B295" s="6" t="s">
        <v>217</v>
      </c>
      <c r="C295" s="6" t="s">
        <v>3954</v>
      </c>
      <c r="D295" s="7">
        <v>43070</v>
      </c>
      <c r="E295" s="6" t="s">
        <v>4587</v>
      </c>
      <c r="F295" s="8" t="s">
        <v>223</v>
      </c>
      <c r="G295" s="9">
        <v>1500</v>
      </c>
      <c r="H295" s="10">
        <f>2127.37+47.49</f>
        <v>2174.8599999999997</v>
      </c>
      <c r="I295" s="11">
        <f t="shared" si="37"/>
        <v>3262289.9999999995</v>
      </c>
      <c r="J295" s="12" t="s">
        <v>3955</v>
      </c>
      <c r="K295" s="3">
        <f>SUMIF(收发货!A:A,采购合同!A:A,收发货!D:D)</f>
        <v>1517.3000000000002</v>
      </c>
      <c r="L295" s="3">
        <f>SUMIF(收开票!A:A,采购合同!A:A,收开票!H:H)</f>
        <v>1490.12</v>
      </c>
      <c r="M295" s="1">
        <f>SUMIF(收开票!A:A,采购合同!A:A,收开票!I:I)</f>
        <v>3320000</v>
      </c>
      <c r="N295" s="2">
        <f>SUMIF(收付款!A:A,采购合同!A:A,收付款!E:E)</f>
        <v>3320000</v>
      </c>
      <c r="O295" s="2">
        <f>M295-N295</f>
        <v>0</v>
      </c>
      <c r="P295" s="90"/>
      <c r="Q295" s="1"/>
      <c r="R295" s="5"/>
      <c r="S295" s="4"/>
    </row>
    <row r="296" spans="1:19" ht="41.25" hidden="1" customHeight="1">
      <c r="A296" s="13" t="s">
        <v>4706</v>
      </c>
      <c r="B296" s="6" t="s">
        <v>147</v>
      </c>
      <c r="C296" s="6" t="s">
        <v>194</v>
      </c>
      <c r="D296" s="7">
        <v>43130</v>
      </c>
      <c r="E296" s="6" t="s">
        <v>4554</v>
      </c>
      <c r="F296" s="8" t="s">
        <v>1867</v>
      </c>
      <c r="G296" s="9">
        <v>64</v>
      </c>
      <c r="H296" s="10">
        <v>13094.12</v>
      </c>
      <c r="I296" s="11">
        <f>G296*H296</f>
        <v>838023.68000000005</v>
      </c>
      <c r="J296" s="12" t="s">
        <v>4456</v>
      </c>
      <c r="K296" s="3">
        <f>SUMIF(收发货!A:A,采购合同!A:A,收发货!D:D)</f>
        <v>64</v>
      </c>
      <c r="L296" s="3">
        <f>SUMIF(收开票!A:A,采购合同!A:A,收开票!H:H)</f>
        <v>64</v>
      </c>
      <c r="M296" s="1">
        <f>SUMIF(收开票!A:A,采购合同!A:A,收开票!I:I)</f>
        <v>838023.68000000005</v>
      </c>
      <c r="N296" s="2">
        <f>SUMIF(收付款!A:A,采购合同!A:A,收付款!E:E)</f>
        <v>838023.68000000005</v>
      </c>
      <c r="O296" s="2">
        <f t="shared" ref="O296" si="39">K296*H296-N296</f>
        <v>0</v>
      </c>
      <c r="P296" s="90"/>
      <c r="Q296" s="1"/>
      <c r="R296" s="5"/>
      <c r="S296" s="4"/>
    </row>
    <row r="297" spans="1:19" ht="24.95" hidden="1" customHeight="1">
      <c r="A297" s="13" t="s">
        <v>4485</v>
      </c>
      <c r="B297" s="6" t="s">
        <v>3968</v>
      </c>
      <c r="C297" s="6" t="s">
        <v>3577</v>
      </c>
      <c r="D297" s="7">
        <v>43131</v>
      </c>
      <c r="E297" s="6" t="s">
        <v>3687</v>
      </c>
      <c r="F297" s="8" t="s">
        <v>4307</v>
      </c>
      <c r="G297" s="9">
        <v>200</v>
      </c>
      <c r="H297" s="10">
        <v>1505</v>
      </c>
      <c r="I297" s="11">
        <f t="shared" ref="I297:I308" si="40">G297*H297</f>
        <v>301000</v>
      </c>
      <c r="J297" s="12" t="s">
        <v>3947</v>
      </c>
      <c r="K297" s="3">
        <f>SUMIF(收发货!A:A,采购合同!A:A,收发货!D:D)</f>
        <v>200</v>
      </c>
      <c r="L297" s="3">
        <f>SUMIF(收开票!A:A,采购合同!A:A,收开票!H:H)</f>
        <v>200</v>
      </c>
      <c r="M297" s="1">
        <f>SUMIF(收开票!A:A,采购合同!A:A,收开票!I:I)</f>
        <v>301000</v>
      </c>
      <c r="N297" s="2">
        <f>SUMIF(收付款!A:A,采购合同!A:A,收付款!E:E)</f>
        <v>301000</v>
      </c>
      <c r="O297" s="2">
        <f t="shared" ref="O297:O308" si="41">M297-N297</f>
        <v>0</v>
      </c>
      <c r="P297" s="90"/>
      <c r="Q297" s="1"/>
      <c r="R297" s="5"/>
      <c r="S297" s="4"/>
    </row>
    <row r="298" spans="1:19" ht="24.95" hidden="1" customHeight="1">
      <c r="A298" s="13" t="s">
        <v>4486</v>
      </c>
      <c r="B298" s="6" t="s">
        <v>3968</v>
      </c>
      <c r="C298" s="6" t="s">
        <v>3577</v>
      </c>
      <c r="D298" s="7">
        <v>43137</v>
      </c>
      <c r="E298" s="6" t="s">
        <v>3687</v>
      </c>
      <c r="F298" s="8" t="s">
        <v>4307</v>
      </c>
      <c r="G298" s="9">
        <v>100</v>
      </c>
      <c r="H298" s="10">
        <v>1490</v>
      </c>
      <c r="I298" s="11">
        <f t="shared" si="40"/>
        <v>149000</v>
      </c>
      <c r="J298" s="12" t="s">
        <v>3947</v>
      </c>
      <c r="K298" s="3">
        <f>SUMIF(收发货!A:A,采购合同!A:A,收发货!D:D)</f>
        <v>100</v>
      </c>
      <c r="L298" s="3">
        <f>SUMIF(收开票!A:A,采购合同!A:A,收开票!H:H)</f>
        <v>100</v>
      </c>
      <c r="M298" s="1">
        <f>SUMIF(收开票!A:A,采购合同!A:A,收开票!I:I)</f>
        <v>149000</v>
      </c>
      <c r="N298" s="2">
        <f>SUMIF(收付款!A:A,采购合同!A:A,收付款!E:E)</f>
        <v>149000</v>
      </c>
      <c r="O298" s="2">
        <f t="shared" si="41"/>
        <v>0</v>
      </c>
      <c r="P298" s="90"/>
      <c r="Q298" s="1"/>
      <c r="R298" s="5"/>
      <c r="S298" s="4"/>
    </row>
    <row r="299" spans="1:19" ht="24.95" hidden="1" customHeight="1">
      <c r="A299" s="13" t="s">
        <v>4487</v>
      </c>
      <c r="B299" s="6" t="s">
        <v>3968</v>
      </c>
      <c r="C299" s="6" t="s">
        <v>3577</v>
      </c>
      <c r="D299" s="7">
        <v>43137</v>
      </c>
      <c r="E299" s="6" t="s">
        <v>3687</v>
      </c>
      <c r="F299" s="8" t="s">
        <v>4307</v>
      </c>
      <c r="G299" s="9">
        <v>75</v>
      </c>
      <c r="H299" s="10">
        <v>1515</v>
      </c>
      <c r="I299" s="11">
        <f t="shared" si="40"/>
        <v>113625</v>
      </c>
      <c r="J299" s="12" t="s">
        <v>3947</v>
      </c>
      <c r="K299" s="3">
        <f>SUMIF(收发货!A:A,采购合同!A:A,收发货!D:D)</f>
        <v>75</v>
      </c>
      <c r="L299" s="3">
        <f>SUMIF(收开票!A:A,采购合同!A:A,收开票!H:H)</f>
        <v>75</v>
      </c>
      <c r="M299" s="1">
        <f>SUMIF(收开票!A:A,采购合同!A:A,收开票!I:I)</f>
        <v>113625</v>
      </c>
      <c r="N299" s="2">
        <f>SUMIF(收付款!A:A,采购合同!A:A,收付款!E:E)</f>
        <v>113625</v>
      </c>
      <c r="O299" s="2">
        <f t="shared" si="41"/>
        <v>0</v>
      </c>
      <c r="P299" s="90"/>
      <c r="Q299" s="1"/>
      <c r="R299" s="5"/>
      <c r="S299" s="4"/>
    </row>
    <row r="300" spans="1:19" ht="24.95" hidden="1" customHeight="1">
      <c r="A300" s="13" t="s">
        <v>4488</v>
      </c>
      <c r="B300" s="6" t="s">
        <v>3968</v>
      </c>
      <c r="C300" s="6" t="s">
        <v>3577</v>
      </c>
      <c r="D300" s="7">
        <v>43143</v>
      </c>
      <c r="E300" s="6" t="s">
        <v>3687</v>
      </c>
      <c r="F300" s="8" t="s">
        <v>4307</v>
      </c>
      <c r="G300" s="9">
        <v>200</v>
      </c>
      <c r="H300" s="10">
        <v>1440</v>
      </c>
      <c r="I300" s="11">
        <f t="shared" si="40"/>
        <v>288000</v>
      </c>
      <c r="J300" s="12" t="s">
        <v>3947</v>
      </c>
      <c r="K300" s="3">
        <f>SUMIF(收发货!A:A,采购合同!A:A,收发货!D:D)</f>
        <v>200</v>
      </c>
      <c r="L300" s="3">
        <f>SUMIF(收开票!A:A,采购合同!A:A,收开票!H:H)</f>
        <v>200</v>
      </c>
      <c r="M300" s="1">
        <f>SUMIF(收开票!A:A,采购合同!A:A,收开票!I:I)</f>
        <v>288000</v>
      </c>
      <c r="N300" s="2">
        <f>SUMIF(收付款!A:A,采购合同!A:A,收付款!E:E)</f>
        <v>287675.28000000003</v>
      </c>
      <c r="O300" s="2">
        <f>M300-N300</f>
        <v>324.71999999997206</v>
      </c>
      <c r="P300" s="90"/>
      <c r="Q300" s="1"/>
      <c r="R300" s="5"/>
      <c r="S300" s="4"/>
    </row>
    <row r="301" spans="1:19" ht="24.95" hidden="1" customHeight="1">
      <c r="A301" s="13" t="s">
        <v>4478</v>
      </c>
      <c r="B301" s="6" t="s">
        <v>3968</v>
      </c>
      <c r="C301" s="6" t="s">
        <v>3577</v>
      </c>
      <c r="D301" s="7">
        <v>43143</v>
      </c>
      <c r="E301" s="6" t="s">
        <v>3687</v>
      </c>
      <c r="F301" s="8" t="s">
        <v>4307</v>
      </c>
      <c r="G301" s="9">
        <v>100</v>
      </c>
      <c r="H301" s="10">
        <v>1440</v>
      </c>
      <c r="I301" s="11">
        <f t="shared" si="40"/>
        <v>144000</v>
      </c>
      <c r="J301" s="12" t="s">
        <v>3947</v>
      </c>
      <c r="K301" s="3">
        <f>SUMIF(收发货!A:A,采购合同!A:A,收发货!D:D)</f>
        <v>100</v>
      </c>
      <c r="L301" s="3">
        <f>SUMIF(收开票!A:A,采购合同!A:A,收开票!H:H)</f>
        <v>100</v>
      </c>
      <c r="M301" s="1">
        <f>SUMIF(收开票!A:A,采购合同!A:A,收开票!I:I)</f>
        <v>144000</v>
      </c>
      <c r="N301" s="2">
        <f>SUMIF(收付款!A:A,采购合同!A:A,收付款!E:E)</f>
        <v>144000</v>
      </c>
      <c r="O301" s="2">
        <f t="shared" si="41"/>
        <v>0</v>
      </c>
      <c r="P301" s="90"/>
      <c r="Q301" s="1"/>
      <c r="R301" s="5"/>
      <c r="S301" s="4"/>
    </row>
    <row r="302" spans="1:19" ht="24.95" hidden="1" customHeight="1">
      <c r="A302" s="13" t="s">
        <v>4479</v>
      </c>
      <c r="B302" s="6" t="s">
        <v>3968</v>
      </c>
      <c r="C302" s="6" t="s">
        <v>3577</v>
      </c>
      <c r="D302" s="7">
        <v>43143</v>
      </c>
      <c r="E302" s="6" t="s">
        <v>3687</v>
      </c>
      <c r="F302" s="8" t="s">
        <v>4307</v>
      </c>
      <c r="G302" s="9">
        <v>100</v>
      </c>
      <c r="H302" s="10">
        <v>1430</v>
      </c>
      <c r="I302" s="11">
        <f t="shared" si="40"/>
        <v>143000</v>
      </c>
      <c r="J302" s="12" t="s">
        <v>3947</v>
      </c>
      <c r="K302" s="3">
        <f>SUMIF(收发货!A:A,采购合同!A:A,收发货!D:D)</f>
        <v>100</v>
      </c>
      <c r="L302" s="3">
        <f>SUMIF(收开票!A:A,采购合同!A:A,收开票!H:H)</f>
        <v>100</v>
      </c>
      <c r="M302" s="1">
        <f>SUMIF(收开票!A:A,采购合同!A:A,收开票!I:I)</f>
        <v>143000</v>
      </c>
      <c r="N302" s="2">
        <f>SUMIF(收付款!A:A,采购合同!A:A,收付款!E:E)</f>
        <v>143000</v>
      </c>
      <c r="O302" s="2">
        <f t="shared" si="41"/>
        <v>0</v>
      </c>
      <c r="P302" s="90"/>
      <c r="Q302" s="1"/>
      <c r="R302" s="5"/>
      <c r="S302" s="4"/>
    </row>
    <row r="303" spans="1:19" ht="24.95" hidden="1" customHeight="1">
      <c r="A303" s="13" t="s">
        <v>4480</v>
      </c>
      <c r="B303" s="6" t="s">
        <v>3968</v>
      </c>
      <c r="C303" s="6" t="s">
        <v>3577</v>
      </c>
      <c r="D303" s="7">
        <v>43143</v>
      </c>
      <c r="E303" s="6" t="s">
        <v>3687</v>
      </c>
      <c r="F303" s="8" t="s">
        <v>4307</v>
      </c>
      <c r="G303" s="9">
        <v>300</v>
      </c>
      <c r="H303" s="10">
        <v>1430</v>
      </c>
      <c r="I303" s="11">
        <f t="shared" si="40"/>
        <v>429000</v>
      </c>
      <c r="J303" s="12" t="s">
        <v>3947</v>
      </c>
      <c r="K303" s="3">
        <f>SUMIF(收发货!A:A,采购合同!A:A,收发货!D:D)</f>
        <v>300</v>
      </c>
      <c r="L303" s="3">
        <f>SUMIF(收开票!A:A,采购合同!A:A,收开票!H:H)</f>
        <v>300</v>
      </c>
      <c r="M303" s="1">
        <f>SUMIF(收开票!A:A,采购合同!A:A,收开票!I:I)</f>
        <v>429000</v>
      </c>
      <c r="N303" s="2">
        <f>SUMIF(收付款!A:A,采购合同!A:A,收付款!E:E)</f>
        <v>429000</v>
      </c>
      <c r="O303" s="2">
        <f t="shared" si="41"/>
        <v>0</v>
      </c>
      <c r="P303" s="90"/>
      <c r="Q303" s="1"/>
      <c r="R303" s="5"/>
      <c r="S303" s="4"/>
    </row>
    <row r="304" spans="1:19" ht="24.95" hidden="1" customHeight="1">
      <c r="A304" s="13" t="s">
        <v>4481</v>
      </c>
      <c r="B304" s="6" t="s">
        <v>3968</v>
      </c>
      <c r="C304" s="6" t="s">
        <v>3577</v>
      </c>
      <c r="D304" s="7">
        <v>43143</v>
      </c>
      <c r="E304" s="6" t="s">
        <v>3687</v>
      </c>
      <c r="F304" s="8" t="s">
        <v>4307</v>
      </c>
      <c r="G304" s="9">
        <v>300</v>
      </c>
      <c r="H304" s="10">
        <v>1430</v>
      </c>
      <c r="I304" s="11">
        <f t="shared" si="40"/>
        <v>429000</v>
      </c>
      <c r="J304" s="12" t="s">
        <v>3947</v>
      </c>
      <c r="K304" s="3">
        <f>SUMIF(收发货!A:A,采购合同!A:A,收发货!D:D)</f>
        <v>300</v>
      </c>
      <c r="L304" s="3">
        <f>SUMIF(收开票!A:A,采购合同!A:A,收开票!H:H)</f>
        <v>300</v>
      </c>
      <c r="M304" s="1">
        <f>SUMIF(收开票!A:A,采购合同!A:A,收开票!I:I)</f>
        <v>429000</v>
      </c>
      <c r="N304" s="2">
        <f>SUMIF(收付款!A:A,采购合同!A:A,收付款!E:E)</f>
        <v>429000</v>
      </c>
      <c r="O304" s="2">
        <f t="shared" si="41"/>
        <v>0</v>
      </c>
      <c r="P304" s="90"/>
      <c r="Q304" s="1"/>
      <c r="R304" s="5"/>
      <c r="S304" s="4"/>
    </row>
    <row r="305" spans="1:19" ht="24.95" hidden="1" customHeight="1">
      <c r="A305" s="13" t="s">
        <v>4482</v>
      </c>
      <c r="B305" s="6" t="s">
        <v>3968</v>
      </c>
      <c r="C305" s="6" t="s">
        <v>3577</v>
      </c>
      <c r="D305" s="7">
        <v>43143</v>
      </c>
      <c r="E305" s="6" t="s">
        <v>3687</v>
      </c>
      <c r="F305" s="8" t="s">
        <v>4307</v>
      </c>
      <c r="G305" s="9">
        <v>200</v>
      </c>
      <c r="H305" s="10">
        <v>1440</v>
      </c>
      <c r="I305" s="11">
        <f t="shared" si="40"/>
        <v>288000</v>
      </c>
      <c r="J305" s="12" t="s">
        <v>3947</v>
      </c>
      <c r="K305" s="3">
        <f>SUMIF(收发货!A:A,采购合同!A:A,收发货!D:D)</f>
        <v>200</v>
      </c>
      <c r="L305" s="3">
        <f>SUMIF(收开票!A:A,采购合同!A:A,收开票!H:H)</f>
        <v>200</v>
      </c>
      <c r="M305" s="1">
        <f>SUMIF(收开票!A:A,采购合同!A:A,收开票!I:I)</f>
        <v>288000</v>
      </c>
      <c r="N305" s="2">
        <f>SUMIF(收付款!A:A,采购合同!A:A,收付款!E:E)</f>
        <v>288000</v>
      </c>
      <c r="O305" s="2">
        <f t="shared" si="41"/>
        <v>0</v>
      </c>
      <c r="P305" s="90"/>
      <c r="Q305" s="1"/>
      <c r="R305" s="5"/>
      <c r="S305" s="4"/>
    </row>
    <row r="306" spans="1:19" ht="24.95" hidden="1" customHeight="1">
      <c r="A306" s="13" t="s">
        <v>4483</v>
      </c>
      <c r="B306" s="6" t="s">
        <v>3968</v>
      </c>
      <c r="C306" s="6" t="s">
        <v>3577</v>
      </c>
      <c r="D306" s="7">
        <v>43143</v>
      </c>
      <c r="E306" s="6" t="s">
        <v>3687</v>
      </c>
      <c r="F306" s="8" t="s">
        <v>4307</v>
      </c>
      <c r="G306" s="9">
        <v>200</v>
      </c>
      <c r="H306" s="10">
        <v>1440</v>
      </c>
      <c r="I306" s="11">
        <f t="shared" si="40"/>
        <v>288000</v>
      </c>
      <c r="J306" s="12" t="s">
        <v>3947</v>
      </c>
      <c r="K306" s="3">
        <f>SUMIF(收发货!A:A,采购合同!A:A,收发货!D:D)</f>
        <v>200</v>
      </c>
      <c r="L306" s="3">
        <f>SUMIF(收开票!A:A,采购合同!A:A,收开票!H:H)</f>
        <v>200</v>
      </c>
      <c r="M306" s="1">
        <f>SUMIF(收开票!A:A,采购合同!A:A,收开票!I:I)</f>
        <v>288000</v>
      </c>
      <c r="N306" s="2">
        <f>SUMIF(收付款!A:A,采购合同!A:A,收付款!E:E)</f>
        <v>288000</v>
      </c>
      <c r="O306" s="2">
        <f t="shared" si="41"/>
        <v>0</v>
      </c>
      <c r="P306" s="90"/>
      <c r="Q306" s="1"/>
      <c r="R306" s="5"/>
      <c r="S306" s="4"/>
    </row>
    <row r="307" spans="1:19" ht="24.95" hidden="1" customHeight="1">
      <c r="A307" s="13" t="s">
        <v>4484</v>
      </c>
      <c r="B307" s="6" t="s">
        <v>3968</v>
      </c>
      <c r="C307" s="6" t="s">
        <v>3577</v>
      </c>
      <c r="D307" s="7">
        <v>43143</v>
      </c>
      <c r="E307" s="6" t="s">
        <v>3687</v>
      </c>
      <c r="F307" s="8" t="s">
        <v>4307</v>
      </c>
      <c r="G307" s="9">
        <v>80</v>
      </c>
      <c r="H307" s="10">
        <v>1440</v>
      </c>
      <c r="I307" s="11">
        <f t="shared" si="40"/>
        <v>115200</v>
      </c>
      <c r="J307" s="12" t="s">
        <v>3947</v>
      </c>
      <c r="K307" s="3">
        <f>SUMIF(收发货!A:A,采购合同!A:A,收发货!D:D)</f>
        <v>80</v>
      </c>
      <c r="L307" s="3">
        <f>SUMIF(收开票!A:A,采购合同!A:A,收开票!H:H)</f>
        <v>80</v>
      </c>
      <c r="M307" s="1">
        <f>SUMIF(收开票!A:A,采购合同!A:A,收开票!I:I)</f>
        <v>115200</v>
      </c>
      <c r="N307" s="2">
        <f>SUMIF(收付款!A:A,采购合同!A:A,收付款!E:E)</f>
        <v>115200</v>
      </c>
      <c r="O307" s="2">
        <f t="shared" si="41"/>
        <v>0</v>
      </c>
      <c r="P307" s="90"/>
      <c r="Q307" s="1"/>
      <c r="R307" s="5"/>
      <c r="S307" s="4"/>
    </row>
    <row r="308" spans="1:19" ht="24.95" hidden="1" customHeight="1">
      <c r="A308" s="13" t="s">
        <v>4489</v>
      </c>
      <c r="B308" s="6" t="s">
        <v>3968</v>
      </c>
      <c r="C308" s="6" t="s">
        <v>3577</v>
      </c>
      <c r="D308" s="7">
        <v>43140</v>
      </c>
      <c r="E308" s="6" t="s">
        <v>3687</v>
      </c>
      <c r="F308" s="8" t="s">
        <v>4307</v>
      </c>
      <c r="G308" s="9">
        <v>120</v>
      </c>
      <c r="H308" s="10">
        <v>1475</v>
      </c>
      <c r="I308" s="11">
        <f t="shared" si="40"/>
        <v>177000</v>
      </c>
      <c r="J308" s="12" t="s">
        <v>3947</v>
      </c>
      <c r="K308" s="3">
        <f>SUMIF(收发货!A:A,采购合同!A:A,收发货!D:D)</f>
        <v>120</v>
      </c>
      <c r="L308" s="3">
        <f>SUMIF(收开票!A:A,采购合同!A:A,收开票!H:H)</f>
        <v>120</v>
      </c>
      <c r="M308" s="1">
        <f>SUMIF(收开票!A:A,采购合同!A:A,收开票!I:I)</f>
        <v>177000</v>
      </c>
      <c r="N308" s="2">
        <f>SUMIF(收付款!A:A,采购合同!A:A,收付款!E:E)</f>
        <v>177000</v>
      </c>
      <c r="O308" s="2">
        <f t="shared" si="41"/>
        <v>0</v>
      </c>
      <c r="P308" s="90"/>
      <c r="Q308" s="1"/>
      <c r="R308" s="5"/>
      <c r="S308" s="4"/>
    </row>
    <row r="309" spans="1:19" ht="41.25" hidden="1" customHeight="1">
      <c r="A309" s="13" t="s">
        <v>4796</v>
      </c>
      <c r="B309" s="6" t="s">
        <v>147</v>
      </c>
      <c r="C309" s="6" t="s">
        <v>194</v>
      </c>
      <c r="D309" s="7">
        <v>43160</v>
      </c>
      <c r="E309" s="6" t="s">
        <v>4686</v>
      </c>
      <c r="F309" s="8" t="s">
        <v>1867</v>
      </c>
      <c r="G309" s="9">
        <v>160</v>
      </c>
      <c r="H309" s="10">
        <v>13286.36</v>
      </c>
      <c r="I309" s="11">
        <f t="shared" ref="I309:I314" si="42">G309*H309</f>
        <v>2125817.6</v>
      </c>
      <c r="J309" s="12" t="s">
        <v>4531</v>
      </c>
      <c r="K309" s="3">
        <f>SUMIF(收发货!A:A,采购合同!A:A,收发货!D:D)</f>
        <v>160</v>
      </c>
      <c r="L309" s="3">
        <f>SUMIF(收开票!A:A,采购合同!A:A,收开票!H:H)</f>
        <v>160</v>
      </c>
      <c r="M309" s="1">
        <f>SUMIF(收开票!A:A,采购合同!A:A,收开票!I:I)</f>
        <v>2125817.6</v>
      </c>
      <c r="N309" s="2">
        <f>SUMIF(收付款!A:A,采购合同!A:A,收付款!E:E)</f>
        <v>2125817.6</v>
      </c>
      <c r="O309" s="2">
        <f>K309*H309-N309</f>
        <v>0</v>
      </c>
      <c r="P309" s="90"/>
      <c r="Q309" s="1"/>
      <c r="R309" s="5"/>
      <c r="S309" s="4"/>
    </row>
    <row r="310" spans="1:19" s="416" customFormat="1" ht="41.25" hidden="1" customHeight="1">
      <c r="A310" s="406" t="s">
        <v>4962</v>
      </c>
      <c r="B310" s="63" t="s">
        <v>147</v>
      </c>
      <c r="C310" s="63" t="s">
        <v>194</v>
      </c>
      <c r="D310" s="64">
        <v>43160</v>
      </c>
      <c r="E310" s="63" t="s">
        <v>4686</v>
      </c>
      <c r="F310" s="407" t="s">
        <v>1867</v>
      </c>
      <c r="G310" s="65">
        <v>32</v>
      </c>
      <c r="H310" s="337">
        <v>13400</v>
      </c>
      <c r="I310" s="408">
        <f t="shared" si="42"/>
        <v>428800</v>
      </c>
      <c r="J310" s="409" t="s">
        <v>5169</v>
      </c>
      <c r="K310" s="410">
        <f>SUMIF(收发货!A:A,采购合同!A:A,收发货!D:D)</f>
        <v>32</v>
      </c>
      <c r="L310" s="410">
        <f>SUMIF(收开票!A:A,采购合同!A:A,收开票!H:H)</f>
        <v>32</v>
      </c>
      <c r="M310" s="411">
        <f>SUMIF(收开票!A:A,采购合同!A:A,收开票!I:I)</f>
        <v>428800</v>
      </c>
      <c r="N310" s="412">
        <f>SUMIF(收付款!A:A,采购合同!A:A,收付款!E:E)</f>
        <v>428800</v>
      </c>
      <c r="O310" s="412">
        <f>K310*H310-N310</f>
        <v>0</v>
      </c>
      <c r="P310" s="413"/>
      <c r="Q310" s="411"/>
      <c r="R310" s="414"/>
      <c r="S310" s="415"/>
    </row>
    <row r="311" spans="1:19" ht="60" hidden="1">
      <c r="A311" s="13" t="s">
        <v>4861</v>
      </c>
      <c r="B311" s="6" t="s">
        <v>217</v>
      </c>
      <c r="C311" s="6" t="s">
        <v>4219</v>
      </c>
      <c r="D311" s="7">
        <v>43160</v>
      </c>
      <c r="E311" s="6" t="s">
        <v>4220</v>
      </c>
      <c r="F311" s="8" t="s">
        <v>1867</v>
      </c>
      <c r="G311" s="9">
        <v>2000</v>
      </c>
      <c r="H311" s="10">
        <v>3070</v>
      </c>
      <c r="I311" s="11">
        <f t="shared" si="42"/>
        <v>6140000</v>
      </c>
      <c r="J311" s="12" t="s">
        <v>4221</v>
      </c>
      <c r="K311" s="3">
        <f>SUMIF(收发货!A:A,采购合同!A:A,收发货!D:D)</f>
        <v>2427.38</v>
      </c>
      <c r="L311" s="3">
        <f>SUMIF(收开票!A:A,采购合同!A:A,收开票!H:H)</f>
        <v>2521.7896000000001</v>
      </c>
      <c r="M311" s="1">
        <f>SUMIF(收开票!A:A,采购合同!A:A,收开票!I:I)</f>
        <v>7647791.8200000003</v>
      </c>
      <c r="N311" s="2">
        <f>SUMIF(收付款!A:A,采购合同!A:A,收付款!E:E)</f>
        <v>7647791.8200000003</v>
      </c>
      <c r="O311" s="2">
        <f>M311-N311</f>
        <v>0</v>
      </c>
      <c r="P311" s="90"/>
      <c r="Q311" s="1"/>
      <c r="R311" s="5"/>
      <c r="S311" s="4"/>
    </row>
    <row r="312" spans="1:19" ht="50.1" hidden="1" customHeight="1">
      <c r="A312" s="13" t="s">
        <v>4846</v>
      </c>
      <c r="B312" s="6" t="s">
        <v>485</v>
      </c>
      <c r="C312" s="6" t="s">
        <v>1</v>
      </c>
      <c r="D312" s="7">
        <v>43164</v>
      </c>
      <c r="E312" s="6" t="s">
        <v>4692</v>
      </c>
      <c r="F312" s="8" t="s">
        <v>1867</v>
      </c>
      <c r="G312" s="9">
        <v>800</v>
      </c>
      <c r="H312" s="10">
        <v>8450</v>
      </c>
      <c r="I312" s="11">
        <f t="shared" si="42"/>
        <v>6760000</v>
      </c>
      <c r="J312" s="12" t="s">
        <v>4579</v>
      </c>
      <c r="K312" s="3">
        <f>SUMIF(收发货!A:A,采购合同!A:A,收发货!D:D)</f>
        <v>790.24299999999994</v>
      </c>
      <c r="L312" s="437">
        <f>SUMIF(收开票!A:A,采购合同!A:A,收开票!H:H)</f>
        <v>793.98360000000002</v>
      </c>
      <c r="M312" s="1">
        <f>SUMIF(收开票!A:A,采购合同!A:A,收开票!I:I)</f>
        <v>6631363.96</v>
      </c>
      <c r="N312" s="2">
        <f>SUMIF(收付款!A:A,采购合同!A:A,收付款!E:E)</f>
        <v>6631363.96</v>
      </c>
      <c r="O312" s="2">
        <f>M312-N312</f>
        <v>0</v>
      </c>
      <c r="P312" s="90"/>
      <c r="Q312" s="1">
        <v>0</v>
      </c>
      <c r="R312" s="5"/>
      <c r="S312" s="4"/>
    </row>
    <row r="313" spans="1:19" ht="50.1" hidden="1" customHeight="1">
      <c r="A313" s="13" t="s">
        <v>4809</v>
      </c>
      <c r="B313" s="6" t="s">
        <v>485</v>
      </c>
      <c r="C313" s="6" t="s">
        <v>1</v>
      </c>
      <c r="D313" s="7">
        <v>43164</v>
      </c>
      <c r="E313" s="6" t="s">
        <v>1392</v>
      </c>
      <c r="F313" s="8" t="s">
        <v>1867</v>
      </c>
      <c r="G313" s="9">
        <v>200</v>
      </c>
      <c r="H313" s="10">
        <v>8200</v>
      </c>
      <c r="I313" s="11">
        <f t="shared" si="42"/>
        <v>1640000</v>
      </c>
      <c r="J313" s="12" t="s">
        <v>4849</v>
      </c>
      <c r="K313" s="3">
        <f>SUMIF(收发货!A:A,采购合同!A:A,收发货!D:D)</f>
        <v>210.26749999999998</v>
      </c>
      <c r="L313" s="437">
        <f>SUMIF(收开票!A:A,采购合同!A:A,收开票!H:H)</f>
        <v>214.53469999999999</v>
      </c>
      <c r="M313" s="1">
        <f>SUMIF(收开票!A:A,采购合同!A:A,收开票!I:I)</f>
        <v>1791422.39</v>
      </c>
      <c r="N313" s="2">
        <f>SUMIF(收付款!A:A,采购合同!A:A,收付款!E:E)</f>
        <v>1791422.3900000001</v>
      </c>
      <c r="O313" s="2">
        <f>M313-N313</f>
        <v>0</v>
      </c>
      <c r="P313" s="90"/>
      <c r="Q313" s="1">
        <v>0</v>
      </c>
      <c r="R313" s="5"/>
      <c r="S313" s="4"/>
    </row>
    <row r="314" spans="1:19" ht="45" hidden="1">
      <c r="A314" s="13" t="s">
        <v>4589</v>
      </c>
      <c r="B314" s="6" t="s">
        <v>217</v>
      </c>
      <c r="C314" s="6" t="s">
        <v>3954</v>
      </c>
      <c r="D314" s="7">
        <v>43160</v>
      </c>
      <c r="E314" s="6" t="s">
        <v>4271</v>
      </c>
      <c r="F314" s="8" t="s">
        <v>223</v>
      </c>
      <c r="G314" s="9">
        <v>3000</v>
      </c>
      <c r="H314" s="10">
        <f>2800*0.95</f>
        <v>2660</v>
      </c>
      <c r="I314" s="11">
        <f t="shared" si="42"/>
        <v>7980000</v>
      </c>
      <c r="J314" s="12" t="s">
        <v>3955</v>
      </c>
      <c r="K314" s="3">
        <f>SUMIF(收发货!A:A,采购合同!A:A,收发货!D:D)</f>
        <v>1189.21</v>
      </c>
      <c r="L314" s="3">
        <f>SUMIF(收开票!A:A,采购合同!A:A,收开票!H:H)</f>
        <v>1200</v>
      </c>
      <c r="M314" s="1">
        <f>SUMIF(收开票!A:A,采购合同!A:A,收开票!I:I)</f>
        <v>3000000</v>
      </c>
      <c r="N314" s="2">
        <f>SUMIF(收付款!A:A,采购合同!A:A,收付款!E:E)</f>
        <v>2999999.9999999995</v>
      </c>
      <c r="O314" s="2">
        <f>M314-N314</f>
        <v>0</v>
      </c>
      <c r="P314" s="90"/>
      <c r="Q314" s="1"/>
      <c r="R314" s="5"/>
      <c r="S314" s="4"/>
    </row>
    <row r="315" spans="1:19" ht="45" hidden="1">
      <c r="A315" s="13" t="s">
        <v>4634</v>
      </c>
      <c r="B315" s="6" t="s">
        <v>217</v>
      </c>
      <c r="C315" s="6" t="s">
        <v>3954</v>
      </c>
      <c r="D315" s="7">
        <v>43070</v>
      </c>
      <c r="E315" s="6" t="s">
        <v>4444</v>
      </c>
      <c r="F315" s="8" t="s">
        <v>223</v>
      </c>
      <c r="G315" s="9">
        <v>978.55</v>
      </c>
      <c r="H315" s="10">
        <f>I315/G315</f>
        <v>2503.70999948904</v>
      </c>
      <c r="I315" s="11">
        <v>2450005.42</v>
      </c>
      <c r="J315" s="12" t="s">
        <v>3955</v>
      </c>
      <c r="K315" s="3">
        <f>SUMIF(收发货!A:A,采购合同!A:A,收发货!D:D)</f>
        <v>993.73</v>
      </c>
      <c r="L315" s="3">
        <f>SUMIF(收开票!A:A,采购合同!A:A,收开票!H:H)</f>
        <v>978.55</v>
      </c>
      <c r="M315" s="1">
        <f>SUMIF(收开票!A:A,采购合同!A:A,收开票!I:I)</f>
        <v>2450005.42</v>
      </c>
      <c r="N315" s="2">
        <f>SUMIF(收付款!A:A,采购合同!A:A,收付款!E:E)</f>
        <v>2450000</v>
      </c>
      <c r="O315" s="2">
        <f>M315-N315</f>
        <v>5.4199999999254942</v>
      </c>
      <c r="P315" s="90"/>
      <c r="Q315" s="1"/>
      <c r="R315" s="5"/>
      <c r="S315" s="4"/>
    </row>
    <row r="316" spans="1:19" ht="41.25" hidden="1" customHeight="1">
      <c r="A316" s="13" t="s">
        <v>4710</v>
      </c>
      <c r="B316" s="6" t="s">
        <v>147</v>
      </c>
      <c r="C316" s="6" t="s">
        <v>194</v>
      </c>
      <c r="D316" s="7">
        <v>43160</v>
      </c>
      <c r="E316" s="6" t="s">
        <v>4712</v>
      </c>
      <c r="F316" s="8" t="s">
        <v>1867</v>
      </c>
      <c r="G316" s="9">
        <v>64</v>
      </c>
      <c r="H316" s="10">
        <v>13250</v>
      </c>
      <c r="I316" s="11">
        <f t="shared" ref="I316:I326" si="43">G316*H316</f>
        <v>848000</v>
      </c>
      <c r="J316" s="12" t="s">
        <v>4644</v>
      </c>
      <c r="K316" s="3">
        <f>SUMIF(收发货!A:A,采购合同!A:A,收发货!D:D)</f>
        <v>64</v>
      </c>
      <c r="L316" s="3">
        <f>SUMIF(收开票!A:A,采购合同!A:A,收开票!H:H)</f>
        <v>64</v>
      </c>
      <c r="M316" s="1">
        <f>SUMIF(收开票!A:A,采购合同!A:A,收开票!I:I)</f>
        <v>848000</v>
      </c>
      <c r="N316" s="2">
        <f>SUMIF(收付款!A:A,采购合同!A:A,收付款!E:E)</f>
        <v>848000</v>
      </c>
      <c r="O316" s="2">
        <f>K316*H316-N316</f>
        <v>0</v>
      </c>
      <c r="P316" s="90"/>
      <c r="Q316" s="1"/>
      <c r="R316" s="5"/>
      <c r="S316" s="4"/>
    </row>
    <row r="317" spans="1:19" ht="45" hidden="1">
      <c r="A317" s="13" t="s">
        <v>4690</v>
      </c>
      <c r="B317" s="6" t="s">
        <v>217</v>
      </c>
      <c r="C317" s="6" t="s">
        <v>3954</v>
      </c>
      <c r="D317" s="7">
        <v>43132</v>
      </c>
      <c r="E317" s="6" t="s">
        <v>4736</v>
      </c>
      <c r="F317" s="8" t="s">
        <v>223</v>
      </c>
      <c r="G317" s="9">
        <v>3275.23</v>
      </c>
      <c r="H317" s="10">
        <v>2503</v>
      </c>
      <c r="I317" s="11">
        <f t="shared" si="43"/>
        <v>8197900.6900000004</v>
      </c>
      <c r="J317" s="12" t="s">
        <v>3955</v>
      </c>
      <c r="K317" s="3">
        <f>SUMIF(收发货!A:A,采购合同!A:A,收发货!D:D)</f>
        <v>3258.38</v>
      </c>
      <c r="L317" s="3">
        <f>SUMIF(收开票!A:A,采购合同!A:A,收开票!H:H)</f>
        <v>3274.85</v>
      </c>
      <c r="M317" s="1">
        <f>SUMIF(收开票!A:A,采购合同!A:A,收开票!I:I)</f>
        <v>8187125</v>
      </c>
      <c r="N317" s="2">
        <f>SUMIF(收付款!A:A,采购合同!A:A,收付款!E:E)</f>
        <v>8187125</v>
      </c>
      <c r="O317" s="2">
        <f>M317-N317</f>
        <v>0</v>
      </c>
      <c r="P317" s="90"/>
      <c r="Q317" s="1"/>
      <c r="R317" s="5"/>
      <c r="S317" s="4"/>
    </row>
    <row r="318" spans="1:19" s="416" customFormat="1" ht="41.25" hidden="1" customHeight="1">
      <c r="A318" s="406" t="s">
        <v>4715</v>
      </c>
      <c r="B318" s="63" t="s">
        <v>147</v>
      </c>
      <c r="C318" s="63" t="s">
        <v>194</v>
      </c>
      <c r="D318" s="64">
        <v>43193</v>
      </c>
      <c r="E318" s="63" t="s">
        <v>4817</v>
      </c>
      <c r="F318" s="407" t="s">
        <v>1867</v>
      </c>
      <c r="G318" s="65">
        <v>32</v>
      </c>
      <c r="H318" s="337">
        <v>12150</v>
      </c>
      <c r="I318" s="408">
        <f t="shared" si="43"/>
        <v>388800</v>
      </c>
      <c r="J318" s="409" t="s">
        <v>5169</v>
      </c>
      <c r="K318" s="410">
        <f>SUMIF(收发货!A:A,采购合同!A:A,收发货!D:D)</f>
        <v>32</v>
      </c>
      <c r="L318" s="410">
        <f>SUMIF(收开票!A:A,采购合同!A:A,收开票!H:H)</f>
        <v>32</v>
      </c>
      <c r="M318" s="411">
        <f>SUMIF(收开票!A:A,采购合同!A:A,收开票!I:I)</f>
        <v>388800</v>
      </c>
      <c r="N318" s="412">
        <f>SUMIF(收付款!A:A,采购合同!A:A,收付款!E:E)</f>
        <v>388800</v>
      </c>
      <c r="O318" s="412">
        <f>K318*H318-N318</f>
        <v>0</v>
      </c>
      <c r="P318" s="413"/>
      <c r="Q318" s="411"/>
      <c r="R318" s="414"/>
      <c r="S318" s="415"/>
    </row>
    <row r="319" spans="1:19" ht="41.25" hidden="1" customHeight="1">
      <c r="A319" s="13" t="s">
        <v>4836</v>
      </c>
      <c r="B319" s="6" t="s">
        <v>147</v>
      </c>
      <c r="C319" s="6" t="s">
        <v>194</v>
      </c>
      <c r="D319" s="7">
        <v>43192</v>
      </c>
      <c r="E319" s="6" t="s">
        <v>4797</v>
      </c>
      <c r="F319" s="8" t="s">
        <v>1867</v>
      </c>
      <c r="G319" s="9">
        <v>96</v>
      </c>
      <c r="H319" s="10">
        <v>11745</v>
      </c>
      <c r="I319" s="11">
        <f t="shared" si="43"/>
        <v>1127520</v>
      </c>
      <c r="J319" s="12" t="s">
        <v>5168</v>
      </c>
      <c r="K319" s="3">
        <f>SUMIF(收发货!A:A,采购合同!A:A,收发货!D:D)</f>
        <v>96</v>
      </c>
      <c r="L319" s="3">
        <f>SUMIF(收开票!A:A,采购合同!A:A,收开票!H:H)</f>
        <v>96</v>
      </c>
      <c r="M319" s="1">
        <f>SUMIF(收开票!A:A,采购合同!A:A,收开票!I:I)</f>
        <v>1127520</v>
      </c>
      <c r="N319" s="2">
        <f>SUMIF(收付款!A:A,采购合同!A:A,收付款!E:E)</f>
        <v>1127520</v>
      </c>
      <c r="O319" s="2">
        <f>K319*H319-N319</f>
        <v>0</v>
      </c>
      <c r="P319" s="90"/>
      <c r="Q319" s="1"/>
      <c r="R319" s="5"/>
      <c r="S319" s="4"/>
    </row>
    <row r="320" spans="1:19" ht="45" hidden="1">
      <c r="A320" s="13" t="s">
        <v>5330</v>
      </c>
      <c r="B320" s="6" t="s">
        <v>217</v>
      </c>
      <c r="C320" s="6" t="s">
        <v>3954</v>
      </c>
      <c r="D320" s="7">
        <v>43191</v>
      </c>
      <c r="E320" s="6" t="s">
        <v>5333</v>
      </c>
      <c r="F320" s="8" t="s">
        <v>223</v>
      </c>
      <c r="G320" s="9">
        <v>6000</v>
      </c>
      <c r="H320" s="10">
        <v>2060</v>
      </c>
      <c r="I320" s="11">
        <f t="shared" si="43"/>
        <v>12360000</v>
      </c>
      <c r="J320" s="12" t="s">
        <v>3955</v>
      </c>
      <c r="K320" s="3">
        <f>SUMIF(收发货!A:A,采购合同!A:A,收发货!D:D)</f>
        <v>0</v>
      </c>
      <c r="L320" s="3">
        <f>SUMIF(收开票!A:A,采购合同!A:A,收开票!H:H)</f>
        <v>0</v>
      </c>
      <c r="M320" s="1">
        <f>SUMIF(收开票!A:A,采购合同!A:A,收开票!I:I)</f>
        <v>0</v>
      </c>
      <c r="N320" s="2">
        <f>SUMIF(收付款!A:A,采购合同!A:A,收付款!E:E)</f>
        <v>-4.6566128730773926E-10</v>
      </c>
      <c r="O320" s="2">
        <f>M320-N320</f>
        <v>4.6566128730773926E-10</v>
      </c>
      <c r="P320" s="90"/>
      <c r="Q320" s="1"/>
      <c r="R320" s="5"/>
      <c r="S320" s="4"/>
    </row>
    <row r="321" spans="1:19" ht="24.95" hidden="1" customHeight="1">
      <c r="A321" s="13" t="s">
        <v>4735</v>
      </c>
      <c r="B321" s="6" t="s">
        <v>4732</v>
      </c>
      <c r="C321" s="6" t="s">
        <v>3577</v>
      </c>
      <c r="D321" s="7">
        <v>43178</v>
      </c>
      <c r="E321" s="6" t="s">
        <v>875</v>
      </c>
      <c r="F321" s="8" t="s">
        <v>876</v>
      </c>
      <c r="G321" s="9">
        <v>100</v>
      </c>
      <c r="H321" s="10">
        <v>1420</v>
      </c>
      <c r="I321" s="11">
        <f t="shared" si="43"/>
        <v>142000</v>
      </c>
      <c r="J321" s="12" t="s">
        <v>877</v>
      </c>
      <c r="K321" s="3">
        <f>SUMIF(收发货!A:A,采购合同!A:A,收发货!D:D)</f>
        <v>100</v>
      </c>
      <c r="L321" s="3">
        <f>SUMIF(收开票!A:A,采购合同!A:A,收开票!H:H)</f>
        <v>100</v>
      </c>
      <c r="M321" s="1">
        <f>SUMIF(收开票!A:A,采购合同!A:A,收开票!I:I)</f>
        <v>142000</v>
      </c>
      <c r="N321" s="2">
        <f>SUMIF(收付款!A:A,采购合同!A:A,收付款!E:E)</f>
        <v>142000</v>
      </c>
      <c r="O321" s="2">
        <f t="shared" ref="O321:O322" si="44">M321-N321</f>
        <v>0</v>
      </c>
      <c r="P321" s="90"/>
      <c r="Q321" s="1"/>
      <c r="R321" s="5"/>
      <c r="S321" s="4"/>
    </row>
    <row r="322" spans="1:19" ht="24.95" hidden="1" customHeight="1">
      <c r="A322" s="13" t="s">
        <v>4730</v>
      </c>
      <c r="B322" s="6" t="s">
        <v>4732</v>
      </c>
      <c r="C322" s="6" t="s">
        <v>3577</v>
      </c>
      <c r="D322" s="7">
        <v>43178</v>
      </c>
      <c r="E322" s="6" t="s">
        <v>875</v>
      </c>
      <c r="F322" s="8" t="s">
        <v>876</v>
      </c>
      <c r="G322" s="9">
        <v>100</v>
      </c>
      <c r="H322" s="10">
        <v>1420</v>
      </c>
      <c r="I322" s="11">
        <f t="shared" si="43"/>
        <v>142000</v>
      </c>
      <c r="J322" s="12" t="s">
        <v>877</v>
      </c>
      <c r="K322" s="3">
        <f>SUMIF(收发货!A:A,采购合同!A:A,收发货!D:D)</f>
        <v>100</v>
      </c>
      <c r="L322" s="3">
        <f>SUMIF(收开票!A:A,采购合同!A:A,收开票!H:H)</f>
        <v>100</v>
      </c>
      <c r="M322" s="1">
        <f>SUMIF(收开票!A:A,采购合同!A:A,收开票!I:I)</f>
        <v>142000</v>
      </c>
      <c r="N322" s="2">
        <f>SUMIF(收付款!A:A,采购合同!A:A,收付款!E:E)</f>
        <v>142000</v>
      </c>
      <c r="O322" s="2">
        <f t="shared" si="44"/>
        <v>0</v>
      </c>
      <c r="P322" s="90"/>
      <c r="Q322" s="1"/>
      <c r="R322" s="5"/>
      <c r="S322" s="4"/>
    </row>
    <row r="323" spans="1:19" ht="24.95" hidden="1" customHeight="1">
      <c r="A323" s="13" t="s">
        <v>4731</v>
      </c>
      <c r="B323" s="6" t="s">
        <v>4732</v>
      </c>
      <c r="C323" s="6" t="s">
        <v>3577</v>
      </c>
      <c r="D323" s="7">
        <v>43187</v>
      </c>
      <c r="E323" s="6" t="s">
        <v>875</v>
      </c>
      <c r="F323" s="8" t="s">
        <v>876</v>
      </c>
      <c r="G323" s="9">
        <v>40</v>
      </c>
      <c r="H323" s="10">
        <v>1465</v>
      </c>
      <c r="I323" s="11">
        <f t="shared" si="43"/>
        <v>58600</v>
      </c>
      <c r="J323" s="12" t="s">
        <v>877</v>
      </c>
      <c r="K323" s="3">
        <f>SUMIF(收发货!A:A,采购合同!A:A,收发货!D:D)</f>
        <v>40</v>
      </c>
      <c r="L323" s="3">
        <f>SUMIF(收开票!A:A,采购合同!A:A,收开票!H:H)</f>
        <v>40</v>
      </c>
      <c r="M323" s="1">
        <f>SUMIF(收开票!A:A,采购合同!A:A,收开票!I:I)</f>
        <v>57867.5</v>
      </c>
      <c r="N323" s="2">
        <f>SUMIF(收付款!A:A,采购合同!A:A,收付款!E:E)</f>
        <v>57867.5</v>
      </c>
      <c r="O323" s="2">
        <f>M323-N323</f>
        <v>0</v>
      </c>
      <c r="P323" s="90"/>
      <c r="Q323" s="1"/>
      <c r="R323" s="5"/>
      <c r="S323" s="4"/>
    </row>
    <row r="324" spans="1:19" ht="45" hidden="1">
      <c r="A324" s="13" t="s">
        <v>4814</v>
      </c>
      <c r="B324" s="6" t="s">
        <v>217</v>
      </c>
      <c r="C324" s="6" t="s">
        <v>3954</v>
      </c>
      <c r="D324" s="7">
        <v>43160</v>
      </c>
      <c r="E324" s="6" t="s">
        <v>4740</v>
      </c>
      <c r="F324" s="8" t="s">
        <v>223</v>
      </c>
      <c r="G324" s="9">
        <f>1903.425+1299.9</f>
        <v>3203.3249999999998</v>
      </c>
      <c r="H324" s="10">
        <v>2520</v>
      </c>
      <c r="I324" s="11">
        <f t="shared" si="43"/>
        <v>8072379</v>
      </c>
      <c r="J324" s="12" t="s">
        <v>3955</v>
      </c>
      <c r="K324" s="3">
        <f>SUMIF(收发货!A:A,采购合同!A:A,收发货!D:D)</f>
        <v>3202.65</v>
      </c>
      <c r="L324" s="3">
        <f>SUMIF(收开票!A:A,采购合同!A:A,收开票!H:H)</f>
        <v>3203.3249999999998</v>
      </c>
      <c r="M324" s="1">
        <f>SUMIF(收开票!A:A,采购合同!A:A,收开票!I:I)</f>
        <v>8072379</v>
      </c>
      <c r="N324" s="2">
        <f>SUMIF(收付款!A:A,采购合同!A:A,收付款!E:E)</f>
        <v>8072379</v>
      </c>
      <c r="O324" s="2">
        <f t="shared" ref="O324:O331" si="45">M324-N324</f>
        <v>0</v>
      </c>
      <c r="P324" s="90"/>
      <c r="Q324" s="1"/>
      <c r="R324" s="5"/>
      <c r="S324" s="4"/>
    </row>
    <row r="325" spans="1:19" ht="50.1" hidden="1" customHeight="1">
      <c r="A325" s="13" t="s">
        <v>4777</v>
      </c>
      <c r="B325" s="6" t="s">
        <v>485</v>
      </c>
      <c r="C325" s="6" t="s">
        <v>1</v>
      </c>
      <c r="D325" s="7">
        <v>43194</v>
      </c>
      <c r="E325" s="6" t="s">
        <v>1429</v>
      </c>
      <c r="F325" s="8" t="s">
        <v>1867</v>
      </c>
      <c r="G325" s="9">
        <v>1000</v>
      </c>
      <c r="H325" s="10">
        <v>8170</v>
      </c>
      <c r="I325" s="11">
        <f t="shared" si="43"/>
        <v>8170000</v>
      </c>
      <c r="J325" s="12" t="s">
        <v>4776</v>
      </c>
      <c r="K325" s="3">
        <f>SUMIF(收发货!A:A,采购合同!A:A,收发货!D:D)</f>
        <v>632</v>
      </c>
      <c r="L325" s="437">
        <f>SUMIF(收开票!A:A,采购合同!A:A,收开票!H:H)</f>
        <v>631.60500000000002</v>
      </c>
      <c r="M325" s="1">
        <f>SUMIF(收开票!A:A,采购合同!A:A,收开票!I:I)</f>
        <v>4969111.91</v>
      </c>
      <c r="N325" s="2">
        <f>SUMIF(收付款!A:A,采购合同!A:A,收付款!E:E)</f>
        <v>4969111.91</v>
      </c>
      <c r="O325" s="2">
        <f t="shared" si="45"/>
        <v>0</v>
      </c>
      <c r="P325" s="90"/>
      <c r="Q325" s="1">
        <v>0</v>
      </c>
      <c r="R325" s="5"/>
      <c r="S325" s="4"/>
    </row>
    <row r="326" spans="1:19" ht="60" hidden="1">
      <c r="A326" s="13" t="s">
        <v>4798</v>
      </c>
      <c r="B326" s="6" t="s">
        <v>217</v>
      </c>
      <c r="C326" s="6" t="s">
        <v>2761</v>
      </c>
      <c r="D326" s="7">
        <v>43203</v>
      </c>
      <c r="E326" s="6" t="s">
        <v>5061</v>
      </c>
      <c r="F326" s="8" t="s">
        <v>1867</v>
      </c>
      <c r="G326" s="9">
        <v>20000</v>
      </c>
      <c r="H326" s="10">
        <f>1277/1.17*1.16</f>
        <v>1266.08547008547</v>
      </c>
      <c r="I326" s="11">
        <f t="shared" si="43"/>
        <v>25321709.4017094</v>
      </c>
      <c r="J326" s="12" t="s">
        <v>4799</v>
      </c>
      <c r="K326" s="3">
        <f>SUMIF(收发货!A:A,采购合同!A:A,收发货!D:D)</f>
        <v>21906</v>
      </c>
      <c r="L326" s="3">
        <f>SUMIF(收开票!A:A,采购合同!A:A,收开票!H:H)</f>
        <v>21457.922999999999</v>
      </c>
      <c r="M326" s="1">
        <f>SUMIF(收开票!A:A,采购合同!A:A,收开票!I:I)</f>
        <v>27167661.73</v>
      </c>
      <c r="N326" s="2">
        <f>SUMIF(收付款!A:A,采购合同!A:A,收付款!E:E)</f>
        <v>27167661.73</v>
      </c>
      <c r="O326" s="2">
        <f t="shared" si="45"/>
        <v>0</v>
      </c>
      <c r="P326" s="90"/>
      <c r="Q326" s="1"/>
      <c r="R326" s="5"/>
      <c r="S326" s="4"/>
    </row>
    <row r="327" spans="1:19" ht="45" hidden="1">
      <c r="A327" s="13" t="s">
        <v>4879</v>
      </c>
      <c r="B327" s="6" t="s">
        <v>217</v>
      </c>
      <c r="C327" s="6" t="s">
        <v>3954</v>
      </c>
      <c r="D327" s="7">
        <v>43200</v>
      </c>
      <c r="E327" s="6" t="s">
        <v>4880</v>
      </c>
      <c r="F327" s="8" t="s">
        <v>223</v>
      </c>
      <c r="G327" s="9">
        <v>1985.98</v>
      </c>
      <c r="H327" s="10">
        <f>I327/G327</f>
        <v>2580</v>
      </c>
      <c r="I327" s="11">
        <v>5123828.4000000004</v>
      </c>
      <c r="J327" s="12" t="s">
        <v>3955</v>
      </c>
      <c r="K327" s="3">
        <f>SUMIF(收发货!A:A,采购合同!A:A,收发货!D:D)</f>
        <v>1987.8</v>
      </c>
      <c r="L327" s="3">
        <f>SUMIF(收开票!A:A,采购合同!A:A,收开票!H:H)</f>
        <v>1985.98</v>
      </c>
      <c r="M327" s="1">
        <f>SUMIF(收开票!A:A,采购合同!A:A,收开票!I:I)</f>
        <v>5123828.4000000004</v>
      </c>
      <c r="N327" s="2">
        <f>SUMIF(收付款!A:A,采购合同!A:A,收付款!E:E)</f>
        <v>5123828.4000000004</v>
      </c>
      <c r="O327" s="2">
        <f t="shared" si="45"/>
        <v>0</v>
      </c>
      <c r="P327" s="90"/>
      <c r="Q327" s="1"/>
      <c r="R327" s="5"/>
      <c r="S327" s="4"/>
    </row>
    <row r="328" spans="1:19" ht="60" hidden="1">
      <c r="A328" s="13" t="s">
        <v>4801</v>
      </c>
      <c r="B328" s="6" t="s">
        <v>217</v>
      </c>
      <c r="C328" s="6" t="s">
        <v>4219</v>
      </c>
      <c r="D328" s="7">
        <v>43191</v>
      </c>
      <c r="E328" s="6" t="s">
        <v>4220</v>
      </c>
      <c r="F328" s="8" t="s">
        <v>1867</v>
      </c>
      <c r="G328" s="9">
        <v>2000</v>
      </c>
      <c r="H328" s="10">
        <v>2820</v>
      </c>
      <c r="I328" s="11">
        <f>G328*H328</f>
        <v>5640000</v>
      </c>
      <c r="J328" s="12" t="s">
        <v>4221</v>
      </c>
      <c r="K328" s="3">
        <f>SUMIF(收发货!A:A,采购合同!A:A,收发货!D:D)</f>
        <v>2084.56</v>
      </c>
      <c r="L328" s="3">
        <f>SUMIF(收开票!A:A,采购合同!A:A,收开票!H:H)</f>
        <v>2080.21</v>
      </c>
      <c r="M328" s="1">
        <f>SUMIF(收开票!A:A,采购合同!A:A,收开票!I:I)</f>
        <v>5504010.4699999997</v>
      </c>
      <c r="N328" s="2">
        <f>SUMIF(收付款!A:A,采购合同!A:A,收付款!E:E)</f>
        <v>5504010.4700000007</v>
      </c>
      <c r="O328" s="2">
        <f t="shared" si="45"/>
        <v>0</v>
      </c>
      <c r="P328" s="90"/>
      <c r="Q328" s="1"/>
      <c r="R328" s="5"/>
      <c r="S328" s="4"/>
    </row>
    <row r="329" spans="1:19" ht="60" hidden="1">
      <c r="A329" s="13" t="s">
        <v>4807</v>
      </c>
      <c r="B329" s="6" t="s">
        <v>217</v>
      </c>
      <c r="C329" s="6" t="s">
        <v>4219</v>
      </c>
      <c r="D329" s="7">
        <v>43194</v>
      </c>
      <c r="E329" s="6" t="s">
        <v>5072</v>
      </c>
      <c r="F329" s="8" t="s">
        <v>1867</v>
      </c>
      <c r="G329" s="9">
        <v>500</v>
      </c>
      <c r="H329" s="10">
        <v>2690</v>
      </c>
      <c r="I329" s="11">
        <f>G329*H329</f>
        <v>1345000</v>
      </c>
      <c r="J329" s="12" t="s">
        <v>4221</v>
      </c>
      <c r="K329" s="3">
        <f>SUMIF(收发货!A:A,采购合同!A:A,收发货!D:D)</f>
        <v>270</v>
      </c>
      <c r="L329" s="3">
        <f>SUMIF(收开票!A:A,采购合同!A:A,收开票!H:H)</f>
        <v>269.02999999999997</v>
      </c>
      <c r="M329" s="1">
        <f>SUMIF(收开票!A:A,采购合同!A:A,收开票!I:I)</f>
        <v>647837.43999999994</v>
      </c>
      <c r="N329" s="2">
        <f>SUMIF(收付款!A:A,采购合同!A:A,收付款!E:E)</f>
        <v>647837.43999999994</v>
      </c>
      <c r="O329" s="2">
        <f t="shared" si="45"/>
        <v>0</v>
      </c>
      <c r="P329" s="90"/>
      <c r="Q329" s="1"/>
      <c r="R329" s="5"/>
      <c r="S329" s="4"/>
    </row>
    <row r="330" spans="1:19" ht="45" hidden="1">
      <c r="A330" s="13" t="s">
        <v>5288</v>
      </c>
      <c r="B330" s="6" t="s">
        <v>217</v>
      </c>
      <c r="C330" s="6" t="s">
        <v>3954</v>
      </c>
      <c r="D330" s="7">
        <v>43201</v>
      </c>
      <c r="E330" s="6" t="s">
        <v>5056</v>
      </c>
      <c r="F330" s="8" t="s">
        <v>223</v>
      </c>
      <c r="G330" s="9">
        <v>2704.16</v>
      </c>
      <c r="H330" s="10">
        <f>I330/G330</f>
        <v>2118.6027453996803</v>
      </c>
      <c r="I330" s="11">
        <v>5729040.7999999998</v>
      </c>
      <c r="J330" s="12" t="s">
        <v>4816</v>
      </c>
      <c r="K330" s="3">
        <f>SUMIF(收发货!A:A,采购合同!A:A,收发货!D:D)</f>
        <v>2419.25</v>
      </c>
      <c r="L330" s="3">
        <f>SUMIF(收开票!A:A,采购合同!A:A,收开票!H:H)</f>
        <v>2407.16</v>
      </c>
      <c r="M330" s="1">
        <f>SUMIF(收开票!A:A,采购合同!A:A,收开票!I:I)</f>
        <v>5729040.7999999998</v>
      </c>
      <c r="N330" s="2">
        <f>SUMIF(收付款!A:A,采购合同!A:A,收付款!E:E)</f>
        <v>5729040.7999999998</v>
      </c>
      <c r="O330" s="2">
        <f t="shared" si="45"/>
        <v>0</v>
      </c>
      <c r="P330" s="90"/>
      <c r="Q330" s="1"/>
      <c r="R330" s="5"/>
      <c r="S330" s="4"/>
    </row>
    <row r="331" spans="1:19" ht="50.1" hidden="1" customHeight="1">
      <c r="A331" s="13" t="s">
        <v>5211</v>
      </c>
      <c r="B331" s="6" t="s">
        <v>485</v>
      </c>
      <c r="C331" s="6" t="s">
        <v>1</v>
      </c>
      <c r="D331" s="7">
        <v>43210</v>
      </c>
      <c r="E331" s="6" t="s">
        <v>1392</v>
      </c>
      <c r="F331" s="8" t="s">
        <v>4851</v>
      </c>
      <c r="G331" s="9">
        <v>200</v>
      </c>
      <c r="H331" s="10">
        <v>7910</v>
      </c>
      <c r="I331" s="11">
        <f t="shared" ref="I331:I336" si="46">G331*H331</f>
        <v>1582000</v>
      </c>
      <c r="J331" s="12" t="s">
        <v>4848</v>
      </c>
      <c r="K331" s="3">
        <f>SUMIF(收发货!A:A,采购合同!A:A,收发货!D:D)</f>
        <v>183</v>
      </c>
      <c r="L331" s="437">
        <f>SUMIF(收开票!A:A,采购合同!A:A,收开票!H:H)</f>
        <v>184.34190000000001</v>
      </c>
      <c r="M331" s="1">
        <f>SUMIF(收开票!A:A,采购合同!A:A,收开票!I:I)</f>
        <v>1435599.21</v>
      </c>
      <c r="N331" s="2">
        <f>SUMIF(收付款!A:A,采购合同!A:A,收付款!E:E)</f>
        <v>1435599.21</v>
      </c>
      <c r="O331" s="2">
        <f t="shared" si="45"/>
        <v>0</v>
      </c>
      <c r="P331" s="90"/>
      <c r="Q331" s="1">
        <v>0</v>
      </c>
      <c r="R331" s="5"/>
      <c r="S331" s="4"/>
    </row>
    <row r="332" spans="1:19" ht="24.95" hidden="1" customHeight="1">
      <c r="A332" s="13" t="s">
        <v>4882</v>
      </c>
      <c r="B332" s="6" t="s">
        <v>4885</v>
      </c>
      <c r="C332" s="6" t="s">
        <v>4886</v>
      </c>
      <c r="D332" s="7">
        <v>43202</v>
      </c>
      <c r="E332" s="6" t="s">
        <v>4887</v>
      </c>
      <c r="F332" s="8" t="s">
        <v>4888</v>
      </c>
      <c r="G332" s="9">
        <v>100</v>
      </c>
      <c r="H332" s="10">
        <v>1270</v>
      </c>
      <c r="I332" s="11">
        <f t="shared" si="46"/>
        <v>127000</v>
      </c>
      <c r="J332" s="12" t="s">
        <v>4889</v>
      </c>
      <c r="K332" s="3">
        <f>SUMIF(收发货!A:A,采购合同!A:A,收发货!D:D)</f>
        <v>100</v>
      </c>
      <c r="L332" s="3">
        <f>SUMIF(收开票!A:A,采购合同!A:A,收开票!H:H)</f>
        <v>100</v>
      </c>
      <c r="M332" s="1">
        <f>SUMIF(收开票!A:A,采购合同!A:A,收开票!I:I)</f>
        <v>125040</v>
      </c>
      <c r="N332" s="2">
        <f>SUMIF(收付款!A:A,采购合同!A:A,收付款!E:E)</f>
        <v>125040</v>
      </c>
      <c r="O332" s="2">
        <f>M332-N332</f>
        <v>0</v>
      </c>
      <c r="P332" s="90"/>
      <c r="Q332" s="1"/>
      <c r="R332" s="5"/>
      <c r="S332" s="4"/>
    </row>
    <row r="333" spans="1:19" ht="24.95" hidden="1" customHeight="1">
      <c r="A333" s="13" t="s">
        <v>4883</v>
      </c>
      <c r="B333" s="6" t="s">
        <v>4885</v>
      </c>
      <c r="C333" s="6" t="s">
        <v>4886</v>
      </c>
      <c r="D333" s="7">
        <v>43209</v>
      </c>
      <c r="E333" s="6" t="s">
        <v>4887</v>
      </c>
      <c r="F333" s="8" t="s">
        <v>4888</v>
      </c>
      <c r="G333" s="9">
        <v>140</v>
      </c>
      <c r="H333" s="10">
        <v>1295</v>
      </c>
      <c r="I333" s="11">
        <f t="shared" si="46"/>
        <v>181300</v>
      </c>
      <c r="J333" s="12" t="s">
        <v>4889</v>
      </c>
      <c r="K333" s="3">
        <f>SUMIF(收发货!A:A,采购合同!A:A,收发货!D:D)</f>
        <v>140</v>
      </c>
      <c r="L333" s="3">
        <f>SUMIF(收开票!A:A,采购合同!A:A,收开票!H:H)</f>
        <v>140</v>
      </c>
      <c r="M333" s="1">
        <f>SUMIF(收开票!A:A,采购合同!A:A,收开票!I:I)</f>
        <v>181300</v>
      </c>
      <c r="N333" s="2">
        <f>SUMIF(收付款!A:A,采购合同!A:A,收付款!E:E)</f>
        <v>181300</v>
      </c>
      <c r="O333" s="2">
        <f t="shared" ref="O333:O334" si="47">M333-N333</f>
        <v>0</v>
      </c>
      <c r="P333" s="90"/>
      <c r="Q333" s="1"/>
      <c r="R333" s="5"/>
      <c r="S333" s="4"/>
    </row>
    <row r="334" spans="1:19" ht="24.95" hidden="1" customHeight="1">
      <c r="A334" s="13" t="s">
        <v>4884</v>
      </c>
      <c r="B334" s="6" t="s">
        <v>4885</v>
      </c>
      <c r="C334" s="6" t="s">
        <v>4886</v>
      </c>
      <c r="D334" s="7">
        <v>43213</v>
      </c>
      <c r="E334" s="6" t="s">
        <v>4887</v>
      </c>
      <c r="F334" s="8" t="s">
        <v>4888</v>
      </c>
      <c r="G334" s="9">
        <v>60</v>
      </c>
      <c r="H334" s="10">
        <v>1270</v>
      </c>
      <c r="I334" s="11">
        <f t="shared" si="46"/>
        <v>76200</v>
      </c>
      <c r="J334" s="12" t="s">
        <v>4889</v>
      </c>
      <c r="K334" s="3">
        <f>SUMIF(收发货!A:A,采购合同!A:A,收发货!D:D)</f>
        <v>60</v>
      </c>
      <c r="L334" s="3">
        <f>SUMIF(收开票!A:A,采购合同!A:A,收开票!H:H)</f>
        <v>60</v>
      </c>
      <c r="M334" s="1">
        <f>SUMIF(收开票!A:A,采购合同!A:A,收开票!I:I)</f>
        <v>76200</v>
      </c>
      <c r="N334" s="2">
        <f>SUMIF(收付款!A:A,采购合同!A:A,收付款!E:E)</f>
        <v>76200</v>
      </c>
      <c r="O334" s="2">
        <f t="shared" si="47"/>
        <v>0</v>
      </c>
      <c r="P334" s="90"/>
      <c r="Q334" s="1"/>
      <c r="R334" s="5"/>
      <c r="S334" s="4"/>
    </row>
    <row r="335" spans="1:19" ht="75" hidden="1">
      <c r="A335" s="13" t="s">
        <v>5303</v>
      </c>
      <c r="B335" s="6" t="s">
        <v>217</v>
      </c>
      <c r="C335" s="6" t="s">
        <v>4219</v>
      </c>
      <c r="D335" s="7">
        <v>43230</v>
      </c>
      <c r="E335" s="6" t="s">
        <v>4220</v>
      </c>
      <c r="F335" s="8" t="s">
        <v>1867</v>
      </c>
      <c r="G335" s="9">
        <v>2500</v>
      </c>
      <c r="H335" s="10">
        <v>2720</v>
      </c>
      <c r="I335" s="11">
        <f t="shared" si="46"/>
        <v>6800000</v>
      </c>
      <c r="J335" s="12" t="s">
        <v>4986</v>
      </c>
      <c r="K335" s="3">
        <f>SUMIF(收发货!A:A,采购合同!A:A,收发货!D:D)</f>
        <v>2214.23</v>
      </c>
      <c r="L335" s="3">
        <f>SUMIF(收开票!A:A,采购合同!A:A,收开票!H:H)</f>
        <v>2169.85</v>
      </c>
      <c r="M335" s="1">
        <f>SUMIF(收开票!A:A,采购合同!A:A,收开票!I:I)</f>
        <v>5853066.8499999996</v>
      </c>
      <c r="N335" s="2">
        <f>SUMIF(收付款!A:A,采购合同!A:A,收付款!E:E)</f>
        <v>5853066.8499999996</v>
      </c>
      <c r="O335" s="2">
        <f>M335-N335</f>
        <v>0</v>
      </c>
      <c r="P335" s="90"/>
      <c r="Q335" s="1"/>
      <c r="R335" s="5"/>
      <c r="S335" s="4"/>
    </row>
    <row r="336" spans="1:19" ht="50.1" hidden="1" customHeight="1">
      <c r="A336" s="13" t="s">
        <v>5442</v>
      </c>
      <c r="B336" s="6" t="s">
        <v>485</v>
      </c>
      <c r="C336" s="6" t="s">
        <v>1</v>
      </c>
      <c r="D336" s="7">
        <v>43227</v>
      </c>
      <c r="E336" s="6" t="s">
        <v>1429</v>
      </c>
      <c r="F336" s="8" t="s">
        <v>1867</v>
      </c>
      <c r="G336" s="9">
        <v>700</v>
      </c>
      <c r="H336" s="10">
        <v>7425</v>
      </c>
      <c r="I336" s="11">
        <f t="shared" si="46"/>
        <v>5197500</v>
      </c>
      <c r="J336" s="12" t="s">
        <v>5000</v>
      </c>
      <c r="K336" s="3">
        <f>SUMIF(收发货!A:A,采购合同!A:A,收发货!D:D)</f>
        <v>490</v>
      </c>
      <c r="L336" s="437">
        <f>SUMIF(收开票!A:A,采购合同!A:A,收开票!H:H)</f>
        <v>496.1413</v>
      </c>
      <c r="M336" s="1">
        <f>SUMIF(收开票!A:A,采购合同!A:A,收开票!I:I)</f>
        <v>3654677.99</v>
      </c>
      <c r="N336" s="2">
        <f>SUMIF(收付款!A:A,采购合同!A:A,收付款!E:E)</f>
        <v>3654677.9</v>
      </c>
      <c r="O336" s="2">
        <f>M336-N336</f>
        <v>9.0000000316649675E-2</v>
      </c>
      <c r="P336" s="90"/>
      <c r="Q336" s="1">
        <v>0</v>
      </c>
      <c r="R336" s="5"/>
      <c r="S336" s="4"/>
    </row>
    <row r="337" spans="1:19" ht="41.25" hidden="1" customHeight="1">
      <c r="A337" s="13" t="s">
        <v>5075</v>
      </c>
      <c r="B337" s="6" t="s">
        <v>147</v>
      </c>
      <c r="C337" s="6" t="s">
        <v>194</v>
      </c>
      <c r="D337" s="7">
        <v>43230</v>
      </c>
      <c r="E337" s="6" t="s">
        <v>4817</v>
      </c>
      <c r="F337" s="8" t="s">
        <v>1867</v>
      </c>
      <c r="G337" s="9">
        <v>96</v>
      </c>
      <c r="H337" s="10">
        <v>11850</v>
      </c>
      <c r="I337" s="11">
        <f t="shared" ref="I337:I342" si="48">G337*H337</f>
        <v>1137600</v>
      </c>
      <c r="J337" s="12" t="s">
        <v>5008</v>
      </c>
      <c r="K337" s="3">
        <f>SUMIF(收发货!A:A,采购合同!A:A,收发货!D:D)</f>
        <v>96</v>
      </c>
      <c r="L337" s="3">
        <f>SUMIF(收开票!A:A,采购合同!A:A,收开票!H:H)</f>
        <v>96</v>
      </c>
      <c r="M337" s="1">
        <f>SUMIF(收开票!A:A,采购合同!A:A,收开票!I:I)</f>
        <v>1137600</v>
      </c>
      <c r="N337" s="2">
        <f>SUMIF(收付款!A:A,采购合同!A:A,收付款!E:E)</f>
        <v>1137600</v>
      </c>
      <c r="O337" s="2">
        <f t="shared" ref="O337:O341" si="49">K337*H337-N337</f>
        <v>0</v>
      </c>
      <c r="P337" s="90"/>
      <c r="Q337" s="1"/>
      <c r="R337" s="5"/>
      <c r="S337" s="4"/>
    </row>
    <row r="338" spans="1:19" ht="41.25" hidden="1" customHeight="1">
      <c r="A338" s="13" t="s">
        <v>5351</v>
      </c>
      <c r="B338" s="6" t="s">
        <v>147</v>
      </c>
      <c r="C338" s="6" t="s">
        <v>194</v>
      </c>
      <c r="D338" s="7">
        <v>43228</v>
      </c>
      <c r="E338" s="6" t="s">
        <v>5091</v>
      </c>
      <c r="F338" s="8" t="s">
        <v>1867</v>
      </c>
      <c r="G338" s="9">
        <v>96</v>
      </c>
      <c r="H338" s="10">
        <v>12036.36</v>
      </c>
      <c r="I338" s="11">
        <f t="shared" si="48"/>
        <v>1155490.56</v>
      </c>
      <c r="J338" s="12" t="s">
        <v>5084</v>
      </c>
      <c r="K338" s="3">
        <f>SUMIF(收发货!A:A,采购合同!A:A,收发货!D:D)</f>
        <v>96</v>
      </c>
      <c r="L338" s="3">
        <f>SUMIF(收开票!A:A,采购合同!A:A,收开票!H:H)</f>
        <v>96</v>
      </c>
      <c r="M338" s="1">
        <f>SUMIF(收开票!A:A,采购合同!A:A,收开票!I:I)</f>
        <v>1155490.56</v>
      </c>
      <c r="N338" s="2">
        <f>SUMIF(收付款!A:A,采购合同!A:A,收付款!E:E)</f>
        <v>1155490.56</v>
      </c>
      <c r="O338" s="2">
        <f t="shared" si="49"/>
        <v>0</v>
      </c>
      <c r="P338" s="90"/>
      <c r="Q338" s="1"/>
      <c r="R338" s="5"/>
      <c r="S338" s="4"/>
    </row>
    <row r="339" spans="1:19" ht="41.25" hidden="1" customHeight="1">
      <c r="A339" s="13" t="s">
        <v>5030</v>
      </c>
      <c r="B339" s="6" t="s">
        <v>147</v>
      </c>
      <c r="C339" s="6" t="s">
        <v>194</v>
      </c>
      <c r="D339" s="7">
        <v>43227</v>
      </c>
      <c r="E339" s="6" t="s">
        <v>4817</v>
      </c>
      <c r="F339" s="8" t="s">
        <v>1867</v>
      </c>
      <c r="G339" s="9">
        <v>64</v>
      </c>
      <c r="H339" s="10">
        <v>11900</v>
      </c>
      <c r="I339" s="11">
        <f t="shared" si="48"/>
        <v>761600</v>
      </c>
      <c r="J339" s="12" t="s">
        <v>5418</v>
      </c>
      <c r="K339" s="3">
        <f>SUMIF(收发货!A:A,采购合同!A:A,收发货!D:D)</f>
        <v>64</v>
      </c>
      <c r="L339" s="3">
        <f>SUMIF(收开票!A:A,采购合同!A:A,收开票!H:H)</f>
        <v>64</v>
      </c>
      <c r="M339" s="1">
        <f>SUMIF(收开票!A:A,采购合同!A:A,收开票!I:I)</f>
        <v>761600</v>
      </c>
      <c r="N339" s="2">
        <f>SUMIF(收付款!A:A,采购合同!A:A,收付款!E:E)</f>
        <v>761600</v>
      </c>
      <c r="O339" s="2">
        <f t="shared" si="49"/>
        <v>0</v>
      </c>
      <c r="P339" s="90"/>
      <c r="Q339" s="1"/>
      <c r="R339" s="5"/>
      <c r="S339" s="4"/>
    </row>
    <row r="340" spans="1:19" ht="41.25" hidden="1" customHeight="1">
      <c r="A340" s="13" t="s">
        <v>5194</v>
      </c>
      <c r="B340" s="6" t="s">
        <v>147</v>
      </c>
      <c r="C340" s="6" t="s">
        <v>194</v>
      </c>
      <c r="D340" s="7">
        <v>43250</v>
      </c>
      <c r="E340" s="6" t="s">
        <v>5197</v>
      </c>
      <c r="F340" s="8" t="s">
        <v>1867</v>
      </c>
      <c r="G340" s="9">
        <v>300</v>
      </c>
      <c r="H340" s="10">
        <v>13700</v>
      </c>
      <c r="I340" s="11">
        <f t="shared" si="48"/>
        <v>4110000</v>
      </c>
      <c r="J340" s="12" t="s">
        <v>5078</v>
      </c>
      <c r="K340" s="3">
        <f>SUMIF(收发货!A:A,采购合同!A:A,收发货!D:D)</f>
        <v>300</v>
      </c>
      <c r="L340" s="3">
        <f>SUMIF(收开票!A:A,采购合同!A:A,收开票!H:H)</f>
        <v>300</v>
      </c>
      <c r="M340" s="1">
        <f>SUMIF(收开票!A:A,采购合同!A:A,收开票!I:I)</f>
        <v>4110000</v>
      </c>
      <c r="N340" s="2">
        <f>SUMIF(收付款!A:A,采购合同!A:A,收付款!E:E)</f>
        <v>4110000</v>
      </c>
      <c r="O340" s="2">
        <f t="shared" si="49"/>
        <v>0</v>
      </c>
      <c r="P340" s="90"/>
      <c r="Q340" s="1"/>
      <c r="R340" s="5"/>
      <c r="S340" s="4"/>
    </row>
    <row r="341" spans="1:19" ht="41.25" hidden="1" customHeight="1">
      <c r="A341" s="13" t="s">
        <v>5203</v>
      </c>
      <c r="B341" s="6" t="s">
        <v>147</v>
      </c>
      <c r="C341" s="6" t="s">
        <v>194</v>
      </c>
      <c r="D341" s="7">
        <v>43252</v>
      </c>
      <c r="E341" s="6" t="s">
        <v>4720</v>
      </c>
      <c r="F341" s="8" t="s">
        <v>1867</v>
      </c>
      <c r="G341" s="9">
        <v>64</v>
      </c>
      <c r="H341" s="10">
        <v>13400</v>
      </c>
      <c r="I341" s="11">
        <f>G341*H341</f>
        <v>857600</v>
      </c>
      <c r="J341" s="12" t="s">
        <v>5082</v>
      </c>
      <c r="K341" s="3">
        <f>SUMIF(收发货!A:A,采购合同!A:A,收发货!D:D)</f>
        <v>64</v>
      </c>
      <c r="L341" s="3">
        <f>SUMIF(收开票!A:A,采购合同!A:A,收开票!H:H)</f>
        <v>64</v>
      </c>
      <c r="M341" s="1">
        <f>SUMIF(收开票!A:A,采购合同!A:A,收开票!I:I)</f>
        <v>857600</v>
      </c>
      <c r="N341" s="2">
        <f>SUMIF(收付款!A:A,采购合同!A:A,收付款!E:E)</f>
        <v>857600</v>
      </c>
      <c r="O341" s="2">
        <f t="shared" si="49"/>
        <v>0</v>
      </c>
      <c r="P341" s="90"/>
      <c r="Q341" s="1"/>
      <c r="R341" s="5"/>
      <c r="S341" s="4"/>
    </row>
    <row r="342" spans="1:19" s="483" customFormat="1" ht="41.25" hidden="1" customHeight="1">
      <c r="A342" s="471" t="s">
        <v>5256</v>
      </c>
      <c r="B342" s="472" t="s">
        <v>5257</v>
      </c>
      <c r="C342" s="472" t="s">
        <v>5258</v>
      </c>
      <c r="D342" s="473">
        <v>43255</v>
      </c>
      <c r="E342" s="472" t="s">
        <v>5259</v>
      </c>
      <c r="F342" s="473" t="s">
        <v>5260</v>
      </c>
      <c r="G342" s="474">
        <v>96</v>
      </c>
      <c r="H342" s="475">
        <v>13300</v>
      </c>
      <c r="I342" s="476">
        <f t="shared" si="48"/>
        <v>1276800</v>
      </c>
      <c r="J342" s="477" t="s">
        <v>5261</v>
      </c>
      <c r="K342" s="478">
        <f>SUMIF(收发货!A:A,采购合同!A:A,收发货!D:D)</f>
        <v>0</v>
      </c>
      <c r="L342" s="478">
        <f>SUMIF(收开票!A:A,采购合同!A:A,收开票!H:H)</f>
        <v>0</v>
      </c>
      <c r="M342" s="479">
        <f>SUMIF(收开票!A:A,采购合同!A:A,收开票!I:I)</f>
        <v>0</v>
      </c>
      <c r="N342" s="479">
        <f>SUMIF(收付款!A:A,采购合同!A:A,收付款!E:E)</f>
        <v>0</v>
      </c>
      <c r="O342" s="479">
        <f>K342*H342-N342</f>
        <v>0</v>
      </c>
      <c r="P342" s="480"/>
      <c r="Q342" s="479"/>
      <c r="R342" s="481"/>
      <c r="S342" s="482"/>
    </row>
    <row r="343" spans="1:19" ht="24.95" hidden="1" customHeight="1">
      <c r="A343" s="13" t="s">
        <v>5226</v>
      </c>
      <c r="B343" s="6" t="s">
        <v>127</v>
      </c>
      <c r="C343" s="6" t="s">
        <v>3263</v>
      </c>
      <c r="D343" s="7">
        <v>43243</v>
      </c>
      <c r="E343" s="6" t="s">
        <v>875</v>
      </c>
      <c r="F343" s="8" t="s">
        <v>876</v>
      </c>
      <c r="G343" s="9">
        <v>200</v>
      </c>
      <c r="H343" s="10">
        <v>1355</v>
      </c>
      <c r="I343" s="11">
        <f t="shared" ref="I343:I349" si="50">G343*H343</f>
        <v>271000</v>
      </c>
      <c r="J343" s="12" t="s">
        <v>877</v>
      </c>
      <c r="K343" s="3">
        <f>SUMIF(收发货!A:A,采购合同!A:A,收发货!D:D)</f>
        <v>200</v>
      </c>
      <c r="L343" s="3">
        <f>SUMIF(收开票!A:A,采购合同!A:A,收开票!H:H)</f>
        <v>200</v>
      </c>
      <c r="M343" s="1">
        <f>SUMIF(收开票!A:A,采购合同!A:A,收开票!I:I)</f>
        <v>271000</v>
      </c>
      <c r="N343" s="2">
        <f>SUMIF(收付款!A:A,采购合同!A:A,收付款!E:E)</f>
        <v>271000</v>
      </c>
      <c r="O343" s="2">
        <f>M343-N343</f>
        <v>0</v>
      </c>
      <c r="P343" s="90"/>
      <c r="Q343" s="1"/>
      <c r="R343" s="5"/>
      <c r="S343" s="4"/>
    </row>
    <row r="344" spans="1:19" ht="60" hidden="1">
      <c r="A344" s="13" t="s">
        <v>5446</v>
      </c>
      <c r="B344" s="6" t="s">
        <v>217</v>
      </c>
      <c r="C344" s="6" t="s">
        <v>2761</v>
      </c>
      <c r="D344" s="7">
        <v>43262</v>
      </c>
      <c r="E344" s="6" t="s">
        <v>5170</v>
      </c>
      <c r="F344" s="8" t="s">
        <v>5171</v>
      </c>
      <c r="G344" s="9">
        <v>15000</v>
      </c>
      <c r="H344" s="10">
        <v>1285</v>
      </c>
      <c r="I344" s="11">
        <f t="shared" si="50"/>
        <v>19275000</v>
      </c>
      <c r="J344" s="12" t="s">
        <v>4799</v>
      </c>
      <c r="K344" s="3">
        <f>SUMIF(收发货!A:A,采购合同!A:A,收发货!D:D)</f>
        <v>16000</v>
      </c>
      <c r="L344" s="3">
        <f>SUMIF(收开票!A:A,采购合同!A:A,收开票!H:H)</f>
        <v>15541.83</v>
      </c>
      <c r="M344" s="1">
        <f>SUMIF(收开票!A:A,采购合同!A:A,收开票!I:I)</f>
        <v>19971250.969999999</v>
      </c>
      <c r="N344" s="2">
        <f>SUMIF(收付款!A:A,采购合同!A:A,收付款!E:E)</f>
        <v>19971250.969999999</v>
      </c>
      <c r="O344" s="2">
        <f t="shared" ref="O344:O348" si="51">M344-N344</f>
        <v>0</v>
      </c>
      <c r="P344" s="90"/>
      <c r="Q344" s="1"/>
      <c r="R344" s="5"/>
      <c r="S344" s="4"/>
    </row>
    <row r="345" spans="1:19" ht="24.95" hidden="1" customHeight="1">
      <c r="A345" s="13" t="s">
        <v>5369</v>
      </c>
      <c r="B345" s="6" t="s">
        <v>5173</v>
      </c>
      <c r="C345" s="6" t="s">
        <v>3376</v>
      </c>
      <c r="D345" s="7">
        <v>43264</v>
      </c>
      <c r="E345" s="6" t="s">
        <v>5174</v>
      </c>
      <c r="F345" s="8" t="s">
        <v>5175</v>
      </c>
      <c r="G345" s="9">
        <v>40</v>
      </c>
      <c r="H345" s="10">
        <v>1415</v>
      </c>
      <c r="I345" s="11">
        <f t="shared" si="50"/>
        <v>56600</v>
      </c>
      <c r="J345" s="12" t="s">
        <v>5176</v>
      </c>
      <c r="K345" s="3">
        <f>SUMIF(收发货!A:A,采购合同!A:A,收发货!D:D)</f>
        <v>40</v>
      </c>
      <c r="L345" s="3">
        <f>SUMIF(收开票!A:A,采购合同!A:A,收开票!H:H)</f>
        <v>40</v>
      </c>
      <c r="M345" s="1">
        <f>SUMIF(收开票!A:A,采购合同!A:A,收开票!I:I)</f>
        <v>56600</v>
      </c>
      <c r="N345" s="2">
        <f>SUMIF(收付款!A:A,采购合同!A:A,收付款!E:E)</f>
        <v>56600</v>
      </c>
      <c r="O345" s="2">
        <f t="shared" si="51"/>
        <v>0</v>
      </c>
      <c r="P345" s="90"/>
      <c r="Q345" s="1"/>
      <c r="R345" s="5"/>
      <c r="S345" s="4"/>
    </row>
    <row r="346" spans="1:19" ht="24.95" hidden="1" customHeight="1">
      <c r="A346" s="13" t="s">
        <v>5384</v>
      </c>
      <c r="B346" s="6" t="s">
        <v>5173</v>
      </c>
      <c r="C346" s="6" t="s">
        <v>3376</v>
      </c>
      <c r="D346" s="7">
        <v>43264</v>
      </c>
      <c r="E346" s="6" t="s">
        <v>5174</v>
      </c>
      <c r="F346" s="8" t="s">
        <v>5175</v>
      </c>
      <c r="G346" s="9">
        <v>200</v>
      </c>
      <c r="H346" s="10">
        <v>1346</v>
      </c>
      <c r="I346" s="11">
        <f t="shared" si="50"/>
        <v>269200</v>
      </c>
      <c r="J346" s="12" t="s">
        <v>5386</v>
      </c>
      <c r="K346" s="3">
        <f>SUMIF(收发货!A:A,采购合同!A:A,收发货!D:D)</f>
        <v>200</v>
      </c>
      <c r="L346" s="3">
        <f>SUMIF(收开票!A:A,采购合同!A:A,收开票!H:H)</f>
        <v>200</v>
      </c>
      <c r="M346" s="1">
        <f>SUMIF(收开票!A:A,采购合同!A:A,收开票!I:I)</f>
        <v>269200</v>
      </c>
      <c r="N346" s="2">
        <f>SUMIF(收付款!A:A,采购合同!A:A,收付款!E:E)</f>
        <v>269200</v>
      </c>
      <c r="O346" s="2">
        <f t="shared" si="51"/>
        <v>0</v>
      </c>
      <c r="P346" s="90"/>
      <c r="Q346" s="1"/>
      <c r="R346" s="5"/>
      <c r="S346" s="4"/>
    </row>
    <row r="347" spans="1:19" ht="24.95" hidden="1" customHeight="1">
      <c r="A347" s="13" t="s">
        <v>5177</v>
      </c>
      <c r="B347" s="6" t="s">
        <v>5173</v>
      </c>
      <c r="C347" s="6" t="s">
        <v>3376</v>
      </c>
      <c r="D347" s="7">
        <v>43264</v>
      </c>
      <c r="E347" s="6" t="s">
        <v>5174</v>
      </c>
      <c r="F347" s="8" t="s">
        <v>5175</v>
      </c>
      <c r="G347" s="9">
        <v>200</v>
      </c>
      <c r="H347" s="10">
        <v>1346</v>
      </c>
      <c r="I347" s="11">
        <f t="shared" si="50"/>
        <v>269200</v>
      </c>
      <c r="J347" s="12" t="s">
        <v>5176</v>
      </c>
      <c r="K347" s="3">
        <f>SUMIF(收发货!A:A,采购合同!A:A,收发货!D:D)</f>
        <v>200</v>
      </c>
      <c r="L347" s="3">
        <f>SUMIF(收开票!A:A,采购合同!A:A,收开票!H:H)</f>
        <v>200</v>
      </c>
      <c r="M347" s="1">
        <f>SUMIF(收开票!A:A,采购合同!A:A,收开票!I:I)</f>
        <v>267000</v>
      </c>
      <c r="N347" s="2">
        <f>SUMIF(收付款!A:A,采购合同!A:A,收付款!E:E)</f>
        <v>267000</v>
      </c>
      <c r="O347" s="2">
        <f t="shared" si="51"/>
        <v>0</v>
      </c>
      <c r="P347" s="90"/>
      <c r="Q347" s="1"/>
      <c r="R347" s="5"/>
      <c r="S347" s="4"/>
    </row>
    <row r="348" spans="1:19" ht="24.95" hidden="1" customHeight="1">
      <c r="A348" s="13" t="s">
        <v>5172</v>
      </c>
      <c r="B348" s="6" t="s">
        <v>5173</v>
      </c>
      <c r="C348" s="6" t="s">
        <v>3376</v>
      </c>
      <c r="D348" s="7">
        <v>43272</v>
      </c>
      <c r="E348" s="6" t="s">
        <v>5174</v>
      </c>
      <c r="F348" s="8" t="s">
        <v>5175</v>
      </c>
      <c r="G348" s="9">
        <v>100</v>
      </c>
      <c r="H348" s="10">
        <v>1335</v>
      </c>
      <c r="I348" s="11">
        <f t="shared" si="50"/>
        <v>133500</v>
      </c>
      <c r="J348" s="12" t="s">
        <v>5176</v>
      </c>
      <c r="K348" s="3">
        <f>SUMIF(收发货!A:A,采购合同!A:A,收发货!D:D)</f>
        <v>100</v>
      </c>
      <c r="L348" s="3">
        <f>SUMIF(收开票!A:A,采购合同!A:A,收开票!H:H)</f>
        <v>100</v>
      </c>
      <c r="M348" s="1">
        <f>SUMIF(收开票!A:A,采购合同!A:A,收开票!I:I)</f>
        <v>133500</v>
      </c>
      <c r="N348" s="2">
        <f>SUMIF(收付款!A:A,采购合同!A:A,收付款!E:E)</f>
        <v>133500</v>
      </c>
      <c r="O348" s="2">
        <f t="shared" si="51"/>
        <v>0</v>
      </c>
      <c r="P348" s="90"/>
      <c r="Q348" s="1"/>
      <c r="R348" s="5"/>
      <c r="S348" s="4"/>
    </row>
    <row r="349" spans="1:19" ht="50.1" hidden="1" customHeight="1">
      <c r="A349" s="13" t="s">
        <v>5420</v>
      </c>
      <c r="B349" s="6" t="s">
        <v>485</v>
      </c>
      <c r="C349" s="6" t="s">
        <v>1</v>
      </c>
      <c r="D349" s="7">
        <v>43266</v>
      </c>
      <c r="E349" s="6" t="s">
        <v>351</v>
      </c>
      <c r="F349" s="8" t="s">
        <v>223</v>
      </c>
      <c r="G349" s="9">
        <v>120</v>
      </c>
      <c r="H349" s="10">
        <v>7085</v>
      </c>
      <c r="I349" s="11">
        <f t="shared" si="50"/>
        <v>850200</v>
      </c>
      <c r="J349" s="12" t="s">
        <v>5419</v>
      </c>
      <c r="K349" s="3">
        <f>SUMIF(收发货!A:A,采购合同!A:A,收发货!D:D)</f>
        <v>128</v>
      </c>
      <c r="L349" s="437">
        <f>SUMIF(收开票!A:A,采购合同!A:A,收开票!H:H)</f>
        <v>131.15700000000001</v>
      </c>
      <c r="M349" s="1">
        <f>SUMIF(收开票!A:A,采购合同!A:A,收开票!I:I)</f>
        <v>946215.05</v>
      </c>
      <c r="N349" s="2">
        <f>SUMIF(收付款!A:A,采购合同!A:A,收付款!E:E)</f>
        <v>946215.05</v>
      </c>
      <c r="O349" s="2">
        <f>M349-N349</f>
        <v>0</v>
      </c>
      <c r="P349" s="90"/>
      <c r="Q349" s="1">
        <v>0</v>
      </c>
      <c r="R349" s="5"/>
      <c r="S349" s="4"/>
    </row>
    <row r="350" spans="1:19" ht="50.1" hidden="1" customHeight="1">
      <c r="A350" s="13" t="s">
        <v>5441</v>
      </c>
      <c r="B350" s="6" t="s">
        <v>485</v>
      </c>
      <c r="C350" s="6" t="s">
        <v>1</v>
      </c>
      <c r="D350" s="7">
        <v>43279</v>
      </c>
      <c r="E350" s="6" t="s">
        <v>351</v>
      </c>
      <c r="F350" s="8" t="s">
        <v>223</v>
      </c>
      <c r="G350" s="9">
        <v>500</v>
      </c>
      <c r="H350" s="10">
        <v>8075</v>
      </c>
      <c r="I350" s="11">
        <f t="shared" ref="I350" si="52">G350*H350</f>
        <v>4037500</v>
      </c>
      <c r="J350" s="12" t="s">
        <v>5214</v>
      </c>
      <c r="K350" s="3">
        <f>SUMIF(收发货!A:A,采购合同!A:A,收发货!D:D)</f>
        <v>228</v>
      </c>
      <c r="L350" s="437">
        <f>SUMIF(收开票!A:A,采购合同!A:A,收开票!H:H)</f>
        <v>233.12100000000001</v>
      </c>
      <c r="M350" s="1">
        <f>SUMIF(收开票!A:A,采购合同!A:A,收开票!I:I)</f>
        <v>1911040.05</v>
      </c>
      <c r="N350" s="2">
        <f>SUMIF(收付款!A:A,采购合同!A:A,收付款!E:E)</f>
        <v>1911040.0500000003</v>
      </c>
      <c r="O350" s="2">
        <f>M350-N350</f>
        <v>0</v>
      </c>
      <c r="P350" s="90"/>
      <c r="Q350" s="1">
        <v>0</v>
      </c>
      <c r="R350" s="5"/>
      <c r="S350" s="4"/>
    </row>
    <row r="351" spans="1:19" ht="41.25" hidden="1" customHeight="1">
      <c r="A351" s="13" t="s">
        <v>5323</v>
      </c>
      <c r="B351" s="6" t="s">
        <v>147</v>
      </c>
      <c r="C351" s="6" t="s">
        <v>194</v>
      </c>
      <c r="D351" s="7">
        <v>43284</v>
      </c>
      <c r="E351" s="6" t="s">
        <v>4720</v>
      </c>
      <c r="F351" s="8" t="s">
        <v>5306</v>
      </c>
      <c r="G351" s="9">
        <v>96</v>
      </c>
      <c r="H351" s="10">
        <v>15950</v>
      </c>
      <c r="I351" s="11">
        <f t="shared" ref="I351:I360" si="53">G351*H351</f>
        <v>1531200</v>
      </c>
      <c r="J351" s="12" t="s">
        <v>5393</v>
      </c>
      <c r="K351" s="3">
        <f>SUMIF(收发货!A:A,采购合同!A:A,收发货!D:D)</f>
        <v>96</v>
      </c>
      <c r="L351" s="3">
        <f>SUMIF(收开票!A:A,采购合同!A:A,收开票!H:H)</f>
        <v>96</v>
      </c>
      <c r="M351" s="1">
        <f>SUMIF(收开票!A:A,采购合同!A:A,收开票!I:I)</f>
        <v>1531200</v>
      </c>
      <c r="N351" s="2">
        <f>SUMIF(收付款!A:A,采购合同!A:A,收付款!E:E)</f>
        <v>1531200</v>
      </c>
      <c r="O351" s="2">
        <f t="shared" ref="O351:O352" si="54">K351*H351-N351</f>
        <v>0</v>
      </c>
      <c r="P351" s="90"/>
      <c r="Q351" s="1"/>
      <c r="R351" s="5"/>
      <c r="S351" s="4"/>
    </row>
    <row r="352" spans="1:19" ht="41.25" hidden="1" customHeight="1">
      <c r="A352" s="13" t="s">
        <v>5255</v>
      </c>
      <c r="B352" s="6" t="s">
        <v>147</v>
      </c>
      <c r="C352" s="6" t="s">
        <v>194</v>
      </c>
      <c r="D352" s="7">
        <v>43284</v>
      </c>
      <c r="E352" s="6" t="s">
        <v>4720</v>
      </c>
      <c r="F352" s="8" t="s">
        <v>5306</v>
      </c>
      <c r="G352" s="9">
        <v>64</v>
      </c>
      <c r="H352" s="10">
        <v>16000</v>
      </c>
      <c r="I352" s="11">
        <f t="shared" si="53"/>
        <v>1024000</v>
      </c>
      <c r="J352" s="12" t="s">
        <v>5082</v>
      </c>
      <c r="K352" s="3">
        <f>SUMIF(收发货!A:A,采购合同!A:A,收发货!D:D)</f>
        <v>64</v>
      </c>
      <c r="L352" s="3">
        <f>SUMIF(收开票!A:A,采购合同!A:A,收开票!H:H)</f>
        <v>64</v>
      </c>
      <c r="M352" s="1">
        <f>SUMIF(收开票!A:A,采购合同!A:A,收开票!I:I)</f>
        <v>1024000</v>
      </c>
      <c r="N352" s="2">
        <f>SUMIF(收付款!A:A,采购合同!A:A,收付款!E:E)</f>
        <v>1024000</v>
      </c>
      <c r="O352" s="2">
        <f t="shared" si="54"/>
        <v>0</v>
      </c>
      <c r="P352" s="90"/>
      <c r="Q352" s="1"/>
      <c r="R352" s="5"/>
      <c r="S352" s="4"/>
    </row>
    <row r="353" spans="1:19" ht="45" hidden="1">
      <c r="A353" s="13" t="s">
        <v>5331</v>
      </c>
      <c r="B353" s="6" t="s">
        <v>217</v>
      </c>
      <c r="C353" s="6" t="s">
        <v>3954</v>
      </c>
      <c r="D353" s="7">
        <v>43191</v>
      </c>
      <c r="E353" s="6" t="s">
        <v>5334</v>
      </c>
      <c r="F353" s="8" t="s">
        <v>223</v>
      </c>
      <c r="G353" s="9">
        <v>275</v>
      </c>
      <c r="H353" s="10">
        <v>1920</v>
      </c>
      <c r="I353" s="11">
        <f t="shared" si="53"/>
        <v>528000</v>
      </c>
      <c r="J353" s="12" t="s">
        <v>3955</v>
      </c>
      <c r="K353" s="3">
        <f>SUMIF(收发货!A:A,采购合同!A:A,收发货!D:D)</f>
        <v>275</v>
      </c>
      <c r="L353" s="3">
        <f>SUMIF(收开票!A:A,采购合同!A:A,收开票!H:H)</f>
        <v>275</v>
      </c>
      <c r="M353" s="1">
        <f>SUMIF(收开票!A:A,采购合同!A:A,收开票!I:I)</f>
        <v>528000</v>
      </c>
      <c r="N353" s="2">
        <f>SUMIF(收付款!A:A,采购合同!A:A,收付款!E:E)</f>
        <v>525713.6</v>
      </c>
      <c r="O353" s="2">
        <f t="shared" ref="O353" si="55">M353-N353</f>
        <v>2286.4000000000233</v>
      </c>
      <c r="P353" s="90"/>
      <c r="Q353" s="1"/>
      <c r="R353" s="5"/>
      <c r="S353" s="4"/>
    </row>
    <row r="354" spans="1:19" ht="41.25" hidden="1" customHeight="1">
      <c r="A354" s="13" t="s">
        <v>5311</v>
      </c>
      <c r="B354" s="6" t="s">
        <v>147</v>
      </c>
      <c r="C354" s="6" t="s">
        <v>194</v>
      </c>
      <c r="D354" s="7">
        <v>43293</v>
      </c>
      <c r="E354" s="6" t="s">
        <v>4720</v>
      </c>
      <c r="F354" s="8" t="s">
        <v>5306</v>
      </c>
      <c r="G354" s="9">
        <v>96</v>
      </c>
      <c r="H354" s="10">
        <v>17800</v>
      </c>
      <c r="I354" s="11">
        <f>G354*H354</f>
        <v>1708800</v>
      </c>
      <c r="J354" s="12" t="s">
        <v>5394</v>
      </c>
      <c r="K354" s="3">
        <f>SUMIF(收发货!A:A,采购合同!A:A,收发货!D:D)</f>
        <v>96</v>
      </c>
      <c r="L354" s="3">
        <f>SUMIF(收开票!A:A,采购合同!A:A,收开票!H:H)</f>
        <v>96</v>
      </c>
      <c r="M354" s="1">
        <f>SUMIF(收开票!A:A,采购合同!A:A,收开票!I:I)</f>
        <v>1708800</v>
      </c>
      <c r="N354" s="2">
        <f>SUMIF(收付款!A:A,采购合同!A:A,收付款!E:E)</f>
        <v>1708800</v>
      </c>
      <c r="O354" s="2">
        <f>K354*H354-N354</f>
        <v>0</v>
      </c>
      <c r="P354" s="90"/>
      <c r="Q354" s="1"/>
      <c r="R354" s="5"/>
      <c r="S354" s="4"/>
    </row>
    <row r="355" spans="1:19" ht="41.25" hidden="1" customHeight="1">
      <c r="A355" s="13" t="s">
        <v>5405</v>
      </c>
      <c r="B355" s="6" t="s">
        <v>147</v>
      </c>
      <c r="C355" s="6" t="s">
        <v>5305</v>
      </c>
      <c r="D355" s="7">
        <v>43301</v>
      </c>
      <c r="E355" s="6" t="s">
        <v>4720</v>
      </c>
      <c r="F355" s="8" t="s">
        <v>5306</v>
      </c>
      <c r="G355" s="9">
        <v>33.579000000000001</v>
      </c>
      <c r="H355" s="10">
        <v>20000</v>
      </c>
      <c r="I355" s="11">
        <f t="shared" si="53"/>
        <v>671580</v>
      </c>
      <c r="J355" s="12" t="s">
        <v>5310</v>
      </c>
      <c r="K355" s="3">
        <f>SUMIF(收发货!A:A,采购合同!A:A,收发货!D:D)</f>
        <v>33.579000000000001</v>
      </c>
      <c r="L355" s="3">
        <f>SUMIF(收开票!A:A,采购合同!A:A,收开票!H:H)</f>
        <v>33.579000000000001</v>
      </c>
      <c r="M355" s="1">
        <f>SUMIF(收开票!A:A,采购合同!A:A,收开票!I:I)</f>
        <v>671580</v>
      </c>
      <c r="N355" s="2">
        <f>SUMIF(收付款!A:A,采购合同!A:A,收付款!E:E)</f>
        <v>671580</v>
      </c>
      <c r="O355" s="2">
        <f>K355*H355-N355</f>
        <v>0</v>
      </c>
      <c r="P355" s="90"/>
      <c r="Q355" s="1"/>
      <c r="R355" s="5"/>
      <c r="S355" s="4"/>
    </row>
    <row r="356" spans="1:19" ht="41.25" hidden="1" customHeight="1">
      <c r="A356" s="13" t="s">
        <v>5451</v>
      </c>
      <c r="B356" s="6" t="s">
        <v>147</v>
      </c>
      <c r="C356" s="6" t="s">
        <v>194</v>
      </c>
      <c r="D356" s="7">
        <v>43304</v>
      </c>
      <c r="E356" s="6" t="s">
        <v>4720</v>
      </c>
      <c r="F356" s="8" t="s">
        <v>5306</v>
      </c>
      <c r="G356" s="9">
        <v>32</v>
      </c>
      <c r="H356" s="10">
        <v>19350</v>
      </c>
      <c r="I356" s="11">
        <f>19620+31.01*H356</f>
        <v>619663.5</v>
      </c>
      <c r="J356" s="12" t="s">
        <v>5458</v>
      </c>
      <c r="K356" s="3">
        <f>SUMIF(收发货!A:A,采购合同!A:A,收发货!D:D)</f>
        <v>32</v>
      </c>
      <c r="L356" s="3">
        <f>SUMIF(收开票!A:A,采购合同!A:A,收开票!H:H)</f>
        <v>32</v>
      </c>
      <c r="M356" s="1">
        <f>SUMIF(收开票!A:A,采购合同!A:A,收开票!I:I)</f>
        <v>619663.5</v>
      </c>
      <c r="N356" s="2">
        <f>SUMIF(收付款!A:A,采购合同!A:A,收付款!E:E)</f>
        <v>619663.5</v>
      </c>
      <c r="O356" s="2">
        <f>I356-N356</f>
        <v>0</v>
      </c>
      <c r="P356" s="90"/>
      <c r="Q356" s="1"/>
      <c r="R356" s="5"/>
      <c r="S356" s="4"/>
    </row>
    <row r="357" spans="1:19" ht="60" hidden="1">
      <c r="A357" s="13" t="s">
        <v>5453</v>
      </c>
      <c r="B357" s="6" t="s">
        <v>217</v>
      </c>
      <c r="C357" s="6" t="s">
        <v>4219</v>
      </c>
      <c r="D357" s="7">
        <v>43283</v>
      </c>
      <c r="E357" s="6" t="s">
        <v>4220</v>
      </c>
      <c r="F357" s="8" t="s">
        <v>5335</v>
      </c>
      <c r="G357" s="9">
        <v>150</v>
      </c>
      <c r="H357" s="10">
        <v>2797.2</v>
      </c>
      <c r="I357" s="11">
        <f t="shared" si="53"/>
        <v>419580</v>
      </c>
      <c r="J357" s="12" t="s">
        <v>5336</v>
      </c>
      <c r="K357" s="3">
        <f>SUMIF(收发货!A:A,采购合同!A:A,收发货!D:D)</f>
        <v>152.53</v>
      </c>
      <c r="L357" s="3">
        <f>SUMIF(收开票!A:A,采购合同!A:A,收开票!H:H)</f>
        <v>152.53</v>
      </c>
      <c r="M357" s="1">
        <f>SUMIF(收开票!A:A,采购合同!A:A,收开票!I:I)</f>
        <v>423228.92</v>
      </c>
      <c r="N357" s="2">
        <f>SUMIF(收付款!A:A,采购合同!A:A,收付款!E:E)</f>
        <v>423228.92</v>
      </c>
      <c r="O357" s="2">
        <f>M357-N357</f>
        <v>0</v>
      </c>
      <c r="P357" s="90"/>
      <c r="Q357" s="1"/>
      <c r="R357" s="5"/>
      <c r="S357" s="4"/>
    </row>
    <row r="358" spans="1:19" ht="24.95" hidden="1" customHeight="1">
      <c r="A358" s="13" t="s">
        <v>5368</v>
      </c>
      <c r="B358" s="6" t="s">
        <v>127</v>
      </c>
      <c r="C358" s="6" t="s">
        <v>3263</v>
      </c>
      <c r="D358" s="7">
        <v>43304</v>
      </c>
      <c r="E358" s="6" t="s">
        <v>875</v>
      </c>
      <c r="F358" s="8" t="s">
        <v>876</v>
      </c>
      <c r="G358" s="9">
        <v>40</v>
      </c>
      <c r="H358" s="10">
        <v>1380</v>
      </c>
      <c r="I358" s="11">
        <f t="shared" si="53"/>
        <v>55200</v>
      </c>
      <c r="J358" s="12" t="s">
        <v>877</v>
      </c>
      <c r="K358" s="3">
        <f>SUMIF(收发货!A:A,采购合同!A:A,收发货!D:D)</f>
        <v>40</v>
      </c>
      <c r="L358" s="3">
        <f>SUMIF(收开票!A:A,采购合同!A:A,收开票!H:H)</f>
        <v>40</v>
      </c>
      <c r="M358" s="1">
        <f>SUMIF(收开票!A:A,采购合同!A:A,收开票!I:I)</f>
        <v>55200</v>
      </c>
      <c r="N358" s="2">
        <f>SUMIF(收付款!A:A,采购合同!A:A,收付款!E:E)</f>
        <v>55200</v>
      </c>
      <c r="O358" s="2">
        <f>M358-N358</f>
        <v>0</v>
      </c>
      <c r="P358" s="90"/>
      <c r="Q358" s="1"/>
      <c r="R358" s="5"/>
      <c r="S358" s="4"/>
    </row>
    <row r="359" spans="1:19" ht="41.25" hidden="1" customHeight="1">
      <c r="A359" s="13" t="s">
        <v>5539</v>
      </c>
      <c r="B359" s="6" t="s">
        <v>147</v>
      </c>
      <c r="C359" s="6" t="s">
        <v>194</v>
      </c>
      <c r="D359" s="7">
        <v>43346</v>
      </c>
      <c r="E359" s="6" t="s">
        <v>4720</v>
      </c>
      <c r="F359" s="8" t="s">
        <v>734</v>
      </c>
      <c r="G359" s="9">
        <v>200</v>
      </c>
      <c r="H359" s="10">
        <v>17400</v>
      </c>
      <c r="I359" s="11">
        <f t="shared" si="53"/>
        <v>3480000</v>
      </c>
      <c r="J359" s="12" t="s">
        <v>5474</v>
      </c>
      <c r="K359" s="3">
        <f>SUMIF(收发货!A:A,采购合同!A:A,收发货!D:D)</f>
        <v>200</v>
      </c>
      <c r="L359" s="3">
        <f>SUMIF(收开票!A:A,采购合同!A:A,收开票!H:H)</f>
        <v>200</v>
      </c>
      <c r="M359" s="1">
        <f>SUMIF(收开票!A:A,采购合同!A:A,收开票!I:I)</f>
        <v>3480000</v>
      </c>
      <c r="N359" s="2">
        <f>SUMIF(收付款!A:A,采购合同!A:A,收付款!E:E)</f>
        <v>3480000</v>
      </c>
      <c r="O359" s="2">
        <f>I359-N359</f>
        <v>0</v>
      </c>
      <c r="P359" s="90"/>
      <c r="Q359" s="1"/>
      <c r="R359" s="5"/>
      <c r="S359" s="4"/>
    </row>
    <row r="360" spans="1:19" ht="60" hidden="1">
      <c r="A360" s="13" t="s">
        <v>5487</v>
      </c>
      <c r="B360" s="6" t="s">
        <v>217</v>
      </c>
      <c r="C360" s="6" t="s">
        <v>2761</v>
      </c>
      <c r="D360" s="7">
        <v>43354</v>
      </c>
      <c r="E360" s="6" t="s">
        <v>5512</v>
      </c>
      <c r="F360" s="8" t="s">
        <v>734</v>
      </c>
      <c r="G360" s="9">
        <v>15000</v>
      </c>
      <c r="H360" s="10">
        <v>1349</v>
      </c>
      <c r="I360" s="11">
        <f t="shared" si="53"/>
        <v>20235000</v>
      </c>
      <c r="J360" s="12" t="s">
        <v>5478</v>
      </c>
      <c r="K360" s="3">
        <f>SUMIF(收发货!A:A,采购合同!A:A,收发货!D:D)</f>
        <v>13993.466</v>
      </c>
      <c r="L360" s="3">
        <f>SUMIF(收开票!A:A,采购合同!A:A,收开票!H:H)</f>
        <v>13993.466</v>
      </c>
      <c r="M360" s="1">
        <f>SUMIF(收开票!A:A,采购合同!A:A,收开票!I:I)</f>
        <v>18877185.629999999</v>
      </c>
      <c r="N360" s="2">
        <f>SUMIF(收付款!A:A,采购合同!A:A,收付款!E:E)</f>
        <v>18877185.629999999</v>
      </c>
      <c r="O360" s="2">
        <f t="shared" ref="O360" si="56">M360-N360</f>
        <v>0</v>
      </c>
      <c r="P360" s="90"/>
      <c r="Q360" s="1"/>
      <c r="R360" s="5"/>
      <c r="S360" s="4"/>
    </row>
    <row r="361" spans="1:19" ht="41.25" hidden="1" customHeight="1">
      <c r="A361" s="13" t="s">
        <v>5537</v>
      </c>
      <c r="B361" s="6" t="s">
        <v>147</v>
      </c>
      <c r="C361" s="6" t="s">
        <v>194</v>
      </c>
      <c r="D361" s="7">
        <v>43373</v>
      </c>
      <c r="E361" s="6" t="s">
        <v>4720</v>
      </c>
      <c r="F361" s="8" t="s">
        <v>223</v>
      </c>
      <c r="G361" s="9">
        <v>64</v>
      </c>
      <c r="H361" s="10">
        <v>18250</v>
      </c>
      <c r="I361" s="11">
        <f t="shared" ref="I361:I362" si="57">G361*H361</f>
        <v>1168000</v>
      </c>
      <c r="J361" s="12" t="s">
        <v>5078</v>
      </c>
      <c r="K361" s="3">
        <f>SUMIF(收发货!A:A,采购合同!A:A,收发货!D:D)</f>
        <v>64</v>
      </c>
      <c r="L361" s="3">
        <f>SUMIF(收开票!A:A,采购合同!A:A,收开票!H:H)</f>
        <v>64</v>
      </c>
      <c r="M361" s="1">
        <f>SUMIF(收开票!A:A,采购合同!A:A,收开票!I:I)</f>
        <v>1168000</v>
      </c>
      <c r="N361" s="2">
        <f>SUMIF(收付款!A:A,采购合同!A:A,收付款!E:E)</f>
        <v>1168000</v>
      </c>
      <c r="O361" s="2">
        <f>I361-N361</f>
        <v>0</v>
      </c>
      <c r="P361" s="90"/>
      <c r="Q361" s="1"/>
      <c r="R361" s="5"/>
      <c r="S361" s="4"/>
    </row>
    <row r="362" spans="1:19" ht="60" hidden="1">
      <c r="A362" s="13" t="s">
        <v>5531</v>
      </c>
      <c r="B362" s="6" t="s">
        <v>217</v>
      </c>
      <c r="C362" s="6" t="s">
        <v>2761</v>
      </c>
      <c r="D362" s="7">
        <v>43389</v>
      </c>
      <c r="E362" s="6" t="s">
        <v>5512</v>
      </c>
      <c r="F362" s="8" t="s">
        <v>223</v>
      </c>
      <c r="G362" s="9">
        <v>12000</v>
      </c>
      <c r="H362" s="10">
        <v>1322</v>
      </c>
      <c r="I362" s="11">
        <f t="shared" si="57"/>
        <v>15864000</v>
      </c>
      <c r="J362" s="12" t="s">
        <v>4799</v>
      </c>
      <c r="K362" s="3">
        <f>SUMIF(收发货!A:A,采购合同!A:A,收发货!D:D)</f>
        <v>13005</v>
      </c>
      <c r="L362" s="3">
        <f>SUMIF(收开票!A:A,采购合同!A:A,收开票!H:H)</f>
        <v>12901.550999999999</v>
      </c>
      <c r="M362" s="1">
        <f>SUMIF(收开票!A:A,采购合同!A:A,收开票!I:I)</f>
        <v>17055850.420000002</v>
      </c>
      <c r="N362" s="2">
        <f>SUMIF(收付款!A:A,采购合同!A:A,收付款!E:E)</f>
        <v>17055850.420000002</v>
      </c>
      <c r="O362" s="2">
        <f>M362-N362</f>
        <v>0</v>
      </c>
      <c r="P362" s="90"/>
      <c r="Q362" s="1"/>
      <c r="R362" s="5"/>
      <c r="S362" s="4"/>
    </row>
    <row r="363" spans="1:19" ht="41.25" hidden="1" customHeight="1">
      <c r="A363" s="13" t="s">
        <v>5526</v>
      </c>
      <c r="B363" s="6" t="s">
        <v>147</v>
      </c>
      <c r="C363" s="6" t="s">
        <v>194</v>
      </c>
      <c r="D363" s="7">
        <v>43398</v>
      </c>
      <c r="E363" s="6" t="s">
        <v>5545</v>
      </c>
      <c r="F363" s="8" t="s">
        <v>223</v>
      </c>
      <c r="G363" s="9">
        <v>32</v>
      </c>
      <c r="H363" s="10">
        <v>17000</v>
      </c>
      <c r="I363" s="11">
        <f t="shared" ref="I363" si="58">G363*H363</f>
        <v>544000</v>
      </c>
      <c r="J363" s="12" t="s">
        <v>5527</v>
      </c>
      <c r="K363" s="3">
        <f>SUMIF(收发货!A:A,采购合同!A:A,收发货!D:D)</f>
        <v>32</v>
      </c>
      <c r="L363" s="3">
        <f>SUMIF(收开票!A:A,采购合同!A:A,收开票!H:H)</f>
        <v>32</v>
      </c>
      <c r="M363" s="1">
        <f>SUMIF(收开票!A:A,采购合同!A:A,收开票!I:I)</f>
        <v>544000</v>
      </c>
      <c r="N363" s="2">
        <f>SUMIF(收付款!A:A,采购合同!A:A,收付款!E:E)</f>
        <v>544000</v>
      </c>
      <c r="O363" s="2">
        <f>I363-N363</f>
        <v>0</v>
      </c>
      <c r="P363" s="90"/>
      <c r="Q363" s="1"/>
      <c r="R363" s="5"/>
      <c r="S363" s="4"/>
    </row>
    <row r="364" spans="1:19" ht="41.25" hidden="1" customHeight="1">
      <c r="A364" s="13" t="s">
        <v>5550</v>
      </c>
      <c r="B364" s="6" t="s">
        <v>147</v>
      </c>
      <c r="C364" s="6" t="s">
        <v>194</v>
      </c>
      <c r="D364" s="7">
        <v>43404</v>
      </c>
      <c r="E364" s="6" t="s">
        <v>4720</v>
      </c>
      <c r="F364" s="8" t="s">
        <v>223</v>
      </c>
      <c r="G364" s="9">
        <v>350</v>
      </c>
      <c r="H364" s="10">
        <v>15650</v>
      </c>
      <c r="I364" s="11">
        <f t="shared" ref="I364" si="59">G364*H364</f>
        <v>5477500</v>
      </c>
      <c r="J364" s="12" t="s">
        <v>5527</v>
      </c>
      <c r="K364" s="3">
        <f>SUMIF(收发货!A:A,采购合同!A:A,收发货!D:D)</f>
        <v>350</v>
      </c>
      <c r="L364" s="3">
        <f>SUMIF(收开票!A:A,采购合同!A:A,收开票!H:H)</f>
        <v>128</v>
      </c>
      <c r="M364" s="1">
        <f>SUMIF(收开票!A:A,采购合同!A:A,收开票!I:I)</f>
        <v>2003200</v>
      </c>
      <c r="N364" s="2">
        <f>SUMIF(收付款!A:A,采购合同!A:A,收付款!E:E)</f>
        <v>5477500</v>
      </c>
      <c r="O364" s="2">
        <f>I364-N364</f>
        <v>0</v>
      </c>
      <c r="P364" s="90"/>
      <c r="Q364" s="1"/>
      <c r="R364" s="5"/>
      <c r="S364" s="4"/>
    </row>
    <row r="365" spans="1:19" ht="41.25" hidden="1" customHeight="1">
      <c r="A365" s="13" t="s">
        <v>5558</v>
      </c>
      <c r="B365" s="6" t="s">
        <v>147</v>
      </c>
      <c r="C365" s="6" t="s">
        <v>194</v>
      </c>
      <c r="D365" s="7">
        <v>43430</v>
      </c>
      <c r="E365" s="6" t="s">
        <v>4720</v>
      </c>
      <c r="F365" s="8" t="s">
        <v>223</v>
      </c>
      <c r="G365" s="9">
        <v>464</v>
      </c>
      <c r="H365" s="10">
        <v>12950</v>
      </c>
      <c r="I365" s="11">
        <f t="shared" ref="I365" si="60">G365*H365</f>
        <v>6008800</v>
      </c>
      <c r="J365" s="12" t="s">
        <v>5527</v>
      </c>
      <c r="K365" s="3">
        <f>SUMIF(收发货!A:A,采购合同!A:A,收发货!D:D)</f>
        <v>464</v>
      </c>
      <c r="L365" s="3">
        <f>SUMIF(收开票!A:A,采购合同!A:A,收开票!H:H)</f>
        <v>464</v>
      </c>
      <c r="M365" s="1">
        <f>SUMIF(收开票!A:A,采购合同!A:A,收开票!I:I)</f>
        <v>6008800</v>
      </c>
      <c r="N365" s="2">
        <f>SUMIF(收付款!A:A,采购合同!A:A,收付款!E:E)</f>
        <v>6008800</v>
      </c>
      <c r="O365" s="2">
        <f>I365-N365</f>
        <v>0</v>
      </c>
      <c r="P365" s="90"/>
      <c r="Q365" s="1"/>
      <c r="R365" s="5"/>
      <c r="S365" s="4"/>
    </row>
    <row r="366" spans="1:19" ht="41.25" hidden="1" customHeight="1">
      <c r="A366" s="13" t="s">
        <v>5564</v>
      </c>
      <c r="B366" s="6" t="s">
        <v>147</v>
      </c>
      <c r="C366" s="6" t="s">
        <v>194</v>
      </c>
      <c r="D366" s="7">
        <v>43438</v>
      </c>
      <c r="E366" s="6" t="s">
        <v>4720</v>
      </c>
      <c r="F366" s="8" t="s">
        <v>223</v>
      </c>
      <c r="G366" s="9">
        <v>96</v>
      </c>
      <c r="H366" s="10">
        <v>13200</v>
      </c>
      <c r="I366" s="11">
        <f>G366*H366</f>
        <v>1267200</v>
      </c>
      <c r="J366" s="12" t="s">
        <v>5581</v>
      </c>
      <c r="K366" s="3">
        <f>SUMIF(收发货!A:A,采购合同!A:A,收发货!D:D)</f>
        <v>96</v>
      </c>
      <c r="L366" s="3">
        <f>SUMIF(收开票!A:A,采购合同!A:A,收开票!H:H)</f>
        <v>96</v>
      </c>
      <c r="M366" s="1">
        <f>SUMIF(收开票!A:A,采购合同!A:A,收开票!I:I)</f>
        <v>1267200</v>
      </c>
      <c r="N366" s="2">
        <f>SUMIF(收付款!A:A,采购合同!A:A,收付款!E:E)</f>
        <v>1267200</v>
      </c>
      <c r="O366" s="2">
        <f>I366-N366</f>
        <v>0</v>
      </c>
      <c r="P366" s="90"/>
      <c r="Q366" s="1"/>
      <c r="R366" s="5"/>
      <c r="S366" s="4"/>
    </row>
    <row r="367" spans="1:19" ht="60" hidden="1">
      <c r="A367" s="13" t="s">
        <v>5582</v>
      </c>
      <c r="B367" s="6" t="s">
        <v>217</v>
      </c>
      <c r="C367" s="6" t="s">
        <v>2761</v>
      </c>
      <c r="D367" s="7">
        <v>43458</v>
      </c>
      <c r="E367" s="6" t="s">
        <v>2797</v>
      </c>
      <c r="F367" s="8" t="s">
        <v>223</v>
      </c>
      <c r="G367" s="9">
        <v>20000</v>
      </c>
      <c r="H367" s="10">
        <v>1172</v>
      </c>
      <c r="I367" s="11">
        <f t="shared" ref="I367" si="61">G367*H367</f>
        <v>23440000</v>
      </c>
      <c r="J367" s="12" t="s">
        <v>4799</v>
      </c>
      <c r="K367" s="3">
        <f>SUMIF(收发货!A:A,采购合同!A:A,收发货!D:D)</f>
        <v>21994</v>
      </c>
      <c r="L367" s="3">
        <f>SUMIF(收开票!A:A,采购合同!A:A,收开票!H:H)</f>
        <v>21294.190999999999</v>
      </c>
      <c r="M367" s="1">
        <f>SUMIF(收开票!A:A,采购合同!A:A,收开票!I:I)</f>
        <v>24743849.940000001</v>
      </c>
      <c r="N367" s="2">
        <f>SUMIF(收付款!A:A,采购合同!A:A,收付款!E:E)</f>
        <v>24743849.940000001</v>
      </c>
      <c r="O367" s="2">
        <f>M367-N367</f>
        <v>0</v>
      </c>
      <c r="P367" s="90"/>
      <c r="Q367" s="1"/>
      <c r="R367" s="5"/>
      <c r="S367" s="4"/>
    </row>
    <row r="368" spans="1:19" ht="41.25" customHeight="1">
      <c r="A368" s="13" t="s">
        <v>5596</v>
      </c>
      <c r="B368" s="6" t="s">
        <v>147</v>
      </c>
      <c r="C368" s="6" t="s">
        <v>194</v>
      </c>
      <c r="D368" s="7">
        <v>43467</v>
      </c>
      <c r="E368" s="6" t="s">
        <v>4720</v>
      </c>
      <c r="F368" s="8" t="s">
        <v>5616</v>
      </c>
      <c r="G368" s="497">
        <v>300</v>
      </c>
      <c r="H368" s="10">
        <v>13550</v>
      </c>
      <c r="I368" s="11">
        <f t="shared" ref="I368:I370" si="62">G368*H368</f>
        <v>4065000</v>
      </c>
      <c r="J368" s="12" t="s">
        <v>5581</v>
      </c>
      <c r="K368" s="3">
        <f>SUMIF(收发货!A:A,采购合同!A:A,收发货!D:D)</f>
        <v>300</v>
      </c>
      <c r="L368" s="3">
        <f>SUMIF(收开票!A:A,采购合同!A:A,收开票!H:H)</f>
        <v>300</v>
      </c>
      <c r="M368" s="1">
        <f>SUMIF(收开票!A:A,采购合同!A:A,收开票!I:I)</f>
        <v>4065000</v>
      </c>
      <c r="N368" s="2">
        <f>SUMIF(收付款!A:A,采购合同!A:A,收付款!E:E)</f>
        <v>4065000</v>
      </c>
      <c r="O368" s="2">
        <f t="shared" ref="O368:O369" si="63">I368-N368</f>
        <v>0</v>
      </c>
      <c r="P368" s="90"/>
      <c r="Q368" s="1"/>
      <c r="R368" s="5"/>
      <c r="S368" s="4"/>
    </row>
    <row r="369" spans="1:19" ht="41.25" customHeight="1">
      <c r="A369" s="13" t="s">
        <v>5597</v>
      </c>
      <c r="B369" s="6" t="s">
        <v>147</v>
      </c>
      <c r="C369" s="6" t="s">
        <v>194</v>
      </c>
      <c r="D369" s="7">
        <v>43467</v>
      </c>
      <c r="E369" s="6" t="s">
        <v>4720</v>
      </c>
      <c r="F369" s="8" t="s">
        <v>5616</v>
      </c>
      <c r="G369" s="497">
        <v>300</v>
      </c>
      <c r="H369" s="10">
        <v>13500</v>
      </c>
      <c r="I369" s="11">
        <f t="shared" si="62"/>
        <v>4050000</v>
      </c>
      <c r="J369" s="12" t="s">
        <v>5581</v>
      </c>
      <c r="K369" s="3">
        <f>SUMIF(收发货!A:A,采购合同!A:A,收发货!D:D)</f>
        <v>300</v>
      </c>
      <c r="L369" s="3">
        <f>SUMIF(收开票!A:A,采购合同!A:A,收开票!H:H)</f>
        <v>300</v>
      </c>
      <c r="M369" s="1">
        <f>SUMIF(收开票!A:A,采购合同!A:A,收开票!I:I)</f>
        <v>4050000</v>
      </c>
      <c r="N369" s="2">
        <f>SUMIF(收付款!A:A,采购合同!A:A,收付款!E:E)</f>
        <v>4050000</v>
      </c>
      <c r="O369" s="2">
        <f t="shared" si="63"/>
        <v>0</v>
      </c>
      <c r="P369" s="90"/>
      <c r="Q369" s="1"/>
      <c r="R369" s="5"/>
      <c r="S369" s="4"/>
    </row>
    <row r="370" spans="1:19" ht="50.1" hidden="1" customHeight="1">
      <c r="A370" s="13" t="s">
        <v>5602</v>
      </c>
      <c r="B370" s="6" t="s">
        <v>485</v>
      </c>
      <c r="C370" s="6" t="s">
        <v>1</v>
      </c>
      <c r="D370" s="7">
        <v>43444</v>
      </c>
      <c r="E370" s="6" t="s">
        <v>5599</v>
      </c>
      <c r="F370" s="8" t="s">
        <v>223</v>
      </c>
      <c r="G370" s="9">
        <v>260</v>
      </c>
      <c r="H370" s="10">
        <v>8627</v>
      </c>
      <c r="I370" s="11">
        <f t="shared" si="62"/>
        <v>2243020</v>
      </c>
      <c r="J370" s="12" t="s">
        <v>5600</v>
      </c>
      <c r="K370" s="3">
        <f>SUMIF(收发货!A:A,采购合同!A:A,收发货!D:D)</f>
        <v>267</v>
      </c>
      <c r="L370" s="437">
        <f>SUMIF(收开票!A:A,采购合同!A:A,收开票!H:H)</f>
        <v>273.76830000000001</v>
      </c>
      <c r="M370" s="1">
        <f>SUMIF(收开票!A:A,采购合同!A:A,收开票!I:I)</f>
        <v>2361799.12</v>
      </c>
      <c r="N370" s="2">
        <f>SUMIF(收付款!A:A,采购合同!A:A,收付款!E:E)</f>
        <v>2361799.12</v>
      </c>
      <c r="O370" s="2">
        <f>M370-N370</f>
        <v>0</v>
      </c>
      <c r="P370" s="90"/>
      <c r="Q370" s="1">
        <v>0</v>
      </c>
      <c r="R370" s="5"/>
      <c r="S370" s="4"/>
    </row>
    <row r="371" spans="1:19" ht="41.25" customHeight="1">
      <c r="A371" s="13" t="s">
        <v>5617</v>
      </c>
      <c r="B371" s="6" t="s">
        <v>147</v>
      </c>
      <c r="C371" s="6" t="s">
        <v>194</v>
      </c>
      <c r="D371" s="7">
        <v>43482</v>
      </c>
      <c r="E371" s="6" t="s">
        <v>4720</v>
      </c>
      <c r="F371" s="8" t="s">
        <v>223</v>
      </c>
      <c r="G371" s="497">
        <v>96</v>
      </c>
      <c r="H371" s="10">
        <v>13750</v>
      </c>
      <c r="I371" s="11">
        <f t="shared" ref="I371:I372" si="64">G371*H371</f>
        <v>1320000</v>
      </c>
      <c r="J371" s="12" t="s">
        <v>5581</v>
      </c>
      <c r="K371" s="3">
        <f>SUMIF(收发货!A:A,采购合同!A:A,收发货!D:D)</f>
        <v>96</v>
      </c>
      <c r="L371" s="3">
        <f>SUMIF(收开票!A:A,采购合同!A:A,收开票!H:H)</f>
        <v>96</v>
      </c>
      <c r="M371" s="1">
        <f>SUMIF(收开票!A:A,采购合同!A:A,收开票!I:I)</f>
        <v>1320000</v>
      </c>
      <c r="N371" s="2">
        <f>SUMIF(收付款!A:A,采购合同!A:A,收付款!E:E)</f>
        <v>1320000</v>
      </c>
      <c r="O371" s="2">
        <f t="shared" ref="O371:O372" si="65">I371-N371</f>
        <v>0</v>
      </c>
      <c r="P371" s="90"/>
      <c r="Q371" s="1"/>
      <c r="R371" s="5"/>
      <c r="S371" s="4"/>
    </row>
    <row r="372" spans="1:19" ht="41.25" customHeight="1">
      <c r="A372" s="13" t="s">
        <v>5647</v>
      </c>
      <c r="B372" s="6" t="s">
        <v>147</v>
      </c>
      <c r="C372" s="6" t="s">
        <v>194</v>
      </c>
      <c r="D372" s="7">
        <v>43497</v>
      </c>
      <c r="E372" s="6" t="s">
        <v>4720</v>
      </c>
      <c r="F372" s="8" t="s">
        <v>5616</v>
      </c>
      <c r="G372" s="497">
        <v>640</v>
      </c>
      <c r="H372" s="10">
        <v>13700</v>
      </c>
      <c r="I372" s="11">
        <f t="shared" si="64"/>
        <v>8768000</v>
      </c>
      <c r="J372" s="12" t="s">
        <v>5581</v>
      </c>
      <c r="K372" s="3">
        <f>SUMIF(收发货!A:A,采购合同!A:A,收发货!D:D)</f>
        <v>640</v>
      </c>
      <c r="L372" s="3">
        <f>SUMIF(收开票!A:A,采购合同!A:A,收开票!H:H)</f>
        <v>640</v>
      </c>
      <c r="M372" s="1">
        <f>SUMIF(收开票!A:A,采购合同!A:A,收开票!I:I)</f>
        <v>8768000</v>
      </c>
      <c r="N372" s="2">
        <f>SUMIF(收付款!A:A,采购合同!A:A,收付款!E:E)</f>
        <v>8768000</v>
      </c>
      <c r="O372" s="2">
        <f t="shared" si="65"/>
        <v>0</v>
      </c>
      <c r="P372" s="90"/>
      <c r="Q372" s="1"/>
      <c r="R372" s="5"/>
      <c r="S372" s="4"/>
    </row>
    <row r="373" spans="1:19" ht="41.25" customHeight="1">
      <c r="A373" s="13" t="s">
        <v>5654</v>
      </c>
      <c r="B373" s="6" t="s">
        <v>147</v>
      </c>
      <c r="C373" s="6" t="s">
        <v>194</v>
      </c>
      <c r="D373" s="7">
        <v>43522</v>
      </c>
      <c r="E373" s="6" t="s">
        <v>4720</v>
      </c>
      <c r="F373" s="8" t="s">
        <v>223</v>
      </c>
      <c r="G373" s="361">
        <v>898</v>
      </c>
      <c r="H373" s="10">
        <v>13400</v>
      </c>
      <c r="I373" s="11">
        <f t="shared" ref="I373:I374" si="66">G373*H373</f>
        <v>12033200</v>
      </c>
      <c r="J373" s="12" t="s">
        <v>5684</v>
      </c>
      <c r="K373" s="3">
        <f>SUMIF(收发货!A:A,采购合同!A:A,收发货!D:D)</f>
        <v>898</v>
      </c>
      <c r="L373" s="3">
        <f>SUMIF(收开票!A:A,采购合同!A:A,收开票!H:H)</f>
        <v>898</v>
      </c>
      <c r="M373" s="1">
        <f>SUMIF(收开票!A:A,采购合同!A:A,收开票!I:I)</f>
        <v>12033200</v>
      </c>
      <c r="N373" s="2">
        <f>SUMIF(收付款!A:A,采购合同!A:A,收付款!E:E)</f>
        <v>12033200</v>
      </c>
      <c r="O373" s="2">
        <f t="shared" ref="O373:O374" si="67">I373-N373</f>
        <v>0</v>
      </c>
      <c r="P373" s="90"/>
      <c r="Q373" s="1"/>
      <c r="R373" s="5"/>
      <c r="S373" s="4"/>
    </row>
    <row r="374" spans="1:19" ht="41.25" customHeight="1">
      <c r="A374" s="13" t="s">
        <v>5674</v>
      </c>
      <c r="B374" s="6" t="s">
        <v>485</v>
      </c>
      <c r="C374" s="6" t="s">
        <v>194</v>
      </c>
      <c r="D374" s="7">
        <v>43528</v>
      </c>
      <c r="E374" s="6" t="s">
        <v>5655</v>
      </c>
      <c r="F374" s="8" t="s">
        <v>5616</v>
      </c>
      <c r="G374" s="341">
        <v>192</v>
      </c>
      <c r="H374" s="10">
        <v>13014</v>
      </c>
      <c r="I374" s="11">
        <f t="shared" si="66"/>
        <v>2498688</v>
      </c>
      <c r="J374" s="12" t="s">
        <v>5656</v>
      </c>
      <c r="K374" s="3">
        <f>SUMIF(收发货!A:A,采购合同!A:A,收发货!D:D)</f>
        <v>192</v>
      </c>
      <c r="L374" s="3">
        <f>SUMIF(收开票!A:A,采购合同!A:A,收开票!H:H)</f>
        <v>192</v>
      </c>
      <c r="M374" s="1">
        <f>SUMIF(收开票!A:A,采购合同!A:A,收开票!I:I)</f>
        <v>2498688</v>
      </c>
      <c r="N374" s="2">
        <f>SUMIF(收付款!A:A,采购合同!A:A,收付款!E:E)</f>
        <v>2498688</v>
      </c>
      <c r="O374" s="2">
        <f t="shared" si="67"/>
        <v>0</v>
      </c>
      <c r="P374" s="90"/>
      <c r="Q374" s="1"/>
      <c r="R374" s="5"/>
      <c r="S374" s="4"/>
    </row>
    <row r="375" spans="1:19" ht="41.25" customHeight="1">
      <c r="A375" s="13" t="s">
        <v>5701</v>
      </c>
      <c r="B375" s="6" t="s">
        <v>485</v>
      </c>
      <c r="C375" s="6" t="s">
        <v>194</v>
      </c>
      <c r="D375" s="7">
        <v>43558</v>
      </c>
      <c r="E375" s="6" t="s">
        <v>5655</v>
      </c>
      <c r="F375" s="8" t="s">
        <v>5616</v>
      </c>
      <c r="G375" s="341">
        <v>192</v>
      </c>
      <c r="H375" s="10">
        <v>13267</v>
      </c>
      <c r="I375" s="11">
        <f t="shared" ref="I375:I376" si="68">G375*H375</f>
        <v>2547264</v>
      </c>
      <c r="J375" s="12" t="s">
        <v>5656</v>
      </c>
      <c r="K375" s="3">
        <f>SUMIF(收发货!A:A,采购合同!A:A,收发货!D:D)</f>
        <v>192</v>
      </c>
      <c r="L375" s="3">
        <f>SUMIF(收开票!A:A,采购合同!A:A,收开票!H:H)</f>
        <v>192</v>
      </c>
      <c r="M375" s="1">
        <f>SUMIF(收开票!A:A,采购合同!A:A,收开票!I:I)</f>
        <v>2547264</v>
      </c>
      <c r="N375" s="2">
        <f>SUMIF(收付款!A:A,采购合同!A:A,收付款!E:E)</f>
        <v>2547264</v>
      </c>
      <c r="O375" s="2">
        <f t="shared" ref="O375" si="69">I375-N375</f>
        <v>0</v>
      </c>
      <c r="P375" s="90"/>
      <c r="Q375" s="1"/>
      <c r="R375" s="5"/>
      <c r="S375" s="4"/>
    </row>
    <row r="376" spans="1:19" ht="41.25" customHeight="1">
      <c r="A376" s="13" t="s">
        <v>5705</v>
      </c>
      <c r="B376" s="6" t="s">
        <v>147</v>
      </c>
      <c r="C376" s="6" t="s">
        <v>194</v>
      </c>
      <c r="D376" s="7">
        <v>43559</v>
      </c>
      <c r="E376" s="6" t="s">
        <v>4720</v>
      </c>
      <c r="F376" s="8" t="s">
        <v>223</v>
      </c>
      <c r="G376" s="499">
        <v>425</v>
      </c>
      <c r="H376" s="10">
        <v>13200</v>
      </c>
      <c r="I376" s="11">
        <f t="shared" si="68"/>
        <v>5610000</v>
      </c>
      <c r="J376" s="12" t="s">
        <v>5581</v>
      </c>
      <c r="K376" s="3">
        <f>SUMIF(收发货!A:A,采购合同!A:A,收发货!D:D)</f>
        <v>425</v>
      </c>
      <c r="L376" s="3">
        <f>SUMIF(收开票!A:A,采购合同!A:A,收开票!H:H)</f>
        <v>425</v>
      </c>
      <c r="M376" s="1">
        <f>SUMIF(收开票!A:A,采购合同!A:A,收开票!I:I)</f>
        <v>5610000</v>
      </c>
      <c r="N376" s="2">
        <f>SUMIF(收付款!A:A,采购合同!A:A,收付款!E:E)</f>
        <v>5610000</v>
      </c>
      <c r="O376" s="2">
        <f>I376-N376</f>
        <v>0</v>
      </c>
      <c r="P376" s="90"/>
      <c r="Q376" s="1"/>
      <c r="R376" s="5"/>
      <c r="S376" s="4"/>
    </row>
    <row r="377" spans="1:19" ht="41.25" customHeight="1">
      <c r="A377" s="13" t="s">
        <v>5713</v>
      </c>
      <c r="B377" s="6" t="s">
        <v>5751</v>
      </c>
      <c r="C377" s="6" t="s">
        <v>603</v>
      </c>
      <c r="D377" s="7">
        <v>43574</v>
      </c>
      <c r="E377" s="6" t="s">
        <v>4240</v>
      </c>
      <c r="F377" s="8" t="s">
        <v>223</v>
      </c>
      <c r="G377" s="9">
        <v>411.35669999999999</v>
      </c>
      <c r="H377" s="10">
        <v>7379.4</v>
      </c>
      <c r="I377" s="11">
        <v>3007957.22</v>
      </c>
      <c r="J377" s="12" t="s">
        <v>5714</v>
      </c>
      <c r="K377" s="3">
        <f>SUMIF(收发货!A:A,采购合同!A:A,收发货!D:D)</f>
        <v>408</v>
      </c>
      <c r="L377" s="3">
        <f>SUMIF(收开票!A:A,采购合同!A:A,收开票!H:H)</f>
        <v>411.35669999999999</v>
      </c>
      <c r="M377" s="1">
        <f>SUMIF(收开票!A:A,采购合同!A:A,收开票!I:I)</f>
        <v>3007957.22</v>
      </c>
      <c r="N377" s="2">
        <f>SUMIF(收付款!A:A,采购合同!A:A,收付款!E:E)</f>
        <v>3007957.22</v>
      </c>
      <c r="O377" s="2">
        <f t="shared" ref="O377:O378" si="70">I377-N377</f>
        <v>0</v>
      </c>
      <c r="P377" s="90"/>
      <c r="Q377" s="1"/>
      <c r="R377" s="5"/>
      <c r="S377" s="4"/>
    </row>
    <row r="378" spans="1:19" ht="41.25" customHeight="1">
      <c r="A378" s="13" t="s">
        <v>5715</v>
      </c>
      <c r="B378" s="6" t="s">
        <v>485</v>
      </c>
      <c r="C378" s="6" t="s">
        <v>194</v>
      </c>
      <c r="D378" s="7">
        <v>43574</v>
      </c>
      <c r="E378" s="6" t="s">
        <v>5716</v>
      </c>
      <c r="F378" s="8" t="s">
        <v>223</v>
      </c>
      <c r="G378" s="341">
        <v>288</v>
      </c>
      <c r="H378" s="10">
        <v>13320</v>
      </c>
      <c r="I378" s="11">
        <f t="shared" ref="I378:I380" si="71">G378*H378</f>
        <v>3836160</v>
      </c>
      <c r="J378" s="12" t="s">
        <v>5717</v>
      </c>
      <c r="K378" s="3">
        <f>SUMIF(收发货!A:A,采购合同!A:A,收发货!D:D)</f>
        <v>288</v>
      </c>
      <c r="L378" s="3">
        <f>SUMIF(收开票!A:A,采购合同!A:A,收开票!H:H)</f>
        <v>288</v>
      </c>
      <c r="M378" s="1">
        <f>SUMIF(收开票!A:A,采购合同!A:A,收开票!I:I)</f>
        <v>3836160</v>
      </c>
      <c r="N378" s="2">
        <f>SUMIF(收付款!A:A,采购合同!A:A,收付款!E:E)</f>
        <v>3836160</v>
      </c>
      <c r="O378" s="2">
        <f t="shared" si="70"/>
        <v>0</v>
      </c>
      <c r="P378" s="90"/>
      <c r="Q378" s="1"/>
      <c r="R378" s="5"/>
      <c r="S378" s="4"/>
    </row>
    <row r="379" spans="1:19" ht="41.25" customHeight="1">
      <c r="A379" s="13" t="s">
        <v>5733</v>
      </c>
      <c r="B379" s="6" t="s">
        <v>147</v>
      </c>
      <c r="C379" s="6" t="s">
        <v>194</v>
      </c>
      <c r="D379" s="7">
        <v>43583</v>
      </c>
      <c r="E379" s="6" t="s">
        <v>4720</v>
      </c>
      <c r="F379" s="8" t="s">
        <v>223</v>
      </c>
      <c r="G379" s="499">
        <v>400</v>
      </c>
      <c r="H379" s="10">
        <v>13400</v>
      </c>
      <c r="I379" s="11">
        <f t="shared" si="71"/>
        <v>5360000</v>
      </c>
      <c r="J379" s="12" t="s">
        <v>5774</v>
      </c>
      <c r="K379" s="3">
        <f>SUMIF(收发货!A:A,采购合同!A:A,收发货!D:D)</f>
        <v>400</v>
      </c>
      <c r="L379" s="3">
        <f>SUMIF(收开票!A:A,采购合同!A:A,收开票!H:H)</f>
        <v>400</v>
      </c>
      <c r="M379" s="1">
        <f>SUMIF(收开票!A:A,采购合同!A:A,收开票!I:I)</f>
        <v>5360000</v>
      </c>
      <c r="N379" s="2">
        <f>SUMIF(收付款!A:A,采购合同!A:A,收付款!E:E)</f>
        <v>5360000</v>
      </c>
      <c r="O379" s="2">
        <f>I379-N379</f>
        <v>0</v>
      </c>
      <c r="P379" s="90"/>
      <c r="Q379" s="1"/>
      <c r="R379" s="5"/>
      <c r="S379" s="4"/>
    </row>
    <row r="380" spans="1:19" ht="41.25" customHeight="1">
      <c r="A380" s="13" t="s">
        <v>5740</v>
      </c>
      <c r="B380" s="6" t="s">
        <v>485</v>
      </c>
      <c r="C380" s="6" t="s">
        <v>194</v>
      </c>
      <c r="D380" s="7">
        <v>43593</v>
      </c>
      <c r="E380" s="6" t="s">
        <v>5655</v>
      </c>
      <c r="F380" s="8" t="s">
        <v>5616</v>
      </c>
      <c r="G380" s="503">
        <v>192</v>
      </c>
      <c r="H380" s="10">
        <v>13200</v>
      </c>
      <c r="I380" s="11">
        <f t="shared" si="71"/>
        <v>2534400</v>
      </c>
      <c r="J380" s="12" t="s">
        <v>5656</v>
      </c>
      <c r="K380" s="3">
        <f>SUMIF(收发货!A:A,采购合同!A:A,收发货!D:D)</f>
        <v>192</v>
      </c>
      <c r="L380" s="3">
        <f>SUMIF(收开票!A:A,采购合同!A:A,收开票!H:H)</f>
        <v>192</v>
      </c>
      <c r="M380" s="1">
        <f>SUMIF(收开票!A:A,采购合同!A:A,收开票!I:I)</f>
        <v>2534400</v>
      </c>
      <c r="N380" s="2">
        <f>SUMIF(收付款!A:A,采购合同!A:A,收付款!E:E)</f>
        <v>2534400</v>
      </c>
      <c r="O380" s="2">
        <f t="shared" ref="O380" si="72">I380-N380</f>
        <v>0</v>
      </c>
      <c r="P380" s="90"/>
      <c r="Q380" s="1"/>
      <c r="R380" s="5"/>
      <c r="S380" s="4"/>
    </row>
    <row r="381" spans="1:19" ht="41.25" customHeight="1">
      <c r="A381" s="13" t="s">
        <v>5758</v>
      </c>
      <c r="B381" s="6" t="s">
        <v>147</v>
      </c>
      <c r="C381" s="6" t="s">
        <v>194</v>
      </c>
      <c r="D381" s="7">
        <v>43601</v>
      </c>
      <c r="E381" s="6" t="s">
        <v>4720</v>
      </c>
      <c r="F381" s="8" t="s">
        <v>223</v>
      </c>
      <c r="G381" s="500">
        <v>600</v>
      </c>
      <c r="H381" s="10">
        <v>13400</v>
      </c>
      <c r="I381" s="11">
        <f t="shared" ref="I381:I383" si="73">G381*H381</f>
        <v>8040000</v>
      </c>
      <c r="J381" s="12" t="s">
        <v>5774</v>
      </c>
      <c r="K381" s="3">
        <f>SUMIF(收发货!A:A,采购合同!A:A,收发货!D:D)</f>
        <v>600</v>
      </c>
      <c r="L381" s="3">
        <f>SUMIF(收开票!A:A,采购合同!A:A,收开票!H:H)</f>
        <v>600</v>
      </c>
      <c r="M381" s="1">
        <f>SUMIF(收开票!A:A,采购合同!A:A,收开票!I:I)</f>
        <v>8040000</v>
      </c>
      <c r="N381" s="2">
        <f>SUMIF(收付款!A:A,采购合同!A:A,收付款!E:E)</f>
        <v>8040000</v>
      </c>
      <c r="O381" s="2">
        <f>I381-N381</f>
        <v>0</v>
      </c>
      <c r="P381" s="90"/>
      <c r="Q381" s="1"/>
      <c r="R381" s="5"/>
      <c r="S381" s="4"/>
    </row>
    <row r="382" spans="1:19" ht="41.25" customHeight="1">
      <c r="A382" s="13" t="s">
        <v>5759</v>
      </c>
      <c r="B382" s="6" t="s">
        <v>485</v>
      </c>
      <c r="C382" s="6" t="s">
        <v>194</v>
      </c>
      <c r="D382" s="7">
        <v>43601</v>
      </c>
      <c r="E382" s="6" t="s">
        <v>5716</v>
      </c>
      <c r="F382" s="8" t="s">
        <v>223</v>
      </c>
      <c r="G382" s="500">
        <v>192</v>
      </c>
      <c r="H382" s="10">
        <v>13520</v>
      </c>
      <c r="I382" s="11">
        <f t="shared" si="73"/>
        <v>2595840</v>
      </c>
      <c r="J382" s="12" t="s">
        <v>5717</v>
      </c>
      <c r="K382" s="3">
        <f>SUMIF(收发货!A:A,采购合同!A:A,收发货!D:D)</f>
        <v>192</v>
      </c>
      <c r="L382" s="3">
        <f>SUMIF(收开票!A:A,采购合同!A:A,收开票!H:H)</f>
        <v>192</v>
      </c>
      <c r="M382" s="1">
        <f>SUMIF(收开票!A:A,采购合同!A:A,收开票!I:I)</f>
        <v>2595840</v>
      </c>
      <c r="N382" s="2">
        <f>SUMIF(收付款!A:A,采购合同!A:A,收付款!E:E)</f>
        <v>2595840</v>
      </c>
      <c r="O382" s="2">
        <f t="shared" ref="O382:O383" si="74">I382-N382</f>
        <v>0</v>
      </c>
      <c r="P382" s="90"/>
      <c r="Q382" s="1"/>
      <c r="R382" s="5"/>
      <c r="S382" s="4"/>
    </row>
    <row r="383" spans="1:19" ht="41.25" customHeight="1">
      <c r="A383" s="13" t="s">
        <v>5891</v>
      </c>
      <c r="B383" s="6" t="s">
        <v>485</v>
      </c>
      <c r="C383" s="6" t="s">
        <v>194</v>
      </c>
      <c r="D383" s="7">
        <v>43619</v>
      </c>
      <c r="E383" s="6" t="s">
        <v>5655</v>
      </c>
      <c r="F383" s="8" t="s">
        <v>5616</v>
      </c>
      <c r="G383" s="503">
        <v>192</v>
      </c>
      <c r="H383" s="10">
        <v>13150</v>
      </c>
      <c r="I383" s="11">
        <f t="shared" si="73"/>
        <v>2524800</v>
      </c>
      <c r="J383" s="12" t="s">
        <v>5656</v>
      </c>
      <c r="K383" s="3">
        <f>SUMIF(收发货!A:A,采购合同!A:A,收发货!D:D)</f>
        <v>192</v>
      </c>
      <c r="L383" s="3">
        <f>SUMIF(收开票!A:A,采购合同!A:A,收开票!H:H)</f>
        <v>192</v>
      </c>
      <c r="M383" s="1">
        <f>SUMIF(收开票!A:A,采购合同!A:A,收开票!I:I)</f>
        <v>2524800</v>
      </c>
      <c r="N383" s="2">
        <f>SUMIF(收付款!A:A,采购合同!A:A,收付款!E:E)</f>
        <v>2524800</v>
      </c>
      <c r="O383" s="2">
        <f t="shared" si="74"/>
        <v>0</v>
      </c>
      <c r="P383" s="90"/>
      <c r="Q383" s="1"/>
      <c r="R383" s="5"/>
      <c r="S383" s="4"/>
    </row>
    <row r="384" spans="1:19" ht="41.25" customHeight="1">
      <c r="A384" s="13" t="s">
        <v>5810</v>
      </c>
      <c r="B384" s="6" t="s">
        <v>485</v>
      </c>
      <c r="C384" s="6" t="s">
        <v>194</v>
      </c>
      <c r="D384" s="7">
        <v>43627</v>
      </c>
      <c r="E384" s="6" t="s">
        <v>5716</v>
      </c>
      <c r="F384" s="8" t="s">
        <v>223</v>
      </c>
      <c r="G384" s="503">
        <v>320</v>
      </c>
      <c r="H384" s="10">
        <v>13420</v>
      </c>
      <c r="I384" s="11">
        <f>G384*H384</f>
        <v>4294400</v>
      </c>
      <c r="J384" s="12" t="s">
        <v>5717</v>
      </c>
      <c r="K384" s="3">
        <f>SUMIF(收发货!A:A,采购合同!A:A,收发货!D:D)</f>
        <v>320</v>
      </c>
      <c r="L384" s="3">
        <f>SUMIF(收开票!A:A,采购合同!A:A,收开票!H:H)</f>
        <v>320</v>
      </c>
      <c r="M384" s="1">
        <f>SUMIF(收开票!A:A,采购合同!A:A,收开票!I:I)</f>
        <v>4294400</v>
      </c>
      <c r="N384" s="2">
        <f>SUMIF(收付款!A:A,采购合同!A:A,收付款!E:E)</f>
        <v>4294400</v>
      </c>
      <c r="O384" s="2">
        <f t="shared" ref="O384:O387" si="75">I384-N384</f>
        <v>0</v>
      </c>
      <c r="P384" s="90"/>
      <c r="Q384" s="1"/>
      <c r="R384" s="5"/>
      <c r="S384" s="4"/>
    </row>
    <row r="385" spans="1:19" ht="41.25" customHeight="1">
      <c r="A385" s="13" t="s">
        <v>5805</v>
      </c>
      <c r="B385" s="6" t="s">
        <v>5751</v>
      </c>
      <c r="C385" s="6" t="s">
        <v>603</v>
      </c>
      <c r="D385" s="7">
        <v>43626</v>
      </c>
      <c r="E385" s="6" t="s">
        <v>4240</v>
      </c>
      <c r="F385" s="8" t="s">
        <v>223</v>
      </c>
      <c r="G385" s="9">
        <v>364.07470000000001</v>
      </c>
      <c r="H385" s="10">
        <v>7418.6</v>
      </c>
      <c r="I385" s="11">
        <v>2696945.4499999997</v>
      </c>
      <c r="J385" s="12" t="s">
        <v>5806</v>
      </c>
      <c r="K385" s="3">
        <f>SUMIF(收发货!A:A,采购合同!A:A,收发货!D:D)</f>
        <v>362</v>
      </c>
      <c r="L385" s="3">
        <f>SUMIF(收开票!A:A,采购合同!A:A,收开票!H:H)</f>
        <v>364.07470000000001</v>
      </c>
      <c r="M385" s="1">
        <f>SUMIF(收开票!A:A,采购合同!A:A,收开票!I:I)</f>
        <v>2696945.4499999997</v>
      </c>
      <c r="N385" s="2">
        <f>SUMIF(收付款!A:A,采购合同!A:A,收付款!E:E)</f>
        <v>2696945.4499999997</v>
      </c>
      <c r="O385" s="2">
        <f>I385-N385</f>
        <v>0</v>
      </c>
      <c r="P385" s="90"/>
      <c r="Q385" s="1"/>
      <c r="R385" s="5"/>
      <c r="S385" s="4"/>
    </row>
    <row r="386" spans="1:19" ht="41.25" customHeight="1">
      <c r="A386" s="13" t="s">
        <v>5888</v>
      </c>
      <c r="B386" s="6" t="s">
        <v>485</v>
      </c>
      <c r="C386" s="6" t="s">
        <v>194</v>
      </c>
      <c r="D386" s="7">
        <v>43643</v>
      </c>
      <c r="E386" s="6" t="s">
        <v>5655</v>
      </c>
      <c r="F386" s="8" t="s">
        <v>5616</v>
      </c>
      <c r="G386" s="9">
        <v>192</v>
      </c>
      <c r="H386" s="10">
        <v>12557</v>
      </c>
      <c r="I386" s="11">
        <f t="shared" ref="I386:I388" si="76">G386*H386</f>
        <v>2410944</v>
      </c>
      <c r="J386" s="12" t="s">
        <v>5656</v>
      </c>
      <c r="K386" s="3">
        <f>SUMIF(收发货!A:A,采购合同!A:A,收发货!D:D)</f>
        <v>192</v>
      </c>
      <c r="L386" s="3">
        <f>SUMIF(收开票!A:A,采购合同!A:A,收开票!H:H)</f>
        <v>0</v>
      </c>
      <c r="M386" s="1">
        <f>SUMIF(收开票!A:A,采购合同!A:A,收开票!I:I)</f>
        <v>0</v>
      </c>
      <c r="N386" s="2">
        <f>SUMIF(收付款!A:A,采购合同!A:A,收付款!E:E)</f>
        <v>2410944</v>
      </c>
      <c r="O386" s="2">
        <f t="shared" si="75"/>
        <v>0</v>
      </c>
      <c r="P386" s="90"/>
      <c r="Q386" s="1"/>
      <c r="R386" s="5"/>
      <c r="S386" s="4"/>
    </row>
    <row r="387" spans="1:19" ht="41.25" customHeight="1">
      <c r="A387" s="13" t="s">
        <v>5830</v>
      </c>
      <c r="B387" s="6" t="s">
        <v>485</v>
      </c>
      <c r="C387" s="6" t="s">
        <v>194</v>
      </c>
      <c r="D387" s="7">
        <v>43647</v>
      </c>
      <c r="E387" s="6" t="s">
        <v>5716</v>
      </c>
      <c r="F387" s="8" t="s">
        <v>223</v>
      </c>
      <c r="G387" s="503">
        <v>186</v>
      </c>
      <c r="H387" s="10">
        <v>13420</v>
      </c>
      <c r="I387" s="11">
        <f t="shared" si="76"/>
        <v>2496120</v>
      </c>
      <c r="J387" s="12" t="s">
        <v>5717</v>
      </c>
      <c r="K387" s="3">
        <f>SUMIF(收发货!A:A,采购合同!A:A,收发货!D:D)</f>
        <v>186</v>
      </c>
      <c r="L387" s="3">
        <f>SUMIF(收开票!A:A,采购合同!A:A,收开票!H:H)</f>
        <v>186</v>
      </c>
      <c r="M387" s="1">
        <f>SUMIF(收开票!A:A,采购合同!A:A,收开票!I:I)</f>
        <v>2496120</v>
      </c>
      <c r="N387" s="2">
        <f>SUMIF(收付款!A:A,采购合同!A:A,收付款!E:E)</f>
        <v>2496120</v>
      </c>
      <c r="O387" s="2">
        <f t="shared" si="75"/>
        <v>0</v>
      </c>
      <c r="P387" s="90"/>
      <c r="Q387" s="1"/>
      <c r="R387" s="5"/>
      <c r="S387" s="4"/>
    </row>
    <row r="388" spans="1:19" ht="41.25" customHeight="1">
      <c r="A388" s="13" t="s">
        <v>5993</v>
      </c>
      <c r="B388" s="6" t="s">
        <v>147</v>
      </c>
      <c r="C388" s="6" t="s">
        <v>194</v>
      </c>
      <c r="D388" s="7">
        <v>43650</v>
      </c>
      <c r="E388" s="6" t="s">
        <v>4720</v>
      </c>
      <c r="F388" s="8" t="s">
        <v>223</v>
      </c>
      <c r="G388" s="504">
        <v>400</v>
      </c>
      <c r="H388" s="10">
        <v>13300</v>
      </c>
      <c r="I388" s="11">
        <f t="shared" si="76"/>
        <v>5320000</v>
      </c>
      <c r="J388" s="12" t="s">
        <v>5774</v>
      </c>
      <c r="K388" s="3">
        <f>SUMIF(收发货!A:A,采购合同!A:A,收发货!D:D)</f>
        <v>400</v>
      </c>
      <c r="L388" s="3">
        <f>SUMIF(收开票!A:A,采购合同!A:A,收开票!H:H)</f>
        <v>400</v>
      </c>
      <c r="M388" s="1">
        <f>SUMIF(收开票!A:A,采购合同!A:A,收开票!I:I)</f>
        <v>5320000</v>
      </c>
      <c r="N388" s="2">
        <f>SUMIF(收付款!A:A,采购合同!A:A,收付款!E:E)</f>
        <v>5320000</v>
      </c>
      <c r="O388" s="2">
        <f>I388-N388</f>
        <v>0</v>
      </c>
      <c r="P388" s="90"/>
      <c r="Q388" s="1"/>
      <c r="R388" s="5"/>
      <c r="S388" s="4"/>
    </row>
    <row r="389" spans="1:19" ht="41.25" customHeight="1">
      <c r="A389" s="13" t="s">
        <v>5882</v>
      </c>
      <c r="B389" s="6" t="s">
        <v>147</v>
      </c>
      <c r="C389" s="6" t="s">
        <v>194</v>
      </c>
      <c r="D389" s="7">
        <v>43650</v>
      </c>
      <c r="E389" s="6" t="s">
        <v>3043</v>
      </c>
      <c r="F389" s="8" t="s">
        <v>223</v>
      </c>
      <c r="G389" s="504">
        <v>288</v>
      </c>
      <c r="H389" s="10">
        <v>13350</v>
      </c>
      <c r="I389" s="11">
        <f t="shared" ref="I389" si="77">G389*H389</f>
        <v>3844800</v>
      </c>
      <c r="J389" s="12" t="s">
        <v>5774</v>
      </c>
      <c r="K389" s="3">
        <f>SUMIF(收发货!A:A,采购合同!A:A,收发货!D:D)</f>
        <v>288</v>
      </c>
      <c r="L389" s="3">
        <f>SUMIF(收开票!A:A,采购合同!A:A,收开票!H:H)</f>
        <v>288</v>
      </c>
      <c r="M389" s="1">
        <f>SUMIF(收开票!A:A,采购合同!A:A,收开票!I:I)</f>
        <v>3844800</v>
      </c>
      <c r="N389" s="2">
        <f>SUMIF(收付款!A:A,采购合同!A:A,收付款!E:E)</f>
        <v>3844800</v>
      </c>
      <c r="O389" s="2">
        <f>I389-N389</f>
        <v>0</v>
      </c>
      <c r="P389" s="90"/>
      <c r="Q389" s="1"/>
      <c r="R389" s="5"/>
      <c r="S389" s="4"/>
    </row>
    <row r="390" spans="1:19" ht="41.25" customHeight="1">
      <c r="A390" s="13" t="s">
        <v>5847</v>
      </c>
      <c r="B390" s="6" t="s">
        <v>5751</v>
      </c>
      <c r="C390" s="6" t="s">
        <v>603</v>
      </c>
      <c r="D390" s="7">
        <v>43656</v>
      </c>
      <c r="E390" s="6" t="s">
        <v>4240</v>
      </c>
      <c r="F390" s="8" t="s">
        <v>223</v>
      </c>
      <c r="G390" s="9">
        <v>196.70650000000001</v>
      </c>
      <c r="H390" s="10">
        <v>7771.4</v>
      </c>
      <c r="I390" s="11">
        <v>1528684.89</v>
      </c>
      <c r="J390" s="12" t="s">
        <v>5896</v>
      </c>
      <c r="K390" s="3">
        <f>SUMIF(收发货!A:A,采购合同!A:A,收发货!D:D)</f>
        <v>194</v>
      </c>
      <c r="L390" s="3">
        <f>SUMIF(收开票!A:A,采购合同!A:A,收开票!H:H)</f>
        <v>196.70650000000001</v>
      </c>
      <c r="M390" s="1">
        <f>SUMIF(收开票!A:A,采购合同!A:A,收开票!I:I)</f>
        <v>1528684.89</v>
      </c>
      <c r="N390" s="2">
        <f>SUMIF(收付款!A:A,采购合同!A:A,收付款!E:E)</f>
        <v>1528684.89</v>
      </c>
      <c r="O390" s="2">
        <f t="shared" ref="O390:O391" si="78">I390-N390</f>
        <v>0</v>
      </c>
      <c r="P390" s="90"/>
      <c r="Q390" s="1"/>
      <c r="R390" s="5"/>
      <c r="S390" s="4"/>
    </row>
    <row r="391" spans="1:19" ht="41.25" customHeight="1">
      <c r="A391" s="13" t="s">
        <v>5858</v>
      </c>
      <c r="B391" s="6" t="s">
        <v>485</v>
      </c>
      <c r="C391" s="6" t="s">
        <v>194</v>
      </c>
      <c r="D391" s="7">
        <v>43668</v>
      </c>
      <c r="E391" s="6" t="s">
        <v>5716</v>
      </c>
      <c r="F391" s="8" t="s">
        <v>223</v>
      </c>
      <c r="G391" s="504">
        <v>420</v>
      </c>
      <c r="H391" s="10">
        <v>13320</v>
      </c>
      <c r="I391" s="11">
        <f t="shared" ref="I391" si="79">G391*H391</f>
        <v>5594400</v>
      </c>
      <c r="J391" s="12" t="s">
        <v>5717</v>
      </c>
      <c r="K391" s="3">
        <f>SUMIF(收发货!A:A,采购合同!A:A,收发货!D:D)</f>
        <v>420</v>
      </c>
      <c r="L391" s="3">
        <f>SUMIF(收开票!A:A,采购合同!A:A,收开票!H:H)</f>
        <v>420</v>
      </c>
      <c r="M391" s="1">
        <f>SUMIF(收开票!A:A,采购合同!A:A,收开票!I:I)</f>
        <v>5594400</v>
      </c>
      <c r="N391" s="2">
        <f>SUMIF(收付款!A:A,采购合同!A:A,收付款!E:E)</f>
        <v>5594400</v>
      </c>
      <c r="O391" s="2">
        <f t="shared" si="78"/>
        <v>0</v>
      </c>
      <c r="P391" s="90"/>
      <c r="Q391" s="1"/>
      <c r="R391" s="5"/>
      <c r="S391" s="4"/>
    </row>
    <row r="392" spans="1:19" s="537" customFormat="1" ht="41.25" customHeight="1">
      <c r="A392" s="524" t="s">
        <v>5905</v>
      </c>
      <c r="B392" s="525" t="s">
        <v>485</v>
      </c>
      <c r="C392" s="525" t="s">
        <v>194</v>
      </c>
      <c r="D392" s="526">
        <v>43678</v>
      </c>
      <c r="E392" s="525" t="s">
        <v>5716</v>
      </c>
      <c r="F392" s="527" t="s">
        <v>223</v>
      </c>
      <c r="G392" s="528">
        <v>314</v>
      </c>
      <c r="H392" s="529">
        <v>13140</v>
      </c>
      <c r="I392" s="530">
        <f t="shared" ref="I392:I393" si="80">G392*H392</f>
        <v>4125960</v>
      </c>
      <c r="J392" s="531" t="s">
        <v>5717</v>
      </c>
      <c r="K392" s="448">
        <f>SUMIF(收发货!A:A,采购合同!A:A,收发货!D:D)</f>
        <v>314</v>
      </c>
      <c r="L392" s="448">
        <f>SUMIF(收开票!A:A,采购合同!A:A,收开票!H:H)</f>
        <v>314</v>
      </c>
      <c r="M392" s="532">
        <f>SUMIF(收开票!A:A,采购合同!A:A,收开票!I:I)</f>
        <v>4125960</v>
      </c>
      <c r="N392" s="533">
        <f>SUMIF(收付款!A:A,采购合同!A:A,收付款!E:E)</f>
        <v>4125960</v>
      </c>
      <c r="O392" s="533">
        <f t="shared" ref="O392:O394" si="81">I392-N392</f>
        <v>0</v>
      </c>
      <c r="P392" s="534"/>
      <c r="Q392" s="532"/>
      <c r="R392" s="535"/>
      <c r="S392" s="536"/>
    </row>
    <row r="393" spans="1:19" ht="41.25" customHeight="1">
      <c r="A393" s="13" t="s">
        <v>5965</v>
      </c>
      <c r="B393" s="6" t="s">
        <v>485</v>
      </c>
      <c r="C393" s="6" t="s">
        <v>194</v>
      </c>
      <c r="D393" s="7">
        <v>43689</v>
      </c>
      <c r="E393" s="6" t="s">
        <v>5886</v>
      </c>
      <c r="F393" s="8" t="s">
        <v>5616</v>
      </c>
      <c r="G393" s="9">
        <v>192</v>
      </c>
      <c r="H393" s="10">
        <v>11200</v>
      </c>
      <c r="I393" s="11">
        <f t="shared" si="80"/>
        <v>2150400</v>
      </c>
      <c r="J393" s="12" t="s">
        <v>5656</v>
      </c>
      <c r="K393" s="3">
        <f>SUMIF(收发货!A:A,采购合同!A:A,收发货!D:D)</f>
        <v>192</v>
      </c>
      <c r="L393" s="3">
        <f>SUMIF(收开票!A:A,采购合同!A:A,收开票!H:H)</f>
        <v>192</v>
      </c>
      <c r="M393" s="1">
        <f>SUMIF(收开票!A:A,采购合同!A:A,收开票!I:I)</f>
        <v>2150400</v>
      </c>
      <c r="N393" s="2">
        <f>SUMIF(收付款!A:A,采购合同!A:A,收付款!E:E)</f>
        <v>2150400</v>
      </c>
      <c r="O393" s="2">
        <f t="shared" si="81"/>
        <v>0</v>
      </c>
      <c r="P393" s="90"/>
      <c r="Q393" s="1"/>
      <c r="R393" s="5"/>
      <c r="S393" s="4"/>
    </row>
    <row r="394" spans="1:19" ht="41.25" customHeight="1">
      <c r="A394" s="13" t="s">
        <v>5897</v>
      </c>
      <c r="B394" s="6" t="s">
        <v>5751</v>
      </c>
      <c r="C394" s="6" t="s">
        <v>603</v>
      </c>
      <c r="D394" s="7">
        <v>43685</v>
      </c>
      <c r="E394" s="6" t="s">
        <v>4240</v>
      </c>
      <c r="F394" s="8" t="s">
        <v>223</v>
      </c>
      <c r="G394" s="9">
        <v>102.2855</v>
      </c>
      <c r="H394" s="10">
        <v>7750</v>
      </c>
      <c r="I394" s="11">
        <v>792712.63</v>
      </c>
      <c r="J394" s="12" t="s">
        <v>5895</v>
      </c>
      <c r="K394" s="3">
        <f>SUMIF(收发货!A:A,采购合同!A:A,收发货!D:D)</f>
        <v>100</v>
      </c>
      <c r="L394" s="3">
        <f>SUMIF(收开票!A:A,采购合同!A:A,收开票!H:H)</f>
        <v>102.2855</v>
      </c>
      <c r="M394" s="1">
        <f>SUMIF(收开票!A:A,采购合同!A:A,收开票!I:I)</f>
        <v>792712.63</v>
      </c>
      <c r="N394" s="2">
        <f>SUMIF(收付款!A:A,采购合同!A:A,收付款!E:E)</f>
        <v>792712.63</v>
      </c>
      <c r="O394" s="2">
        <f t="shared" si="81"/>
        <v>0</v>
      </c>
      <c r="P394" s="90"/>
      <c r="Q394" s="1"/>
      <c r="R394" s="5"/>
      <c r="S394" s="4"/>
    </row>
    <row r="395" spans="1:19" ht="41.25" customHeight="1">
      <c r="A395" s="13" t="s">
        <v>5976</v>
      </c>
      <c r="B395" s="6" t="s">
        <v>5751</v>
      </c>
      <c r="C395" s="6" t="s">
        <v>603</v>
      </c>
      <c r="D395" s="7">
        <v>43685</v>
      </c>
      <c r="E395" s="6" t="s">
        <v>5963</v>
      </c>
      <c r="F395" s="8" t="s">
        <v>223</v>
      </c>
      <c r="G395" s="9">
        <v>196.15710000000001</v>
      </c>
      <c r="H395" s="10">
        <v>7650</v>
      </c>
      <c r="I395" s="11">
        <v>1500601.82</v>
      </c>
      <c r="J395" s="12" t="s">
        <v>5915</v>
      </c>
      <c r="K395" s="3">
        <f>SUMIF(收发货!A:A,采购合同!A:A,收发货!D:D)</f>
        <v>194</v>
      </c>
      <c r="L395" s="3">
        <f>SUMIF(收开票!A:A,采购合同!A:A,收开票!H:H)</f>
        <v>196.15710000000001</v>
      </c>
      <c r="M395" s="1">
        <f>SUMIF(收开票!A:A,采购合同!A:A,收开票!I:I)</f>
        <v>1500601.82</v>
      </c>
      <c r="N395" s="2">
        <f>SUMIF(收付款!A:A,采购合同!A:A,收付款!E:E)</f>
        <v>1500601.82</v>
      </c>
      <c r="O395" s="2">
        <f>I395-N395</f>
        <v>0</v>
      </c>
      <c r="P395" s="90"/>
      <c r="Q395" s="1"/>
      <c r="R395" s="5"/>
      <c r="S395" s="4"/>
    </row>
    <row r="396" spans="1:19" ht="41.25" customHeight="1">
      <c r="A396" s="13" t="s">
        <v>5916</v>
      </c>
      <c r="B396" s="6" t="s">
        <v>147</v>
      </c>
      <c r="C396" s="6" t="s">
        <v>194</v>
      </c>
      <c r="D396" s="7">
        <v>43690</v>
      </c>
      <c r="E396" s="6" t="s">
        <v>4720</v>
      </c>
      <c r="F396" s="8" t="s">
        <v>223</v>
      </c>
      <c r="G396" s="504">
        <v>600</v>
      </c>
      <c r="H396" s="10">
        <v>12000</v>
      </c>
      <c r="I396" s="11">
        <f t="shared" ref="I396" si="82">G396*H396</f>
        <v>7200000</v>
      </c>
      <c r="J396" s="12" t="s">
        <v>5917</v>
      </c>
      <c r="K396" s="3">
        <f>SUMIF(收发货!A:A,采购合同!A:A,收发货!D:D)</f>
        <v>600</v>
      </c>
      <c r="L396" s="3">
        <f>SUMIF(收开票!A:A,采购合同!A:A,收开票!H:H)</f>
        <v>600</v>
      </c>
      <c r="M396" s="1">
        <f>SUMIF(收开票!A:A,采购合同!A:A,收开票!I:I)</f>
        <v>7200000</v>
      </c>
      <c r="N396" s="2">
        <f>SUMIF(收付款!A:A,采购合同!A:A,收付款!E:E)</f>
        <v>7200000</v>
      </c>
      <c r="O396" s="2">
        <f>I396-N396</f>
        <v>0</v>
      </c>
      <c r="P396" s="90"/>
      <c r="Q396" s="1"/>
      <c r="R396" s="5"/>
      <c r="S396" s="4"/>
    </row>
    <row r="397" spans="1:19" ht="41.25" customHeight="1">
      <c r="A397" s="13" t="s">
        <v>5956</v>
      </c>
      <c r="B397" s="6" t="s">
        <v>147</v>
      </c>
      <c r="C397" s="6" t="s">
        <v>194</v>
      </c>
      <c r="D397" s="7">
        <v>43717</v>
      </c>
      <c r="E397" s="6" t="s">
        <v>4720</v>
      </c>
      <c r="F397" s="8" t="s">
        <v>223</v>
      </c>
      <c r="G397" s="504">
        <v>600</v>
      </c>
      <c r="H397" s="10">
        <v>11450</v>
      </c>
      <c r="I397" s="11">
        <f t="shared" ref="I397" si="83">G397*H397</f>
        <v>6870000</v>
      </c>
      <c r="J397" s="12" t="s">
        <v>5961</v>
      </c>
      <c r="K397" s="3">
        <f>SUMIF(收发货!A:A,采购合同!A:A,收发货!D:D)</f>
        <v>600</v>
      </c>
      <c r="L397" s="3">
        <f>SUMIF(收开票!A:A,采购合同!A:A,收开票!H:H)</f>
        <v>600</v>
      </c>
      <c r="M397" s="1">
        <f>SUMIF(收开票!A:A,采购合同!A:A,收开票!I:I)</f>
        <v>6870000</v>
      </c>
      <c r="N397" s="2">
        <f>SUMIF(收付款!A:A,采购合同!A:A,收付款!E:E)</f>
        <v>6870000</v>
      </c>
      <c r="O397" s="2">
        <f>I397-N397</f>
        <v>0</v>
      </c>
      <c r="P397" s="90"/>
      <c r="Q397" s="1"/>
      <c r="R397" s="5"/>
      <c r="S397" s="4"/>
    </row>
    <row r="398" spans="1:19" ht="41.25" customHeight="1">
      <c r="A398" s="13" t="s">
        <v>5979</v>
      </c>
      <c r="B398" s="6" t="s">
        <v>5957</v>
      </c>
      <c r="C398" s="6" t="s">
        <v>5958</v>
      </c>
      <c r="D398" s="7">
        <v>43714</v>
      </c>
      <c r="E398" s="6" t="s">
        <v>5959</v>
      </c>
      <c r="F398" s="8" t="s">
        <v>5960</v>
      </c>
      <c r="G398" s="504">
        <v>506.36219999999997</v>
      </c>
      <c r="H398" s="10">
        <v>7467.6</v>
      </c>
      <c r="I398" s="11">
        <v>3781310.36</v>
      </c>
      <c r="J398" s="12" t="s">
        <v>5962</v>
      </c>
      <c r="K398" s="3">
        <f>SUMIF(收发货!A:A,采购合同!A:A,收发货!D:D)</f>
        <v>500</v>
      </c>
      <c r="L398" s="3">
        <f>SUMIF(收开票!A:A,采购合同!A:A,收开票!H:H)</f>
        <v>506.36219999999997</v>
      </c>
      <c r="M398" s="1">
        <f>SUMIF(收开票!A:A,采购合同!A:A,收开票!I:I)</f>
        <v>3781310.36</v>
      </c>
      <c r="N398" s="2">
        <f>SUMIF(收付款!A:A,采购合同!A:A,收付款!E:E)</f>
        <v>3781310.36</v>
      </c>
      <c r="O398" s="2">
        <f>I398-N398</f>
        <v>0</v>
      </c>
      <c r="P398" s="90"/>
      <c r="Q398" s="1"/>
      <c r="R398" s="5"/>
      <c r="S398" s="4"/>
    </row>
    <row r="399" spans="1:19" ht="41.25" customHeight="1">
      <c r="A399" s="13" t="s">
        <v>5977</v>
      </c>
      <c r="B399" s="6" t="s">
        <v>485</v>
      </c>
      <c r="C399" s="6" t="s">
        <v>194</v>
      </c>
      <c r="D399" s="7">
        <v>43714</v>
      </c>
      <c r="E399" s="6" t="s">
        <v>5655</v>
      </c>
      <c r="F399" s="8" t="s">
        <v>5616</v>
      </c>
      <c r="G399" s="9">
        <v>192</v>
      </c>
      <c r="H399" s="10">
        <v>11200</v>
      </c>
      <c r="I399" s="11">
        <f t="shared" ref="I399:I401" si="84">G399*H399</f>
        <v>2150400</v>
      </c>
      <c r="J399" s="12" t="s">
        <v>5656</v>
      </c>
      <c r="K399" s="3">
        <f>SUMIF(收发货!A:A,采购合同!A:A,收发货!D:D)</f>
        <v>192</v>
      </c>
      <c r="L399" s="3">
        <f>SUMIF(收开票!A:A,采购合同!A:A,收开票!H:H)</f>
        <v>192</v>
      </c>
      <c r="M399" s="1">
        <f>SUMIF(收开票!A:A,采购合同!A:A,收开票!I:I)</f>
        <v>2150400</v>
      </c>
      <c r="N399" s="2">
        <f>SUMIF(收付款!A:A,采购合同!A:A,收付款!E:E)</f>
        <v>2150400</v>
      </c>
      <c r="O399" s="2">
        <f t="shared" ref="O399:O401" si="85">I399-N399</f>
        <v>0</v>
      </c>
      <c r="P399" s="90"/>
      <c r="Q399" s="1"/>
      <c r="R399" s="5"/>
      <c r="S399" s="4"/>
    </row>
    <row r="400" spans="1:19" ht="41.25" customHeight="1">
      <c r="A400" s="13" t="s">
        <v>5996</v>
      </c>
      <c r="B400" s="6" t="s">
        <v>485</v>
      </c>
      <c r="C400" s="6" t="s">
        <v>194</v>
      </c>
      <c r="D400" s="7">
        <v>43714</v>
      </c>
      <c r="E400" s="6" t="s">
        <v>5716</v>
      </c>
      <c r="F400" s="8" t="s">
        <v>223</v>
      </c>
      <c r="G400" s="504">
        <v>98</v>
      </c>
      <c r="H400" s="10">
        <v>11440</v>
      </c>
      <c r="I400" s="11">
        <f t="shared" si="84"/>
        <v>1121120</v>
      </c>
      <c r="J400" s="12" t="s">
        <v>5717</v>
      </c>
      <c r="K400" s="3">
        <f>SUMIF(收发货!A:A,采购合同!A:A,收发货!D:D)</f>
        <v>98</v>
      </c>
      <c r="L400" s="3">
        <f>SUMIF(收开票!A:A,采购合同!A:A,收开票!H:H)</f>
        <v>98</v>
      </c>
      <c r="M400" s="1">
        <f>SUMIF(收开票!A:A,采购合同!A:A,收开票!I:I)</f>
        <v>1121120</v>
      </c>
      <c r="N400" s="2">
        <f>SUMIF(收付款!A:A,采购合同!A:A,收付款!E:E)</f>
        <v>1121120</v>
      </c>
      <c r="O400" s="2">
        <f>I400-N400</f>
        <v>0</v>
      </c>
      <c r="P400" s="90"/>
      <c r="Q400" s="1"/>
      <c r="R400" s="5"/>
      <c r="S400" s="4"/>
    </row>
    <row r="401" spans="1:19" ht="41.25" customHeight="1">
      <c r="A401" s="13" t="s">
        <v>5975</v>
      </c>
      <c r="B401" s="6" t="s">
        <v>485</v>
      </c>
      <c r="C401" s="6" t="s">
        <v>194</v>
      </c>
      <c r="D401" s="7">
        <v>43717</v>
      </c>
      <c r="E401" s="6" t="s">
        <v>5716</v>
      </c>
      <c r="F401" s="8" t="s">
        <v>223</v>
      </c>
      <c r="G401" s="504">
        <v>512</v>
      </c>
      <c r="H401" s="10">
        <v>11440</v>
      </c>
      <c r="I401" s="11">
        <f t="shared" si="84"/>
        <v>5857280</v>
      </c>
      <c r="J401" s="12" t="s">
        <v>5717</v>
      </c>
      <c r="K401" s="3">
        <f>SUMIF(收发货!A:A,采购合同!A:A,收发货!D:D)</f>
        <v>512</v>
      </c>
      <c r="L401" s="3">
        <f>SUMIF(收开票!A:A,采购合同!A:A,收开票!H:H)</f>
        <v>512</v>
      </c>
      <c r="M401" s="1">
        <f>SUMIF(收开票!A:A,采购合同!A:A,收开票!I:I)</f>
        <v>5857280</v>
      </c>
      <c r="N401" s="2">
        <f>SUMIF(收付款!A:A,采购合同!A:A,收付款!E:E)</f>
        <v>5857280</v>
      </c>
      <c r="O401" s="2">
        <f t="shared" si="85"/>
        <v>0</v>
      </c>
      <c r="P401" s="90"/>
      <c r="Q401" s="1"/>
      <c r="R401" s="5"/>
      <c r="S401" s="4"/>
    </row>
    <row r="402" spans="1:19" ht="41.25" customHeight="1">
      <c r="A402" s="13" t="s">
        <v>6011</v>
      </c>
      <c r="B402" s="6" t="s">
        <v>485</v>
      </c>
      <c r="C402" s="6" t="s">
        <v>194</v>
      </c>
      <c r="D402" s="7">
        <v>43734</v>
      </c>
      <c r="E402" s="6" t="s">
        <v>3133</v>
      </c>
      <c r="F402" s="8" t="s">
        <v>223</v>
      </c>
      <c r="G402" s="9">
        <v>288</v>
      </c>
      <c r="H402" s="10">
        <v>11100</v>
      </c>
      <c r="I402" s="11">
        <f t="shared" ref="I402:I403" si="86">G402*H402</f>
        <v>3196800</v>
      </c>
      <c r="J402" s="12" t="s">
        <v>6012</v>
      </c>
      <c r="K402" s="3">
        <f>SUMIF(收发货!A:A,采购合同!A:A,收发货!D:D)</f>
        <v>288</v>
      </c>
      <c r="L402" s="3">
        <f>SUMIF(收开票!A:A,采购合同!A:A,收开票!H:H)</f>
        <v>288</v>
      </c>
      <c r="M402" s="1">
        <f>SUMIF(收开票!A:A,采购合同!A:A,收开票!I:I)</f>
        <v>3196800</v>
      </c>
      <c r="N402" s="2">
        <f>SUMIF(收付款!A:A,采购合同!A:A,收付款!E:E)</f>
        <v>3196800</v>
      </c>
      <c r="O402" s="2">
        <f t="shared" ref="O402" si="87">I402-N402</f>
        <v>0</v>
      </c>
      <c r="P402" s="90"/>
      <c r="Q402" s="1"/>
      <c r="R402" s="5"/>
      <c r="S402" s="4"/>
    </row>
    <row r="403" spans="1:19" ht="41.25" customHeight="1">
      <c r="A403" s="13" t="s">
        <v>6024</v>
      </c>
      <c r="B403" s="6" t="s">
        <v>147</v>
      </c>
      <c r="C403" s="6" t="s">
        <v>194</v>
      </c>
      <c r="D403" s="7">
        <v>43738</v>
      </c>
      <c r="E403" s="6" t="s">
        <v>4720</v>
      </c>
      <c r="F403" s="8" t="s">
        <v>223</v>
      </c>
      <c r="G403" s="504">
        <v>100</v>
      </c>
      <c r="H403" s="10">
        <v>11600</v>
      </c>
      <c r="I403" s="11">
        <f t="shared" si="86"/>
        <v>1160000</v>
      </c>
      <c r="J403" s="12" t="s">
        <v>6025</v>
      </c>
      <c r="K403" s="3">
        <f>SUMIF(收发货!A:A,采购合同!A:A,收发货!D:D)</f>
        <v>100</v>
      </c>
      <c r="L403" s="3">
        <f>SUMIF(收开票!A:A,采购合同!A:A,收开票!H:H)</f>
        <v>100</v>
      </c>
      <c r="M403" s="1">
        <f>SUMIF(收开票!A:A,采购合同!A:A,收开票!I:I)</f>
        <v>1160000</v>
      </c>
      <c r="N403" s="2">
        <f>SUMIF(收付款!A:A,采购合同!A:A,收付款!E:E)</f>
        <v>0</v>
      </c>
      <c r="O403" s="2">
        <f>I403-N403</f>
        <v>1160000</v>
      </c>
      <c r="P403" s="90"/>
      <c r="Q403" s="1"/>
      <c r="R403" s="5"/>
      <c r="S403" s="4"/>
    </row>
    <row r="404" spans="1:19" ht="41.25" customHeight="1">
      <c r="A404" s="13" t="s">
        <v>6031</v>
      </c>
      <c r="B404" s="6" t="s">
        <v>5751</v>
      </c>
      <c r="C404" s="6" t="s">
        <v>603</v>
      </c>
      <c r="D404" s="7">
        <v>43747</v>
      </c>
      <c r="E404" s="6" t="s">
        <v>4240</v>
      </c>
      <c r="F404" s="8" t="s">
        <v>223</v>
      </c>
      <c r="G404" s="504">
        <v>302.32960000000003</v>
      </c>
      <c r="H404" s="10">
        <v>7056</v>
      </c>
      <c r="I404" s="11">
        <v>2130344.64</v>
      </c>
      <c r="J404" s="12" t="s">
        <v>6032</v>
      </c>
      <c r="K404" s="3">
        <f>SUMIF(收发货!A:A,采购合同!A:A,收发货!D:D)</f>
        <v>299.42</v>
      </c>
      <c r="L404" s="3">
        <f>SUMIF(收开票!A:A,采购合同!A:A,收开票!H:H)</f>
        <v>302.32960000000003</v>
      </c>
      <c r="M404" s="1">
        <f>SUMIF(收开票!A:A,采购合同!A:A,收开票!I:I)</f>
        <v>2130344.64</v>
      </c>
      <c r="N404" s="2">
        <f>SUMIF(收付款!A:A,采购合同!A:A,收付款!E:E)</f>
        <v>2130344.64</v>
      </c>
      <c r="O404" s="2">
        <f t="shared" ref="O404:O405" si="88">I404-N404</f>
        <v>0</v>
      </c>
      <c r="P404" s="90"/>
      <c r="Q404" s="1"/>
      <c r="R404" s="5"/>
      <c r="S404" s="4"/>
    </row>
    <row r="405" spans="1:19" ht="41.25" customHeight="1">
      <c r="A405" s="13" t="s">
        <v>6038</v>
      </c>
      <c r="B405" s="6" t="s">
        <v>485</v>
      </c>
      <c r="C405" s="6" t="s">
        <v>194</v>
      </c>
      <c r="D405" s="7">
        <v>43746</v>
      </c>
      <c r="E405" s="6" t="s">
        <v>5655</v>
      </c>
      <c r="F405" s="8" t="s">
        <v>5616</v>
      </c>
      <c r="G405" s="9">
        <v>192</v>
      </c>
      <c r="H405" s="10">
        <v>11100</v>
      </c>
      <c r="I405" s="11">
        <f t="shared" ref="I405:I406" si="89">G405*H405</f>
        <v>2131200</v>
      </c>
      <c r="J405" s="12" t="s">
        <v>5656</v>
      </c>
      <c r="K405" s="3">
        <f>SUMIF(收发货!A:A,采购合同!A:A,收发货!D:D)</f>
        <v>192</v>
      </c>
      <c r="L405" s="3">
        <f>SUMIF(收开票!A:A,采购合同!A:A,收开票!H:H)</f>
        <v>192</v>
      </c>
      <c r="M405" s="1">
        <f>SUMIF(收开票!A:A,采购合同!A:A,收开票!I:I)</f>
        <v>2131200</v>
      </c>
      <c r="N405" s="2">
        <f>SUMIF(收付款!A:A,采购合同!A:A,收付款!E:E)</f>
        <v>2131200</v>
      </c>
      <c r="O405" s="2">
        <f t="shared" si="88"/>
        <v>0</v>
      </c>
      <c r="P405" s="90"/>
      <c r="Q405" s="1"/>
      <c r="R405" s="5"/>
      <c r="S405" s="4"/>
    </row>
    <row r="406" spans="1:19" ht="41.25" customHeight="1">
      <c r="A406" s="13" t="s">
        <v>6063</v>
      </c>
      <c r="B406" s="6" t="s">
        <v>147</v>
      </c>
      <c r="C406" s="6" t="s">
        <v>194</v>
      </c>
      <c r="D406" s="7">
        <v>43770</v>
      </c>
      <c r="E406" s="6" t="s">
        <v>4720</v>
      </c>
      <c r="F406" s="8" t="s">
        <v>223</v>
      </c>
      <c r="G406" s="504">
        <v>200</v>
      </c>
      <c r="H406" s="10">
        <v>11600</v>
      </c>
      <c r="I406" s="11">
        <f t="shared" si="89"/>
        <v>2320000</v>
      </c>
      <c r="J406" s="12" t="s">
        <v>5961</v>
      </c>
      <c r="K406" s="3">
        <f>SUMIF(收发货!A:A,采购合同!A:A,收发货!D:D)</f>
        <v>200</v>
      </c>
      <c r="L406" s="3">
        <f>SUMIF(收开票!A:A,采购合同!A:A,收开票!H:H)</f>
        <v>0</v>
      </c>
      <c r="M406" s="1">
        <f>SUMIF(收开票!A:A,采购合同!A:A,收开票!I:I)</f>
        <v>0</v>
      </c>
      <c r="N406" s="2">
        <f>SUMIF(收付款!A:A,采购合同!A:A,收付款!E:E)</f>
        <v>130000</v>
      </c>
      <c r="O406" s="2">
        <f>I406-N406</f>
        <v>2190000</v>
      </c>
      <c r="P406" s="90"/>
      <c r="Q406" s="1"/>
      <c r="R406" s="5"/>
      <c r="S406" s="4"/>
    </row>
    <row r="407" spans="1:19" ht="41.25" customHeight="1">
      <c r="A407" s="13" t="s">
        <v>6064</v>
      </c>
      <c r="B407" s="6" t="s">
        <v>485</v>
      </c>
      <c r="C407" s="6" t="s">
        <v>194</v>
      </c>
      <c r="D407" s="7">
        <v>43777</v>
      </c>
      <c r="E407" s="6" t="s">
        <v>5655</v>
      </c>
      <c r="F407" s="8" t="s">
        <v>5616</v>
      </c>
      <c r="G407" s="9">
        <v>192</v>
      </c>
      <c r="H407" s="10">
        <v>10743</v>
      </c>
      <c r="I407" s="11">
        <f t="shared" ref="I407" si="90">G407*H407</f>
        <v>2062656</v>
      </c>
      <c r="J407" s="12" t="s">
        <v>5656</v>
      </c>
      <c r="K407" s="3">
        <f>SUMIF(收发货!A:A,采购合同!A:A,收发货!D:D)</f>
        <v>0</v>
      </c>
      <c r="L407" s="3">
        <f>SUMIF(收开票!A:A,采购合同!A:A,收开票!H:H)</f>
        <v>0</v>
      </c>
      <c r="M407" s="1">
        <f>SUMIF(收开票!A:A,采购合同!A:A,收开票!I:I)</f>
        <v>0</v>
      </c>
      <c r="N407" s="2">
        <f>SUMIF(收付款!A:A,采购合同!A:A,收付款!E:E)</f>
        <v>2092800</v>
      </c>
      <c r="O407" s="2">
        <f t="shared" ref="O407:O408" si="91">I407-N407</f>
        <v>-30144</v>
      </c>
      <c r="P407" s="90"/>
      <c r="Q407" s="1"/>
      <c r="R407" s="5"/>
      <c r="S407" s="4"/>
    </row>
    <row r="408" spans="1:19" ht="41.25" customHeight="1">
      <c r="A408" s="13" t="s">
        <v>6070</v>
      </c>
      <c r="B408" s="6" t="s">
        <v>5751</v>
      </c>
      <c r="C408" s="6" t="s">
        <v>603</v>
      </c>
      <c r="D408" s="7">
        <v>43782</v>
      </c>
      <c r="E408" s="6" t="s">
        <v>4240</v>
      </c>
      <c r="F408" s="8" t="s">
        <v>223</v>
      </c>
      <c r="G408" s="504">
        <v>300</v>
      </c>
      <c r="H408" s="10">
        <v>5816.3</v>
      </c>
      <c r="I408" s="11">
        <f>G408*H408</f>
        <v>1744890</v>
      </c>
      <c r="J408" s="12" t="s">
        <v>6078</v>
      </c>
      <c r="K408" s="3">
        <f>SUMIF(收发货!A:A,采购合同!A:A,收发货!D:D)</f>
        <v>300</v>
      </c>
      <c r="L408" s="3">
        <f>SUMIF(收开票!A:A,采购合同!A:A,收开票!H:H)</f>
        <v>0</v>
      </c>
      <c r="M408" s="1">
        <f>SUMIF(收开票!A:A,采购合同!A:A,收开票!I:I)</f>
        <v>0</v>
      </c>
      <c r="N408" s="2">
        <f>SUMIF(收付款!A:A,采购合同!A:A,收付款!E:E)</f>
        <v>1873910.71</v>
      </c>
      <c r="O408" s="2">
        <f t="shared" si="91"/>
        <v>-129020.70999999996</v>
      </c>
      <c r="P408" s="90"/>
      <c r="Q408" s="1"/>
      <c r="R408" s="5"/>
      <c r="S408" s="4"/>
    </row>
    <row r="409" spans="1:19" ht="41.25" customHeight="1">
      <c r="A409" s="13" t="s">
        <v>6093</v>
      </c>
      <c r="B409" s="6" t="s">
        <v>485</v>
      </c>
      <c r="C409" s="6" t="s">
        <v>194</v>
      </c>
      <c r="D409" s="7">
        <v>43808</v>
      </c>
      <c r="E409" s="6" t="s">
        <v>5655</v>
      </c>
      <c r="F409" s="8" t="s">
        <v>5616</v>
      </c>
      <c r="G409" s="9">
        <v>192</v>
      </c>
      <c r="H409" s="10">
        <v>10800</v>
      </c>
      <c r="I409" s="11">
        <f t="shared" ref="I409" si="92">G409*H409</f>
        <v>2073600</v>
      </c>
      <c r="J409" s="12" t="s">
        <v>5656</v>
      </c>
      <c r="K409" s="3">
        <f>SUMIF(收发货!A:A,采购合同!A:A,收发货!D:D)</f>
        <v>0</v>
      </c>
      <c r="L409" s="3">
        <f>SUMIF(收开票!A:A,采购合同!A:A,收开票!H:H)</f>
        <v>0</v>
      </c>
      <c r="M409" s="1">
        <f>SUMIF(收开票!A:A,采购合同!A:A,收开票!I:I)</f>
        <v>0</v>
      </c>
      <c r="N409" s="2">
        <f>SUMIF(收付款!A:A,采购合同!A:A,收付款!E:E)</f>
        <v>0</v>
      </c>
      <c r="O409" s="2">
        <f t="shared" ref="O409" si="93">I409-N409</f>
        <v>2073600</v>
      </c>
      <c r="P409" s="90"/>
      <c r="Q409" s="1"/>
      <c r="R409" s="5"/>
      <c r="S409" s="4"/>
    </row>
  </sheetData>
  <autoFilter ref="A1:S408" xr:uid="{00000000-0009-0000-0000-000001000000}">
    <filterColumn colId="3">
      <filters>
        <dateGroupItem year="2019" dateTimeGrouping="year"/>
      </filters>
    </filterColumn>
  </autoFilter>
  <phoneticPr fontId="10" type="noConversion"/>
  <conditionalFormatting sqref="O2:O367 O393:O401 O410:O1048576">
    <cfRule type="cellIs" dxfId="52" priority="56" operator="notEqual">
      <formula>0</formula>
    </cfRule>
  </conditionalFormatting>
  <conditionalFormatting sqref="O368:O369">
    <cfRule type="cellIs" dxfId="51" priority="55" operator="notEqual">
      <formula>0</formula>
    </cfRule>
  </conditionalFormatting>
  <conditionalFormatting sqref="O370">
    <cfRule type="cellIs" dxfId="50" priority="54" operator="notEqual">
      <formula>0</formula>
    </cfRule>
  </conditionalFormatting>
  <conditionalFormatting sqref="O371">
    <cfRule type="cellIs" dxfId="49" priority="53" operator="notEqual">
      <formula>0</formula>
    </cfRule>
  </conditionalFormatting>
  <conditionalFormatting sqref="O372">
    <cfRule type="cellIs" dxfId="48" priority="52" operator="notEqual">
      <formula>0</formula>
    </cfRule>
  </conditionalFormatting>
  <conditionalFormatting sqref="O373">
    <cfRule type="cellIs" dxfId="47" priority="51" operator="notEqual">
      <formula>0</formula>
    </cfRule>
  </conditionalFormatting>
  <conditionalFormatting sqref="O374">
    <cfRule type="cellIs" dxfId="46" priority="50" operator="notEqual">
      <formula>0</formula>
    </cfRule>
  </conditionalFormatting>
  <conditionalFormatting sqref="O375">
    <cfRule type="cellIs" dxfId="45" priority="49" operator="notEqual">
      <formula>0</formula>
    </cfRule>
  </conditionalFormatting>
  <conditionalFormatting sqref="O376">
    <cfRule type="cellIs" dxfId="44" priority="48" operator="notEqual">
      <formula>0</formula>
    </cfRule>
  </conditionalFormatting>
  <conditionalFormatting sqref="O377">
    <cfRule type="cellIs" dxfId="43" priority="47" operator="notEqual">
      <formula>0</formula>
    </cfRule>
  </conditionalFormatting>
  <conditionalFormatting sqref="O378">
    <cfRule type="cellIs" dxfId="42" priority="46" operator="notEqual">
      <formula>0</formula>
    </cfRule>
  </conditionalFormatting>
  <conditionalFormatting sqref="O379">
    <cfRule type="cellIs" dxfId="41" priority="45" operator="notEqual">
      <formula>0</formula>
    </cfRule>
  </conditionalFormatting>
  <conditionalFormatting sqref="O380">
    <cfRule type="cellIs" dxfId="40" priority="44" operator="notEqual">
      <formula>0</formula>
    </cfRule>
  </conditionalFormatting>
  <conditionalFormatting sqref="O381">
    <cfRule type="cellIs" dxfId="39" priority="43" operator="notEqual">
      <formula>0</formula>
    </cfRule>
  </conditionalFormatting>
  <conditionalFormatting sqref="O382">
    <cfRule type="cellIs" dxfId="38" priority="42" operator="notEqual">
      <formula>0</formula>
    </cfRule>
  </conditionalFormatting>
  <conditionalFormatting sqref="O383">
    <cfRule type="cellIs" dxfId="37" priority="41" operator="notEqual">
      <formula>0</formula>
    </cfRule>
  </conditionalFormatting>
  <conditionalFormatting sqref="O384">
    <cfRule type="cellIs" dxfId="36" priority="40" operator="notEqual">
      <formula>0</formula>
    </cfRule>
  </conditionalFormatting>
  <conditionalFormatting sqref="O385">
    <cfRule type="cellIs" dxfId="35" priority="39" operator="notEqual">
      <formula>0</formula>
    </cfRule>
  </conditionalFormatting>
  <conditionalFormatting sqref="O386">
    <cfRule type="cellIs" dxfId="34" priority="38" operator="notEqual">
      <formula>0</formula>
    </cfRule>
  </conditionalFormatting>
  <conditionalFormatting sqref="O387">
    <cfRule type="cellIs" dxfId="33" priority="37" operator="notEqual">
      <formula>0</formula>
    </cfRule>
  </conditionalFormatting>
  <conditionalFormatting sqref="O388">
    <cfRule type="cellIs" dxfId="32" priority="35" operator="notEqual">
      <formula>0</formula>
    </cfRule>
  </conditionalFormatting>
  <conditionalFormatting sqref="O389">
    <cfRule type="cellIs" dxfId="31" priority="34" operator="notEqual">
      <formula>0</formula>
    </cfRule>
  </conditionalFormatting>
  <conditionalFormatting sqref="O390">
    <cfRule type="cellIs" dxfId="30" priority="33" operator="notEqual">
      <formula>0</formula>
    </cfRule>
  </conditionalFormatting>
  <conditionalFormatting sqref="O391">
    <cfRule type="cellIs" dxfId="29" priority="32" operator="notEqual">
      <formula>0</formula>
    </cfRule>
  </conditionalFormatting>
  <conditionalFormatting sqref="O392">
    <cfRule type="cellIs" dxfId="28" priority="31" operator="notEqual">
      <formula>0</formula>
    </cfRule>
  </conditionalFormatting>
  <conditionalFormatting sqref="O393">
    <cfRule type="cellIs" dxfId="27" priority="30" operator="notEqual">
      <formula>0</formula>
    </cfRule>
  </conditionalFormatting>
  <conditionalFormatting sqref="O394">
    <cfRule type="cellIs" dxfId="26" priority="29" operator="notEqual">
      <formula>0</formula>
    </cfRule>
  </conditionalFormatting>
  <conditionalFormatting sqref="O395">
    <cfRule type="cellIs" dxfId="25" priority="28" operator="notEqual">
      <formula>0</formula>
    </cfRule>
  </conditionalFormatting>
  <conditionalFormatting sqref="O396">
    <cfRule type="cellIs" dxfId="24" priority="27" operator="notEqual">
      <formula>0</formula>
    </cfRule>
  </conditionalFormatting>
  <conditionalFormatting sqref="O397">
    <cfRule type="cellIs" dxfId="23" priority="26" operator="notEqual">
      <formula>0</formula>
    </cfRule>
  </conditionalFormatting>
  <conditionalFormatting sqref="O398">
    <cfRule type="cellIs" dxfId="22" priority="25" operator="notEqual">
      <formula>0</formula>
    </cfRule>
  </conditionalFormatting>
  <conditionalFormatting sqref="O398">
    <cfRule type="cellIs" dxfId="21" priority="24" operator="notEqual">
      <formula>0</formula>
    </cfRule>
  </conditionalFormatting>
  <conditionalFormatting sqref="O399">
    <cfRule type="cellIs" dxfId="20" priority="23" operator="notEqual">
      <formula>0</formula>
    </cfRule>
  </conditionalFormatting>
  <conditionalFormatting sqref="O400">
    <cfRule type="cellIs" dxfId="19" priority="22" operator="notEqual">
      <formula>0</formula>
    </cfRule>
  </conditionalFormatting>
  <conditionalFormatting sqref="O401">
    <cfRule type="cellIs" dxfId="18" priority="21" operator="notEqual">
      <formula>0</formula>
    </cfRule>
  </conditionalFormatting>
  <conditionalFormatting sqref="O402">
    <cfRule type="cellIs" dxfId="17" priority="20" operator="notEqual">
      <formula>0</formula>
    </cfRule>
  </conditionalFormatting>
  <conditionalFormatting sqref="O402">
    <cfRule type="cellIs" dxfId="16" priority="19" operator="notEqual">
      <formula>0</formula>
    </cfRule>
  </conditionalFormatting>
  <conditionalFormatting sqref="O403">
    <cfRule type="cellIs" dxfId="15" priority="16" operator="notEqual">
      <formula>0</formula>
    </cfRule>
  </conditionalFormatting>
  <conditionalFormatting sqref="O403">
    <cfRule type="cellIs" dxfId="14" priority="15" operator="notEqual">
      <formula>0</formula>
    </cfRule>
  </conditionalFormatting>
  <conditionalFormatting sqref="O404">
    <cfRule type="cellIs" dxfId="13" priority="14" operator="notEqual">
      <formula>0</formula>
    </cfRule>
  </conditionalFormatting>
  <conditionalFormatting sqref="O404">
    <cfRule type="cellIs" dxfId="12" priority="13" operator="notEqual">
      <formula>0</formula>
    </cfRule>
  </conditionalFormatting>
  <conditionalFormatting sqref="O404">
    <cfRule type="cellIs" dxfId="11" priority="12" operator="notEqual">
      <formula>0</formula>
    </cfRule>
  </conditionalFormatting>
  <conditionalFormatting sqref="O405">
    <cfRule type="cellIs" dxfId="10" priority="11" operator="notEqual">
      <formula>0</formula>
    </cfRule>
  </conditionalFormatting>
  <conditionalFormatting sqref="O405">
    <cfRule type="cellIs" dxfId="9" priority="10" operator="notEqual">
      <formula>0</formula>
    </cfRule>
  </conditionalFormatting>
  <conditionalFormatting sqref="O406">
    <cfRule type="cellIs" dxfId="8" priority="9" operator="notEqual">
      <formula>0</formula>
    </cfRule>
  </conditionalFormatting>
  <conditionalFormatting sqref="O406">
    <cfRule type="cellIs" dxfId="7" priority="8" operator="notEqual">
      <formula>0</formula>
    </cfRule>
  </conditionalFormatting>
  <conditionalFormatting sqref="O407">
    <cfRule type="cellIs" dxfId="6" priority="7" operator="notEqual">
      <formula>0</formula>
    </cfRule>
  </conditionalFormatting>
  <conditionalFormatting sqref="O407">
    <cfRule type="cellIs" dxfId="5" priority="6" operator="notEqual">
      <formula>0</formula>
    </cfRule>
  </conditionalFormatting>
  <conditionalFormatting sqref="O408">
    <cfRule type="cellIs" dxfId="4" priority="5" operator="notEqual">
      <formula>0</formula>
    </cfRule>
  </conditionalFormatting>
  <conditionalFormatting sqref="O408">
    <cfRule type="cellIs" dxfId="3" priority="4" operator="notEqual">
      <formula>0</formula>
    </cfRule>
  </conditionalFormatting>
  <conditionalFormatting sqref="O408">
    <cfRule type="cellIs" dxfId="2" priority="3" operator="notEqual">
      <formula>0</formula>
    </cfRule>
  </conditionalFormatting>
  <conditionalFormatting sqref="O409">
    <cfRule type="cellIs" dxfId="1" priority="2" operator="notEqual">
      <formula>0</formula>
    </cfRule>
  </conditionalFormatting>
  <conditionalFormatting sqref="O409">
    <cfRule type="cellIs" dxfId="0" priority="1" operator="notEqual">
      <formula>0</formula>
    </cfRule>
  </conditionalFormatting>
  <pageMargins left="0.15748031496062992" right="0.19685039370078741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2199"/>
  <sheetViews>
    <sheetView workbookViewId="0">
      <pane ySplit="1" topLeftCell="A2176" activePane="bottomLeft" state="frozen"/>
      <selection activeCell="H499" sqref="H499"/>
      <selection pane="bottomLeft" activeCell="E2192" sqref="E2192:H2192"/>
    </sheetView>
  </sheetViews>
  <sheetFormatPr defaultRowHeight="20.100000000000001" customHeight="1"/>
  <cols>
    <col min="1" max="1" width="19.5" style="153" customWidth="1"/>
    <col min="2" max="2" width="14.375" style="153" customWidth="1"/>
    <col min="3" max="3" width="13.5" style="153" customWidth="1"/>
    <col min="4" max="4" width="13.875" style="153" customWidth="1"/>
    <col min="5" max="5" width="12.25" style="153" customWidth="1"/>
    <col min="6" max="6" width="9" style="153"/>
    <col min="7" max="7" width="16.875" style="153" customWidth="1"/>
    <col min="8" max="8" width="14.25" style="153" customWidth="1"/>
    <col min="9" max="9" width="13.875" style="153" customWidth="1"/>
    <col min="10" max="10" width="11.125" style="153" customWidth="1"/>
    <col min="11" max="12" width="16.25" style="153" customWidth="1"/>
    <col min="13" max="13" width="15.25" style="153" customWidth="1"/>
    <col min="14" max="14" width="13.5" style="153" customWidth="1"/>
    <col min="15" max="16384" width="9" style="153"/>
  </cols>
  <sheetData>
    <row r="1" spans="1:16" s="32" customFormat="1" ht="20.100000000000001" customHeight="1">
      <c r="A1" s="32" t="s">
        <v>1647</v>
      </c>
      <c r="B1" s="18" t="s">
        <v>1648</v>
      </c>
      <c r="C1" s="46" t="s">
        <v>41</v>
      </c>
      <c r="D1" s="47" t="s">
        <v>42</v>
      </c>
      <c r="E1" s="32" t="s">
        <v>1649</v>
      </c>
      <c r="F1" s="32" t="s">
        <v>1650</v>
      </c>
      <c r="G1" s="32" t="s">
        <v>1651</v>
      </c>
      <c r="H1" s="32" t="s">
        <v>1652</v>
      </c>
      <c r="I1" s="47" t="s">
        <v>43</v>
      </c>
      <c r="J1" s="32" t="s">
        <v>44</v>
      </c>
      <c r="K1" s="32" t="s">
        <v>45</v>
      </c>
      <c r="L1" s="32" t="s">
        <v>46</v>
      </c>
      <c r="M1" s="32" t="s">
        <v>47</v>
      </c>
      <c r="N1" s="32" t="s">
        <v>48</v>
      </c>
      <c r="O1" s="32" t="s">
        <v>49</v>
      </c>
      <c r="P1" s="32" t="s">
        <v>16</v>
      </c>
    </row>
    <row r="2" spans="1:16" s="19" customFormat="1" ht="20.100000000000001" customHeight="1">
      <c r="A2" s="17" t="s">
        <v>66</v>
      </c>
      <c r="B2" s="18" t="s">
        <v>52</v>
      </c>
      <c r="C2" s="20">
        <v>42342</v>
      </c>
      <c r="D2" s="21">
        <v>160</v>
      </c>
      <c r="E2" s="19" t="s">
        <v>69</v>
      </c>
      <c r="F2" s="19" t="s">
        <v>70</v>
      </c>
      <c r="G2" s="19" t="s">
        <v>71</v>
      </c>
      <c r="I2" s="21"/>
    </row>
    <row r="3" spans="1:16" s="19" customFormat="1" ht="20.100000000000001" customHeight="1">
      <c r="A3" s="17" t="s">
        <v>72</v>
      </c>
      <c r="B3" s="18" t="s">
        <v>52</v>
      </c>
      <c r="C3" s="20">
        <v>42342</v>
      </c>
      <c r="D3" s="21">
        <v>160</v>
      </c>
      <c r="E3" s="19" t="s">
        <v>69</v>
      </c>
      <c r="F3" s="19" t="s">
        <v>70</v>
      </c>
      <c r="G3" s="19" t="s">
        <v>71</v>
      </c>
      <c r="I3" s="21"/>
    </row>
    <row r="4" spans="1:16" s="19" customFormat="1" ht="20.100000000000001" customHeight="1">
      <c r="A4" s="17" t="s">
        <v>66</v>
      </c>
      <c r="B4" s="18" t="s">
        <v>52</v>
      </c>
      <c r="C4" s="20">
        <v>42345</v>
      </c>
      <c r="D4" s="21">
        <v>196</v>
      </c>
      <c r="E4" s="19" t="s">
        <v>69</v>
      </c>
      <c r="F4" s="19" t="s">
        <v>70</v>
      </c>
      <c r="G4" s="19" t="s">
        <v>71</v>
      </c>
      <c r="I4" s="21"/>
    </row>
    <row r="5" spans="1:16" s="19" customFormat="1" ht="20.100000000000001" customHeight="1">
      <c r="A5" s="17" t="s">
        <v>72</v>
      </c>
      <c r="B5" s="18" t="s">
        <v>52</v>
      </c>
      <c r="C5" s="20">
        <v>42345</v>
      </c>
      <c r="D5" s="21">
        <v>196</v>
      </c>
      <c r="E5" s="19" t="s">
        <v>69</v>
      </c>
      <c r="F5" s="19" t="s">
        <v>70</v>
      </c>
      <c r="G5" s="19" t="s">
        <v>71</v>
      </c>
      <c r="I5" s="21"/>
    </row>
    <row r="6" spans="1:16" s="19" customFormat="1" ht="20.100000000000001" customHeight="1">
      <c r="A6" s="17" t="s">
        <v>66</v>
      </c>
      <c r="B6" s="18" t="s">
        <v>52</v>
      </c>
      <c r="C6" s="20">
        <v>42346</v>
      </c>
      <c r="D6" s="21">
        <v>157</v>
      </c>
      <c r="E6" s="19" t="s">
        <v>69</v>
      </c>
      <c r="F6" s="19" t="s">
        <v>70</v>
      </c>
      <c r="G6" s="19" t="s">
        <v>71</v>
      </c>
      <c r="I6" s="21"/>
    </row>
    <row r="7" spans="1:16" s="19" customFormat="1" ht="20.100000000000001" customHeight="1">
      <c r="A7" s="17" t="s">
        <v>72</v>
      </c>
      <c r="B7" s="18" t="s">
        <v>52</v>
      </c>
      <c r="C7" s="20">
        <v>42346</v>
      </c>
      <c r="D7" s="21">
        <v>157</v>
      </c>
      <c r="E7" s="19" t="s">
        <v>69</v>
      </c>
      <c r="F7" s="19" t="s">
        <v>70</v>
      </c>
      <c r="G7" s="19" t="s">
        <v>71</v>
      </c>
      <c r="I7" s="21"/>
    </row>
    <row r="8" spans="1:16" s="19" customFormat="1" ht="20.100000000000001" customHeight="1">
      <c r="A8" s="17" t="s">
        <v>66</v>
      </c>
      <c r="B8" s="18" t="s">
        <v>52</v>
      </c>
      <c r="C8" s="20">
        <v>42348</v>
      </c>
      <c r="D8" s="21">
        <v>160</v>
      </c>
      <c r="E8" s="19" t="s">
        <v>69</v>
      </c>
      <c r="F8" s="19" t="s">
        <v>70</v>
      </c>
      <c r="G8" s="19" t="s">
        <v>71</v>
      </c>
      <c r="I8" s="21"/>
    </row>
    <row r="9" spans="1:16" s="19" customFormat="1" ht="20.100000000000001" customHeight="1">
      <c r="A9" s="17" t="s">
        <v>72</v>
      </c>
      <c r="B9" s="18" t="s">
        <v>52</v>
      </c>
      <c r="C9" s="20">
        <v>42348</v>
      </c>
      <c r="D9" s="21">
        <v>160</v>
      </c>
      <c r="E9" s="19" t="s">
        <v>69</v>
      </c>
      <c r="F9" s="19" t="s">
        <v>70</v>
      </c>
      <c r="G9" s="19" t="s">
        <v>71</v>
      </c>
      <c r="I9" s="21"/>
    </row>
    <row r="10" spans="1:16" s="19" customFormat="1" ht="20.100000000000001" customHeight="1">
      <c r="A10" s="17" t="s">
        <v>66</v>
      </c>
      <c r="B10" s="18" t="s">
        <v>52</v>
      </c>
      <c r="C10" s="20">
        <v>42352</v>
      </c>
      <c r="D10" s="47">
        <v>247</v>
      </c>
      <c r="E10" s="19" t="s">
        <v>69</v>
      </c>
      <c r="F10" s="19" t="s">
        <v>70</v>
      </c>
      <c r="G10" s="19" t="s">
        <v>71</v>
      </c>
      <c r="I10" s="47"/>
    </row>
    <row r="11" spans="1:16" s="19" customFormat="1" ht="20.100000000000001" customHeight="1">
      <c r="A11" s="17" t="s">
        <v>72</v>
      </c>
      <c r="B11" s="18" t="s">
        <v>52</v>
      </c>
      <c r="C11" s="20">
        <v>42352</v>
      </c>
      <c r="D11" s="47">
        <v>247</v>
      </c>
      <c r="E11" s="19" t="s">
        <v>69</v>
      </c>
      <c r="F11" s="19" t="s">
        <v>70</v>
      </c>
      <c r="G11" s="19" t="s">
        <v>71</v>
      </c>
      <c r="I11" s="47"/>
    </row>
    <row r="12" spans="1:16" s="19" customFormat="1" ht="20.100000000000001" customHeight="1">
      <c r="A12" s="17" t="s">
        <v>66</v>
      </c>
      <c r="B12" s="18" t="s">
        <v>52</v>
      </c>
      <c r="C12" s="20">
        <v>42353</v>
      </c>
      <c r="D12" s="47">
        <v>120</v>
      </c>
      <c r="E12" s="19" t="s">
        <v>69</v>
      </c>
      <c r="F12" s="19" t="s">
        <v>70</v>
      </c>
      <c r="G12" s="19" t="s">
        <v>71</v>
      </c>
      <c r="I12" s="47"/>
    </row>
    <row r="13" spans="1:16" s="19" customFormat="1" ht="20.100000000000001" customHeight="1">
      <c r="A13" s="17" t="s">
        <v>72</v>
      </c>
      <c r="B13" s="18" t="s">
        <v>52</v>
      </c>
      <c r="C13" s="20">
        <v>42353</v>
      </c>
      <c r="D13" s="47">
        <v>120</v>
      </c>
      <c r="E13" s="19" t="s">
        <v>69</v>
      </c>
      <c r="F13" s="19" t="s">
        <v>70</v>
      </c>
      <c r="G13" s="19" t="s">
        <v>71</v>
      </c>
      <c r="I13" s="47"/>
    </row>
    <row r="14" spans="1:16" s="19" customFormat="1" ht="20.100000000000001" customHeight="1">
      <c r="A14" s="32" t="s">
        <v>126</v>
      </c>
      <c r="B14" s="19" t="s">
        <v>128</v>
      </c>
      <c r="C14" s="20">
        <v>42352</v>
      </c>
      <c r="D14" s="47">
        <v>40</v>
      </c>
      <c r="E14" s="19" t="s">
        <v>137</v>
      </c>
      <c r="F14" s="19" t="s">
        <v>134</v>
      </c>
      <c r="G14" s="19" t="s">
        <v>71</v>
      </c>
      <c r="I14" s="47"/>
    </row>
    <row r="15" spans="1:16" s="19" customFormat="1" ht="20.100000000000001" customHeight="1">
      <c r="A15" s="22" t="s">
        <v>138</v>
      </c>
      <c r="B15" s="19" t="s">
        <v>128</v>
      </c>
      <c r="C15" s="20">
        <v>42352</v>
      </c>
      <c r="D15" s="47">
        <v>40</v>
      </c>
      <c r="E15" s="19" t="s">
        <v>137</v>
      </c>
      <c r="F15" s="19" t="s">
        <v>134</v>
      </c>
      <c r="G15" s="19" t="s">
        <v>71</v>
      </c>
      <c r="I15" s="47"/>
    </row>
    <row r="16" spans="1:16" s="19" customFormat="1" ht="20.100000000000001" customHeight="1">
      <c r="A16" s="32" t="s">
        <v>132</v>
      </c>
      <c r="B16" s="32" t="s">
        <v>128</v>
      </c>
      <c r="C16" s="20">
        <v>42367</v>
      </c>
      <c r="D16" s="47">
        <v>40</v>
      </c>
      <c r="E16" s="19" t="s">
        <v>133</v>
      </c>
      <c r="F16" s="19" t="s">
        <v>134</v>
      </c>
      <c r="G16" s="19" t="s">
        <v>135</v>
      </c>
      <c r="I16" s="47"/>
    </row>
    <row r="17" spans="1:9" s="19" customFormat="1" ht="20.100000000000001" customHeight="1">
      <c r="A17" s="22" t="s">
        <v>136</v>
      </c>
      <c r="B17" s="32" t="s">
        <v>128</v>
      </c>
      <c r="C17" s="20">
        <v>42367</v>
      </c>
      <c r="D17" s="47">
        <v>40</v>
      </c>
      <c r="E17" s="19" t="s">
        <v>133</v>
      </c>
      <c r="F17" s="19" t="s">
        <v>134</v>
      </c>
      <c r="G17" s="19" t="s">
        <v>135</v>
      </c>
      <c r="I17" s="47"/>
    </row>
    <row r="18" spans="1:9" s="19" customFormat="1" ht="20.100000000000001" customHeight="1">
      <c r="A18" s="17" t="s">
        <v>50</v>
      </c>
      <c r="B18" s="18" t="s">
        <v>52</v>
      </c>
      <c r="C18" s="20">
        <v>42370</v>
      </c>
      <c r="D18" s="47">
        <v>180</v>
      </c>
      <c r="E18" s="19" t="s">
        <v>62</v>
      </c>
      <c r="F18" s="19" t="s">
        <v>63</v>
      </c>
      <c r="G18" s="19" t="s">
        <v>64</v>
      </c>
      <c r="I18" s="47"/>
    </row>
    <row r="19" spans="1:9" s="19" customFormat="1" ht="20.100000000000001" customHeight="1">
      <c r="A19" s="22" t="s">
        <v>65</v>
      </c>
      <c r="B19" s="18" t="s">
        <v>52</v>
      </c>
      <c r="C19" s="20">
        <v>42370</v>
      </c>
      <c r="D19" s="47">
        <v>180</v>
      </c>
      <c r="E19" s="19" t="s">
        <v>62</v>
      </c>
      <c r="F19" s="19" t="s">
        <v>63</v>
      </c>
      <c r="G19" s="19" t="s">
        <v>64</v>
      </c>
      <c r="I19" s="47"/>
    </row>
    <row r="20" spans="1:9" s="19" customFormat="1" ht="20.100000000000001" customHeight="1">
      <c r="A20" s="22" t="s">
        <v>184</v>
      </c>
      <c r="B20" s="18" t="s">
        <v>164</v>
      </c>
      <c r="C20" s="20">
        <v>42379</v>
      </c>
      <c r="D20" s="47">
        <v>25</v>
      </c>
      <c r="E20" s="19" t="s">
        <v>165</v>
      </c>
      <c r="F20" s="19" t="s">
        <v>166</v>
      </c>
      <c r="G20" s="32" t="s">
        <v>71</v>
      </c>
      <c r="H20" s="32"/>
      <c r="I20" s="47"/>
    </row>
    <row r="21" spans="1:9" s="19" customFormat="1" ht="20.100000000000001" customHeight="1">
      <c r="A21" s="22" t="s">
        <v>167</v>
      </c>
      <c r="B21" s="18" t="s">
        <v>164</v>
      </c>
      <c r="C21" s="20">
        <v>42382</v>
      </c>
      <c r="D21" s="47">
        <v>25</v>
      </c>
      <c r="E21" s="19" t="s">
        <v>165</v>
      </c>
      <c r="F21" s="19" t="s">
        <v>166</v>
      </c>
      <c r="G21" s="32" t="s">
        <v>71</v>
      </c>
      <c r="H21" s="32"/>
      <c r="I21" s="47"/>
    </row>
    <row r="22" spans="1:9" s="32" customFormat="1" ht="20.100000000000001" customHeight="1">
      <c r="A22" s="151" t="s">
        <v>1653</v>
      </c>
      <c r="B22" s="18" t="s">
        <v>1642</v>
      </c>
      <c r="C22" s="46">
        <v>42382</v>
      </c>
      <c r="D22" s="47">
        <v>190.84</v>
      </c>
      <c r="E22" s="32" t="s">
        <v>1643</v>
      </c>
      <c r="F22" s="32" t="s">
        <v>1654</v>
      </c>
      <c r="G22" s="32" t="s">
        <v>1655</v>
      </c>
      <c r="I22" s="47"/>
    </row>
    <row r="23" spans="1:9" s="32" customFormat="1" ht="20.100000000000001" customHeight="1">
      <c r="A23" s="151" t="s">
        <v>1656</v>
      </c>
      <c r="B23" s="18" t="s">
        <v>1642</v>
      </c>
      <c r="C23" s="46">
        <v>42382</v>
      </c>
      <c r="D23" s="47">
        <v>190.84</v>
      </c>
      <c r="E23" s="32" t="s">
        <v>1643</v>
      </c>
      <c r="F23" s="32" t="s">
        <v>1654</v>
      </c>
      <c r="G23" s="32" t="s">
        <v>1655</v>
      </c>
      <c r="I23" s="47"/>
    </row>
    <row r="24" spans="1:9" s="32" customFormat="1" ht="20.100000000000001" customHeight="1">
      <c r="A24" s="22" t="s">
        <v>183</v>
      </c>
      <c r="B24" s="18" t="s">
        <v>52</v>
      </c>
      <c r="C24" s="46">
        <v>42386</v>
      </c>
      <c r="D24" s="47">
        <v>38</v>
      </c>
      <c r="E24" s="19" t="s">
        <v>62</v>
      </c>
      <c r="F24" s="32" t="s">
        <v>63</v>
      </c>
      <c r="G24" s="32" t="s">
        <v>71</v>
      </c>
      <c r="I24" s="47"/>
    </row>
    <row r="25" spans="1:9" s="32" customFormat="1" ht="20.100000000000001" customHeight="1">
      <c r="A25" s="22" t="s">
        <v>182</v>
      </c>
      <c r="B25" s="18" t="s">
        <v>52</v>
      </c>
      <c r="C25" s="46">
        <v>42386</v>
      </c>
      <c r="D25" s="47">
        <v>38</v>
      </c>
      <c r="E25" s="19" t="s">
        <v>62</v>
      </c>
      <c r="F25" s="32" t="s">
        <v>63</v>
      </c>
      <c r="G25" s="32" t="s">
        <v>71</v>
      </c>
      <c r="I25" s="47"/>
    </row>
    <row r="26" spans="1:9" s="32" customFormat="1" ht="20.100000000000001" customHeight="1">
      <c r="A26" s="22" t="s">
        <v>163</v>
      </c>
      <c r="B26" s="18" t="s">
        <v>148</v>
      </c>
      <c r="C26" s="46">
        <v>42387</v>
      </c>
      <c r="D26" s="47">
        <v>25</v>
      </c>
      <c r="E26" s="32" t="s">
        <v>165</v>
      </c>
      <c r="F26" s="32" t="s">
        <v>166</v>
      </c>
      <c r="G26" s="32" t="s">
        <v>71</v>
      </c>
      <c r="I26" s="47"/>
    </row>
    <row r="27" spans="1:9" s="32" customFormat="1" ht="20.100000000000001" customHeight="1">
      <c r="A27" s="22" t="s">
        <v>169</v>
      </c>
      <c r="B27" s="17" t="s">
        <v>82</v>
      </c>
      <c r="C27" s="46">
        <v>42387</v>
      </c>
      <c r="D27" s="47">
        <v>25</v>
      </c>
      <c r="E27" s="32" t="s">
        <v>165</v>
      </c>
      <c r="F27" s="32" t="s">
        <v>166</v>
      </c>
      <c r="G27" s="32" t="s">
        <v>71</v>
      </c>
      <c r="I27" s="47"/>
    </row>
    <row r="28" spans="1:9" s="32" customFormat="1" ht="20.100000000000001" customHeight="1">
      <c r="A28" s="22" t="s">
        <v>150</v>
      </c>
      <c r="B28" s="17" t="s">
        <v>148</v>
      </c>
      <c r="C28" s="46">
        <v>42361</v>
      </c>
      <c r="D28" s="47">
        <v>24</v>
      </c>
      <c r="E28" s="32" t="s">
        <v>165</v>
      </c>
      <c r="F28" s="32" t="s">
        <v>166</v>
      </c>
      <c r="G28" s="32" t="s">
        <v>71</v>
      </c>
      <c r="I28" s="47"/>
    </row>
    <row r="29" spans="1:9" s="32" customFormat="1" ht="20.100000000000001" customHeight="1">
      <c r="A29" s="22" t="s">
        <v>150</v>
      </c>
      <c r="B29" s="17" t="s">
        <v>148</v>
      </c>
      <c r="C29" s="46">
        <v>42365</v>
      </c>
      <c r="D29" s="47">
        <v>24</v>
      </c>
      <c r="E29" s="32" t="s">
        <v>165</v>
      </c>
      <c r="F29" s="32" t="s">
        <v>166</v>
      </c>
      <c r="G29" s="32" t="s">
        <v>71</v>
      </c>
      <c r="I29" s="47"/>
    </row>
    <row r="30" spans="1:9" s="32" customFormat="1" ht="20.100000000000001" customHeight="1">
      <c r="A30" s="22" t="s">
        <v>150</v>
      </c>
      <c r="B30" s="17" t="s">
        <v>148</v>
      </c>
      <c r="C30" s="46">
        <v>42366</v>
      </c>
      <c r="D30" s="47">
        <v>21</v>
      </c>
      <c r="E30" s="32" t="s">
        <v>165</v>
      </c>
      <c r="F30" s="32" t="s">
        <v>166</v>
      </c>
      <c r="G30" s="32" t="s">
        <v>71</v>
      </c>
      <c r="I30" s="47"/>
    </row>
    <row r="31" spans="1:9" s="32" customFormat="1" ht="20.100000000000001" customHeight="1">
      <c r="A31" s="22" t="s">
        <v>150</v>
      </c>
      <c r="B31" s="17" t="s">
        <v>148</v>
      </c>
      <c r="C31" s="46">
        <v>42369</v>
      </c>
      <c r="D31" s="47">
        <v>20.99</v>
      </c>
      <c r="E31" s="32" t="s">
        <v>165</v>
      </c>
      <c r="F31" s="32" t="s">
        <v>166</v>
      </c>
      <c r="G31" s="32" t="s">
        <v>71</v>
      </c>
      <c r="I31" s="47"/>
    </row>
    <row r="32" spans="1:9" s="32" customFormat="1" ht="20.100000000000001" customHeight="1">
      <c r="A32" s="151" t="s">
        <v>1653</v>
      </c>
      <c r="B32" s="18" t="s">
        <v>1642</v>
      </c>
      <c r="C32" s="46">
        <v>42385</v>
      </c>
      <c r="D32" s="47">
        <v>411.2</v>
      </c>
      <c r="E32" s="32" t="s">
        <v>1643</v>
      </c>
      <c r="F32" s="32" t="s">
        <v>1654</v>
      </c>
      <c r="G32" s="32" t="s">
        <v>1657</v>
      </c>
      <c r="I32" s="47"/>
    </row>
    <row r="33" spans="1:9" s="32" customFormat="1" ht="20.100000000000001" customHeight="1">
      <c r="A33" s="151" t="s">
        <v>1656</v>
      </c>
      <c r="B33" s="18" t="s">
        <v>1642</v>
      </c>
      <c r="C33" s="46">
        <v>42385</v>
      </c>
      <c r="D33" s="47">
        <v>411.2</v>
      </c>
      <c r="E33" s="32" t="s">
        <v>1643</v>
      </c>
      <c r="F33" s="32" t="s">
        <v>1654</v>
      </c>
      <c r="G33" s="32" t="s">
        <v>1657</v>
      </c>
      <c r="I33" s="47"/>
    </row>
    <row r="34" spans="1:9" s="32" customFormat="1" ht="20.100000000000001" customHeight="1">
      <c r="A34" s="22" t="s">
        <v>186</v>
      </c>
      <c r="B34" s="18" t="s">
        <v>52</v>
      </c>
      <c r="C34" s="46">
        <v>42387</v>
      </c>
      <c r="D34" s="47">
        <v>144</v>
      </c>
      <c r="E34" s="32" t="s">
        <v>187</v>
      </c>
      <c r="F34" s="32" t="s">
        <v>63</v>
      </c>
      <c r="G34" s="32" t="s">
        <v>71</v>
      </c>
      <c r="I34" s="47"/>
    </row>
    <row r="35" spans="1:9" s="19" customFormat="1" ht="20.100000000000001" customHeight="1">
      <c r="A35" s="22" t="s">
        <v>182</v>
      </c>
      <c r="B35" s="18" t="s">
        <v>52</v>
      </c>
      <c r="C35" s="20">
        <v>42387</v>
      </c>
      <c r="D35" s="47">
        <v>144</v>
      </c>
      <c r="E35" s="19" t="s">
        <v>185</v>
      </c>
      <c r="F35" s="19" t="s">
        <v>63</v>
      </c>
      <c r="G35" s="32" t="s">
        <v>71</v>
      </c>
      <c r="H35" s="32"/>
      <c r="I35" s="47"/>
    </row>
    <row r="36" spans="1:9" s="32" customFormat="1" ht="20.100000000000001" customHeight="1">
      <c r="A36" s="22" t="s">
        <v>183</v>
      </c>
      <c r="B36" s="18" t="s">
        <v>52</v>
      </c>
      <c r="C36" s="46">
        <v>42387</v>
      </c>
      <c r="D36" s="47">
        <v>39</v>
      </c>
      <c r="E36" s="19" t="s">
        <v>62</v>
      </c>
      <c r="F36" s="32" t="s">
        <v>63</v>
      </c>
      <c r="G36" s="32" t="s">
        <v>71</v>
      </c>
      <c r="I36" s="47"/>
    </row>
    <row r="37" spans="1:9" s="32" customFormat="1" ht="20.100000000000001" customHeight="1">
      <c r="A37" s="22" t="s">
        <v>182</v>
      </c>
      <c r="B37" s="18" t="s">
        <v>52</v>
      </c>
      <c r="C37" s="46">
        <v>42387</v>
      </c>
      <c r="D37" s="47">
        <v>39</v>
      </c>
      <c r="E37" s="19" t="s">
        <v>62</v>
      </c>
      <c r="F37" s="32" t="s">
        <v>63</v>
      </c>
      <c r="G37" s="32" t="s">
        <v>71</v>
      </c>
      <c r="I37" s="47"/>
    </row>
    <row r="38" spans="1:9" s="32" customFormat="1" ht="20.100000000000001" customHeight="1">
      <c r="A38" s="22" t="s">
        <v>183</v>
      </c>
      <c r="B38" s="18" t="s">
        <v>52</v>
      </c>
      <c r="C38" s="46">
        <v>42388</v>
      </c>
      <c r="D38" s="47">
        <v>40</v>
      </c>
      <c r="E38" s="19" t="s">
        <v>62</v>
      </c>
      <c r="F38" s="32" t="s">
        <v>63</v>
      </c>
      <c r="G38" s="32" t="s">
        <v>71</v>
      </c>
      <c r="I38" s="47"/>
    </row>
    <row r="39" spans="1:9" s="32" customFormat="1" ht="20.100000000000001" customHeight="1">
      <c r="A39" s="22" t="s">
        <v>182</v>
      </c>
      <c r="B39" s="18" t="s">
        <v>52</v>
      </c>
      <c r="C39" s="46">
        <v>42388</v>
      </c>
      <c r="D39" s="47">
        <v>40</v>
      </c>
      <c r="E39" s="19" t="s">
        <v>62</v>
      </c>
      <c r="F39" s="32" t="s">
        <v>63</v>
      </c>
      <c r="G39" s="32" t="s">
        <v>71</v>
      </c>
      <c r="I39" s="47"/>
    </row>
    <row r="40" spans="1:9" s="32" customFormat="1" ht="20.100000000000001" customHeight="1">
      <c r="A40" s="22" t="s">
        <v>183</v>
      </c>
      <c r="B40" s="18" t="s">
        <v>52</v>
      </c>
      <c r="C40" s="46">
        <v>42387</v>
      </c>
      <c r="D40" s="47">
        <v>120</v>
      </c>
      <c r="E40" s="19" t="s">
        <v>62</v>
      </c>
      <c r="F40" s="32" t="s">
        <v>63</v>
      </c>
      <c r="G40" s="32" t="s">
        <v>64</v>
      </c>
      <c r="I40" s="47"/>
    </row>
    <row r="41" spans="1:9" s="32" customFormat="1" ht="20.100000000000001" customHeight="1">
      <c r="A41" s="22" t="s">
        <v>182</v>
      </c>
      <c r="B41" s="18" t="s">
        <v>52</v>
      </c>
      <c r="C41" s="46">
        <v>42387</v>
      </c>
      <c r="D41" s="47">
        <v>120</v>
      </c>
      <c r="E41" s="19" t="s">
        <v>62</v>
      </c>
      <c r="F41" s="32" t="s">
        <v>63</v>
      </c>
      <c r="G41" s="32" t="s">
        <v>64</v>
      </c>
      <c r="I41" s="47"/>
    </row>
    <row r="42" spans="1:9" s="32" customFormat="1" ht="20.100000000000001" customHeight="1">
      <c r="A42" s="22" t="s">
        <v>186</v>
      </c>
      <c r="B42" s="18" t="s">
        <v>52</v>
      </c>
      <c r="C42" s="46">
        <v>42387</v>
      </c>
      <c r="D42" s="47">
        <v>129</v>
      </c>
      <c r="E42" s="32" t="s">
        <v>185</v>
      </c>
      <c r="F42" s="32" t="s">
        <v>63</v>
      </c>
      <c r="G42" s="32" t="s">
        <v>71</v>
      </c>
      <c r="I42" s="47"/>
    </row>
    <row r="43" spans="1:9" s="19" customFormat="1" ht="20.100000000000001" customHeight="1">
      <c r="A43" s="22" t="s">
        <v>182</v>
      </c>
      <c r="B43" s="18" t="s">
        <v>52</v>
      </c>
      <c r="C43" s="20">
        <v>42387</v>
      </c>
      <c r="D43" s="47">
        <v>129</v>
      </c>
      <c r="E43" s="19" t="s">
        <v>185</v>
      </c>
      <c r="F43" s="19" t="s">
        <v>63</v>
      </c>
      <c r="G43" s="32" t="s">
        <v>71</v>
      </c>
      <c r="H43" s="32"/>
      <c r="I43" s="47"/>
    </row>
    <row r="44" spans="1:9" s="32" customFormat="1" ht="20.100000000000001" customHeight="1">
      <c r="A44" s="22" t="s">
        <v>183</v>
      </c>
      <c r="B44" s="18" t="s">
        <v>52</v>
      </c>
      <c r="C44" s="46">
        <v>42393</v>
      </c>
      <c r="D44" s="47">
        <v>78.239999999999995</v>
      </c>
      <c r="E44" s="19" t="s">
        <v>62</v>
      </c>
      <c r="F44" s="32" t="s">
        <v>63</v>
      </c>
      <c r="G44" s="32" t="s">
        <v>71</v>
      </c>
      <c r="I44" s="47"/>
    </row>
    <row r="45" spans="1:9" s="32" customFormat="1" ht="20.100000000000001" customHeight="1">
      <c r="A45" s="22" t="s">
        <v>182</v>
      </c>
      <c r="B45" s="18" t="s">
        <v>52</v>
      </c>
      <c r="C45" s="46">
        <v>42393</v>
      </c>
      <c r="D45" s="47">
        <v>78.239999999999995</v>
      </c>
      <c r="E45" s="19" t="s">
        <v>62</v>
      </c>
      <c r="F45" s="32" t="s">
        <v>63</v>
      </c>
      <c r="G45" s="32" t="s">
        <v>71</v>
      </c>
      <c r="I45" s="47"/>
    </row>
    <row r="46" spans="1:9" s="32" customFormat="1" ht="20.100000000000001" customHeight="1">
      <c r="A46" s="22" t="s">
        <v>186</v>
      </c>
      <c r="B46" s="18" t="s">
        <v>52</v>
      </c>
      <c r="C46" s="46">
        <v>42393</v>
      </c>
      <c r="D46" s="47">
        <v>360</v>
      </c>
      <c r="E46" s="32" t="s">
        <v>185</v>
      </c>
      <c r="F46" s="32" t="s">
        <v>63</v>
      </c>
      <c r="G46" s="32" t="s">
        <v>64</v>
      </c>
      <c r="I46" s="47"/>
    </row>
    <row r="47" spans="1:9" s="19" customFormat="1" ht="20.100000000000001" customHeight="1">
      <c r="A47" s="22" t="s">
        <v>182</v>
      </c>
      <c r="B47" s="18" t="s">
        <v>52</v>
      </c>
      <c r="C47" s="20">
        <v>42393</v>
      </c>
      <c r="D47" s="47">
        <v>360</v>
      </c>
      <c r="E47" s="19" t="s">
        <v>185</v>
      </c>
      <c r="F47" s="19" t="s">
        <v>63</v>
      </c>
      <c r="G47" s="32" t="s">
        <v>64</v>
      </c>
      <c r="H47" s="32"/>
      <c r="I47" s="47"/>
    </row>
    <row r="48" spans="1:9" s="32" customFormat="1" ht="20.100000000000001" customHeight="1">
      <c r="A48" s="22" t="s">
        <v>163</v>
      </c>
      <c r="B48" s="17" t="s">
        <v>85</v>
      </c>
      <c r="C48" s="46">
        <v>42392</v>
      </c>
      <c r="D48" s="47">
        <v>50</v>
      </c>
      <c r="E48" s="32" t="s">
        <v>165</v>
      </c>
      <c r="F48" s="32" t="s">
        <v>63</v>
      </c>
      <c r="G48" s="32" t="s">
        <v>71</v>
      </c>
      <c r="I48" s="47"/>
    </row>
    <row r="49" spans="1:9" s="32" customFormat="1" ht="20.100000000000001" customHeight="1">
      <c r="A49" s="22" t="s">
        <v>183</v>
      </c>
      <c r="B49" s="18" t="s">
        <v>52</v>
      </c>
      <c r="C49" s="46">
        <v>42392</v>
      </c>
      <c r="D49" s="47">
        <v>60</v>
      </c>
      <c r="E49" s="19" t="s">
        <v>62</v>
      </c>
      <c r="F49" s="32" t="s">
        <v>63</v>
      </c>
      <c r="G49" s="32" t="s">
        <v>64</v>
      </c>
      <c r="I49" s="47"/>
    </row>
    <row r="50" spans="1:9" s="32" customFormat="1" ht="20.100000000000001" customHeight="1">
      <c r="A50" s="22" t="s">
        <v>182</v>
      </c>
      <c r="B50" s="18" t="s">
        <v>52</v>
      </c>
      <c r="C50" s="46">
        <v>42392</v>
      </c>
      <c r="D50" s="47">
        <v>60</v>
      </c>
      <c r="E50" s="19" t="s">
        <v>62</v>
      </c>
      <c r="F50" s="32" t="s">
        <v>63</v>
      </c>
      <c r="G50" s="32" t="s">
        <v>64</v>
      </c>
      <c r="I50" s="47"/>
    </row>
    <row r="51" spans="1:9" s="32" customFormat="1" ht="20.100000000000001" customHeight="1">
      <c r="A51" s="22" t="s">
        <v>225</v>
      </c>
      <c r="B51" s="18" t="s">
        <v>93</v>
      </c>
      <c r="C51" s="46">
        <v>42388</v>
      </c>
      <c r="D51" s="47">
        <v>4750</v>
      </c>
      <c r="E51" s="19" t="s">
        <v>226</v>
      </c>
      <c r="F51" s="32" t="s">
        <v>63</v>
      </c>
      <c r="G51" s="32" t="s">
        <v>227</v>
      </c>
      <c r="H51" s="32" t="s">
        <v>329</v>
      </c>
      <c r="I51" s="47"/>
    </row>
    <row r="52" spans="1:9" s="32" customFormat="1" ht="20.100000000000001" customHeight="1">
      <c r="A52" s="22" t="s">
        <v>228</v>
      </c>
      <c r="B52" s="18" t="s">
        <v>93</v>
      </c>
      <c r="C52" s="46">
        <v>42388</v>
      </c>
      <c r="D52" s="47">
        <v>4750</v>
      </c>
      <c r="E52" s="19" t="s">
        <v>226</v>
      </c>
      <c r="F52" s="32" t="s">
        <v>63</v>
      </c>
      <c r="G52" s="32" t="s">
        <v>227</v>
      </c>
      <c r="H52" s="32" t="s">
        <v>328</v>
      </c>
      <c r="I52" s="47"/>
    </row>
    <row r="53" spans="1:9" s="32" customFormat="1" ht="20.100000000000001" customHeight="1">
      <c r="A53" s="22" t="s">
        <v>229</v>
      </c>
      <c r="B53" s="18" t="s">
        <v>230</v>
      </c>
      <c r="C53" s="46">
        <v>42388</v>
      </c>
      <c r="D53" s="47">
        <v>7300</v>
      </c>
      <c r="E53" s="19" t="s">
        <v>231</v>
      </c>
      <c r="F53" s="32" t="s">
        <v>63</v>
      </c>
      <c r="G53" s="32" t="s">
        <v>227</v>
      </c>
      <c r="H53" s="32" t="s">
        <v>329</v>
      </c>
      <c r="I53" s="47"/>
    </row>
    <row r="54" spans="1:9" s="32" customFormat="1" ht="20.100000000000001" customHeight="1">
      <c r="A54" s="22" t="s">
        <v>232</v>
      </c>
      <c r="B54" s="18" t="s">
        <v>230</v>
      </c>
      <c r="C54" s="46">
        <v>42388</v>
      </c>
      <c r="D54" s="47">
        <v>7300</v>
      </c>
      <c r="E54" s="19" t="s">
        <v>231</v>
      </c>
      <c r="F54" s="32" t="s">
        <v>63</v>
      </c>
      <c r="G54" s="32" t="s">
        <v>227</v>
      </c>
      <c r="H54" s="32" t="s">
        <v>328</v>
      </c>
      <c r="I54" s="47"/>
    </row>
    <row r="55" spans="1:9" s="32" customFormat="1" ht="20.100000000000001" customHeight="1">
      <c r="A55" s="22" t="s">
        <v>163</v>
      </c>
      <c r="B55" s="17" t="s">
        <v>173</v>
      </c>
      <c r="C55" s="46">
        <v>42396</v>
      </c>
      <c r="D55" s="47">
        <v>26</v>
      </c>
      <c r="E55" s="32" t="s">
        <v>298</v>
      </c>
      <c r="F55" s="32" t="s">
        <v>299</v>
      </c>
      <c r="G55" s="32" t="s">
        <v>71</v>
      </c>
      <c r="I55" s="47"/>
    </row>
    <row r="56" spans="1:9" s="32" customFormat="1" ht="20.100000000000001" customHeight="1">
      <c r="A56" s="22" t="s">
        <v>320</v>
      </c>
      <c r="B56" s="17" t="s">
        <v>268</v>
      </c>
      <c r="C56" s="46">
        <v>42396</v>
      </c>
      <c r="D56" s="47">
        <v>40</v>
      </c>
      <c r="E56" s="32" t="s">
        <v>241</v>
      </c>
      <c r="F56" s="32" t="s">
        <v>298</v>
      </c>
      <c r="G56" s="32" t="s">
        <v>71</v>
      </c>
      <c r="I56" s="47"/>
    </row>
    <row r="57" spans="1:9" s="32" customFormat="1" ht="20.100000000000001" customHeight="1">
      <c r="A57" s="151" t="s">
        <v>1658</v>
      </c>
      <c r="B57" s="32" t="s">
        <v>1642</v>
      </c>
      <c r="C57" s="46">
        <v>42387</v>
      </c>
      <c r="D57" s="50">
        <v>190</v>
      </c>
      <c r="E57" s="32" t="s">
        <v>1643</v>
      </c>
      <c r="F57" s="32" t="s">
        <v>1644</v>
      </c>
      <c r="G57" s="32" t="s">
        <v>1655</v>
      </c>
      <c r="I57" s="50"/>
    </row>
    <row r="58" spans="1:9" s="32" customFormat="1" ht="20.100000000000001" customHeight="1">
      <c r="A58" s="151" t="s">
        <v>1659</v>
      </c>
      <c r="B58" s="32" t="s">
        <v>1642</v>
      </c>
      <c r="C58" s="46">
        <v>42387</v>
      </c>
      <c r="D58" s="47">
        <v>190</v>
      </c>
      <c r="E58" s="32" t="s">
        <v>1643</v>
      </c>
      <c r="F58" s="32" t="s">
        <v>1644</v>
      </c>
      <c r="G58" s="32" t="s">
        <v>1655</v>
      </c>
      <c r="I58" s="47"/>
    </row>
    <row r="59" spans="1:9" s="32" customFormat="1" ht="20.100000000000001" customHeight="1">
      <c r="A59" s="151" t="s">
        <v>1658</v>
      </c>
      <c r="B59" s="32" t="s">
        <v>1642</v>
      </c>
      <c r="C59" s="46">
        <v>42397</v>
      </c>
      <c r="D59" s="47">
        <v>590</v>
      </c>
      <c r="E59" s="32" t="s">
        <v>1643</v>
      </c>
      <c r="F59" s="32" t="s">
        <v>1644</v>
      </c>
      <c r="G59" s="32" t="s">
        <v>1655</v>
      </c>
      <c r="I59" s="47"/>
    </row>
    <row r="60" spans="1:9" s="32" customFormat="1" ht="20.100000000000001" customHeight="1">
      <c r="A60" s="151" t="s">
        <v>1659</v>
      </c>
      <c r="B60" s="32" t="s">
        <v>1642</v>
      </c>
      <c r="C60" s="46">
        <v>42397</v>
      </c>
      <c r="D60" s="47">
        <v>590</v>
      </c>
      <c r="E60" s="32" t="s">
        <v>1643</v>
      </c>
      <c r="F60" s="32" t="s">
        <v>1644</v>
      </c>
      <c r="G60" s="32" t="s">
        <v>1655</v>
      </c>
      <c r="I60" s="47"/>
    </row>
    <row r="61" spans="1:9" s="32" customFormat="1" ht="20.100000000000001" customHeight="1">
      <c r="A61" s="22" t="s">
        <v>302</v>
      </c>
      <c r="B61" s="17" t="s">
        <v>175</v>
      </c>
      <c r="C61" s="46">
        <v>42398</v>
      </c>
      <c r="D61" s="47">
        <v>70</v>
      </c>
      <c r="E61" s="32" t="s">
        <v>298</v>
      </c>
      <c r="F61" s="32" t="s">
        <v>299</v>
      </c>
      <c r="G61" s="32" t="s">
        <v>71</v>
      </c>
      <c r="I61" s="47"/>
    </row>
    <row r="62" spans="1:9" s="32" customFormat="1" ht="20.100000000000001" customHeight="1">
      <c r="A62" s="151" t="s">
        <v>1658</v>
      </c>
      <c r="B62" s="32" t="s">
        <v>1642</v>
      </c>
      <c r="C62" s="46">
        <v>42398</v>
      </c>
      <c r="D62" s="47">
        <v>330</v>
      </c>
      <c r="E62" s="32" t="s">
        <v>1643</v>
      </c>
      <c r="F62" s="32" t="s">
        <v>1644</v>
      </c>
      <c r="G62" s="32" t="s">
        <v>1655</v>
      </c>
      <c r="I62" s="47"/>
    </row>
    <row r="63" spans="1:9" s="32" customFormat="1" ht="20.100000000000001" customHeight="1">
      <c r="A63" s="151" t="s">
        <v>1659</v>
      </c>
      <c r="B63" s="32" t="s">
        <v>1642</v>
      </c>
      <c r="C63" s="46">
        <v>42398</v>
      </c>
      <c r="D63" s="47">
        <v>330</v>
      </c>
      <c r="E63" s="32" t="s">
        <v>1643</v>
      </c>
      <c r="F63" s="32" t="s">
        <v>1644</v>
      </c>
      <c r="G63" s="32" t="s">
        <v>1655</v>
      </c>
      <c r="I63" s="47"/>
    </row>
    <row r="64" spans="1:9" s="32" customFormat="1" ht="20.100000000000001" customHeight="1">
      <c r="A64" s="22" t="s">
        <v>300</v>
      </c>
      <c r="B64" s="17" t="s">
        <v>268</v>
      </c>
      <c r="C64" s="46">
        <v>42399</v>
      </c>
      <c r="D64" s="47">
        <v>80</v>
      </c>
      <c r="E64" s="32" t="s">
        <v>241</v>
      </c>
      <c r="F64" s="32" t="s">
        <v>298</v>
      </c>
      <c r="G64" s="32" t="s">
        <v>71</v>
      </c>
      <c r="I64" s="47"/>
    </row>
    <row r="65" spans="1:9" s="32" customFormat="1" ht="20.100000000000001" customHeight="1">
      <c r="A65" s="22" t="s">
        <v>270</v>
      </c>
      <c r="B65" s="17" t="s">
        <v>268</v>
      </c>
      <c r="C65" s="46">
        <v>42400</v>
      </c>
      <c r="D65" s="47">
        <v>80</v>
      </c>
      <c r="E65" s="32" t="s">
        <v>241</v>
      </c>
      <c r="F65" s="32" t="s">
        <v>298</v>
      </c>
      <c r="G65" s="32" t="s">
        <v>71</v>
      </c>
      <c r="I65" s="47"/>
    </row>
    <row r="66" spans="1:9" s="32" customFormat="1" ht="20.100000000000001" customHeight="1">
      <c r="A66" s="22" t="s">
        <v>270</v>
      </c>
      <c r="B66" s="17" t="s">
        <v>268</v>
      </c>
      <c r="C66" s="46">
        <v>42401</v>
      </c>
      <c r="D66" s="50">
        <v>40</v>
      </c>
      <c r="E66" s="32" t="s">
        <v>241</v>
      </c>
      <c r="F66" s="32" t="s">
        <v>298</v>
      </c>
      <c r="G66" s="32" t="s">
        <v>71</v>
      </c>
      <c r="H66" s="32" t="s">
        <v>329</v>
      </c>
      <c r="I66" s="50"/>
    </row>
    <row r="67" spans="1:9" s="32" customFormat="1" ht="20.100000000000001" customHeight="1">
      <c r="A67" s="22" t="s">
        <v>270</v>
      </c>
      <c r="B67" s="17" t="s">
        <v>268</v>
      </c>
      <c r="C67" s="46">
        <v>42402</v>
      </c>
      <c r="D67" s="50">
        <v>8</v>
      </c>
      <c r="E67" s="32" t="s">
        <v>241</v>
      </c>
      <c r="F67" s="32" t="s">
        <v>298</v>
      </c>
      <c r="G67" s="32" t="s">
        <v>71</v>
      </c>
      <c r="H67" s="32" t="s">
        <v>329</v>
      </c>
      <c r="I67" s="50"/>
    </row>
    <row r="68" spans="1:9" s="32" customFormat="1" ht="20.100000000000001" customHeight="1">
      <c r="A68" s="22" t="s">
        <v>270</v>
      </c>
      <c r="B68" s="17" t="s">
        <v>268</v>
      </c>
      <c r="C68" s="46">
        <v>42403</v>
      </c>
      <c r="D68" s="50">
        <v>72</v>
      </c>
      <c r="E68" s="32" t="s">
        <v>241</v>
      </c>
      <c r="F68" s="32" t="s">
        <v>298</v>
      </c>
      <c r="G68" s="32" t="s">
        <v>71</v>
      </c>
      <c r="H68" s="32" t="s">
        <v>329</v>
      </c>
      <c r="I68" s="50"/>
    </row>
    <row r="69" spans="1:9" s="32" customFormat="1" ht="20.100000000000001" customHeight="1">
      <c r="A69" s="151" t="s">
        <v>1660</v>
      </c>
      <c r="B69" s="32" t="s">
        <v>1642</v>
      </c>
      <c r="C69" s="46">
        <v>42401</v>
      </c>
      <c r="D69" s="50">
        <v>240</v>
      </c>
      <c r="E69" s="32" t="s">
        <v>1643</v>
      </c>
      <c r="F69" s="32" t="s">
        <v>1661</v>
      </c>
      <c r="G69" s="32" t="s">
        <v>1655</v>
      </c>
      <c r="H69" s="32" t="s">
        <v>1646</v>
      </c>
      <c r="I69" s="50"/>
    </row>
    <row r="70" spans="1:9" s="32" customFormat="1" ht="20.100000000000001" customHeight="1">
      <c r="A70" s="151" t="s">
        <v>1662</v>
      </c>
      <c r="B70" s="32" t="s">
        <v>1642</v>
      </c>
      <c r="C70" s="46">
        <v>42401</v>
      </c>
      <c r="D70" s="50">
        <v>240</v>
      </c>
      <c r="E70" s="32" t="s">
        <v>1643</v>
      </c>
      <c r="F70" s="32" t="s">
        <v>1661</v>
      </c>
      <c r="G70" s="32" t="s">
        <v>1655</v>
      </c>
      <c r="H70" s="32" t="s">
        <v>1663</v>
      </c>
      <c r="I70" s="50"/>
    </row>
    <row r="71" spans="1:9" s="32" customFormat="1" ht="20.100000000000001" customHeight="1">
      <c r="A71" s="151" t="s">
        <v>1660</v>
      </c>
      <c r="B71" s="32" t="s">
        <v>1642</v>
      </c>
      <c r="C71" s="46">
        <v>42405</v>
      </c>
      <c r="D71" s="50">
        <v>60</v>
      </c>
      <c r="E71" s="32" t="s">
        <v>1643</v>
      </c>
      <c r="F71" s="32" t="s">
        <v>1644</v>
      </c>
      <c r="G71" s="32" t="s">
        <v>1655</v>
      </c>
      <c r="H71" s="32" t="s">
        <v>1646</v>
      </c>
      <c r="I71" s="50"/>
    </row>
    <row r="72" spans="1:9" s="32" customFormat="1" ht="20.100000000000001" customHeight="1">
      <c r="A72" s="151" t="s">
        <v>1664</v>
      </c>
      <c r="B72" s="32" t="s">
        <v>1642</v>
      </c>
      <c r="C72" s="46">
        <v>42405</v>
      </c>
      <c r="D72" s="50">
        <v>60</v>
      </c>
      <c r="E72" s="32" t="s">
        <v>1643</v>
      </c>
      <c r="F72" s="32" t="s">
        <v>1644</v>
      </c>
      <c r="G72" s="32" t="s">
        <v>1655</v>
      </c>
      <c r="H72" s="32" t="s">
        <v>1663</v>
      </c>
      <c r="I72" s="50"/>
    </row>
    <row r="73" spans="1:9" s="32" customFormat="1" ht="20.100000000000001" customHeight="1">
      <c r="A73" s="151" t="s">
        <v>1660</v>
      </c>
      <c r="B73" s="32" t="s">
        <v>1642</v>
      </c>
      <c r="C73" s="46">
        <v>42405</v>
      </c>
      <c r="D73" s="50">
        <v>330</v>
      </c>
      <c r="E73" s="32" t="s">
        <v>1643</v>
      </c>
      <c r="F73" s="32" t="s">
        <v>1661</v>
      </c>
      <c r="G73" s="32" t="s">
        <v>1655</v>
      </c>
      <c r="H73" s="32" t="s">
        <v>1646</v>
      </c>
      <c r="I73" s="50"/>
    </row>
    <row r="74" spans="1:9" s="32" customFormat="1" ht="20.100000000000001" customHeight="1">
      <c r="A74" s="151" t="s">
        <v>1662</v>
      </c>
      <c r="B74" s="32" t="s">
        <v>1642</v>
      </c>
      <c r="C74" s="46">
        <v>42405</v>
      </c>
      <c r="D74" s="50">
        <v>330</v>
      </c>
      <c r="E74" s="32" t="s">
        <v>1643</v>
      </c>
      <c r="F74" s="32" t="s">
        <v>1661</v>
      </c>
      <c r="G74" s="32" t="s">
        <v>1655</v>
      </c>
      <c r="H74" s="32" t="s">
        <v>1663</v>
      </c>
      <c r="I74" s="50"/>
    </row>
    <row r="75" spans="1:9" s="32" customFormat="1" ht="20.100000000000001" customHeight="1">
      <c r="A75" s="22" t="s">
        <v>288</v>
      </c>
      <c r="B75" s="17" t="s">
        <v>93</v>
      </c>
      <c r="C75" s="46">
        <v>42402</v>
      </c>
      <c r="D75" s="50">
        <v>10523.92</v>
      </c>
      <c r="E75" s="32" t="s">
        <v>226</v>
      </c>
      <c r="F75" s="32" t="s">
        <v>299</v>
      </c>
      <c r="G75" s="32" t="s">
        <v>227</v>
      </c>
      <c r="H75" s="32" t="s">
        <v>329</v>
      </c>
      <c r="I75" s="50"/>
    </row>
    <row r="76" spans="1:9" s="32" customFormat="1" ht="20.100000000000001" customHeight="1">
      <c r="A76" s="22" t="s">
        <v>289</v>
      </c>
      <c r="B76" s="17" t="s">
        <v>93</v>
      </c>
      <c r="C76" s="46">
        <v>42401</v>
      </c>
      <c r="D76" s="50">
        <v>3923.04</v>
      </c>
      <c r="E76" s="32" t="s">
        <v>231</v>
      </c>
      <c r="F76" s="32" t="s">
        <v>299</v>
      </c>
      <c r="G76" s="32" t="s">
        <v>227</v>
      </c>
      <c r="H76" s="32" t="s">
        <v>329</v>
      </c>
      <c r="I76" s="50"/>
    </row>
    <row r="77" spans="1:9" s="32" customFormat="1" ht="20.100000000000001" customHeight="1">
      <c r="A77" s="22" t="s">
        <v>293</v>
      </c>
      <c r="B77" s="17" t="s">
        <v>93</v>
      </c>
      <c r="C77" s="46">
        <v>42405</v>
      </c>
      <c r="D77" s="50">
        <v>2955.36</v>
      </c>
      <c r="E77" s="32" t="s">
        <v>226</v>
      </c>
      <c r="F77" s="32" t="s">
        <v>299</v>
      </c>
      <c r="G77" s="32" t="s">
        <v>227</v>
      </c>
      <c r="H77" s="32" t="s">
        <v>329</v>
      </c>
      <c r="I77" s="50"/>
    </row>
    <row r="78" spans="1:9" s="32" customFormat="1" ht="20.100000000000001" customHeight="1">
      <c r="A78" s="22" t="s">
        <v>304</v>
      </c>
      <c r="B78" s="17" t="s">
        <v>93</v>
      </c>
      <c r="C78" s="46">
        <v>42402</v>
      </c>
      <c r="D78" s="50">
        <v>10523.92</v>
      </c>
      <c r="E78" s="32" t="s">
        <v>226</v>
      </c>
      <c r="F78" s="32" t="s">
        <v>299</v>
      </c>
      <c r="G78" s="32" t="s">
        <v>227</v>
      </c>
      <c r="H78" s="32" t="s">
        <v>328</v>
      </c>
      <c r="I78" s="50"/>
    </row>
    <row r="79" spans="1:9" s="32" customFormat="1" ht="20.100000000000001" customHeight="1">
      <c r="A79" s="22" t="s">
        <v>304</v>
      </c>
      <c r="B79" s="17" t="s">
        <v>93</v>
      </c>
      <c r="C79" s="46">
        <v>42401</v>
      </c>
      <c r="D79" s="50">
        <v>3923.04</v>
      </c>
      <c r="E79" s="32" t="s">
        <v>231</v>
      </c>
      <c r="F79" s="32" t="s">
        <v>299</v>
      </c>
      <c r="G79" s="32" t="s">
        <v>227</v>
      </c>
      <c r="H79" s="32" t="s">
        <v>328</v>
      </c>
      <c r="I79" s="50"/>
    </row>
    <row r="80" spans="1:9" s="32" customFormat="1" ht="20.100000000000001" customHeight="1">
      <c r="A80" s="22" t="s">
        <v>174</v>
      </c>
      <c r="B80" s="17" t="s">
        <v>175</v>
      </c>
      <c r="C80" s="46">
        <v>42351</v>
      </c>
      <c r="D80" s="47">
        <v>30</v>
      </c>
      <c r="E80" s="32" t="s">
        <v>298</v>
      </c>
      <c r="F80" s="32" t="s">
        <v>299</v>
      </c>
      <c r="G80" s="32" t="s">
        <v>71</v>
      </c>
      <c r="H80" s="32" t="s">
        <v>328</v>
      </c>
      <c r="I80" s="47"/>
    </row>
    <row r="81" spans="1:9" s="32" customFormat="1" ht="20.100000000000001" customHeight="1">
      <c r="A81" s="22" t="s">
        <v>174</v>
      </c>
      <c r="B81" s="17" t="s">
        <v>175</v>
      </c>
      <c r="C81" s="46">
        <v>42361</v>
      </c>
      <c r="D81" s="47">
        <v>26</v>
      </c>
      <c r="E81" s="32" t="s">
        <v>298</v>
      </c>
      <c r="F81" s="32" t="s">
        <v>299</v>
      </c>
      <c r="G81" s="32" t="s">
        <v>71</v>
      </c>
      <c r="H81" s="32" t="s">
        <v>328</v>
      </c>
      <c r="I81" s="47"/>
    </row>
    <row r="82" spans="1:9" s="32" customFormat="1" ht="20.100000000000001" customHeight="1">
      <c r="A82" s="22" t="s">
        <v>307</v>
      </c>
      <c r="B82" s="17" t="s">
        <v>308</v>
      </c>
      <c r="C82" s="46">
        <v>42367</v>
      </c>
      <c r="D82" s="47">
        <v>85</v>
      </c>
      <c r="E82" s="32" t="s">
        <v>309</v>
      </c>
      <c r="F82" s="32" t="s">
        <v>310</v>
      </c>
      <c r="G82" s="32" t="s">
        <v>311</v>
      </c>
      <c r="H82" s="32" t="s">
        <v>328</v>
      </c>
      <c r="I82" s="47"/>
    </row>
    <row r="83" spans="1:9" s="32" customFormat="1" ht="20.100000000000001" customHeight="1">
      <c r="A83" s="22" t="s">
        <v>307</v>
      </c>
      <c r="B83" s="17" t="s">
        <v>308</v>
      </c>
      <c r="C83" s="46">
        <v>42368</v>
      </c>
      <c r="D83" s="47">
        <v>49</v>
      </c>
      <c r="E83" s="32" t="s">
        <v>309</v>
      </c>
      <c r="F83" s="32" t="s">
        <v>310</v>
      </c>
      <c r="G83" s="32" t="s">
        <v>311</v>
      </c>
      <c r="H83" s="32" t="s">
        <v>328</v>
      </c>
      <c r="I83" s="47"/>
    </row>
    <row r="84" spans="1:9" s="32" customFormat="1" ht="20.100000000000001" customHeight="1">
      <c r="A84" s="22" t="s">
        <v>312</v>
      </c>
      <c r="B84" s="17" t="s">
        <v>313</v>
      </c>
      <c r="C84" s="46">
        <v>42415</v>
      </c>
      <c r="D84" s="50">
        <v>140</v>
      </c>
      <c r="E84" s="19" t="s">
        <v>62</v>
      </c>
      <c r="F84" s="32" t="s">
        <v>310</v>
      </c>
      <c r="G84" s="32" t="s">
        <v>314</v>
      </c>
      <c r="H84" s="32" t="s">
        <v>329</v>
      </c>
      <c r="I84" s="50"/>
    </row>
    <row r="85" spans="1:9" s="32" customFormat="1" ht="20.100000000000001" customHeight="1">
      <c r="A85" s="22" t="s">
        <v>315</v>
      </c>
      <c r="B85" s="17" t="s">
        <v>313</v>
      </c>
      <c r="C85" s="46">
        <v>42415</v>
      </c>
      <c r="D85" s="50">
        <v>140</v>
      </c>
      <c r="E85" s="19" t="s">
        <v>62</v>
      </c>
      <c r="F85" s="32" t="s">
        <v>310</v>
      </c>
      <c r="G85" s="32" t="s">
        <v>314</v>
      </c>
      <c r="H85" s="32" t="s">
        <v>328</v>
      </c>
      <c r="I85" s="50"/>
    </row>
    <row r="86" spans="1:9" s="32" customFormat="1" ht="20.100000000000001" customHeight="1">
      <c r="A86" s="22" t="s">
        <v>316</v>
      </c>
      <c r="B86" s="17" t="s">
        <v>313</v>
      </c>
      <c r="C86" s="46">
        <v>42415</v>
      </c>
      <c r="D86" s="50">
        <v>300</v>
      </c>
      <c r="E86" s="32" t="s">
        <v>317</v>
      </c>
      <c r="F86" s="32" t="s">
        <v>310</v>
      </c>
      <c r="G86" s="32" t="s">
        <v>314</v>
      </c>
      <c r="H86" s="32" t="s">
        <v>329</v>
      </c>
      <c r="I86" s="50"/>
    </row>
    <row r="87" spans="1:9" s="32" customFormat="1" ht="20.100000000000001" customHeight="1">
      <c r="A87" s="22" t="s">
        <v>315</v>
      </c>
      <c r="B87" s="17" t="s">
        <v>313</v>
      </c>
      <c r="C87" s="46">
        <v>42415</v>
      </c>
      <c r="D87" s="50">
        <v>300</v>
      </c>
      <c r="E87" s="32" t="s">
        <v>317</v>
      </c>
      <c r="F87" s="32" t="s">
        <v>310</v>
      </c>
      <c r="G87" s="32" t="s">
        <v>314</v>
      </c>
      <c r="H87" s="32" t="s">
        <v>328</v>
      </c>
      <c r="I87" s="50"/>
    </row>
    <row r="88" spans="1:9" s="32" customFormat="1" ht="20.100000000000001" customHeight="1">
      <c r="A88" s="22" t="s">
        <v>316</v>
      </c>
      <c r="B88" s="17" t="s">
        <v>203</v>
      </c>
      <c r="C88" s="46">
        <v>42416</v>
      </c>
      <c r="D88" s="50">
        <v>60</v>
      </c>
      <c r="E88" s="32" t="s">
        <v>185</v>
      </c>
      <c r="F88" s="32" t="s">
        <v>166</v>
      </c>
      <c r="G88" s="32" t="s">
        <v>188</v>
      </c>
      <c r="H88" s="32" t="s">
        <v>329</v>
      </c>
      <c r="I88" s="50"/>
    </row>
    <row r="89" spans="1:9" s="32" customFormat="1" ht="20.100000000000001" customHeight="1">
      <c r="A89" s="22" t="s">
        <v>303</v>
      </c>
      <c r="B89" s="17" t="s">
        <v>203</v>
      </c>
      <c r="C89" s="46">
        <v>42416</v>
      </c>
      <c r="D89" s="50">
        <v>60</v>
      </c>
      <c r="E89" s="32" t="s">
        <v>185</v>
      </c>
      <c r="F89" s="32" t="s">
        <v>166</v>
      </c>
      <c r="G89" s="32" t="s">
        <v>188</v>
      </c>
      <c r="H89" s="32" t="s">
        <v>328</v>
      </c>
      <c r="I89" s="50"/>
    </row>
    <row r="90" spans="1:9" s="32" customFormat="1" ht="20.100000000000001" customHeight="1">
      <c r="A90" s="22" t="s">
        <v>415</v>
      </c>
      <c r="B90" s="17" t="s">
        <v>323</v>
      </c>
      <c r="C90" s="46">
        <v>42416</v>
      </c>
      <c r="D90" s="50">
        <v>27</v>
      </c>
      <c r="E90" s="32" t="s">
        <v>324</v>
      </c>
      <c r="F90" s="32" t="s">
        <v>325</v>
      </c>
      <c r="G90" s="32" t="s">
        <v>330</v>
      </c>
      <c r="H90" s="32" t="s">
        <v>328</v>
      </c>
      <c r="I90" s="50"/>
    </row>
    <row r="91" spans="1:9" s="32" customFormat="1" ht="20.100000000000001" customHeight="1">
      <c r="A91" s="22" t="s">
        <v>322</v>
      </c>
      <c r="B91" s="17" t="s">
        <v>82</v>
      </c>
      <c r="C91" s="46">
        <v>42416</v>
      </c>
      <c r="D91" s="50">
        <v>25</v>
      </c>
      <c r="E91" s="32" t="s">
        <v>165</v>
      </c>
      <c r="F91" s="32" t="s">
        <v>63</v>
      </c>
      <c r="G91" s="32" t="s">
        <v>331</v>
      </c>
      <c r="H91" s="32" t="s">
        <v>328</v>
      </c>
      <c r="I91" s="50"/>
    </row>
    <row r="92" spans="1:9" s="32" customFormat="1" ht="20.100000000000001" customHeight="1">
      <c r="A92" s="22" t="s">
        <v>312</v>
      </c>
      <c r="B92" s="17" t="s">
        <v>52</v>
      </c>
      <c r="C92" s="46">
        <v>42417</v>
      </c>
      <c r="D92" s="50">
        <v>38.1</v>
      </c>
      <c r="E92" s="19" t="s">
        <v>62</v>
      </c>
      <c r="F92" s="32" t="s">
        <v>63</v>
      </c>
      <c r="G92" s="32" t="s">
        <v>326</v>
      </c>
      <c r="H92" s="32" t="s">
        <v>329</v>
      </c>
      <c r="I92" s="50"/>
    </row>
    <row r="93" spans="1:9" s="32" customFormat="1" ht="20.100000000000001" customHeight="1">
      <c r="A93" s="22" t="s">
        <v>303</v>
      </c>
      <c r="B93" s="17" t="s">
        <v>52</v>
      </c>
      <c r="C93" s="46">
        <v>42417</v>
      </c>
      <c r="D93" s="50">
        <v>38.1</v>
      </c>
      <c r="E93" s="19" t="s">
        <v>62</v>
      </c>
      <c r="F93" s="32" t="s">
        <v>63</v>
      </c>
      <c r="G93" s="32" t="s">
        <v>326</v>
      </c>
      <c r="H93" s="32" t="s">
        <v>328</v>
      </c>
      <c r="I93" s="50"/>
    </row>
    <row r="94" spans="1:9" s="32" customFormat="1" ht="20.100000000000001" customHeight="1">
      <c r="A94" s="22" t="s">
        <v>312</v>
      </c>
      <c r="B94" s="17" t="s">
        <v>52</v>
      </c>
      <c r="C94" s="46">
        <v>42417</v>
      </c>
      <c r="D94" s="50">
        <v>40.1</v>
      </c>
      <c r="E94" s="19" t="s">
        <v>62</v>
      </c>
      <c r="F94" s="32" t="s">
        <v>63</v>
      </c>
      <c r="G94" s="32" t="s">
        <v>327</v>
      </c>
      <c r="H94" s="32" t="s">
        <v>329</v>
      </c>
      <c r="I94" s="50"/>
    </row>
    <row r="95" spans="1:9" s="32" customFormat="1" ht="20.100000000000001" customHeight="1">
      <c r="A95" s="22" t="s">
        <v>303</v>
      </c>
      <c r="B95" s="17" t="s">
        <v>52</v>
      </c>
      <c r="C95" s="46">
        <v>42417</v>
      </c>
      <c r="D95" s="50">
        <v>40.1</v>
      </c>
      <c r="E95" s="19" t="s">
        <v>62</v>
      </c>
      <c r="F95" s="32" t="s">
        <v>63</v>
      </c>
      <c r="G95" s="32" t="s">
        <v>327</v>
      </c>
      <c r="H95" s="32" t="s">
        <v>328</v>
      </c>
      <c r="I95" s="50"/>
    </row>
    <row r="96" spans="1:9" s="32" customFormat="1" ht="20.100000000000001" customHeight="1">
      <c r="A96" s="151" t="s">
        <v>1660</v>
      </c>
      <c r="B96" s="32" t="s">
        <v>1642</v>
      </c>
      <c r="C96" s="46">
        <v>42418</v>
      </c>
      <c r="D96" s="50">
        <v>180</v>
      </c>
      <c r="E96" s="32" t="s">
        <v>1643</v>
      </c>
      <c r="F96" s="32" t="s">
        <v>1661</v>
      </c>
      <c r="G96" s="32" t="s">
        <v>1655</v>
      </c>
      <c r="H96" s="32" t="s">
        <v>1646</v>
      </c>
      <c r="I96" s="50"/>
    </row>
    <row r="97" spans="1:9" s="32" customFormat="1" ht="20.100000000000001" customHeight="1">
      <c r="A97" s="151" t="s">
        <v>1662</v>
      </c>
      <c r="B97" s="32" t="s">
        <v>1642</v>
      </c>
      <c r="C97" s="46">
        <v>42418</v>
      </c>
      <c r="D97" s="50">
        <v>180</v>
      </c>
      <c r="E97" s="32" t="s">
        <v>1643</v>
      </c>
      <c r="F97" s="32" t="s">
        <v>1661</v>
      </c>
      <c r="G97" s="32" t="s">
        <v>1655</v>
      </c>
      <c r="H97" s="32" t="s">
        <v>1663</v>
      </c>
      <c r="I97" s="50"/>
    </row>
    <row r="98" spans="1:9" s="32" customFormat="1" ht="20.100000000000001" customHeight="1">
      <c r="A98" s="151" t="s">
        <v>1660</v>
      </c>
      <c r="B98" s="32" t="s">
        <v>1642</v>
      </c>
      <c r="C98" s="46">
        <v>42418</v>
      </c>
      <c r="D98" s="50">
        <v>260</v>
      </c>
      <c r="E98" s="32" t="s">
        <v>1643</v>
      </c>
      <c r="F98" s="32" t="s">
        <v>1644</v>
      </c>
      <c r="G98" s="32" t="s">
        <v>1655</v>
      </c>
      <c r="H98" s="32" t="s">
        <v>1646</v>
      </c>
      <c r="I98" s="50"/>
    </row>
    <row r="99" spans="1:9" s="32" customFormat="1" ht="20.100000000000001" customHeight="1">
      <c r="A99" s="152" t="s">
        <v>1665</v>
      </c>
      <c r="B99" s="32" t="s">
        <v>1642</v>
      </c>
      <c r="C99" s="46">
        <v>42418</v>
      </c>
      <c r="D99" s="50">
        <v>260</v>
      </c>
      <c r="E99" s="32" t="s">
        <v>1643</v>
      </c>
      <c r="F99" s="32" t="s">
        <v>1644</v>
      </c>
      <c r="G99" s="32" t="s">
        <v>1655</v>
      </c>
      <c r="H99" s="32" t="s">
        <v>1663</v>
      </c>
      <c r="I99" s="50"/>
    </row>
    <row r="100" spans="1:9" s="32" customFormat="1" ht="20.100000000000001" customHeight="1">
      <c r="A100" s="22" t="s">
        <v>312</v>
      </c>
      <c r="B100" s="17" t="s">
        <v>52</v>
      </c>
      <c r="C100" s="46">
        <v>42419</v>
      </c>
      <c r="D100" s="50">
        <v>39.979999999999997</v>
      </c>
      <c r="E100" s="19" t="s">
        <v>62</v>
      </c>
      <c r="F100" s="32" t="s">
        <v>63</v>
      </c>
      <c r="G100" s="32" t="s">
        <v>336</v>
      </c>
      <c r="H100" s="32" t="s">
        <v>329</v>
      </c>
      <c r="I100" s="50"/>
    </row>
    <row r="101" spans="1:9" s="32" customFormat="1" ht="20.100000000000001" customHeight="1">
      <c r="A101" s="22" t="s">
        <v>303</v>
      </c>
      <c r="B101" s="17" t="s">
        <v>52</v>
      </c>
      <c r="C101" s="46">
        <v>42419</v>
      </c>
      <c r="D101" s="50">
        <v>39.979999999999997</v>
      </c>
      <c r="E101" s="19" t="s">
        <v>62</v>
      </c>
      <c r="F101" s="32" t="s">
        <v>63</v>
      </c>
      <c r="G101" s="32" t="s">
        <v>336</v>
      </c>
      <c r="H101" s="32" t="s">
        <v>328</v>
      </c>
      <c r="I101" s="50"/>
    </row>
    <row r="102" spans="1:9" s="32" customFormat="1" ht="20.100000000000001" customHeight="1">
      <c r="A102" s="22" t="s">
        <v>312</v>
      </c>
      <c r="B102" s="17" t="s">
        <v>52</v>
      </c>
      <c r="C102" s="46">
        <v>42419</v>
      </c>
      <c r="D102" s="50">
        <v>40</v>
      </c>
      <c r="E102" s="19" t="s">
        <v>62</v>
      </c>
      <c r="F102" s="32" t="s">
        <v>63</v>
      </c>
      <c r="G102" s="32" t="s">
        <v>337</v>
      </c>
      <c r="H102" s="32" t="s">
        <v>329</v>
      </c>
      <c r="I102" s="50"/>
    </row>
    <row r="103" spans="1:9" s="32" customFormat="1" ht="20.100000000000001" customHeight="1">
      <c r="A103" s="22" t="s">
        <v>303</v>
      </c>
      <c r="B103" s="17" t="s">
        <v>52</v>
      </c>
      <c r="C103" s="46">
        <v>42419</v>
      </c>
      <c r="D103" s="50">
        <v>40</v>
      </c>
      <c r="E103" s="19" t="s">
        <v>62</v>
      </c>
      <c r="F103" s="32" t="s">
        <v>63</v>
      </c>
      <c r="G103" s="32" t="s">
        <v>337</v>
      </c>
      <c r="H103" s="32" t="s">
        <v>328</v>
      </c>
      <c r="I103" s="50"/>
    </row>
    <row r="104" spans="1:9" s="32" customFormat="1" ht="20.100000000000001" customHeight="1">
      <c r="A104" s="22" t="s">
        <v>312</v>
      </c>
      <c r="B104" s="17" t="s">
        <v>52</v>
      </c>
      <c r="C104" s="46">
        <v>42420</v>
      </c>
      <c r="D104" s="50">
        <v>39.020000000000003</v>
      </c>
      <c r="E104" s="19" t="s">
        <v>62</v>
      </c>
      <c r="F104" s="32" t="s">
        <v>63</v>
      </c>
      <c r="G104" s="32" t="s">
        <v>338</v>
      </c>
      <c r="H104" s="32" t="s">
        <v>329</v>
      </c>
      <c r="I104" s="50"/>
    </row>
    <row r="105" spans="1:9" s="32" customFormat="1" ht="20.100000000000001" customHeight="1">
      <c r="A105" s="22" t="s">
        <v>303</v>
      </c>
      <c r="B105" s="17" t="s">
        <v>52</v>
      </c>
      <c r="C105" s="46">
        <v>42420</v>
      </c>
      <c r="D105" s="50">
        <v>39.020000000000003</v>
      </c>
      <c r="E105" s="19" t="s">
        <v>62</v>
      </c>
      <c r="F105" s="32" t="s">
        <v>63</v>
      </c>
      <c r="G105" s="32" t="s">
        <v>338</v>
      </c>
      <c r="H105" s="32" t="s">
        <v>328</v>
      </c>
      <c r="I105" s="50"/>
    </row>
    <row r="106" spans="1:9" s="32" customFormat="1" ht="20.100000000000001" customHeight="1">
      <c r="A106" s="22" t="s">
        <v>312</v>
      </c>
      <c r="B106" s="17" t="s">
        <v>203</v>
      </c>
      <c r="C106" s="46">
        <v>42421</v>
      </c>
      <c r="D106" s="50">
        <v>39.14</v>
      </c>
      <c r="E106" s="19" t="s">
        <v>339</v>
      </c>
      <c r="F106" s="32" t="s">
        <v>310</v>
      </c>
      <c r="G106" s="32" t="s">
        <v>340</v>
      </c>
      <c r="H106" s="32" t="s">
        <v>341</v>
      </c>
      <c r="I106" s="50"/>
    </row>
    <row r="107" spans="1:9" s="32" customFormat="1" ht="20.100000000000001" customHeight="1">
      <c r="A107" s="22" t="s">
        <v>342</v>
      </c>
      <c r="B107" s="17" t="s">
        <v>203</v>
      </c>
      <c r="C107" s="46">
        <v>42421</v>
      </c>
      <c r="D107" s="50">
        <v>39.14</v>
      </c>
      <c r="E107" s="19" t="s">
        <v>339</v>
      </c>
      <c r="F107" s="32" t="s">
        <v>310</v>
      </c>
      <c r="G107" s="32" t="s">
        <v>340</v>
      </c>
      <c r="H107" s="32" t="s">
        <v>328</v>
      </c>
      <c r="I107" s="50"/>
    </row>
    <row r="108" spans="1:9" s="32" customFormat="1" ht="20.100000000000001" customHeight="1">
      <c r="A108" s="22" t="s">
        <v>277</v>
      </c>
      <c r="B108" s="17" t="s">
        <v>82</v>
      </c>
      <c r="C108" s="46">
        <v>42401</v>
      </c>
      <c r="D108" s="50">
        <v>120</v>
      </c>
      <c r="E108" s="19" t="s">
        <v>309</v>
      </c>
      <c r="F108" s="32" t="s">
        <v>343</v>
      </c>
      <c r="H108" s="32" t="s">
        <v>328</v>
      </c>
      <c r="I108" s="50"/>
    </row>
    <row r="109" spans="1:9" s="32" customFormat="1" ht="20.100000000000001" customHeight="1">
      <c r="A109" s="22" t="s">
        <v>277</v>
      </c>
      <c r="B109" s="17" t="s">
        <v>82</v>
      </c>
      <c r="C109" s="46">
        <v>42404</v>
      </c>
      <c r="D109" s="50">
        <v>40</v>
      </c>
      <c r="E109" s="19" t="s">
        <v>298</v>
      </c>
      <c r="F109" s="32" t="s">
        <v>343</v>
      </c>
      <c r="H109" s="32" t="s">
        <v>328</v>
      </c>
      <c r="I109" s="50"/>
    </row>
    <row r="110" spans="1:9" s="32" customFormat="1" ht="20.100000000000001" customHeight="1">
      <c r="A110" s="22" t="s">
        <v>277</v>
      </c>
      <c r="B110" s="17" t="s">
        <v>82</v>
      </c>
      <c r="C110" s="46">
        <v>42419</v>
      </c>
      <c r="D110" s="50">
        <v>40</v>
      </c>
      <c r="E110" s="19" t="s">
        <v>298</v>
      </c>
      <c r="F110" s="32" t="s">
        <v>343</v>
      </c>
      <c r="H110" s="32" t="s">
        <v>328</v>
      </c>
      <c r="I110" s="50"/>
    </row>
    <row r="111" spans="1:9" s="32" customFormat="1" ht="20.100000000000001" customHeight="1">
      <c r="A111" s="151" t="s">
        <v>1660</v>
      </c>
      <c r="B111" s="32" t="s">
        <v>1642</v>
      </c>
      <c r="C111" s="46">
        <v>42419</v>
      </c>
      <c r="D111" s="50">
        <v>200</v>
      </c>
      <c r="E111" s="32" t="s">
        <v>1643</v>
      </c>
      <c r="F111" s="32" t="s">
        <v>1661</v>
      </c>
      <c r="G111" s="32" t="s">
        <v>1655</v>
      </c>
      <c r="H111" s="32" t="s">
        <v>1646</v>
      </c>
      <c r="I111" s="50"/>
    </row>
    <row r="112" spans="1:9" s="32" customFormat="1" ht="20.100000000000001" customHeight="1">
      <c r="A112" s="151" t="s">
        <v>1662</v>
      </c>
      <c r="B112" s="32" t="s">
        <v>1642</v>
      </c>
      <c r="C112" s="46">
        <v>42419</v>
      </c>
      <c r="D112" s="50">
        <v>200</v>
      </c>
      <c r="E112" s="32" t="s">
        <v>1643</v>
      </c>
      <c r="F112" s="32" t="s">
        <v>1661</v>
      </c>
      <c r="G112" s="32" t="s">
        <v>1655</v>
      </c>
      <c r="H112" s="32" t="s">
        <v>1663</v>
      </c>
      <c r="I112" s="50"/>
    </row>
    <row r="113" spans="1:9" s="32" customFormat="1" ht="20.100000000000001" customHeight="1">
      <c r="A113" s="151" t="s">
        <v>1660</v>
      </c>
      <c r="B113" s="32" t="s">
        <v>1642</v>
      </c>
      <c r="C113" s="46">
        <v>42419</v>
      </c>
      <c r="D113" s="50">
        <v>60</v>
      </c>
      <c r="E113" s="32" t="s">
        <v>1643</v>
      </c>
      <c r="F113" s="32" t="s">
        <v>1644</v>
      </c>
      <c r="G113" s="32" t="s">
        <v>1655</v>
      </c>
      <c r="H113" s="32" t="s">
        <v>1646</v>
      </c>
      <c r="I113" s="50"/>
    </row>
    <row r="114" spans="1:9" s="32" customFormat="1" ht="20.100000000000001" customHeight="1">
      <c r="A114" s="152" t="s">
        <v>1665</v>
      </c>
      <c r="B114" s="32" t="s">
        <v>1642</v>
      </c>
      <c r="C114" s="46">
        <v>42419</v>
      </c>
      <c r="D114" s="50">
        <v>60</v>
      </c>
      <c r="E114" s="32" t="s">
        <v>1643</v>
      </c>
      <c r="F114" s="32" t="s">
        <v>1644</v>
      </c>
      <c r="G114" s="32" t="s">
        <v>1655</v>
      </c>
      <c r="H114" s="32" t="s">
        <v>1663</v>
      </c>
      <c r="I114" s="50"/>
    </row>
    <row r="115" spans="1:9" s="32" customFormat="1" ht="20.100000000000001" customHeight="1">
      <c r="A115" s="22" t="s">
        <v>312</v>
      </c>
      <c r="B115" s="17" t="s">
        <v>52</v>
      </c>
      <c r="C115" s="46">
        <v>42422</v>
      </c>
      <c r="D115" s="50">
        <v>40.04</v>
      </c>
      <c r="E115" s="19" t="s">
        <v>62</v>
      </c>
      <c r="F115" s="32" t="s">
        <v>63</v>
      </c>
      <c r="G115" s="32" t="s">
        <v>347</v>
      </c>
      <c r="H115" s="32" t="s">
        <v>329</v>
      </c>
      <c r="I115" s="50"/>
    </row>
    <row r="116" spans="1:9" s="32" customFormat="1" ht="20.100000000000001" customHeight="1">
      <c r="A116" s="22" t="s">
        <v>303</v>
      </c>
      <c r="B116" s="17" t="s">
        <v>52</v>
      </c>
      <c r="C116" s="46">
        <v>42422</v>
      </c>
      <c r="D116" s="50">
        <v>40.04</v>
      </c>
      <c r="E116" s="19" t="s">
        <v>62</v>
      </c>
      <c r="F116" s="32" t="s">
        <v>63</v>
      </c>
      <c r="G116" s="32" t="s">
        <v>347</v>
      </c>
      <c r="H116" s="32" t="s">
        <v>328</v>
      </c>
      <c r="I116" s="50"/>
    </row>
    <row r="117" spans="1:9" s="32" customFormat="1" ht="20.100000000000001" customHeight="1">
      <c r="A117" s="22" t="s">
        <v>312</v>
      </c>
      <c r="B117" s="17" t="s">
        <v>52</v>
      </c>
      <c r="C117" s="46">
        <v>42423</v>
      </c>
      <c r="D117" s="50">
        <v>39.08</v>
      </c>
      <c r="E117" s="19" t="s">
        <v>62</v>
      </c>
      <c r="F117" s="32" t="s">
        <v>63</v>
      </c>
      <c r="G117" s="32" t="s">
        <v>349</v>
      </c>
      <c r="H117" s="32" t="s">
        <v>329</v>
      </c>
      <c r="I117" s="50"/>
    </row>
    <row r="118" spans="1:9" s="32" customFormat="1" ht="20.100000000000001" customHeight="1">
      <c r="A118" s="22" t="s">
        <v>303</v>
      </c>
      <c r="B118" s="17" t="s">
        <v>52</v>
      </c>
      <c r="C118" s="46">
        <v>42423</v>
      </c>
      <c r="D118" s="50">
        <v>39.08</v>
      </c>
      <c r="E118" s="19" t="s">
        <v>62</v>
      </c>
      <c r="F118" s="32" t="s">
        <v>63</v>
      </c>
      <c r="G118" s="32" t="s">
        <v>349</v>
      </c>
      <c r="H118" s="32" t="s">
        <v>328</v>
      </c>
      <c r="I118" s="50"/>
    </row>
    <row r="119" spans="1:9" s="32" customFormat="1" ht="20.100000000000001" customHeight="1">
      <c r="A119" s="22" t="s">
        <v>312</v>
      </c>
      <c r="B119" s="17" t="s">
        <v>52</v>
      </c>
      <c r="C119" s="46">
        <v>42423</v>
      </c>
      <c r="D119" s="50">
        <v>40.1</v>
      </c>
      <c r="E119" s="19" t="s">
        <v>62</v>
      </c>
      <c r="F119" s="32" t="s">
        <v>63</v>
      </c>
      <c r="G119" s="32" t="s">
        <v>350</v>
      </c>
      <c r="H119" s="32" t="s">
        <v>329</v>
      </c>
      <c r="I119" s="50"/>
    </row>
    <row r="120" spans="1:9" s="32" customFormat="1" ht="20.100000000000001" customHeight="1">
      <c r="A120" s="22" t="s">
        <v>303</v>
      </c>
      <c r="B120" s="17" t="s">
        <v>52</v>
      </c>
      <c r="C120" s="46">
        <v>42423</v>
      </c>
      <c r="D120" s="50">
        <v>40.1</v>
      </c>
      <c r="E120" s="19" t="s">
        <v>62</v>
      </c>
      <c r="F120" s="32" t="s">
        <v>63</v>
      </c>
      <c r="G120" s="32" t="s">
        <v>350</v>
      </c>
      <c r="H120" s="32" t="s">
        <v>328</v>
      </c>
      <c r="I120" s="50"/>
    </row>
    <row r="121" spans="1:9" s="32" customFormat="1" ht="20.100000000000001" customHeight="1">
      <c r="A121" s="22" t="s">
        <v>279</v>
      </c>
      <c r="B121" s="17" t="s">
        <v>354</v>
      </c>
      <c r="C121" s="46">
        <v>42425</v>
      </c>
      <c r="D121" s="50">
        <v>25</v>
      </c>
      <c r="E121" s="19" t="s">
        <v>356</v>
      </c>
      <c r="F121" s="32" t="s">
        <v>357</v>
      </c>
      <c r="G121" s="32" t="s">
        <v>352</v>
      </c>
      <c r="H121" s="32" t="s">
        <v>328</v>
      </c>
      <c r="I121" s="50"/>
    </row>
    <row r="122" spans="1:9" s="32" customFormat="1" ht="20.100000000000001" customHeight="1">
      <c r="A122" s="22" t="s">
        <v>283</v>
      </c>
      <c r="B122" s="17" t="s">
        <v>355</v>
      </c>
      <c r="C122" s="46">
        <v>42425</v>
      </c>
      <c r="D122" s="50">
        <v>28</v>
      </c>
      <c r="E122" s="19" t="s">
        <v>356</v>
      </c>
      <c r="F122" s="32" t="s">
        <v>357</v>
      </c>
      <c r="G122" s="32" t="s">
        <v>353</v>
      </c>
      <c r="H122" s="32" t="s">
        <v>328</v>
      </c>
      <c r="I122" s="50"/>
    </row>
    <row r="123" spans="1:9" s="32" customFormat="1" ht="20.100000000000001" customHeight="1">
      <c r="A123" s="22" t="s">
        <v>279</v>
      </c>
      <c r="B123" s="17" t="s">
        <v>148</v>
      </c>
      <c r="C123" s="46">
        <v>42427</v>
      </c>
      <c r="D123" s="50">
        <v>35</v>
      </c>
      <c r="E123" s="19" t="s">
        <v>165</v>
      </c>
      <c r="F123" s="32" t="s">
        <v>166</v>
      </c>
      <c r="G123" s="32" t="s">
        <v>360</v>
      </c>
      <c r="H123" s="32" t="s">
        <v>328</v>
      </c>
      <c r="I123" s="50"/>
    </row>
    <row r="124" spans="1:9" s="32" customFormat="1" ht="20.100000000000001" customHeight="1">
      <c r="A124" s="22" t="s">
        <v>361</v>
      </c>
      <c r="B124" s="17" t="s">
        <v>52</v>
      </c>
      <c r="C124" s="46">
        <v>42427</v>
      </c>
      <c r="D124" s="50">
        <v>39.58</v>
      </c>
      <c r="E124" s="19" t="s">
        <v>362</v>
      </c>
      <c r="F124" s="32" t="s">
        <v>166</v>
      </c>
      <c r="G124" s="32" t="s">
        <v>363</v>
      </c>
      <c r="H124" s="32" t="s">
        <v>329</v>
      </c>
      <c r="I124" s="50"/>
    </row>
    <row r="125" spans="1:9" s="32" customFormat="1" ht="20.100000000000001" customHeight="1">
      <c r="A125" s="22" t="s">
        <v>303</v>
      </c>
      <c r="B125" s="17" t="s">
        <v>52</v>
      </c>
      <c r="C125" s="46">
        <v>42427</v>
      </c>
      <c r="D125" s="50">
        <v>39.58</v>
      </c>
      <c r="E125" s="19" t="s">
        <v>362</v>
      </c>
      <c r="F125" s="32" t="s">
        <v>166</v>
      </c>
      <c r="G125" s="32" t="s">
        <v>363</v>
      </c>
      <c r="H125" s="32" t="s">
        <v>328</v>
      </c>
      <c r="I125" s="50"/>
    </row>
    <row r="126" spans="1:9" s="32" customFormat="1" ht="20.100000000000001" customHeight="1">
      <c r="A126" s="22" t="s">
        <v>361</v>
      </c>
      <c r="B126" s="17" t="s">
        <v>52</v>
      </c>
      <c r="C126" s="46">
        <v>42427</v>
      </c>
      <c r="D126" s="50">
        <v>40.46</v>
      </c>
      <c r="E126" s="19" t="s">
        <v>362</v>
      </c>
      <c r="F126" s="32" t="s">
        <v>166</v>
      </c>
      <c r="G126" s="32" t="s">
        <v>364</v>
      </c>
      <c r="H126" s="32" t="s">
        <v>329</v>
      </c>
      <c r="I126" s="50"/>
    </row>
    <row r="127" spans="1:9" s="32" customFormat="1" ht="20.100000000000001" customHeight="1">
      <c r="A127" s="22" t="s">
        <v>303</v>
      </c>
      <c r="B127" s="17" t="s">
        <v>52</v>
      </c>
      <c r="C127" s="46">
        <v>42427</v>
      </c>
      <c r="D127" s="50">
        <v>40.46</v>
      </c>
      <c r="E127" s="19" t="s">
        <v>362</v>
      </c>
      <c r="F127" s="32" t="s">
        <v>166</v>
      </c>
      <c r="G127" s="32" t="s">
        <v>364</v>
      </c>
      <c r="H127" s="32" t="s">
        <v>328</v>
      </c>
      <c r="I127" s="50"/>
    </row>
    <row r="128" spans="1:9" s="32" customFormat="1" ht="20.100000000000001" customHeight="1">
      <c r="A128" s="22" t="s">
        <v>361</v>
      </c>
      <c r="B128" s="17" t="s">
        <v>52</v>
      </c>
      <c r="C128" s="46">
        <v>42427</v>
      </c>
      <c r="D128" s="50">
        <v>40</v>
      </c>
      <c r="E128" s="19" t="s">
        <v>362</v>
      </c>
      <c r="F128" s="32" t="s">
        <v>166</v>
      </c>
      <c r="G128" s="32" t="s">
        <v>365</v>
      </c>
      <c r="H128" s="32" t="s">
        <v>329</v>
      </c>
      <c r="I128" s="50"/>
    </row>
    <row r="129" spans="1:9" s="32" customFormat="1" ht="20.100000000000001" customHeight="1">
      <c r="A129" s="22" t="s">
        <v>303</v>
      </c>
      <c r="B129" s="17" t="s">
        <v>52</v>
      </c>
      <c r="C129" s="46">
        <v>42427</v>
      </c>
      <c r="D129" s="50">
        <v>40</v>
      </c>
      <c r="E129" s="19" t="s">
        <v>362</v>
      </c>
      <c r="F129" s="32" t="s">
        <v>166</v>
      </c>
      <c r="G129" s="32" t="s">
        <v>365</v>
      </c>
      <c r="H129" s="32" t="s">
        <v>328</v>
      </c>
      <c r="I129" s="50"/>
    </row>
    <row r="130" spans="1:9" s="32" customFormat="1" ht="20.100000000000001" customHeight="1">
      <c r="A130" s="22" t="s">
        <v>312</v>
      </c>
      <c r="B130" s="17" t="s">
        <v>52</v>
      </c>
      <c r="C130" s="46">
        <v>42428</v>
      </c>
      <c r="D130" s="50">
        <v>36.020000000000003</v>
      </c>
      <c r="E130" s="19" t="s">
        <v>62</v>
      </c>
      <c r="F130" s="32" t="s">
        <v>63</v>
      </c>
      <c r="G130" s="32" t="s">
        <v>366</v>
      </c>
      <c r="H130" s="32" t="s">
        <v>329</v>
      </c>
      <c r="I130" s="50"/>
    </row>
    <row r="131" spans="1:9" s="32" customFormat="1" ht="20.100000000000001" customHeight="1">
      <c r="A131" s="22" t="s">
        <v>303</v>
      </c>
      <c r="B131" s="17" t="s">
        <v>52</v>
      </c>
      <c r="C131" s="46">
        <v>42428</v>
      </c>
      <c r="D131" s="50">
        <v>36.020000000000003</v>
      </c>
      <c r="E131" s="19" t="s">
        <v>62</v>
      </c>
      <c r="F131" s="32" t="s">
        <v>63</v>
      </c>
      <c r="G131" s="32" t="s">
        <v>366</v>
      </c>
      <c r="H131" s="32" t="s">
        <v>328</v>
      </c>
      <c r="I131" s="50"/>
    </row>
    <row r="132" spans="1:9" s="32" customFormat="1" ht="20.100000000000001" customHeight="1">
      <c r="A132" s="22" t="s">
        <v>312</v>
      </c>
      <c r="B132" s="17" t="s">
        <v>52</v>
      </c>
      <c r="C132" s="46">
        <v>42428</v>
      </c>
      <c r="D132" s="50">
        <v>36.159999999999997</v>
      </c>
      <c r="E132" s="19" t="s">
        <v>62</v>
      </c>
      <c r="F132" s="32" t="s">
        <v>63</v>
      </c>
      <c r="G132" s="32" t="s">
        <v>367</v>
      </c>
      <c r="H132" s="32" t="s">
        <v>329</v>
      </c>
      <c r="I132" s="50"/>
    </row>
    <row r="133" spans="1:9" s="32" customFormat="1" ht="20.100000000000001" customHeight="1">
      <c r="A133" s="22" t="s">
        <v>303</v>
      </c>
      <c r="B133" s="17" t="s">
        <v>52</v>
      </c>
      <c r="C133" s="46">
        <v>42428</v>
      </c>
      <c r="D133" s="50">
        <v>36.159999999999997</v>
      </c>
      <c r="E133" s="19" t="s">
        <v>62</v>
      </c>
      <c r="F133" s="32" t="s">
        <v>63</v>
      </c>
      <c r="G133" s="32" t="s">
        <v>367</v>
      </c>
      <c r="H133" s="32" t="s">
        <v>328</v>
      </c>
      <c r="I133" s="50"/>
    </row>
    <row r="134" spans="1:9" s="32" customFormat="1" ht="20.100000000000001" customHeight="1">
      <c r="A134" s="151" t="s">
        <v>1660</v>
      </c>
      <c r="B134" s="32" t="s">
        <v>1642</v>
      </c>
      <c r="C134" s="46">
        <v>42429</v>
      </c>
      <c r="D134" s="50">
        <v>310</v>
      </c>
      <c r="E134" s="32" t="s">
        <v>1643</v>
      </c>
      <c r="F134" s="32" t="s">
        <v>1644</v>
      </c>
      <c r="G134" s="32" t="s">
        <v>1655</v>
      </c>
      <c r="H134" s="32" t="s">
        <v>1646</v>
      </c>
      <c r="I134" s="50"/>
    </row>
    <row r="135" spans="1:9" s="32" customFormat="1" ht="20.100000000000001" customHeight="1">
      <c r="A135" s="152" t="s">
        <v>1665</v>
      </c>
      <c r="B135" s="32" t="s">
        <v>1642</v>
      </c>
      <c r="C135" s="46">
        <v>42429</v>
      </c>
      <c r="D135" s="50">
        <v>310</v>
      </c>
      <c r="E135" s="32" t="s">
        <v>1643</v>
      </c>
      <c r="F135" s="32" t="s">
        <v>1644</v>
      </c>
      <c r="G135" s="32" t="s">
        <v>1655</v>
      </c>
      <c r="H135" s="32" t="s">
        <v>1663</v>
      </c>
      <c r="I135" s="50"/>
    </row>
    <row r="136" spans="1:9" s="32" customFormat="1" ht="20.100000000000001" customHeight="1">
      <c r="A136" s="22" t="s">
        <v>312</v>
      </c>
      <c r="B136" s="17" t="s">
        <v>52</v>
      </c>
      <c r="C136" s="46">
        <v>42429</v>
      </c>
      <c r="D136" s="50">
        <v>39.96</v>
      </c>
      <c r="E136" s="19" t="s">
        <v>62</v>
      </c>
      <c r="F136" s="32" t="s">
        <v>63</v>
      </c>
      <c r="G136" s="32" t="s">
        <v>369</v>
      </c>
      <c r="H136" s="32" t="s">
        <v>329</v>
      </c>
      <c r="I136" s="50"/>
    </row>
    <row r="137" spans="1:9" s="32" customFormat="1" ht="20.100000000000001" customHeight="1">
      <c r="A137" s="22" t="s">
        <v>303</v>
      </c>
      <c r="B137" s="17" t="s">
        <v>52</v>
      </c>
      <c r="C137" s="46">
        <v>42429</v>
      </c>
      <c r="D137" s="50">
        <v>39.96</v>
      </c>
      <c r="E137" s="19" t="s">
        <v>62</v>
      </c>
      <c r="F137" s="32" t="s">
        <v>63</v>
      </c>
      <c r="G137" s="32" t="s">
        <v>369</v>
      </c>
      <c r="H137" s="32" t="s">
        <v>328</v>
      </c>
      <c r="I137" s="50"/>
    </row>
    <row r="138" spans="1:9" s="32" customFormat="1" ht="20.100000000000001" customHeight="1">
      <c r="A138" s="22" t="s">
        <v>361</v>
      </c>
      <c r="B138" s="17" t="s">
        <v>52</v>
      </c>
      <c r="C138" s="46">
        <v>42429</v>
      </c>
      <c r="D138" s="50">
        <v>37.46</v>
      </c>
      <c r="E138" s="19" t="s">
        <v>362</v>
      </c>
      <c r="F138" s="32" t="s">
        <v>166</v>
      </c>
      <c r="G138" s="32" t="s">
        <v>370</v>
      </c>
      <c r="H138" s="32" t="s">
        <v>329</v>
      </c>
      <c r="I138" s="50"/>
    </row>
    <row r="139" spans="1:9" s="32" customFormat="1" ht="20.100000000000001" customHeight="1">
      <c r="A139" s="22" t="s">
        <v>303</v>
      </c>
      <c r="B139" s="17" t="s">
        <v>52</v>
      </c>
      <c r="C139" s="46">
        <v>42429</v>
      </c>
      <c r="D139" s="50">
        <v>37.46</v>
      </c>
      <c r="E139" s="19" t="s">
        <v>362</v>
      </c>
      <c r="F139" s="32" t="s">
        <v>166</v>
      </c>
      <c r="G139" s="32" t="s">
        <v>370</v>
      </c>
      <c r="H139" s="32" t="s">
        <v>328</v>
      </c>
      <c r="I139" s="50"/>
    </row>
    <row r="140" spans="1:9" s="32" customFormat="1" ht="20.100000000000001" customHeight="1">
      <c r="A140" s="22" t="s">
        <v>396</v>
      </c>
      <c r="B140" s="17" t="s">
        <v>93</v>
      </c>
      <c r="C140" s="46">
        <v>42405</v>
      </c>
      <c r="D140" s="50">
        <v>2955.36</v>
      </c>
      <c r="E140" s="19" t="s">
        <v>226</v>
      </c>
      <c r="F140" s="32" t="s">
        <v>63</v>
      </c>
      <c r="G140" s="32" t="s">
        <v>227</v>
      </c>
      <c r="H140" s="32" t="s">
        <v>328</v>
      </c>
      <c r="I140" s="50"/>
    </row>
    <row r="141" spans="1:9" s="32" customFormat="1" ht="20.100000000000001" customHeight="1">
      <c r="A141" s="22" t="s">
        <v>348</v>
      </c>
      <c r="B141" s="17" t="s">
        <v>240</v>
      </c>
      <c r="C141" s="46">
        <v>42421</v>
      </c>
      <c r="D141" s="50">
        <v>60</v>
      </c>
      <c r="E141" s="19" t="s">
        <v>397</v>
      </c>
      <c r="F141" s="32" t="s">
        <v>398</v>
      </c>
      <c r="G141" s="32" t="s">
        <v>71</v>
      </c>
      <c r="H141" s="32" t="s">
        <v>329</v>
      </c>
      <c r="I141" s="50"/>
    </row>
    <row r="142" spans="1:9" s="32" customFormat="1" ht="20.100000000000001" customHeight="1">
      <c r="A142" s="22" t="s">
        <v>399</v>
      </c>
      <c r="B142" s="17" t="s">
        <v>240</v>
      </c>
      <c r="C142" s="46">
        <v>42421</v>
      </c>
      <c r="D142" s="50">
        <v>60</v>
      </c>
      <c r="E142" s="19" t="s">
        <v>397</v>
      </c>
      <c r="F142" s="32" t="s">
        <v>398</v>
      </c>
      <c r="G142" s="32" t="s">
        <v>71</v>
      </c>
      <c r="H142" s="32" t="s">
        <v>328</v>
      </c>
      <c r="I142" s="50"/>
    </row>
    <row r="143" spans="1:9" s="32" customFormat="1" ht="20.100000000000001" customHeight="1">
      <c r="A143" s="22" t="s">
        <v>361</v>
      </c>
      <c r="B143" s="17" t="s">
        <v>52</v>
      </c>
      <c r="C143" s="46">
        <v>42430</v>
      </c>
      <c r="D143" s="50">
        <v>41.16</v>
      </c>
      <c r="E143" s="19" t="s">
        <v>362</v>
      </c>
      <c r="F143" s="32" t="s">
        <v>63</v>
      </c>
      <c r="G143" s="32" t="s">
        <v>400</v>
      </c>
      <c r="H143" s="32" t="s">
        <v>329</v>
      </c>
      <c r="I143" s="50"/>
    </row>
    <row r="144" spans="1:9" s="32" customFormat="1" ht="20.100000000000001" customHeight="1">
      <c r="A144" s="22" t="s">
        <v>303</v>
      </c>
      <c r="B144" s="17" t="s">
        <v>52</v>
      </c>
      <c r="C144" s="46">
        <v>42430</v>
      </c>
      <c r="D144" s="50">
        <v>41.16</v>
      </c>
      <c r="E144" s="19" t="s">
        <v>362</v>
      </c>
      <c r="F144" s="32" t="s">
        <v>63</v>
      </c>
      <c r="G144" s="32" t="s">
        <v>400</v>
      </c>
      <c r="H144" s="32" t="s">
        <v>328</v>
      </c>
      <c r="I144" s="50"/>
    </row>
    <row r="145" spans="1:9" s="32" customFormat="1" ht="20.100000000000001" customHeight="1">
      <c r="A145" s="151" t="s">
        <v>1660</v>
      </c>
      <c r="B145" s="32" t="s">
        <v>1642</v>
      </c>
      <c r="C145" s="46">
        <v>42431</v>
      </c>
      <c r="D145" s="50">
        <v>370</v>
      </c>
      <c r="E145" s="32" t="s">
        <v>1643</v>
      </c>
      <c r="F145" s="32" t="s">
        <v>1644</v>
      </c>
      <c r="G145" s="32" t="s">
        <v>1655</v>
      </c>
      <c r="H145" s="32" t="s">
        <v>1646</v>
      </c>
      <c r="I145" s="50"/>
    </row>
    <row r="146" spans="1:9" s="32" customFormat="1" ht="20.100000000000001" customHeight="1">
      <c r="A146" s="151" t="s">
        <v>1664</v>
      </c>
      <c r="B146" s="32" t="s">
        <v>1642</v>
      </c>
      <c r="C146" s="46">
        <v>42431</v>
      </c>
      <c r="D146" s="50">
        <v>370</v>
      </c>
      <c r="E146" s="32" t="s">
        <v>1643</v>
      </c>
      <c r="F146" s="32" t="s">
        <v>1644</v>
      </c>
      <c r="G146" s="32" t="s">
        <v>1655</v>
      </c>
      <c r="H146" s="32" t="s">
        <v>1663</v>
      </c>
      <c r="I146" s="50"/>
    </row>
    <row r="147" spans="1:9" s="32" customFormat="1" ht="20.100000000000001" customHeight="1">
      <c r="A147" s="22" t="s">
        <v>425</v>
      </c>
      <c r="B147" s="17" t="s">
        <v>421</v>
      </c>
      <c r="C147" s="46">
        <v>42432</v>
      </c>
      <c r="D147" s="50">
        <v>38.5</v>
      </c>
      <c r="E147" s="32" t="s">
        <v>426</v>
      </c>
      <c r="F147" s="32" t="s">
        <v>63</v>
      </c>
      <c r="G147" s="32" t="s">
        <v>427</v>
      </c>
      <c r="H147" s="32" t="s">
        <v>329</v>
      </c>
      <c r="I147" s="50"/>
    </row>
    <row r="148" spans="1:9" s="32" customFormat="1" ht="20.100000000000001" customHeight="1">
      <c r="A148" s="22" t="s">
        <v>586</v>
      </c>
      <c r="B148" s="17" t="s">
        <v>421</v>
      </c>
      <c r="C148" s="46">
        <v>42432</v>
      </c>
      <c r="D148" s="50">
        <v>38.5</v>
      </c>
      <c r="E148" s="32" t="s">
        <v>426</v>
      </c>
      <c r="F148" s="32" t="s">
        <v>63</v>
      </c>
      <c r="G148" s="32" t="s">
        <v>427</v>
      </c>
      <c r="H148" s="32" t="s">
        <v>424</v>
      </c>
      <c r="I148" s="50"/>
    </row>
    <row r="149" spans="1:9" s="32" customFormat="1" ht="20.100000000000001" customHeight="1">
      <c r="A149" s="22" t="s">
        <v>425</v>
      </c>
      <c r="B149" s="17" t="s">
        <v>421</v>
      </c>
      <c r="C149" s="46">
        <v>42432</v>
      </c>
      <c r="D149" s="50">
        <v>38.44</v>
      </c>
      <c r="E149" s="32" t="s">
        <v>426</v>
      </c>
      <c r="F149" s="32" t="s">
        <v>63</v>
      </c>
      <c r="G149" s="32" t="s">
        <v>428</v>
      </c>
      <c r="H149" s="32" t="s">
        <v>329</v>
      </c>
      <c r="I149" s="50"/>
    </row>
    <row r="150" spans="1:9" s="32" customFormat="1" ht="20.100000000000001" customHeight="1">
      <c r="A150" s="22" t="s">
        <v>452</v>
      </c>
      <c r="B150" s="17" t="s">
        <v>421</v>
      </c>
      <c r="C150" s="46">
        <v>42432</v>
      </c>
      <c r="D150" s="50">
        <v>38.44</v>
      </c>
      <c r="E150" s="32" t="s">
        <v>426</v>
      </c>
      <c r="F150" s="32" t="s">
        <v>63</v>
      </c>
      <c r="G150" s="32" t="s">
        <v>428</v>
      </c>
      <c r="H150" s="32" t="s">
        <v>424</v>
      </c>
      <c r="I150" s="50"/>
    </row>
    <row r="151" spans="1:9" s="32" customFormat="1" ht="20.100000000000001" customHeight="1">
      <c r="A151" s="22" t="s">
        <v>425</v>
      </c>
      <c r="B151" s="17" t="s">
        <v>421</v>
      </c>
      <c r="C151" s="46">
        <v>42432</v>
      </c>
      <c r="D151" s="50">
        <v>38.36</v>
      </c>
      <c r="E151" s="32" t="s">
        <v>426</v>
      </c>
      <c r="F151" s="32" t="s">
        <v>63</v>
      </c>
      <c r="G151" s="32" t="s">
        <v>429</v>
      </c>
      <c r="H151" s="32" t="s">
        <v>329</v>
      </c>
      <c r="I151" s="50"/>
    </row>
    <row r="152" spans="1:9" s="32" customFormat="1" ht="20.100000000000001" customHeight="1">
      <c r="A152" s="22" t="s">
        <v>452</v>
      </c>
      <c r="B152" s="17" t="s">
        <v>421</v>
      </c>
      <c r="C152" s="46">
        <v>42432</v>
      </c>
      <c r="D152" s="50">
        <v>38.36</v>
      </c>
      <c r="E152" s="32" t="s">
        <v>426</v>
      </c>
      <c r="F152" s="32" t="s">
        <v>63</v>
      </c>
      <c r="G152" s="32" t="s">
        <v>429</v>
      </c>
      <c r="H152" s="32" t="s">
        <v>424</v>
      </c>
      <c r="I152" s="50"/>
    </row>
    <row r="153" spans="1:9" s="32" customFormat="1" ht="20.100000000000001" customHeight="1">
      <c r="A153" s="22" t="s">
        <v>425</v>
      </c>
      <c r="B153" s="17" t="s">
        <v>203</v>
      </c>
      <c r="C153" s="46">
        <v>42432</v>
      </c>
      <c r="D153" s="50">
        <v>41.68</v>
      </c>
      <c r="E153" s="32" t="s">
        <v>362</v>
      </c>
      <c r="F153" s="32" t="s">
        <v>63</v>
      </c>
      <c r="G153" s="32" t="s">
        <v>364</v>
      </c>
      <c r="H153" s="32" t="s">
        <v>329</v>
      </c>
      <c r="I153" s="50"/>
    </row>
    <row r="154" spans="1:9" s="32" customFormat="1" ht="20.100000000000001" customHeight="1">
      <c r="A154" s="22" t="s">
        <v>452</v>
      </c>
      <c r="B154" s="17" t="s">
        <v>203</v>
      </c>
      <c r="C154" s="46">
        <v>42432</v>
      </c>
      <c r="D154" s="50">
        <v>41.68</v>
      </c>
      <c r="E154" s="32" t="s">
        <v>362</v>
      </c>
      <c r="F154" s="32" t="s">
        <v>63</v>
      </c>
      <c r="G154" s="32" t="s">
        <v>364</v>
      </c>
      <c r="H154" s="32" t="s">
        <v>424</v>
      </c>
      <c r="I154" s="50"/>
    </row>
    <row r="155" spans="1:9" s="32" customFormat="1" ht="20.100000000000001" customHeight="1">
      <c r="A155" s="151" t="s">
        <v>1660</v>
      </c>
      <c r="B155" s="32" t="s">
        <v>1642</v>
      </c>
      <c r="C155" s="46">
        <v>42432</v>
      </c>
      <c r="D155" s="50">
        <v>39.119999999999997</v>
      </c>
      <c r="E155" s="32" t="s">
        <v>1643</v>
      </c>
      <c r="F155" s="32" t="s">
        <v>1644</v>
      </c>
      <c r="G155" s="32" t="s">
        <v>1666</v>
      </c>
      <c r="H155" s="32" t="s">
        <v>1646</v>
      </c>
      <c r="I155" s="50"/>
    </row>
    <row r="156" spans="1:9" s="32" customFormat="1" ht="20.100000000000001" customHeight="1">
      <c r="A156" s="151" t="s">
        <v>1664</v>
      </c>
      <c r="B156" s="32" t="s">
        <v>1642</v>
      </c>
      <c r="C156" s="46">
        <v>42432</v>
      </c>
      <c r="D156" s="50">
        <v>39.119999999999997</v>
      </c>
      <c r="E156" s="32" t="s">
        <v>1643</v>
      </c>
      <c r="F156" s="32" t="s">
        <v>1644</v>
      </c>
      <c r="G156" s="32" t="s">
        <v>1666</v>
      </c>
      <c r="H156" s="32" t="s">
        <v>1663</v>
      </c>
      <c r="I156" s="50"/>
    </row>
    <row r="157" spans="1:9" s="32" customFormat="1" ht="20.100000000000001" customHeight="1">
      <c r="A157" s="151" t="s">
        <v>1660</v>
      </c>
      <c r="B157" s="32" t="s">
        <v>1642</v>
      </c>
      <c r="C157" s="46">
        <v>42432</v>
      </c>
      <c r="D157" s="50">
        <v>38.049999999999997</v>
      </c>
      <c r="E157" s="32" t="s">
        <v>1643</v>
      </c>
      <c r="F157" s="32" t="s">
        <v>1644</v>
      </c>
      <c r="G157" s="32" t="s">
        <v>1667</v>
      </c>
      <c r="H157" s="32" t="s">
        <v>1646</v>
      </c>
      <c r="I157" s="50"/>
    </row>
    <row r="158" spans="1:9" s="32" customFormat="1" ht="20.100000000000001" customHeight="1">
      <c r="A158" s="151" t="s">
        <v>1664</v>
      </c>
      <c r="B158" s="32" t="s">
        <v>1642</v>
      </c>
      <c r="C158" s="46">
        <v>42432</v>
      </c>
      <c r="D158" s="50">
        <v>38.049999999999997</v>
      </c>
      <c r="E158" s="32" t="s">
        <v>1643</v>
      </c>
      <c r="F158" s="32" t="s">
        <v>1644</v>
      </c>
      <c r="G158" s="32" t="s">
        <v>1667</v>
      </c>
      <c r="H158" s="32" t="s">
        <v>1663</v>
      </c>
      <c r="I158" s="50"/>
    </row>
    <row r="159" spans="1:9" s="32" customFormat="1" ht="20.100000000000001" customHeight="1">
      <c r="A159" s="151" t="s">
        <v>1660</v>
      </c>
      <c r="B159" s="32" t="s">
        <v>1642</v>
      </c>
      <c r="C159" s="46">
        <v>42432</v>
      </c>
      <c r="D159" s="50">
        <v>38.020000000000003</v>
      </c>
      <c r="E159" s="32" t="s">
        <v>1643</v>
      </c>
      <c r="F159" s="32" t="s">
        <v>1644</v>
      </c>
      <c r="G159" s="32" t="s">
        <v>1668</v>
      </c>
      <c r="H159" s="32" t="s">
        <v>1646</v>
      </c>
      <c r="I159" s="50"/>
    </row>
    <row r="160" spans="1:9" s="32" customFormat="1" ht="20.100000000000001" customHeight="1">
      <c r="A160" s="151" t="s">
        <v>1664</v>
      </c>
      <c r="B160" s="32" t="s">
        <v>1642</v>
      </c>
      <c r="C160" s="46">
        <v>42432</v>
      </c>
      <c r="D160" s="50">
        <v>38.020000000000003</v>
      </c>
      <c r="E160" s="32" t="s">
        <v>1643</v>
      </c>
      <c r="F160" s="32" t="s">
        <v>1644</v>
      </c>
      <c r="G160" s="32" t="s">
        <v>1668</v>
      </c>
      <c r="H160" s="32" t="s">
        <v>1663</v>
      </c>
      <c r="I160" s="50"/>
    </row>
    <row r="161" spans="1:9" s="32" customFormat="1" ht="20.100000000000001" customHeight="1">
      <c r="A161" s="151" t="s">
        <v>1660</v>
      </c>
      <c r="B161" s="32" t="s">
        <v>1642</v>
      </c>
      <c r="C161" s="46">
        <v>42433</v>
      </c>
      <c r="D161" s="50">
        <v>120</v>
      </c>
      <c r="E161" s="32" t="s">
        <v>1643</v>
      </c>
      <c r="F161" s="32" t="s">
        <v>1644</v>
      </c>
      <c r="G161" s="32" t="s">
        <v>1655</v>
      </c>
      <c r="H161" s="32" t="s">
        <v>1646</v>
      </c>
      <c r="I161" s="50"/>
    </row>
    <row r="162" spans="1:9" s="32" customFormat="1" ht="20.100000000000001" customHeight="1">
      <c r="A162" s="151" t="s">
        <v>1664</v>
      </c>
      <c r="B162" s="32" t="s">
        <v>1642</v>
      </c>
      <c r="C162" s="46">
        <v>42433</v>
      </c>
      <c r="D162" s="50">
        <v>120</v>
      </c>
      <c r="E162" s="32" t="s">
        <v>1643</v>
      </c>
      <c r="F162" s="32" t="s">
        <v>1644</v>
      </c>
      <c r="G162" s="32" t="s">
        <v>1655</v>
      </c>
      <c r="H162" s="32" t="s">
        <v>1663</v>
      </c>
      <c r="I162" s="50"/>
    </row>
    <row r="163" spans="1:9" s="32" customFormat="1" ht="20.100000000000001" customHeight="1">
      <c r="A163" s="22" t="s">
        <v>425</v>
      </c>
      <c r="B163" s="17" t="s">
        <v>52</v>
      </c>
      <c r="C163" s="46">
        <v>42433</v>
      </c>
      <c r="D163" s="50">
        <v>40.78</v>
      </c>
      <c r="E163" s="32" t="s">
        <v>362</v>
      </c>
      <c r="F163" s="32" t="s">
        <v>63</v>
      </c>
      <c r="G163" s="32" t="s">
        <v>433</v>
      </c>
      <c r="H163" s="32" t="s">
        <v>329</v>
      </c>
      <c r="I163" s="50"/>
    </row>
    <row r="164" spans="1:9" s="32" customFormat="1" ht="20.100000000000001" customHeight="1">
      <c r="A164" s="22" t="s">
        <v>452</v>
      </c>
      <c r="B164" s="17" t="s">
        <v>52</v>
      </c>
      <c r="C164" s="46">
        <v>42433</v>
      </c>
      <c r="D164" s="50">
        <v>40.78</v>
      </c>
      <c r="E164" s="32" t="s">
        <v>362</v>
      </c>
      <c r="F164" s="32" t="s">
        <v>63</v>
      </c>
      <c r="G164" s="32" t="s">
        <v>433</v>
      </c>
      <c r="H164" s="32" t="s">
        <v>328</v>
      </c>
      <c r="I164" s="50"/>
    </row>
    <row r="165" spans="1:9" s="32" customFormat="1" ht="20.100000000000001" customHeight="1">
      <c r="A165" s="22" t="s">
        <v>425</v>
      </c>
      <c r="B165" s="17" t="s">
        <v>52</v>
      </c>
      <c r="C165" s="46">
        <v>42433</v>
      </c>
      <c r="D165" s="50">
        <v>39.82</v>
      </c>
      <c r="E165" s="32" t="s">
        <v>362</v>
      </c>
      <c r="F165" s="32" t="s">
        <v>63</v>
      </c>
      <c r="G165" s="32" t="s">
        <v>434</v>
      </c>
      <c r="H165" s="32" t="s">
        <v>329</v>
      </c>
      <c r="I165" s="50"/>
    </row>
    <row r="166" spans="1:9" s="32" customFormat="1" ht="20.100000000000001" customHeight="1">
      <c r="A166" s="22" t="s">
        <v>452</v>
      </c>
      <c r="B166" s="17" t="s">
        <v>52</v>
      </c>
      <c r="C166" s="46">
        <v>42433</v>
      </c>
      <c r="D166" s="50">
        <v>39.82</v>
      </c>
      <c r="E166" s="32" t="s">
        <v>362</v>
      </c>
      <c r="F166" s="32" t="s">
        <v>63</v>
      </c>
      <c r="G166" s="32" t="s">
        <v>434</v>
      </c>
      <c r="H166" s="32" t="s">
        <v>328</v>
      </c>
      <c r="I166" s="50"/>
    </row>
    <row r="167" spans="1:9" s="32" customFormat="1" ht="20.100000000000001" customHeight="1">
      <c r="A167" s="22" t="s">
        <v>425</v>
      </c>
      <c r="B167" s="17" t="s">
        <v>52</v>
      </c>
      <c r="C167" s="46">
        <v>42434</v>
      </c>
      <c r="D167" s="50">
        <v>41.52</v>
      </c>
      <c r="E167" s="32" t="s">
        <v>362</v>
      </c>
      <c r="F167" s="32" t="s">
        <v>63</v>
      </c>
      <c r="G167" s="32" t="s">
        <v>365</v>
      </c>
      <c r="H167" s="32" t="s">
        <v>329</v>
      </c>
      <c r="I167" s="50"/>
    </row>
    <row r="168" spans="1:9" s="32" customFormat="1" ht="20.100000000000001" customHeight="1">
      <c r="A168" s="22" t="s">
        <v>452</v>
      </c>
      <c r="B168" s="17" t="s">
        <v>52</v>
      </c>
      <c r="C168" s="46">
        <v>42434</v>
      </c>
      <c r="D168" s="50">
        <v>41.52</v>
      </c>
      <c r="E168" s="32" t="s">
        <v>362</v>
      </c>
      <c r="F168" s="32" t="s">
        <v>63</v>
      </c>
      <c r="G168" s="32" t="s">
        <v>365</v>
      </c>
      <c r="H168" s="32" t="s">
        <v>328</v>
      </c>
      <c r="I168" s="50"/>
    </row>
    <row r="169" spans="1:9" s="32" customFormat="1" ht="20.100000000000001" customHeight="1">
      <c r="A169" s="22" t="s">
        <v>425</v>
      </c>
      <c r="B169" s="17" t="s">
        <v>52</v>
      </c>
      <c r="C169" s="46">
        <v>42434</v>
      </c>
      <c r="D169" s="50">
        <v>41.08</v>
      </c>
      <c r="E169" s="32" t="s">
        <v>362</v>
      </c>
      <c r="F169" s="32" t="s">
        <v>63</v>
      </c>
      <c r="G169" s="32" t="s">
        <v>435</v>
      </c>
      <c r="H169" s="32" t="s">
        <v>329</v>
      </c>
      <c r="I169" s="50"/>
    </row>
    <row r="170" spans="1:9" s="32" customFormat="1" ht="20.100000000000001" customHeight="1">
      <c r="A170" s="22" t="s">
        <v>452</v>
      </c>
      <c r="B170" s="17" t="s">
        <v>52</v>
      </c>
      <c r="C170" s="46">
        <v>42434</v>
      </c>
      <c r="D170" s="50">
        <v>41.08</v>
      </c>
      <c r="E170" s="32" t="s">
        <v>362</v>
      </c>
      <c r="F170" s="32" t="s">
        <v>63</v>
      </c>
      <c r="G170" s="32" t="s">
        <v>435</v>
      </c>
      <c r="H170" s="32" t="s">
        <v>328</v>
      </c>
      <c r="I170" s="50"/>
    </row>
    <row r="171" spans="1:9" s="32" customFormat="1" ht="20.100000000000001" customHeight="1">
      <c r="A171" s="22" t="s">
        <v>425</v>
      </c>
      <c r="B171" s="17" t="s">
        <v>52</v>
      </c>
      <c r="C171" s="46">
        <v>42435</v>
      </c>
      <c r="D171" s="50">
        <v>40.86</v>
      </c>
      <c r="E171" s="32" t="s">
        <v>362</v>
      </c>
      <c r="F171" s="32" t="s">
        <v>63</v>
      </c>
      <c r="G171" s="32" t="s">
        <v>436</v>
      </c>
      <c r="H171" s="32" t="s">
        <v>329</v>
      </c>
      <c r="I171" s="50"/>
    </row>
    <row r="172" spans="1:9" s="32" customFormat="1" ht="20.100000000000001" customHeight="1">
      <c r="A172" s="22" t="s">
        <v>452</v>
      </c>
      <c r="B172" s="17" t="s">
        <v>52</v>
      </c>
      <c r="C172" s="46">
        <v>42435</v>
      </c>
      <c r="D172" s="50">
        <v>40.86</v>
      </c>
      <c r="E172" s="32" t="s">
        <v>362</v>
      </c>
      <c r="F172" s="32" t="s">
        <v>63</v>
      </c>
      <c r="G172" s="32" t="s">
        <v>436</v>
      </c>
      <c r="H172" s="32" t="s">
        <v>328</v>
      </c>
      <c r="I172" s="50"/>
    </row>
    <row r="173" spans="1:9" s="32" customFormat="1" ht="20.100000000000001" customHeight="1">
      <c r="A173" s="22" t="s">
        <v>425</v>
      </c>
      <c r="B173" s="17" t="s">
        <v>52</v>
      </c>
      <c r="C173" s="46">
        <v>42435</v>
      </c>
      <c r="D173" s="50">
        <v>42.92</v>
      </c>
      <c r="E173" s="32" t="s">
        <v>362</v>
      </c>
      <c r="F173" s="32" t="s">
        <v>63</v>
      </c>
      <c r="G173" s="32" t="s">
        <v>437</v>
      </c>
      <c r="H173" s="32" t="s">
        <v>329</v>
      </c>
      <c r="I173" s="50"/>
    </row>
    <row r="174" spans="1:9" s="32" customFormat="1" ht="20.100000000000001" customHeight="1">
      <c r="A174" s="22" t="s">
        <v>452</v>
      </c>
      <c r="B174" s="17" t="s">
        <v>52</v>
      </c>
      <c r="C174" s="46">
        <v>42435</v>
      </c>
      <c r="D174" s="50">
        <v>42.92</v>
      </c>
      <c r="E174" s="32" t="s">
        <v>362</v>
      </c>
      <c r="F174" s="32" t="s">
        <v>63</v>
      </c>
      <c r="G174" s="32" t="s">
        <v>437</v>
      </c>
      <c r="H174" s="32" t="s">
        <v>328</v>
      </c>
      <c r="I174" s="50"/>
    </row>
    <row r="175" spans="1:9" s="32" customFormat="1" ht="20.100000000000001" customHeight="1">
      <c r="A175" s="151" t="s">
        <v>1669</v>
      </c>
      <c r="B175" s="32" t="s">
        <v>1642</v>
      </c>
      <c r="C175" s="46">
        <v>42433</v>
      </c>
      <c r="D175" s="50">
        <v>190</v>
      </c>
      <c r="E175" s="32" t="s">
        <v>1643</v>
      </c>
      <c r="F175" s="32" t="s">
        <v>1644</v>
      </c>
      <c r="G175" s="32" t="s">
        <v>1655</v>
      </c>
      <c r="H175" s="32" t="s">
        <v>1646</v>
      </c>
      <c r="I175" s="50"/>
    </row>
    <row r="176" spans="1:9" s="32" customFormat="1" ht="20.100000000000001" customHeight="1">
      <c r="A176" s="151" t="s">
        <v>1670</v>
      </c>
      <c r="B176" s="32" t="s">
        <v>1642</v>
      </c>
      <c r="C176" s="46">
        <v>42433</v>
      </c>
      <c r="D176" s="50">
        <v>190</v>
      </c>
      <c r="E176" s="32" t="s">
        <v>1643</v>
      </c>
      <c r="F176" s="32" t="s">
        <v>1644</v>
      </c>
      <c r="G176" s="32" t="s">
        <v>1655</v>
      </c>
      <c r="H176" s="32" t="s">
        <v>1663</v>
      </c>
      <c r="I176" s="50"/>
    </row>
    <row r="177" spans="1:9" s="32" customFormat="1" ht="20.100000000000001" customHeight="1">
      <c r="A177" s="151" t="s">
        <v>1660</v>
      </c>
      <c r="B177" s="32" t="s">
        <v>1642</v>
      </c>
      <c r="C177" s="46">
        <v>42435</v>
      </c>
      <c r="D177" s="50">
        <v>120</v>
      </c>
      <c r="E177" s="32" t="s">
        <v>1643</v>
      </c>
      <c r="F177" s="32" t="s">
        <v>1644</v>
      </c>
      <c r="G177" s="32" t="s">
        <v>1655</v>
      </c>
      <c r="H177" s="32" t="s">
        <v>1646</v>
      </c>
      <c r="I177" s="50"/>
    </row>
    <row r="178" spans="1:9" s="32" customFormat="1" ht="20.100000000000001" customHeight="1">
      <c r="A178" s="151" t="s">
        <v>1664</v>
      </c>
      <c r="B178" s="32" t="s">
        <v>1642</v>
      </c>
      <c r="C178" s="46">
        <v>42435</v>
      </c>
      <c r="D178" s="50">
        <v>120</v>
      </c>
      <c r="E178" s="32" t="s">
        <v>1643</v>
      </c>
      <c r="F178" s="32" t="s">
        <v>1644</v>
      </c>
      <c r="G178" s="32" t="s">
        <v>1655</v>
      </c>
      <c r="H178" s="32" t="s">
        <v>1663</v>
      </c>
      <c r="I178" s="50"/>
    </row>
    <row r="179" spans="1:9" s="32" customFormat="1" ht="20.100000000000001" customHeight="1">
      <c r="A179" s="22" t="s">
        <v>425</v>
      </c>
      <c r="B179" s="17" t="s">
        <v>52</v>
      </c>
      <c r="C179" s="46">
        <v>42436</v>
      </c>
      <c r="D179" s="50">
        <v>42.52</v>
      </c>
      <c r="E179" s="32" t="s">
        <v>362</v>
      </c>
      <c r="F179" s="32" t="s">
        <v>63</v>
      </c>
      <c r="G179" s="32" t="s">
        <v>438</v>
      </c>
      <c r="H179" s="32" t="s">
        <v>329</v>
      </c>
      <c r="I179" s="50"/>
    </row>
    <row r="180" spans="1:9" s="32" customFormat="1" ht="20.100000000000001" customHeight="1">
      <c r="A180" s="22" t="s">
        <v>452</v>
      </c>
      <c r="B180" s="17" t="s">
        <v>52</v>
      </c>
      <c r="C180" s="46">
        <v>42436</v>
      </c>
      <c r="D180" s="50">
        <v>42.52</v>
      </c>
      <c r="E180" s="32" t="s">
        <v>362</v>
      </c>
      <c r="F180" s="32" t="s">
        <v>63</v>
      </c>
      <c r="G180" s="32" t="s">
        <v>438</v>
      </c>
      <c r="H180" s="32" t="s">
        <v>328</v>
      </c>
      <c r="I180" s="50"/>
    </row>
    <row r="181" spans="1:9" s="32" customFormat="1" ht="20.100000000000001" customHeight="1">
      <c r="A181" s="22" t="s">
        <v>425</v>
      </c>
      <c r="B181" s="17" t="s">
        <v>52</v>
      </c>
      <c r="C181" s="46">
        <v>42436</v>
      </c>
      <c r="D181" s="50">
        <v>42.86</v>
      </c>
      <c r="E181" s="32" t="s">
        <v>362</v>
      </c>
      <c r="F181" s="32" t="s">
        <v>63</v>
      </c>
      <c r="G181" s="32" t="s">
        <v>439</v>
      </c>
      <c r="H181" s="32" t="s">
        <v>329</v>
      </c>
      <c r="I181" s="50"/>
    </row>
    <row r="182" spans="1:9" s="32" customFormat="1" ht="20.100000000000001" customHeight="1">
      <c r="A182" s="22" t="s">
        <v>452</v>
      </c>
      <c r="B182" s="17" t="s">
        <v>52</v>
      </c>
      <c r="C182" s="46">
        <v>42436</v>
      </c>
      <c r="D182" s="50">
        <v>42.86</v>
      </c>
      <c r="E182" s="32" t="s">
        <v>362</v>
      </c>
      <c r="F182" s="32" t="s">
        <v>63</v>
      </c>
      <c r="G182" s="32" t="s">
        <v>439</v>
      </c>
      <c r="H182" s="32" t="s">
        <v>328</v>
      </c>
      <c r="I182" s="50"/>
    </row>
    <row r="183" spans="1:9" s="32" customFormat="1" ht="20.100000000000001" customHeight="1">
      <c r="A183" s="22" t="s">
        <v>425</v>
      </c>
      <c r="B183" s="17" t="s">
        <v>52</v>
      </c>
      <c r="C183" s="46">
        <v>42436</v>
      </c>
      <c r="D183" s="50">
        <v>42.7</v>
      </c>
      <c r="E183" s="32" t="s">
        <v>362</v>
      </c>
      <c r="F183" s="32" t="s">
        <v>63</v>
      </c>
      <c r="G183" s="32" t="s">
        <v>440</v>
      </c>
      <c r="H183" s="32" t="s">
        <v>329</v>
      </c>
      <c r="I183" s="50"/>
    </row>
    <row r="184" spans="1:9" s="32" customFormat="1" ht="20.100000000000001" customHeight="1">
      <c r="A184" s="22" t="s">
        <v>452</v>
      </c>
      <c r="B184" s="17" t="s">
        <v>52</v>
      </c>
      <c r="C184" s="46">
        <v>42436</v>
      </c>
      <c r="D184" s="50">
        <v>42.7</v>
      </c>
      <c r="E184" s="32" t="s">
        <v>362</v>
      </c>
      <c r="F184" s="32" t="s">
        <v>63</v>
      </c>
      <c r="G184" s="32" t="s">
        <v>440</v>
      </c>
      <c r="H184" s="32" t="s">
        <v>328</v>
      </c>
      <c r="I184" s="50"/>
    </row>
    <row r="185" spans="1:9" s="32" customFormat="1" ht="20.100000000000001" customHeight="1">
      <c r="A185" s="22" t="s">
        <v>425</v>
      </c>
      <c r="B185" s="17" t="s">
        <v>52</v>
      </c>
      <c r="C185" s="46">
        <v>42437</v>
      </c>
      <c r="D185" s="50">
        <v>40.380000000000003</v>
      </c>
      <c r="E185" s="32" t="s">
        <v>362</v>
      </c>
      <c r="F185" s="32" t="s">
        <v>63</v>
      </c>
      <c r="G185" s="32" t="s">
        <v>441</v>
      </c>
      <c r="H185" s="32" t="s">
        <v>329</v>
      </c>
      <c r="I185" s="50"/>
    </row>
    <row r="186" spans="1:9" s="32" customFormat="1" ht="20.100000000000001" customHeight="1">
      <c r="A186" s="22" t="s">
        <v>452</v>
      </c>
      <c r="B186" s="17" t="s">
        <v>52</v>
      </c>
      <c r="C186" s="46">
        <v>42437</v>
      </c>
      <c r="D186" s="50">
        <v>40.380000000000003</v>
      </c>
      <c r="E186" s="32" t="s">
        <v>362</v>
      </c>
      <c r="F186" s="32" t="s">
        <v>63</v>
      </c>
      <c r="G186" s="32" t="s">
        <v>441</v>
      </c>
      <c r="H186" s="32" t="s">
        <v>328</v>
      </c>
      <c r="I186" s="50"/>
    </row>
    <row r="187" spans="1:9" s="32" customFormat="1" ht="20.100000000000001" customHeight="1">
      <c r="A187" s="151" t="s">
        <v>1669</v>
      </c>
      <c r="B187" s="32" t="s">
        <v>1642</v>
      </c>
      <c r="C187" s="46">
        <v>42436</v>
      </c>
      <c r="D187" s="50">
        <v>190</v>
      </c>
      <c r="E187" s="32" t="s">
        <v>1643</v>
      </c>
      <c r="F187" s="32" t="s">
        <v>1644</v>
      </c>
      <c r="G187" s="32" t="s">
        <v>1655</v>
      </c>
      <c r="H187" s="32" t="s">
        <v>1646</v>
      </c>
      <c r="I187" s="50"/>
    </row>
    <row r="188" spans="1:9" s="32" customFormat="1" ht="20.100000000000001" customHeight="1">
      <c r="A188" s="151" t="s">
        <v>1670</v>
      </c>
      <c r="B188" s="32" t="s">
        <v>1642</v>
      </c>
      <c r="C188" s="46">
        <v>42436</v>
      </c>
      <c r="D188" s="50">
        <v>190</v>
      </c>
      <c r="E188" s="32" t="s">
        <v>1643</v>
      </c>
      <c r="F188" s="32" t="s">
        <v>1644</v>
      </c>
      <c r="G188" s="32" t="s">
        <v>1655</v>
      </c>
      <c r="H188" s="32" t="s">
        <v>1663</v>
      </c>
      <c r="I188" s="50"/>
    </row>
    <row r="189" spans="1:9" s="32" customFormat="1" ht="20.100000000000001" customHeight="1">
      <c r="A189" s="22" t="s">
        <v>444</v>
      </c>
      <c r="B189" s="17" t="s">
        <v>445</v>
      </c>
      <c r="C189" s="46">
        <v>42439</v>
      </c>
      <c r="D189" s="50">
        <v>40.22</v>
      </c>
      <c r="E189" s="32" t="s">
        <v>446</v>
      </c>
      <c r="F189" s="32" t="s">
        <v>447</v>
      </c>
      <c r="G189" s="32" t="s">
        <v>448</v>
      </c>
      <c r="H189" s="32" t="s">
        <v>449</v>
      </c>
      <c r="I189" s="50"/>
    </row>
    <row r="190" spans="1:9" s="32" customFormat="1" ht="20.100000000000001" customHeight="1">
      <c r="A190" s="22" t="s">
        <v>444</v>
      </c>
      <c r="B190" s="17" t="s">
        <v>445</v>
      </c>
      <c r="C190" s="46">
        <v>42439</v>
      </c>
      <c r="D190" s="50">
        <v>38.99</v>
      </c>
      <c r="E190" s="32" t="s">
        <v>446</v>
      </c>
      <c r="F190" s="32" t="s">
        <v>447</v>
      </c>
      <c r="G190" s="32" t="s">
        <v>450</v>
      </c>
      <c r="H190" s="32" t="s">
        <v>449</v>
      </c>
      <c r="I190" s="50"/>
    </row>
    <row r="191" spans="1:9" s="32" customFormat="1" ht="20.100000000000001" customHeight="1">
      <c r="A191" s="22" t="s">
        <v>444</v>
      </c>
      <c r="B191" s="17" t="s">
        <v>445</v>
      </c>
      <c r="C191" s="46">
        <v>42439</v>
      </c>
      <c r="D191" s="50">
        <v>40.21</v>
      </c>
      <c r="E191" s="32" t="s">
        <v>446</v>
      </c>
      <c r="F191" s="32" t="s">
        <v>447</v>
      </c>
      <c r="G191" s="32" t="s">
        <v>451</v>
      </c>
      <c r="H191" s="32" t="s">
        <v>449</v>
      </c>
      <c r="I191" s="50"/>
    </row>
    <row r="192" spans="1:9" s="32" customFormat="1" ht="20.100000000000001" customHeight="1">
      <c r="A192" s="151" t="s">
        <v>1669</v>
      </c>
      <c r="B192" s="32" t="s">
        <v>1642</v>
      </c>
      <c r="C192" s="46">
        <v>42437</v>
      </c>
      <c r="D192" s="50">
        <v>60</v>
      </c>
      <c r="E192" s="32" t="s">
        <v>1643</v>
      </c>
      <c r="F192" s="32" t="s">
        <v>1644</v>
      </c>
      <c r="G192" s="32" t="s">
        <v>1655</v>
      </c>
      <c r="H192" s="32" t="s">
        <v>1646</v>
      </c>
      <c r="I192" s="50"/>
    </row>
    <row r="193" spans="1:9" s="32" customFormat="1" ht="20.100000000000001" customHeight="1">
      <c r="A193" s="151" t="s">
        <v>1670</v>
      </c>
      <c r="B193" s="32" t="s">
        <v>1642</v>
      </c>
      <c r="C193" s="46">
        <v>42437</v>
      </c>
      <c r="D193" s="50">
        <v>60</v>
      </c>
      <c r="E193" s="32" t="s">
        <v>1643</v>
      </c>
      <c r="F193" s="32" t="s">
        <v>1644</v>
      </c>
      <c r="G193" s="32" t="s">
        <v>1655</v>
      </c>
      <c r="H193" s="32" t="s">
        <v>1663</v>
      </c>
      <c r="I193" s="50"/>
    </row>
    <row r="194" spans="1:9" s="32" customFormat="1" ht="20.100000000000001" customHeight="1">
      <c r="A194" s="22" t="s">
        <v>455</v>
      </c>
      <c r="B194" s="17" t="s">
        <v>52</v>
      </c>
      <c r="C194" s="46">
        <v>42437</v>
      </c>
      <c r="D194" s="50">
        <v>40.020000000000003</v>
      </c>
      <c r="E194" s="19" t="s">
        <v>62</v>
      </c>
      <c r="F194" s="32" t="s">
        <v>63</v>
      </c>
      <c r="G194" s="32" t="s">
        <v>360</v>
      </c>
      <c r="H194" s="32" t="s">
        <v>329</v>
      </c>
      <c r="I194" s="50"/>
    </row>
    <row r="195" spans="1:9" s="32" customFormat="1" ht="20.100000000000001" customHeight="1">
      <c r="A195" s="22" t="s">
        <v>452</v>
      </c>
      <c r="B195" s="17" t="s">
        <v>52</v>
      </c>
      <c r="C195" s="46">
        <v>42437</v>
      </c>
      <c r="D195" s="50">
        <v>40.020000000000003</v>
      </c>
      <c r="E195" s="19" t="s">
        <v>62</v>
      </c>
      <c r="F195" s="32" t="s">
        <v>63</v>
      </c>
      <c r="G195" s="32" t="s">
        <v>360</v>
      </c>
      <c r="H195" s="32" t="s">
        <v>328</v>
      </c>
      <c r="I195" s="50"/>
    </row>
    <row r="196" spans="1:9" s="32" customFormat="1" ht="20.100000000000001" customHeight="1">
      <c r="A196" s="22" t="s">
        <v>316</v>
      </c>
      <c r="B196" s="17" t="s">
        <v>52</v>
      </c>
      <c r="C196" s="46">
        <v>42430</v>
      </c>
      <c r="D196" s="50">
        <v>-2</v>
      </c>
      <c r="E196" s="32" t="s">
        <v>185</v>
      </c>
      <c r="F196" s="32" t="s">
        <v>63</v>
      </c>
      <c r="G196" s="32" t="s">
        <v>64</v>
      </c>
      <c r="H196" s="32" t="s">
        <v>329</v>
      </c>
      <c r="I196" s="50"/>
    </row>
    <row r="197" spans="1:9" s="32" customFormat="1" ht="20.100000000000001" customHeight="1">
      <c r="A197" s="22" t="s">
        <v>303</v>
      </c>
      <c r="B197" s="17" t="s">
        <v>52</v>
      </c>
      <c r="C197" s="46">
        <v>42430</v>
      </c>
      <c r="D197" s="50">
        <v>-2</v>
      </c>
      <c r="E197" s="32" t="s">
        <v>185</v>
      </c>
      <c r="F197" s="32" t="s">
        <v>63</v>
      </c>
      <c r="G197" s="32" t="s">
        <v>64</v>
      </c>
      <c r="H197" s="32" t="s">
        <v>328</v>
      </c>
      <c r="I197" s="50"/>
    </row>
    <row r="198" spans="1:9" s="32" customFormat="1" ht="20.100000000000001" customHeight="1">
      <c r="A198" s="22" t="s">
        <v>582</v>
      </c>
      <c r="B198" s="17" t="s">
        <v>52</v>
      </c>
      <c r="C198" s="46">
        <v>42430</v>
      </c>
      <c r="D198" s="50">
        <v>-36.020000000000003</v>
      </c>
      <c r="E198" s="19" t="s">
        <v>62</v>
      </c>
      <c r="F198" s="32" t="s">
        <v>63</v>
      </c>
      <c r="G198" s="32" t="s">
        <v>366</v>
      </c>
      <c r="H198" s="32" t="s">
        <v>329</v>
      </c>
      <c r="I198" s="50"/>
    </row>
    <row r="199" spans="1:9" s="32" customFormat="1" ht="20.100000000000001" customHeight="1">
      <c r="A199" s="22" t="s">
        <v>303</v>
      </c>
      <c r="B199" s="17" t="s">
        <v>52</v>
      </c>
      <c r="C199" s="46">
        <v>42430</v>
      </c>
      <c r="D199" s="50">
        <v>-36.020000000000003</v>
      </c>
      <c r="E199" s="19" t="s">
        <v>62</v>
      </c>
      <c r="F199" s="32" t="s">
        <v>63</v>
      </c>
      <c r="G199" s="32" t="s">
        <v>366</v>
      </c>
      <c r="H199" s="32" t="s">
        <v>328</v>
      </c>
      <c r="I199" s="50"/>
    </row>
    <row r="200" spans="1:9" s="32" customFormat="1" ht="20.100000000000001" customHeight="1">
      <c r="A200" s="22" t="s">
        <v>312</v>
      </c>
      <c r="B200" s="17" t="s">
        <v>52</v>
      </c>
      <c r="C200" s="46">
        <v>42430</v>
      </c>
      <c r="D200" s="50">
        <v>-36.159999999999997</v>
      </c>
      <c r="E200" s="19" t="s">
        <v>62</v>
      </c>
      <c r="F200" s="32" t="s">
        <v>63</v>
      </c>
      <c r="G200" s="32" t="s">
        <v>367</v>
      </c>
      <c r="H200" s="32" t="s">
        <v>329</v>
      </c>
      <c r="I200" s="50"/>
    </row>
    <row r="201" spans="1:9" s="32" customFormat="1" ht="20.100000000000001" customHeight="1">
      <c r="A201" s="22" t="s">
        <v>303</v>
      </c>
      <c r="B201" s="17" t="s">
        <v>52</v>
      </c>
      <c r="C201" s="46">
        <v>42430</v>
      </c>
      <c r="D201" s="50">
        <v>-36.159999999999997</v>
      </c>
      <c r="E201" s="19" t="s">
        <v>62</v>
      </c>
      <c r="F201" s="32" t="s">
        <v>63</v>
      </c>
      <c r="G201" s="32" t="s">
        <v>367</v>
      </c>
      <c r="H201" s="32" t="s">
        <v>328</v>
      </c>
      <c r="I201" s="50"/>
    </row>
    <row r="202" spans="1:9" s="32" customFormat="1" ht="20.100000000000001" customHeight="1">
      <c r="A202" s="22" t="s">
        <v>456</v>
      </c>
      <c r="B202" s="17" t="s">
        <v>52</v>
      </c>
      <c r="C202" s="46">
        <v>42430</v>
      </c>
      <c r="D202" s="50">
        <v>36.020000000000003</v>
      </c>
      <c r="E202" s="19" t="s">
        <v>62</v>
      </c>
      <c r="F202" s="32" t="s">
        <v>63</v>
      </c>
      <c r="G202" s="32" t="s">
        <v>366</v>
      </c>
      <c r="H202" s="32" t="s">
        <v>329</v>
      </c>
      <c r="I202" s="50"/>
    </row>
    <row r="203" spans="1:9" s="32" customFormat="1" ht="20.100000000000001" customHeight="1">
      <c r="A203" s="22" t="s">
        <v>303</v>
      </c>
      <c r="B203" s="17" t="s">
        <v>52</v>
      </c>
      <c r="C203" s="46">
        <v>42430</v>
      </c>
      <c r="D203" s="50">
        <v>36.020000000000003</v>
      </c>
      <c r="E203" s="19" t="s">
        <v>62</v>
      </c>
      <c r="F203" s="32" t="s">
        <v>63</v>
      </c>
      <c r="G203" s="32" t="s">
        <v>366</v>
      </c>
      <c r="H203" s="32" t="s">
        <v>328</v>
      </c>
      <c r="I203" s="50"/>
    </row>
    <row r="204" spans="1:9" s="32" customFormat="1" ht="20.100000000000001" customHeight="1">
      <c r="A204" s="22" t="s">
        <v>456</v>
      </c>
      <c r="B204" s="17" t="s">
        <v>52</v>
      </c>
      <c r="C204" s="46">
        <v>42430</v>
      </c>
      <c r="D204" s="50">
        <v>36.159999999999997</v>
      </c>
      <c r="E204" s="19" t="s">
        <v>62</v>
      </c>
      <c r="F204" s="32" t="s">
        <v>63</v>
      </c>
      <c r="G204" s="32" t="s">
        <v>367</v>
      </c>
      <c r="H204" s="32" t="s">
        <v>329</v>
      </c>
      <c r="I204" s="50"/>
    </row>
    <row r="205" spans="1:9" s="32" customFormat="1" ht="20.100000000000001" customHeight="1">
      <c r="A205" s="22" t="s">
        <v>303</v>
      </c>
      <c r="B205" s="17" t="s">
        <v>52</v>
      </c>
      <c r="C205" s="46">
        <v>42430</v>
      </c>
      <c r="D205" s="50">
        <v>36.159999999999997</v>
      </c>
      <c r="E205" s="19" t="s">
        <v>62</v>
      </c>
      <c r="F205" s="32" t="s">
        <v>63</v>
      </c>
      <c r="G205" s="32" t="s">
        <v>367</v>
      </c>
      <c r="H205" s="32" t="s">
        <v>328</v>
      </c>
      <c r="I205" s="50"/>
    </row>
    <row r="206" spans="1:9" s="32" customFormat="1" ht="20.100000000000001" customHeight="1">
      <c r="A206" s="151" t="s">
        <v>1660</v>
      </c>
      <c r="B206" s="32" t="s">
        <v>1642</v>
      </c>
      <c r="C206" s="46">
        <v>42430</v>
      </c>
      <c r="D206" s="50">
        <v>-70</v>
      </c>
      <c r="E206" s="32" t="s">
        <v>1643</v>
      </c>
      <c r="F206" s="32" t="s">
        <v>1654</v>
      </c>
      <c r="G206" s="32" t="s">
        <v>1655</v>
      </c>
      <c r="H206" s="32" t="s">
        <v>1646</v>
      </c>
      <c r="I206" s="50"/>
    </row>
    <row r="207" spans="1:9" s="32" customFormat="1" ht="20.100000000000001" customHeight="1">
      <c r="A207" s="151" t="s">
        <v>1662</v>
      </c>
      <c r="B207" s="32" t="s">
        <v>1642</v>
      </c>
      <c r="C207" s="46">
        <v>42430</v>
      </c>
      <c r="D207" s="50">
        <v>-70</v>
      </c>
      <c r="E207" s="32" t="s">
        <v>1643</v>
      </c>
      <c r="F207" s="32" t="s">
        <v>1654</v>
      </c>
      <c r="G207" s="32" t="s">
        <v>1655</v>
      </c>
      <c r="H207" s="32" t="s">
        <v>1663</v>
      </c>
      <c r="I207" s="50"/>
    </row>
    <row r="208" spans="1:9" s="32" customFormat="1" ht="20.100000000000001" customHeight="1">
      <c r="A208" s="151" t="s">
        <v>1660</v>
      </c>
      <c r="B208" s="32" t="s">
        <v>1642</v>
      </c>
      <c r="C208" s="46">
        <v>42430</v>
      </c>
      <c r="D208" s="50">
        <v>70</v>
      </c>
      <c r="E208" s="32" t="s">
        <v>1643</v>
      </c>
      <c r="F208" s="32" t="s">
        <v>1654</v>
      </c>
      <c r="G208" s="32" t="s">
        <v>1655</v>
      </c>
      <c r="H208" s="32" t="s">
        <v>1646</v>
      </c>
      <c r="I208" s="50"/>
    </row>
    <row r="209" spans="1:9" s="32" customFormat="1" ht="20.100000000000001" customHeight="1">
      <c r="A209" s="151" t="s">
        <v>1671</v>
      </c>
      <c r="B209" s="32" t="s">
        <v>1642</v>
      </c>
      <c r="C209" s="46">
        <v>42430</v>
      </c>
      <c r="D209" s="50">
        <v>70</v>
      </c>
      <c r="E209" s="32" t="s">
        <v>1643</v>
      </c>
      <c r="F209" s="32" t="s">
        <v>1654</v>
      </c>
      <c r="G209" s="32" t="s">
        <v>1655</v>
      </c>
      <c r="H209" s="32" t="s">
        <v>1663</v>
      </c>
      <c r="I209" s="50"/>
    </row>
    <row r="210" spans="1:9" s="32" customFormat="1" ht="20.100000000000001" customHeight="1">
      <c r="A210" s="22" t="s">
        <v>425</v>
      </c>
      <c r="B210" s="17" t="s">
        <v>52</v>
      </c>
      <c r="C210" s="46">
        <v>42444</v>
      </c>
      <c r="D210" s="50">
        <v>40.1</v>
      </c>
      <c r="E210" s="32" t="s">
        <v>362</v>
      </c>
      <c r="F210" s="32" t="s">
        <v>63</v>
      </c>
      <c r="G210" s="32" t="s">
        <v>457</v>
      </c>
      <c r="H210" s="32" t="s">
        <v>329</v>
      </c>
      <c r="I210" s="50"/>
    </row>
    <row r="211" spans="1:9" s="32" customFormat="1" ht="20.100000000000001" customHeight="1">
      <c r="A211" s="22" t="s">
        <v>452</v>
      </c>
      <c r="B211" s="17" t="s">
        <v>52</v>
      </c>
      <c r="C211" s="46">
        <v>42444</v>
      </c>
      <c r="D211" s="50">
        <v>40.1</v>
      </c>
      <c r="E211" s="32" t="s">
        <v>362</v>
      </c>
      <c r="F211" s="32" t="s">
        <v>63</v>
      </c>
      <c r="G211" s="32" t="s">
        <v>457</v>
      </c>
      <c r="H211" s="32" t="s">
        <v>328</v>
      </c>
      <c r="I211" s="50"/>
    </row>
    <row r="212" spans="1:9" s="32" customFormat="1" ht="20.100000000000001" customHeight="1">
      <c r="A212" s="22" t="s">
        <v>425</v>
      </c>
      <c r="B212" s="17" t="s">
        <v>52</v>
      </c>
      <c r="C212" s="46">
        <v>42444</v>
      </c>
      <c r="D212" s="50">
        <v>40.200000000000003</v>
      </c>
      <c r="E212" s="32" t="s">
        <v>362</v>
      </c>
      <c r="F212" s="32" t="s">
        <v>63</v>
      </c>
      <c r="G212" s="32" t="s">
        <v>458</v>
      </c>
      <c r="H212" s="32" t="s">
        <v>329</v>
      </c>
      <c r="I212" s="50"/>
    </row>
    <row r="213" spans="1:9" s="32" customFormat="1" ht="20.100000000000001" customHeight="1">
      <c r="A213" s="22" t="s">
        <v>452</v>
      </c>
      <c r="B213" s="17" t="s">
        <v>52</v>
      </c>
      <c r="C213" s="46">
        <v>42444</v>
      </c>
      <c r="D213" s="50">
        <v>40.200000000000003</v>
      </c>
      <c r="E213" s="32" t="s">
        <v>362</v>
      </c>
      <c r="F213" s="32" t="s">
        <v>63</v>
      </c>
      <c r="G213" s="32" t="s">
        <v>458</v>
      </c>
      <c r="H213" s="32" t="s">
        <v>328</v>
      </c>
      <c r="I213" s="50"/>
    </row>
    <row r="214" spans="1:9" s="32" customFormat="1" ht="20.100000000000001" customHeight="1">
      <c r="A214" s="22" t="s">
        <v>425</v>
      </c>
      <c r="B214" s="17" t="s">
        <v>52</v>
      </c>
      <c r="C214" s="46">
        <v>42444</v>
      </c>
      <c r="D214" s="50">
        <v>40.520000000000003</v>
      </c>
      <c r="E214" s="32" t="s">
        <v>362</v>
      </c>
      <c r="F214" s="32" t="s">
        <v>63</v>
      </c>
      <c r="G214" s="32" t="s">
        <v>459</v>
      </c>
      <c r="H214" s="32" t="s">
        <v>329</v>
      </c>
      <c r="I214" s="50"/>
    </row>
    <row r="215" spans="1:9" s="32" customFormat="1" ht="20.100000000000001" customHeight="1">
      <c r="A215" s="22" t="s">
        <v>452</v>
      </c>
      <c r="B215" s="17" t="s">
        <v>52</v>
      </c>
      <c r="C215" s="46">
        <v>42444</v>
      </c>
      <c r="D215" s="50">
        <v>40.520000000000003</v>
      </c>
      <c r="E215" s="32" t="s">
        <v>362</v>
      </c>
      <c r="F215" s="32" t="s">
        <v>63</v>
      </c>
      <c r="G215" s="32" t="s">
        <v>459</v>
      </c>
      <c r="H215" s="32" t="s">
        <v>328</v>
      </c>
      <c r="I215" s="50"/>
    </row>
    <row r="216" spans="1:9" s="32" customFormat="1" ht="20.100000000000001" customHeight="1">
      <c r="A216" s="151" t="s">
        <v>1669</v>
      </c>
      <c r="B216" s="32" t="s">
        <v>1642</v>
      </c>
      <c r="C216" s="46">
        <v>42444</v>
      </c>
      <c r="D216" s="50">
        <v>190</v>
      </c>
      <c r="E216" s="32" t="s">
        <v>1643</v>
      </c>
      <c r="F216" s="32" t="s">
        <v>1644</v>
      </c>
      <c r="G216" s="32" t="s">
        <v>1655</v>
      </c>
      <c r="H216" s="32" t="s">
        <v>1646</v>
      </c>
      <c r="I216" s="50"/>
    </row>
    <row r="217" spans="1:9" s="32" customFormat="1" ht="20.100000000000001" customHeight="1">
      <c r="A217" s="151" t="s">
        <v>1670</v>
      </c>
      <c r="B217" s="32" t="s">
        <v>1642</v>
      </c>
      <c r="C217" s="46">
        <v>42444</v>
      </c>
      <c r="D217" s="50">
        <v>190</v>
      </c>
      <c r="E217" s="32" t="s">
        <v>1643</v>
      </c>
      <c r="F217" s="32" t="s">
        <v>1644</v>
      </c>
      <c r="G217" s="32" t="s">
        <v>1655</v>
      </c>
      <c r="H217" s="32" t="s">
        <v>1663</v>
      </c>
      <c r="I217" s="50"/>
    </row>
    <row r="218" spans="1:9" s="32" customFormat="1" ht="20.100000000000001" customHeight="1">
      <c r="A218" s="151" t="s">
        <v>1669</v>
      </c>
      <c r="B218" s="32" t="s">
        <v>1642</v>
      </c>
      <c r="C218" s="46">
        <v>42445</v>
      </c>
      <c r="D218" s="50">
        <v>360</v>
      </c>
      <c r="E218" s="32" t="s">
        <v>1643</v>
      </c>
      <c r="F218" s="32" t="s">
        <v>1644</v>
      </c>
      <c r="G218" s="32" t="s">
        <v>1655</v>
      </c>
      <c r="H218" s="32" t="s">
        <v>1646</v>
      </c>
      <c r="I218" s="50"/>
    </row>
    <row r="219" spans="1:9" s="32" customFormat="1" ht="20.100000000000001" customHeight="1">
      <c r="A219" s="151" t="s">
        <v>1670</v>
      </c>
      <c r="B219" s="32" t="s">
        <v>1642</v>
      </c>
      <c r="C219" s="46">
        <v>42445</v>
      </c>
      <c r="D219" s="50">
        <v>360</v>
      </c>
      <c r="E219" s="32" t="s">
        <v>1643</v>
      </c>
      <c r="F219" s="32" t="s">
        <v>1644</v>
      </c>
      <c r="G219" s="32" t="s">
        <v>1655</v>
      </c>
      <c r="H219" s="32" t="s">
        <v>1663</v>
      </c>
      <c r="I219" s="50"/>
    </row>
    <row r="220" spans="1:9" s="32" customFormat="1" ht="20.100000000000001" customHeight="1">
      <c r="A220" s="22" t="s">
        <v>312</v>
      </c>
      <c r="B220" s="17" t="s">
        <v>52</v>
      </c>
      <c r="C220" s="46">
        <v>42430</v>
      </c>
      <c r="D220" s="50">
        <v>-39.96</v>
      </c>
      <c r="E220" s="19" t="s">
        <v>62</v>
      </c>
      <c r="F220" s="32" t="s">
        <v>63</v>
      </c>
      <c r="G220" s="32" t="s">
        <v>369</v>
      </c>
      <c r="H220" s="32" t="s">
        <v>329</v>
      </c>
      <c r="I220" s="50"/>
    </row>
    <row r="221" spans="1:9" s="32" customFormat="1" ht="20.100000000000001" customHeight="1">
      <c r="A221" s="22" t="s">
        <v>303</v>
      </c>
      <c r="B221" s="17" t="s">
        <v>52</v>
      </c>
      <c r="C221" s="46">
        <v>42430</v>
      </c>
      <c r="D221" s="50">
        <v>-39.96</v>
      </c>
      <c r="E221" s="19" t="s">
        <v>62</v>
      </c>
      <c r="F221" s="32" t="s">
        <v>63</v>
      </c>
      <c r="G221" s="32" t="s">
        <v>369</v>
      </c>
      <c r="H221" s="32" t="s">
        <v>328</v>
      </c>
      <c r="I221" s="50"/>
    </row>
    <row r="222" spans="1:9" s="32" customFormat="1" ht="20.100000000000001" customHeight="1">
      <c r="A222" s="22" t="s">
        <v>456</v>
      </c>
      <c r="B222" s="17" t="s">
        <v>52</v>
      </c>
      <c r="C222" s="46">
        <v>42430</v>
      </c>
      <c r="D222" s="50">
        <v>39.96</v>
      </c>
      <c r="E222" s="19" t="s">
        <v>62</v>
      </c>
      <c r="F222" s="32" t="s">
        <v>63</v>
      </c>
      <c r="G222" s="32" t="s">
        <v>369</v>
      </c>
      <c r="H222" s="32" t="s">
        <v>329</v>
      </c>
      <c r="I222" s="50"/>
    </row>
    <row r="223" spans="1:9" s="32" customFormat="1" ht="20.100000000000001" customHeight="1">
      <c r="A223" s="22" t="s">
        <v>460</v>
      </c>
      <c r="B223" s="17" t="s">
        <v>52</v>
      </c>
      <c r="C223" s="46">
        <v>42430</v>
      </c>
      <c r="D223" s="50">
        <v>39.96</v>
      </c>
      <c r="E223" s="19" t="s">
        <v>62</v>
      </c>
      <c r="F223" s="32" t="s">
        <v>63</v>
      </c>
      <c r="G223" s="32" t="s">
        <v>369</v>
      </c>
      <c r="H223" s="32" t="s">
        <v>328</v>
      </c>
      <c r="I223" s="50"/>
    </row>
    <row r="224" spans="1:9" s="32" customFormat="1" ht="20.100000000000001" customHeight="1">
      <c r="A224" s="22" t="s">
        <v>312</v>
      </c>
      <c r="B224" s="17" t="s">
        <v>52</v>
      </c>
      <c r="C224" s="46">
        <v>42404</v>
      </c>
      <c r="D224" s="50">
        <v>38.020000000000003</v>
      </c>
      <c r="E224" s="19" t="s">
        <v>62</v>
      </c>
      <c r="F224" s="32" t="s">
        <v>63</v>
      </c>
      <c r="G224" s="32" t="s">
        <v>461</v>
      </c>
      <c r="H224" s="32" t="s">
        <v>329</v>
      </c>
      <c r="I224" s="50"/>
    </row>
    <row r="225" spans="1:9" s="32" customFormat="1" ht="20.100000000000001" customHeight="1">
      <c r="A225" s="22" t="s">
        <v>303</v>
      </c>
      <c r="B225" s="17" t="s">
        <v>52</v>
      </c>
      <c r="C225" s="46">
        <v>42404</v>
      </c>
      <c r="D225" s="50">
        <v>38.020000000000003</v>
      </c>
      <c r="E225" s="19" t="s">
        <v>62</v>
      </c>
      <c r="F225" s="32" t="s">
        <v>63</v>
      </c>
      <c r="G225" s="32" t="s">
        <v>461</v>
      </c>
      <c r="H225" s="32" t="s">
        <v>328</v>
      </c>
      <c r="I225" s="50"/>
    </row>
    <row r="226" spans="1:9" s="32" customFormat="1" ht="20.100000000000001" customHeight="1">
      <c r="A226" s="22" t="s">
        <v>312</v>
      </c>
      <c r="B226" s="17" t="s">
        <v>52</v>
      </c>
      <c r="C226" s="46">
        <v>42437</v>
      </c>
      <c r="D226" s="50">
        <v>-40.1</v>
      </c>
      <c r="E226" s="19" t="s">
        <v>62</v>
      </c>
      <c r="F226" s="32" t="s">
        <v>63</v>
      </c>
      <c r="G226" s="32" t="s">
        <v>327</v>
      </c>
      <c r="H226" s="32" t="s">
        <v>329</v>
      </c>
      <c r="I226" s="50"/>
    </row>
    <row r="227" spans="1:9" s="32" customFormat="1" ht="20.100000000000001" customHeight="1">
      <c r="A227" s="22" t="s">
        <v>303</v>
      </c>
      <c r="B227" s="17" t="s">
        <v>52</v>
      </c>
      <c r="C227" s="46">
        <v>42437</v>
      </c>
      <c r="D227" s="50">
        <v>-40.1</v>
      </c>
      <c r="E227" s="19" t="s">
        <v>62</v>
      </c>
      <c r="F227" s="32" t="s">
        <v>63</v>
      </c>
      <c r="G227" s="32" t="s">
        <v>327</v>
      </c>
      <c r="H227" s="32" t="s">
        <v>328</v>
      </c>
      <c r="I227" s="50"/>
    </row>
    <row r="228" spans="1:9" s="32" customFormat="1" ht="20.100000000000001" customHeight="1">
      <c r="A228" s="22" t="s">
        <v>444</v>
      </c>
      <c r="B228" s="17" t="s">
        <v>60</v>
      </c>
      <c r="C228" s="46">
        <v>42446</v>
      </c>
      <c r="D228" s="50">
        <v>40.22</v>
      </c>
      <c r="E228" s="32" t="s">
        <v>185</v>
      </c>
      <c r="F228" s="32" t="s">
        <v>165</v>
      </c>
      <c r="G228" s="32" t="s">
        <v>462</v>
      </c>
      <c r="H228" s="32" t="s">
        <v>329</v>
      </c>
      <c r="I228" s="50"/>
    </row>
    <row r="229" spans="1:9" s="32" customFormat="1" ht="20.100000000000001" customHeight="1">
      <c r="A229" s="22" t="s">
        <v>444</v>
      </c>
      <c r="B229" s="17" t="s">
        <v>60</v>
      </c>
      <c r="C229" s="46">
        <v>42446</v>
      </c>
      <c r="D229" s="50">
        <v>40.19</v>
      </c>
      <c r="E229" s="32" t="s">
        <v>185</v>
      </c>
      <c r="F229" s="32" t="s">
        <v>165</v>
      </c>
      <c r="G229" s="32" t="s">
        <v>463</v>
      </c>
      <c r="H229" s="32" t="s">
        <v>329</v>
      </c>
      <c r="I229" s="50"/>
    </row>
    <row r="230" spans="1:9" s="32" customFormat="1" ht="20.100000000000001" customHeight="1">
      <c r="A230" s="22" t="s">
        <v>444</v>
      </c>
      <c r="B230" s="17" t="s">
        <v>60</v>
      </c>
      <c r="C230" s="46">
        <v>42447</v>
      </c>
      <c r="D230" s="50">
        <v>40.229999999999997</v>
      </c>
      <c r="E230" s="32" t="s">
        <v>185</v>
      </c>
      <c r="F230" s="32" t="s">
        <v>165</v>
      </c>
      <c r="G230" s="32" t="s">
        <v>464</v>
      </c>
      <c r="H230" s="32" t="s">
        <v>329</v>
      </c>
      <c r="I230" s="50"/>
    </row>
    <row r="231" spans="1:9" s="32" customFormat="1" ht="20.100000000000001" customHeight="1">
      <c r="A231" s="22" t="s">
        <v>465</v>
      </c>
      <c r="B231" s="17" t="s">
        <v>466</v>
      </c>
      <c r="C231" s="46">
        <v>42448</v>
      </c>
      <c r="D231" s="50">
        <v>40.06</v>
      </c>
      <c r="E231" s="32" t="s">
        <v>467</v>
      </c>
      <c r="F231" s="32" t="s">
        <v>63</v>
      </c>
      <c r="G231" s="32" t="s">
        <v>468</v>
      </c>
      <c r="H231" s="32" t="s">
        <v>469</v>
      </c>
      <c r="I231" s="50"/>
    </row>
    <row r="232" spans="1:9" s="32" customFormat="1" ht="20.100000000000001" customHeight="1">
      <c r="A232" s="22" t="s">
        <v>470</v>
      </c>
      <c r="B232" s="17" t="s">
        <v>466</v>
      </c>
      <c r="C232" s="46">
        <v>42448</v>
      </c>
      <c r="D232" s="50">
        <v>40.06</v>
      </c>
      <c r="E232" s="32" t="s">
        <v>467</v>
      </c>
      <c r="F232" s="32" t="s">
        <v>63</v>
      </c>
      <c r="G232" s="32" t="s">
        <v>468</v>
      </c>
      <c r="H232" s="32" t="s">
        <v>471</v>
      </c>
      <c r="I232" s="50"/>
    </row>
    <row r="233" spans="1:9" s="32" customFormat="1" ht="20.100000000000001" customHeight="1">
      <c r="A233" s="22" t="s">
        <v>465</v>
      </c>
      <c r="B233" s="17" t="s">
        <v>466</v>
      </c>
      <c r="C233" s="46">
        <v>42448</v>
      </c>
      <c r="D233" s="50">
        <v>38</v>
      </c>
      <c r="E233" s="32" t="s">
        <v>467</v>
      </c>
      <c r="F233" s="32" t="s">
        <v>63</v>
      </c>
      <c r="G233" s="32" t="s">
        <v>472</v>
      </c>
      <c r="H233" s="32" t="s">
        <v>469</v>
      </c>
      <c r="I233" s="50"/>
    </row>
    <row r="234" spans="1:9" s="32" customFormat="1" ht="20.100000000000001" customHeight="1">
      <c r="A234" s="22" t="s">
        <v>470</v>
      </c>
      <c r="B234" s="17" t="s">
        <v>466</v>
      </c>
      <c r="C234" s="46">
        <v>42448</v>
      </c>
      <c r="D234" s="50">
        <v>38</v>
      </c>
      <c r="E234" s="32" t="s">
        <v>467</v>
      </c>
      <c r="F234" s="32" t="s">
        <v>63</v>
      </c>
      <c r="G234" s="32" t="s">
        <v>472</v>
      </c>
      <c r="H234" s="32" t="s">
        <v>471</v>
      </c>
      <c r="I234" s="50"/>
    </row>
    <row r="235" spans="1:9" s="32" customFormat="1" ht="20.100000000000001" customHeight="1">
      <c r="A235" s="22" t="s">
        <v>465</v>
      </c>
      <c r="B235" s="17" t="s">
        <v>466</v>
      </c>
      <c r="C235" s="46">
        <v>42449</v>
      </c>
      <c r="D235" s="50">
        <v>39.9</v>
      </c>
      <c r="E235" s="32" t="s">
        <v>467</v>
      </c>
      <c r="F235" s="32" t="s">
        <v>63</v>
      </c>
      <c r="G235" s="32" t="s">
        <v>473</v>
      </c>
      <c r="H235" s="32" t="s">
        <v>469</v>
      </c>
      <c r="I235" s="50"/>
    </row>
    <row r="236" spans="1:9" s="32" customFormat="1" ht="20.100000000000001" customHeight="1">
      <c r="A236" s="22" t="s">
        <v>470</v>
      </c>
      <c r="B236" s="17" t="s">
        <v>466</v>
      </c>
      <c r="C236" s="46">
        <v>42449</v>
      </c>
      <c r="D236" s="50">
        <v>39.9</v>
      </c>
      <c r="E236" s="32" t="s">
        <v>467</v>
      </c>
      <c r="F236" s="32" t="s">
        <v>63</v>
      </c>
      <c r="G236" s="32" t="s">
        <v>473</v>
      </c>
      <c r="H236" s="32" t="s">
        <v>471</v>
      </c>
      <c r="I236" s="50"/>
    </row>
    <row r="237" spans="1:9" s="32" customFormat="1" ht="20.100000000000001" customHeight="1">
      <c r="A237" s="22" t="s">
        <v>425</v>
      </c>
      <c r="B237" s="17" t="s">
        <v>52</v>
      </c>
      <c r="C237" s="46">
        <v>42449</v>
      </c>
      <c r="D237" s="50">
        <v>41.6</v>
      </c>
      <c r="E237" s="32" t="s">
        <v>362</v>
      </c>
      <c r="F237" s="32" t="s">
        <v>63</v>
      </c>
      <c r="G237" s="32" t="s">
        <v>439</v>
      </c>
      <c r="H237" s="32" t="s">
        <v>329</v>
      </c>
      <c r="I237" s="50"/>
    </row>
    <row r="238" spans="1:9" s="32" customFormat="1" ht="20.100000000000001" customHeight="1">
      <c r="A238" s="22" t="s">
        <v>452</v>
      </c>
      <c r="B238" s="17" t="s">
        <v>52</v>
      </c>
      <c r="C238" s="46">
        <v>42449</v>
      </c>
      <c r="D238" s="50">
        <v>41.6</v>
      </c>
      <c r="E238" s="32" t="s">
        <v>362</v>
      </c>
      <c r="F238" s="32" t="s">
        <v>63</v>
      </c>
      <c r="G238" s="32" t="s">
        <v>439</v>
      </c>
      <c r="H238" s="32" t="s">
        <v>328</v>
      </c>
      <c r="I238" s="50"/>
    </row>
    <row r="239" spans="1:9" s="32" customFormat="1" ht="20.100000000000001" customHeight="1">
      <c r="A239" s="22" t="s">
        <v>425</v>
      </c>
      <c r="B239" s="17" t="s">
        <v>52</v>
      </c>
      <c r="C239" s="46">
        <v>42449</v>
      </c>
      <c r="D239" s="50">
        <v>41.64</v>
      </c>
      <c r="E239" s="32" t="s">
        <v>362</v>
      </c>
      <c r="F239" s="32" t="s">
        <v>63</v>
      </c>
      <c r="G239" s="32" t="s">
        <v>440</v>
      </c>
      <c r="H239" s="32" t="s">
        <v>329</v>
      </c>
      <c r="I239" s="50"/>
    </row>
    <row r="240" spans="1:9" s="32" customFormat="1" ht="20.100000000000001" customHeight="1">
      <c r="A240" s="22" t="s">
        <v>452</v>
      </c>
      <c r="B240" s="17" t="s">
        <v>52</v>
      </c>
      <c r="C240" s="46">
        <v>42449</v>
      </c>
      <c r="D240" s="50">
        <v>41.64</v>
      </c>
      <c r="E240" s="32" t="s">
        <v>362</v>
      </c>
      <c r="F240" s="32" t="s">
        <v>63</v>
      </c>
      <c r="G240" s="32" t="s">
        <v>440</v>
      </c>
      <c r="H240" s="32" t="s">
        <v>328</v>
      </c>
      <c r="I240" s="50"/>
    </row>
    <row r="241" spans="1:9" s="32" customFormat="1" ht="20.100000000000001" customHeight="1">
      <c r="A241" s="151" t="s">
        <v>1669</v>
      </c>
      <c r="B241" s="32" t="s">
        <v>1642</v>
      </c>
      <c r="C241" s="46">
        <v>42450</v>
      </c>
      <c r="D241" s="50">
        <v>180</v>
      </c>
      <c r="E241" s="32" t="s">
        <v>1643</v>
      </c>
      <c r="F241" s="32" t="s">
        <v>1644</v>
      </c>
      <c r="G241" s="32" t="s">
        <v>1655</v>
      </c>
      <c r="H241" s="32" t="s">
        <v>1646</v>
      </c>
      <c r="I241" s="50"/>
    </row>
    <row r="242" spans="1:9" s="32" customFormat="1" ht="20.100000000000001" customHeight="1">
      <c r="A242" s="151" t="s">
        <v>1670</v>
      </c>
      <c r="B242" s="32" t="s">
        <v>1642</v>
      </c>
      <c r="C242" s="46">
        <v>42450</v>
      </c>
      <c r="D242" s="50">
        <v>180</v>
      </c>
      <c r="E242" s="32" t="s">
        <v>1643</v>
      </c>
      <c r="F242" s="32" t="s">
        <v>1644</v>
      </c>
      <c r="G242" s="32" t="s">
        <v>1655</v>
      </c>
      <c r="H242" s="32" t="s">
        <v>1663</v>
      </c>
      <c r="I242" s="50"/>
    </row>
    <row r="243" spans="1:9" s="32" customFormat="1" ht="20.100000000000001" customHeight="1">
      <c r="A243" s="22" t="s">
        <v>455</v>
      </c>
      <c r="B243" s="17" t="s">
        <v>52</v>
      </c>
      <c r="C243" s="46">
        <v>42451</v>
      </c>
      <c r="D243" s="50">
        <v>39.020000000000003</v>
      </c>
      <c r="E243" s="19" t="s">
        <v>62</v>
      </c>
      <c r="F243" s="32" t="s">
        <v>63</v>
      </c>
      <c r="G243" s="32" t="s">
        <v>483</v>
      </c>
      <c r="H243" s="32" t="s">
        <v>329</v>
      </c>
      <c r="I243" s="50"/>
    </row>
    <row r="244" spans="1:9" s="32" customFormat="1" ht="20.100000000000001" customHeight="1">
      <c r="A244" s="22" t="s">
        <v>452</v>
      </c>
      <c r="B244" s="17" t="s">
        <v>52</v>
      </c>
      <c r="C244" s="46">
        <v>42451</v>
      </c>
      <c r="D244" s="50">
        <v>39.020000000000003</v>
      </c>
      <c r="E244" s="19" t="s">
        <v>62</v>
      </c>
      <c r="F244" s="32" t="s">
        <v>63</v>
      </c>
      <c r="G244" s="32" t="s">
        <v>483</v>
      </c>
      <c r="H244" s="32" t="s">
        <v>328</v>
      </c>
      <c r="I244" s="50"/>
    </row>
    <row r="245" spans="1:9" s="32" customFormat="1" ht="20.100000000000001" customHeight="1">
      <c r="A245" s="22" t="s">
        <v>455</v>
      </c>
      <c r="B245" s="17" t="s">
        <v>52</v>
      </c>
      <c r="C245" s="46">
        <v>42451</v>
      </c>
      <c r="D245" s="50">
        <v>40</v>
      </c>
      <c r="E245" s="19" t="s">
        <v>62</v>
      </c>
      <c r="F245" s="32" t="s">
        <v>63</v>
      </c>
      <c r="G245" s="32" t="s">
        <v>484</v>
      </c>
      <c r="H245" s="32" t="s">
        <v>329</v>
      </c>
      <c r="I245" s="50"/>
    </row>
    <row r="246" spans="1:9" s="32" customFormat="1" ht="20.100000000000001" customHeight="1">
      <c r="A246" s="22" t="s">
        <v>452</v>
      </c>
      <c r="B246" s="17" t="s">
        <v>52</v>
      </c>
      <c r="C246" s="46">
        <v>42451</v>
      </c>
      <c r="D246" s="50">
        <v>40</v>
      </c>
      <c r="E246" s="19" t="s">
        <v>62</v>
      </c>
      <c r="F246" s="32" t="s">
        <v>63</v>
      </c>
      <c r="G246" s="32" t="s">
        <v>484</v>
      </c>
      <c r="H246" s="32" t="s">
        <v>328</v>
      </c>
      <c r="I246" s="50"/>
    </row>
    <row r="247" spans="1:9" s="32" customFormat="1" ht="20.100000000000001" customHeight="1">
      <c r="A247" s="22" t="s">
        <v>444</v>
      </c>
      <c r="B247" s="17" t="s">
        <v>60</v>
      </c>
      <c r="C247" s="46">
        <v>42449</v>
      </c>
      <c r="D247" s="50">
        <v>38.22</v>
      </c>
      <c r="E247" s="32" t="s">
        <v>185</v>
      </c>
      <c r="F247" s="32" t="s">
        <v>165</v>
      </c>
      <c r="G247" s="32" t="s">
        <v>487</v>
      </c>
      <c r="H247" s="32" t="s">
        <v>329</v>
      </c>
      <c r="I247" s="50"/>
    </row>
    <row r="248" spans="1:9" s="32" customFormat="1" ht="20.100000000000001" customHeight="1">
      <c r="A248" s="22" t="s">
        <v>465</v>
      </c>
      <c r="B248" s="17" t="s">
        <v>60</v>
      </c>
      <c r="C248" s="46">
        <v>42450</v>
      </c>
      <c r="D248" s="50">
        <v>60</v>
      </c>
      <c r="E248" s="32" t="s">
        <v>467</v>
      </c>
      <c r="F248" s="32" t="s">
        <v>63</v>
      </c>
      <c r="G248" s="32" t="s">
        <v>64</v>
      </c>
      <c r="H248" s="32" t="s">
        <v>469</v>
      </c>
      <c r="I248" s="50"/>
    </row>
    <row r="249" spans="1:9" s="32" customFormat="1" ht="20.100000000000001" customHeight="1">
      <c r="A249" s="22" t="s">
        <v>452</v>
      </c>
      <c r="B249" s="17" t="s">
        <v>60</v>
      </c>
      <c r="C249" s="46">
        <v>42450</v>
      </c>
      <c r="D249" s="50">
        <v>60</v>
      </c>
      <c r="E249" s="32" t="s">
        <v>467</v>
      </c>
      <c r="F249" s="32" t="s">
        <v>63</v>
      </c>
      <c r="G249" s="32" t="s">
        <v>64</v>
      </c>
      <c r="H249" s="32" t="s">
        <v>328</v>
      </c>
      <c r="I249" s="50"/>
    </row>
    <row r="250" spans="1:9" s="32" customFormat="1" ht="20.100000000000001" customHeight="1">
      <c r="A250" s="22" t="s">
        <v>465</v>
      </c>
      <c r="B250" s="17" t="s">
        <v>60</v>
      </c>
      <c r="C250" s="46">
        <v>42450</v>
      </c>
      <c r="D250" s="50">
        <v>58</v>
      </c>
      <c r="E250" s="32" t="s">
        <v>467</v>
      </c>
      <c r="F250" s="32" t="s">
        <v>63</v>
      </c>
      <c r="G250" s="32" t="s">
        <v>64</v>
      </c>
      <c r="H250" s="32" t="s">
        <v>469</v>
      </c>
      <c r="I250" s="50"/>
    </row>
    <row r="251" spans="1:9" s="32" customFormat="1" ht="20.100000000000001" customHeight="1">
      <c r="A251" s="22" t="s">
        <v>452</v>
      </c>
      <c r="B251" s="17" t="s">
        <v>60</v>
      </c>
      <c r="C251" s="46">
        <v>42450</v>
      </c>
      <c r="D251" s="50">
        <v>58</v>
      </c>
      <c r="E251" s="32" t="s">
        <v>467</v>
      </c>
      <c r="F251" s="32" t="s">
        <v>63</v>
      </c>
      <c r="G251" s="32" t="s">
        <v>64</v>
      </c>
      <c r="H251" s="32" t="s">
        <v>328</v>
      </c>
      <c r="I251" s="50"/>
    </row>
    <row r="252" spans="1:9" s="32" customFormat="1" ht="20.100000000000001" customHeight="1">
      <c r="A252" s="22" t="s">
        <v>444</v>
      </c>
      <c r="B252" s="17" t="s">
        <v>60</v>
      </c>
      <c r="C252" s="46">
        <v>42452</v>
      </c>
      <c r="D252" s="50">
        <v>37.19</v>
      </c>
      <c r="E252" s="32" t="s">
        <v>185</v>
      </c>
      <c r="F252" s="32" t="s">
        <v>165</v>
      </c>
      <c r="G252" s="32" t="s">
        <v>490</v>
      </c>
      <c r="H252" s="32" t="s">
        <v>329</v>
      </c>
      <c r="I252" s="50"/>
    </row>
    <row r="253" spans="1:9" s="32" customFormat="1" ht="20.100000000000001" customHeight="1">
      <c r="A253" s="22" t="s">
        <v>444</v>
      </c>
      <c r="B253" s="17" t="s">
        <v>60</v>
      </c>
      <c r="C253" s="46">
        <v>42453</v>
      </c>
      <c r="D253" s="50">
        <v>38.17</v>
      </c>
      <c r="E253" s="32" t="s">
        <v>185</v>
      </c>
      <c r="F253" s="32" t="s">
        <v>165</v>
      </c>
      <c r="G253" s="32" t="s">
        <v>493</v>
      </c>
      <c r="H253" s="32" t="s">
        <v>329</v>
      </c>
      <c r="I253" s="50"/>
    </row>
    <row r="254" spans="1:9" s="32" customFormat="1" ht="20.100000000000001" customHeight="1">
      <c r="A254" s="22" t="s">
        <v>455</v>
      </c>
      <c r="B254" s="17" t="s">
        <v>52</v>
      </c>
      <c r="C254" s="46">
        <v>42452</v>
      </c>
      <c r="D254" s="50">
        <v>40.020000000000003</v>
      </c>
      <c r="E254" s="19" t="s">
        <v>62</v>
      </c>
      <c r="F254" s="32" t="s">
        <v>63</v>
      </c>
      <c r="G254" s="32" t="s">
        <v>494</v>
      </c>
      <c r="H254" s="32" t="s">
        <v>329</v>
      </c>
      <c r="I254" s="50"/>
    </row>
    <row r="255" spans="1:9" s="32" customFormat="1" ht="20.100000000000001" customHeight="1">
      <c r="A255" s="22" t="s">
        <v>452</v>
      </c>
      <c r="B255" s="17" t="s">
        <v>52</v>
      </c>
      <c r="C255" s="46">
        <v>42452</v>
      </c>
      <c r="D255" s="50">
        <v>40.020000000000003</v>
      </c>
      <c r="E255" s="19" t="s">
        <v>62</v>
      </c>
      <c r="F255" s="32" t="s">
        <v>63</v>
      </c>
      <c r="G255" s="32" t="s">
        <v>494</v>
      </c>
      <c r="H255" s="32" t="s">
        <v>328</v>
      </c>
      <c r="I255" s="50"/>
    </row>
    <row r="256" spans="1:9" s="32" customFormat="1" ht="20.100000000000001" customHeight="1">
      <c r="A256" s="22" t="s">
        <v>455</v>
      </c>
      <c r="B256" s="17" t="s">
        <v>52</v>
      </c>
      <c r="C256" s="46">
        <v>42452</v>
      </c>
      <c r="D256" s="50">
        <v>39.979999999999997</v>
      </c>
      <c r="E256" s="19" t="s">
        <v>62</v>
      </c>
      <c r="F256" s="32" t="s">
        <v>63</v>
      </c>
      <c r="G256" s="32" t="s">
        <v>495</v>
      </c>
      <c r="H256" s="32" t="s">
        <v>329</v>
      </c>
      <c r="I256" s="50"/>
    </row>
    <row r="257" spans="1:9" s="32" customFormat="1" ht="20.100000000000001" customHeight="1">
      <c r="A257" s="22" t="s">
        <v>452</v>
      </c>
      <c r="B257" s="17" t="s">
        <v>52</v>
      </c>
      <c r="C257" s="46">
        <v>42452</v>
      </c>
      <c r="D257" s="50">
        <v>39.979999999999997</v>
      </c>
      <c r="E257" s="19" t="s">
        <v>62</v>
      </c>
      <c r="F257" s="32" t="s">
        <v>63</v>
      </c>
      <c r="G257" s="32" t="s">
        <v>495</v>
      </c>
      <c r="H257" s="32" t="s">
        <v>328</v>
      </c>
      <c r="I257" s="50"/>
    </row>
    <row r="258" spans="1:9" s="32" customFormat="1" ht="20.100000000000001" customHeight="1">
      <c r="A258" s="22" t="s">
        <v>455</v>
      </c>
      <c r="B258" s="17" t="s">
        <v>52</v>
      </c>
      <c r="C258" s="46">
        <v>42452</v>
      </c>
      <c r="D258" s="50">
        <v>40.04</v>
      </c>
      <c r="E258" s="19" t="s">
        <v>62</v>
      </c>
      <c r="F258" s="32" t="s">
        <v>63</v>
      </c>
      <c r="G258" s="32" t="s">
        <v>496</v>
      </c>
      <c r="H258" s="32" t="s">
        <v>329</v>
      </c>
      <c r="I258" s="50"/>
    </row>
    <row r="259" spans="1:9" s="32" customFormat="1" ht="20.100000000000001" customHeight="1">
      <c r="A259" s="22" t="s">
        <v>452</v>
      </c>
      <c r="B259" s="17" t="s">
        <v>52</v>
      </c>
      <c r="C259" s="46">
        <v>42452</v>
      </c>
      <c r="D259" s="50">
        <v>40.04</v>
      </c>
      <c r="E259" s="19" t="s">
        <v>62</v>
      </c>
      <c r="F259" s="32" t="s">
        <v>63</v>
      </c>
      <c r="G259" s="32" t="s">
        <v>496</v>
      </c>
      <c r="H259" s="32" t="s">
        <v>328</v>
      </c>
      <c r="I259" s="50"/>
    </row>
    <row r="260" spans="1:9" s="32" customFormat="1" ht="20.100000000000001" customHeight="1">
      <c r="A260" s="151" t="s">
        <v>1669</v>
      </c>
      <c r="B260" s="32" t="s">
        <v>1642</v>
      </c>
      <c r="C260" s="46">
        <v>42453</v>
      </c>
      <c r="D260" s="50">
        <v>120</v>
      </c>
      <c r="E260" s="32" t="s">
        <v>1643</v>
      </c>
      <c r="F260" s="32" t="s">
        <v>1644</v>
      </c>
      <c r="G260" s="32" t="s">
        <v>1655</v>
      </c>
      <c r="H260" s="32" t="s">
        <v>1646</v>
      </c>
      <c r="I260" s="50"/>
    </row>
    <row r="261" spans="1:9" s="32" customFormat="1" ht="20.100000000000001" customHeight="1">
      <c r="A261" s="151" t="s">
        <v>1670</v>
      </c>
      <c r="B261" s="32" t="s">
        <v>1642</v>
      </c>
      <c r="C261" s="46">
        <v>42453</v>
      </c>
      <c r="D261" s="50">
        <v>120</v>
      </c>
      <c r="E261" s="32" t="s">
        <v>1643</v>
      </c>
      <c r="F261" s="32" t="s">
        <v>1644</v>
      </c>
      <c r="G261" s="32" t="s">
        <v>1655</v>
      </c>
      <c r="H261" s="32" t="s">
        <v>1663</v>
      </c>
      <c r="I261" s="50"/>
    </row>
    <row r="262" spans="1:9" s="32" customFormat="1" ht="20.100000000000001" customHeight="1">
      <c r="A262" s="22" t="s">
        <v>585</v>
      </c>
      <c r="B262" s="17" t="s">
        <v>85</v>
      </c>
      <c r="C262" s="46">
        <v>42453</v>
      </c>
      <c r="D262" s="50">
        <v>25</v>
      </c>
      <c r="E262" s="32" t="s">
        <v>165</v>
      </c>
      <c r="F262" s="32" t="s">
        <v>63</v>
      </c>
      <c r="G262" s="32" t="s">
        <v>497</v>
      </c>
      <c r="H262" s="32" t="s">
        <v>328</v>
      </c>
      <c r="I262" s="50"/>
    </row>
    <row r="263" spans="1:9" s="32" customFormat="1" ht="20.100000000000001" customHeight="1">
      <c r="A263" s="151" t="s">
        <v>1669</v>
      </c>
      <c r="B263" s="32" t="s">
        <v>1642</v>
      </c>
      <c r="C263" s="46">
        <v>42453</v>
      </c>
      <c r="D263" s="50">
        <v>140</v>
      </c>
      <c r="E263" s="32" t="s">
        <v>1643</v>
      </c>
      <c r="F263" s="32" t="s">
        <v>1644</v>
      </c>
      <c r="G263" s="32" t="s">
        <v>1655</v>
      </c>
      <c r="H263" s="32" t="s">
        <v>1646</v>
      </c>
      <c r="I263" s="50"/>
    </row>
    <row r="264" spans="1:9" s="32" customFormat="1" ht="20.100000000000001" customHeight="1">
      <c r="A264" s="151" t="s">
        <v>1670</v>
      </c>
      <c r="B264" s="32" t="s">
        <v>1642</v>
      </c>
      <c r="C264" s="46">
        <v>42453</v>
      </c>
      <c r="D264" s="50">
        <v>140</v>
      </c>
      <c r="E264" s="32" t="s">
        <v>1643</v>
      </c>
      <c r="F264" s="32" t="s">
        <v>1644</v>
      </c>
      <c r="G264" s="32" t="s">
        <v>1655</v>
      </c>
      <c r="H264" s="32" t="s">
        <v>1663</v>
      </c>
      <c r="I264" s="50"/>
    </row>
    <row r="265" spans="1:9" s="32" customFormat="1" ht="20.100000000000001" customHeight="1">
      <c r="A265" s="22" t="s">
        <v>455</v>
      </c>
      <c r="B265" s="17" t="s">
        <v>52</v>
      </c>
      <c r="C265" s="46">
        <v>42454</v>
      </c>
      <c r="D265" s="50">
        <v>39.880000000000003</v>
      </c>
      <c r="E265" s="19" t="s">
        <v>62</v>
      </c>
      <c r="F265" s="32" t="s">
        <v>63</v>
      </c>
      <c r="G265" s="32" t="s">
        <v>513</v>
      </c>
      <c r="H265" s="32" t="s">
        <v>329</v>
      </c>
      <c r="I265" s="50"/>
    </row>
    <row r="266" spans="1:9" s="32" customFormat="1" ht="20.100000000000001" customHeight="1">
      <c r="A266" s="22" t="s">
        <v>452</v>
      </c>
      <c r="B266" s="17" t="s">
        <v>52</v>
      </c>
      <c r="C266" s="46">
        <v>42454</v>
      </c>
      <c r="D266" s="50">
        <v>39.880000000000003</v>
      </c>
      <c r="E266" s="19" t="s">
        <v>62</v>
      </c>
      <c r="F266" s="32" t="s">
        <v>63</v>
      </c>
      <c r="G266" s="32" t="s">
        <v>513</v>
      </c>
      <c r="H266" s="32" t="s">
        <v>328</v>
      </c>
      <c r="I266" s="50"/>
    </row>
    <row r="267" spans="1:9" s="32" customFormat="1" ht="20.100000000000001" customHeight="1">
      <c r="A267" s="22" t="s">
        <v>455</v>
      </c>
      <c r="B267" s="17" t="s">
        <v>52</v>
      </c>
      <c r="C267" s="46">
        <v>42454</v>
      </c>
      <c r="D267" s="50">
        <v>38.06</v>
      </c>
      <c r="E267" s="19" t="s">
        <v>62</v>
      </c>
      <c r="F267" s="32" t="s">
        <v>63</v>
      </c>
      <c r="G267" s="32" t="s">
        <v>514</v>
      </c>
      <c r="H267" s="32" t="s">
        <v>329</v>
      </c>
      <c r="I267" s="50"/>
    </row>
    <row r="268" spans="1:9" s="32" customFormat="1" ht="20.100000000000001" customHeight="1">
      <c r="A268" s="22" t="s">
        <v>452</v>
      </c>
      <c r="B268" s="17" t="s">
        <v>52</v>
      </c>
      <c r="C268" s="46">
        <v>42454</v>
      </c>
      <c r="D268" s="50">
        <v>38.06</v>
      </c>
      <c r="E268" s="19" t="s">
        <v>62</v>
      </c>
      <c r="F268" s="32" t="s">
        <v>63</v>
      </c>
      <c r="G268" s="32" t="s">
        <v>514</v>
      </c>
      <c r="H268" s="32" t="s">
        <v>328</v>
      </c>
      <c r="I268" s="50"/>
    </row>
    <row r="269" spans="1:9" s="32" customFormat="1" ht="20.100000000000001" customHeight="1">
      <c r="A269" s="22" t="s">
        <v>546</v>
      </c>
      <c r="B269" s="17" t="s">
        <v>203</v>
      </c>
      <c r="C269" s="46">
        <v>42457</v>
      </c>
      <c r="D269" s="50">
        <v>39.92</v>
      </c>
      <c r="E269" s="19" t="s">
        <v>339</v>
      </c>
      <c r="F269" s="32" t="s">
        <v>166</v>
      </c>
      <c r="G269" s="32" t="s">
        <v>515</v>
      </c>
      <c r="H269" s="32" t="s">
        <v>329</v>
      </c>
      <c r="I269" s="50"/>
    </row>
    <row r="270" spans="1:9" s="32" customFormat="1" ht="20.100000000000001" customHeight="1">
      <c r="A270" s="22" t="s">
        <v>544</v>
      </c>
      <c r="B270" s="17" t="s">
        <v>547</v>
      </c>
      <c r="C270" s="46">
        <v>42457</v>
      </c>
      <c r="D270" s="50">
        <v>39.92</v>
      </c>
      <c r="E270" s="19" t="s">
        <v>548</v>
      </c>
      <c r="F270" s="32" t="s">
        <v>549</v>
      </c>
      <c r="G270" s="32" t="s">
        <v>550</v>
      </c>
      <c r="H270" s="32" t="s">
        <v>551</v>
      </c>
      <c r="I270" s="50"/>
    </row>
    <row r="271" spans="1:9" s="32" customFormat="1" ht="20.100000000000001" customHeight="1">
      <c r="A271" s="22" t="s">
        <v>552</v>
      </c>
      <c r="B271" s="17" t="s">
        <v>553</v>
      </c>
      <c r="C271" s="46">
        <v>42456</v>
      </c>
      <c r="D271" s="50">
        <v>35</v>
      </c>
      <c r="E271" s="19" t="s">
        <v>554</v>
      </c>
      <c r="F271" s="32" t="s">
        <v>549</v>
      </c>
      <c r="G271" s="32" t="s">
        <v>555</v>
      </c>
      <c r="H271" s="32" t="s">
        <v>551</v>
      </c>
      <c r="I271" s="50"/>
    </row>
    <row r="272" spans="1:9" s="32" customFormat="1" ht="20.100000000000001" customHeight="1">
      <c r="A272" s="22" t="s">
        <v>556</v>
      </c>
      <c r="B272" s="17" t="s">
        <v>547</v>
      </c>
      <c r="C272" s="46">
        <v>42459</v>
      </c>
      <c r="D272" s="50">
        <v>480</v>
      </c>
      <c r="E272" s="19" t="s">
        <v>557</v>
      </c>
      <c r="F272" s="32" t="s">
        <v>554</v>
      </c>
      <c r="G272" s="32" t="s">
        <v>558</v>
      </c>
      <c r="H272" s="32" t="s">
        <v>559</v>
      </c>
      <c r="I272" s="50"/>
    </row>
    <row r="273" spans="1:9" s="32" customFormat="1" ht="20.100000000000001" customHeight="1">
      <c r="A273" s="22" t="s">
        <v>544</v>
      </c>
      <c r="B273" s="17" t="s">
        <v>52</v>
      </c>
      <c r="C273" s="46">
        <v>42461</v>
      </c>
      <c r="D273" s="50">
        <v>27</v>
      </c>
      <c r="E273" s="19" t="s">
        <v>165</v>
      </c>
      <c r="F273" s="32" t="s">
        <v>63</v>
      </c>
      <c r="G273" s="32" t="s">
        <v>564</v>
      </c>
      <c r="H273" s="32" t="s">
        <v>328</v>
      </c>
      <c r="I273" s="50"/>
    </row>
    <row r="274" spans="1:9" s="32" customFormat="1" ht="20.100000000000001" customHeight="1">
      <c r="A274" s="22" t="s">
        <v>544</v>
      </c>
      <c r="B274" s="17" t="s">
        <v>52</v>
      </c>
      <c r="C274" s="46">
        <v>42461</v>
      </c>
      <c r="D274" s="50">
        <v>40</v>
      </c>
      <c r="E274" s="19" t="s">
        <v>165</v>
      </c>
      <c r="F274" s="32" t="s">
        <v>63</v>
      </c>
      <c r="G274" s="32" t="s">
        <v>565</v>
      </c>
      <c r="H274" s="32" t="s">
        <v>328</v>
      </c>
      <c r="I274" s="50"/>
    </row>
    <row r="275" spans="1:9" s="32" customFormat="1" ht="20.100000000000001" customHeight="1">
      <c r="A275" s="22" t="s">
        <v>572</v>
      </c>
      <c r="B275" s="17" t="s">
        <v>93</v>
      </c>
      <c r="C275" s="46">
        <v>42452</v>
      </c>
      <c r="D275" s="50">
        <v>3001.28</v>
      </c>
      <c r="E275" s="19" t="s">
        <v>226</v>
      </c>
      <c r="F275" s="32" t="s">
        <v>63</v>
      </c>
      <c r="G275" s="32" t="s">
        <v>227</v>
      </c>
      <c r="H275" s="32" t="s">
        <v>328</v>
      </c>
      <c r="I275" s="50"/>
    </row>
    <row r="276" spans="1:9" s="32" customFormat="1" ht="20.100000000000001" customHeight="1">
      <c r="A276" s="22" t="s">
        <v>591</v>
      </c>
      <c r="B276" s="17" t="s">
        <v>93</v>
      </c>
      <c r="C276" s="46">
        <v>42452</v>
      </c>
      <c r="D276" s="50">
        <v>3001.28</v>
      </c>
      <c r="E276" s="19" t="s">
        <v>226</v>
      </c>
      <c r="F276" s="32" t="s">
        <v>63</v>
      </c>
      <c r="G276" s="32" t="s">
        <v>227</v>
      </c>
      <c r="H276" s="32" t="s">
        <v>329</v>
      </c>
      <c r="I276" s="50"/>
    </row>
    <row r="277" spans="1:9" s="32" customFormat="1" ht="20.100000000000001" customHeight="1">
      <c r="A277" s="22" t="s">
        <v>573</v>
      </c>
      <c r="B277" s="17" t="s">
        <v>93</v>
      </c>
      <c r="C277" s="46">
        <v>42452</v>
      </c>
      <c r="D277" s="50">
        <v>2450</v>
      </c>
      <c r="E277" s="19" t="s">
        <v>226</v>
      </c>
      <c r="F277" s="32" t="s">
        <v>63</v>
      </c>
      <c r="G277" s="32" t="s">
        <v>227</v>
      </c>
      <c r="H277" s="32" t="s">
        <v>329</v>
      </c>
      <c r="I277" s="50"/>
    </row>
    <row r="278" spans="1:9" s="32" customFormat="1" ht="20.100000000000001" customHeight="1">
      <c r="A278" s="22" t="s">
        <v>574</v>
      </c>
      <c r="B278" s="17" t="s">
        <v>93</v>
      </c>
      <c r="C278" s="46">
        <v>42452</v>
      </c>
      <c r="D278" s="50">
        <v>2450</v>
      </c>
      <c r="E278" s="19" t="s">
        <v>226</v>
      </c>
      <c r="F278" s="32" t="s">
        <v>63</v>
      </c>
      <c r="G278" s="32" t="s">
        <v>227</v>
      </c>
      <c r="H278" s="32" t="s">
        <v>328</v>
      </c>
      <c r="I278" s="50"/>
    </row>
    <row r="279" spans="1:9" s="32" customFormat="1" ht="20.100000000000001" customHeight="1">
      <c r="A279" s="22" t="s">
        <v>573</v>
      </c>
      <c r="B279" s="17" t="s">
        <v>93</v>
      </c>
      <c r="C279" s="46">
        <v>42460</v>
      </c>
      <c r="D279" s="50">
        <v>1600</v>
      </c>
      <c r="E279" s="19" t="s">
        <v>226</v>
      </c>
      <c r="F279" s="32" t="s">
        <v>63</v>
      </c>
      <c r="G279" s="32" t="s">
        <v>227</v>
      </c>
      <c r="H279" s="32" t="s">
        <v>329</v>
      </c>
      <c r="I279" s="50"/>
    </row>
    <row r="280" spans="1:9" s="32" customFormat="1" ht="20.100000000000001" customHeight="1">
      <c r="A280" s="22" t="s">
        <v>574</v>
      </c>
      <c r="B280" s="17" t="s">
        <v>93</v>
      </c>
      <c r="C280" s="46">
        <v>42460</v>
      </c>
      <c r="D280" s="50">
        <v>1600</v>
      </c>
      <c r="E280" s="19" t="s">
        <v>226</v>
      </c>
      <c r="F280" s="32" t="s">
        <v>63</v>
      </c>
      <c r="G280" s="32" t="s">
        <v>227</v>
      </c>
      <c r="H280" s="32" t="s">
        <v>328</v>
      </c>
      <c r="I280" s="50"/>
    </row>
    <row r="281" spans="1:9" s="32" customFormat="1" ht="20.100000000000001" customHeight="1">
      <c r="A281" s="22" t="s">
        <v>229</v>
      </c>
      <c r="B281" s="17" t="s">
        <v>230</v>
      </c>
      <c r="C281" s="46">
        <v>42458</v>
      </c>
      <c r="D281" s="50">
        <v>2000</v>
      </c>
      <c r="E281" s="19" t="s">
        <v>592</v>
      </c>
      <c r="F281" s="32" t="s">
        <v>63</v>
      </c>
      <c r="G281" s="32" t="s">
        <v>227</v>
      </c>
      <c r="H281" s="32" t="s">
        <v>329</v>
      </c>
      <c r="I281" s="50"/>
    </row>
    <row r="282" spans="1:9" s="32" customFormat="1" ht="20.100000000000001" customHeight="1">
      <c r="A282" s="22" t="s">
        <v>389</v>
      </c>
      <c r="B282" s="17" t="s">
        <v>230</v>
      </c>
      <c r="C282" s="46">
        <v>42458</v>
      </c>
      <c r="D282" s="50">
        <v>2000</v>
      </c>
      <c r="E282" s="19" t="s">
        <v>592</v>
      </c>
      <c r="F282" s="32" t="s">
        <v>63</v>
      </c>
      <c r="G282" s="32" t="s">
        <v>227</v>
      </c>
      <c r="H282" s="32" t="s">
        <v>328</v>
      </c>
      <c r="I282" s="50"/>
    </row>
    <row r="283" spans="1:9" s="32" customFormat="1" ht="20.100000000000001" customHeight="1">
      <c r="A283" s="22" t="s">
        <v>502</v>
      </c>
      <c r="B283" s="32" t="s">
        <v>82</v>
      </c>
      <c r="C283" s="46">
        <v>42466</v>
      </c>
      <c r="D283" s="50">
        <v>40</v>
      </c>
      <c r="E283" s="19" t="s">
        <v>356</v>
      </c>
      <c r="F283" s="32" t="s">
        <v>166</v>
      </c>
      <c r="G283" s="32" t="s">
        <v>555</v>
      </c>
      <c r="H283" s="32" t="s">
        <v>328</v>
      </c>
      <c r="I283" s="50"/>
    </row>
    <row r="284" spans="1:9" s="32" customFormat="1" ht="20.100000000000001" customHeight="1">
      <c r="A284" s="22" t="s">
        <v>589</v>
      </c>
      <c r="B284" s="32" t="s">
        <v>82</v>
      </c>
      <c r="C284" s="46">
        <v>42466</v>
      </c>
      <c r="D284" s="50">
        <v>30</v>
      </c>
      <c r="E284" s="19" t="s">
        <v>356</v>
      </c>
      <c r="F284" s="32" t="s">
        <v>166</v>
      </c>
      <c r="G284" s="32" t="s">
        <v>330</v>
      </c>
      <c r="H284" s="32" t="s">
        <v>673</v>
      </c>
      <c r="I284" s="50"/>
    </row>
    <row r="285" spans="1:9" s="32" customFormat="1" ht="20.100000000000001" customHeight="1">
      <c r="A285" s="22" t="s">
        <v>546</v>
      </c>
      <c r="B285" s="17" t="s">
        <v>547</v>
      </c>
      <c r="C285" s="46">
        <v>42465</v>
      </c>
      <c r="D285" s="50">
        <v>58</v>
      </c>
      <c r="E285" s="19" t="s">
        <v>548</v>
      </c>
      <c r="F285" s="32" t="s">
        <v>549</v>
      </c>
      <c r="G285" s="32" t="s">
        <v>590</v>
      </c>
      <c r="H285" s="32" t="s">
        <v>329</v>
      </c>
      <c r="I285" s="50"/>
    </row>
    <row r="286" spans="1:9" s="32" customFormat="1" ht="20.100000000000001" customHeight="1">
      <c r="A286" s="22" t="s">
        <v>544</v>
      </c>
      <c r="B286" s="17" t="s">
        <v>547</v>
      </c>
      <c r="C286" s="46">
        <v>42465</v>
      </c>
      <c r="D286" s="50">
        <v>58</v>
      </c>
      <c r="E286" s="19" t="s">
        <v>548</v>
      </c>
      <c r="F286" s="32" t="s">
        <v>549</v>
      </c>
      <c r="G286" s="32" t="s">
        <v>590</v>
      </c>
      <c r="H286" s="32" t="s">
        <v>551</v>
      </c>
      <c r="I286" s="50"/>
    </row>
    <row r="287" spans="1:9" s="32" customFormat="1" ht="20.100000000000001" customHeight="1">
      <c r="A287" s="22" t="s">
        <v>544</v>
      </c>
      <c r="B287" s="17" t="s">
        <v>52</v>
      </c>
      <c r="C287" s="46">
        <v>42465</v>
      </c>
      <c r="D287" s="50">
        <v>28</v>
      </c>
      <c r="E287" s="19" t="s">
        <v>165</v>
      </c>
      <c r="F287" s="32" t="s">
        <v>63</v>
      </c>
      <c r="G287" s="32" t="s">
        <v>564</v>
      </c>
      <c r="H287" s="32" t="s">
        <v>328</v>
      </c>
      <c r="I287" s="50"/>
    </row>
    <row r="288" spans="1:9" s="32" customFormat="1" ht="20.100000000000001" customHeight="1">
      <c r="A288" s="22" t="s">
        <v>544</v>
      </c>
      <c r="B288" s="17" t="s">
        <v>52</v>
      </c>
      <c r="C288" s="46">
        <v>42465</v>
      </c>
      <c r="D288" s="50">
        <v>30</v>
      </c>
      <c r="E288" s="19" t="s">
        <v>165</v>
      </c>
      <c r="F288" s="32" t="s">
        <v>63</v>
      </c>
      <c r="G288" s="32" t="s">
        <v>330</v>
      </c>
      <c r="H288" s="32" t="s">
        <v>328</v>
      </c>
      <c r="I288" s="50"/>
    </row>
    <row r="289" spans="1:9" s="32" customFormat="1" ht="20.100000000000001" customHeight="1">
      <c r="A289" s="22" t="s">
        <v>544</v>
      </c>
      <c r="B289" s="17" t="s">
        <v>52</v>
      </c>
      <c r="C289" s="46">
        <v>42465</v>
      </c>
      <c r="D289" s="50">
        <v>30</v>
      </c>
      <c r="E289" s="19" t="s">
        <v>165</v>
      </c>
      <c r="F289" s="32" t="s">
        <v>63</v>
      </c>
      <c r="G289" s="32" t="s">
        <v>593</v>
      </c>
      <c r="H289" s="32" t="s">
        <v>328</v>
      </c>
      <c r="I289" s="50"/>
    </row>
    <row r="290" spans="1:9" s="32" customFormat="1" ht="20.100000000000001" customHeight="1">
      <c r="A290" s="22" t="s">
        <v>544</v>
      </c>
      <c r="B290" s="17" t="s">
        <v>52</v>
      </c>
      <c r="C290" s="46">
        <v>42468</v>
      </c>
      <c r="D290" s="50">
        <v>70</v>
      </c>
      <c r="E290" s="19" t="s">
        <v>165</v>
      </c>
      <c r="F290" s="32" t="s">
        <v>63</v>
      </c>
      <c r="G290" s="32" t="s">
        <v>360</v>
      </c>
      <c r="H290" s="32" t="s">
        <v>328</v>
      </c>
      <c r="I290" s="50"/>
    </row>
    <row r="291" spans="1:9" s="32" customFormat="1" ht="20.100000000000001" customHeight="1">
      <c r="A291" s="22" t="s">
        <v>544</v>
      </c>
      <c r="B291" s="17" t="s">
        <v>52</v>
      </c>
      <c r="C291" s="46">
        <v>42467</v>
      </c>
      <c r="D291" s="50">
        <v>26</v>
      </c>
      <c r="E291" s="19" t="s">
        <v>165</v>
      </c>
      <c r="F291" s="32" t="s">
        <v>63</v>
      </c>
      <c r="G291" s="32" t="s">
        <v>594</v>
      </c>
      <c r="H291" s="32" t="s">
        <v>328</v>
      </c>
      <c r="I291" s="50"/>
    </row>
    <row r="292" spans="1:9" s="32" customFormat="1" ht="20.100000000000001" customHeight="1">
      <c r="A292" s="22" t="s">
        <v>544</v>
      </c>
      <c r="B292" s="17" t="s">
        <v>52</v>
      </c>
      <c r="C292" s="46">
        <v>42467</v>
      </c>
      <c r="D292" s="50">
        <v>32</v>
      </c>
      <c r="E292" s="19" t="s">
        <v>165</v>
      </c>
      <c r="F292" s="32" t="s">
        <v>63</v>
      </c>
      <c r="G292" s="32" t="s">
        <v>330</v>
      </c>
      <c r="H292" s="32" t="s">
        <v>328</v>
      </c>
      <c r="I292" s="50"/>
    </row>
    <row r="293" spans="1:9" s="32" customFormat="1" ht="20.100000000000001" customHeight="1">
      <c r="A293" s="22" t="s">
        <v>544</v>
      </c>
      <c r="B293" s="17" t="s">
        <v>52</v>
      </c>
      <c r="C293" s="46">
        <v>42467</v>
      </c>
      <c r="D293" s="50">
        <v>40</v>
      </c>
      <c r="E293" s="19" t="s">
        <v>165</v>
      </c>
      <c r="F293" s="32" t="s">
        <v>63</v>
      </c>
      <c r="G293" s="32" t="s">
        <v>360</v>
      </c>
      <c r="H293" s="32" t="s">
        <v>328</v>
      </c>
      <c r="I293" s="50"/>
    </row>
    <row r="294" spans="1:9" s="32" customFormat="1" ht="20.100000000000001" customHeight="1">
      <c r="A294" s="22" t="s">
        <v>544</v>
      </c>
      <c r="B294" s="17" t="s">
        <v>52</v>
      </c>
      <c r="C294" s="46">
        <v>42466</v>
      </c>
      <c r="D294" s="50">
        <v>30</v>
      </c>
      <c r="E294" s="19" t="s">
        <v>165</v>
      </c>
      <c r="F294" s="32" t="s">
        <v>63</v>
      </c>
      <c r="G294" s="32" t="s">
        <v>461</v>
      </c>
      <c r="H294" s="32" t="s">
        <v>328</v>
      </c>
      <c r="I294" s="50"/>
    </row>
    <row r="295" spans="1:9" s="32" customFormat="1" ht="20.100000000000001" customHeight="1">
      <c r="A295" s="22" t="s">
        <v>544</v>
      </c>
      <c r="B295" s="17" t="s">
        <v>52</v>
      </c>
      <c r="C295" s="46">
        <v>42468</v>
      </c>
      <c r="D295" s="50">
        <v>34</v>
      </c>
      <c r="E295" s="19" t="s">
        <v>165</v>
      </c>
      <c r="F295" s="32" t="s">
        <v>63</v>
      </c>
      <c r="G295" s="32" t="s">
        <v>330</v>
      </c>
      <c r="H295" s="32" t="s">
        <v>328</v>
      </c>
      <c r="I295" s="50"/>
    </row>
    <row r="296" spans="1:9" s="32" customFormat="1" ht="20.100000000000001" customHeight="1">
      <c r="A296" s="22" t="s">
        <v>544</v>
      </c>
      <c r="B296" s="17" t="s">
        <v>52</v>
      </c>
      <c r="C296" s="46">
        <v>42468</v>
      </c>
      <c r="D296" s="50">
        <v>30</v>
      </c>
      <c r="E296" s="19" t="s">
        <v>165</v>
      </c>
      <c r="F296" s="32" t="s">
        <v>63</v>
      </c>
      <c r="G296" s="32" t="s">
        <v>594</v>
      </c>
      <c r="H296" s="32" t="s">
        <v>328</v>
      </c>
      <c r="I296" s="50"/>
    </row>
    <row r="297" spans="1:9" s="32" customFormat="1" ht="20.100000000000001" customHeight="1">
      <c r="A297" s="22" t="s">
        <v>544</v>
      </c>
      <c r="B297" s="17" t="s">
        <v>52</v>
      </c>
      <c r="C297" s="46">
        <v>42468</v>
      </c>
      <c r="D297" s="50">
        <v>30</v>
      </c>
      <c r="E297" s="19" t="s">
        <v>165</v>
      </c>
      <c r="F297" s="32" t="s">
        <v>63</v>
      </c>
      <c r="G297" s="32" t="s">
        <v>595</v>
      </c>
      <c r="H297" s="32" t="s">
        <v>328</v>
      </c>
      <c r="I297" s="50"/>
    </row>
    <row r="298" spans="1:9" s="32" customFormat="1" ht="20.100000000000001" customHeight="1">
      <c r="A298" s="22" t="s">
        <v>544</v>
      </c>
      <c r="B298" s="17" t="s">
        <v>52</v>
      </c>
      <c r="C298" s="46">
        <v>42468</v>
      </c>
      <c r="D298" s="50">
        <v>30</v>
      </c>
      <c r="E298" s="19" t="s">
        <v>165</v>
      </c>
      <c r="F298" s="32" t="s">
        <v>63</v>
      </c>
      <c r="G298" s="32" t="s">
        <v>596</v>
      </c>
      <c r="H298" s="32" t="s">
        <v>328</v>
      </c>
      <c r="I298" s="50"/>
    </row>
    <row r="299" spans="1:9" s="32" customFormat="1" ht="20.100000000000001" customHeight="1">
      <c r="A299" s="22" t="s">
        <v>597</v>
      </c>
      <c r="B299" s="17" t="s">
        <v>52</v>
      </c>
      <c r="C299" s="46">
        <v>42470</v>
      </c>
      <c r="D299" s="50">
        <v>38.04</v>
      </c>
      <c r="E299" s="19" t="s">
        <v>362</v>
      </c>
      <c r="F299" s="32" t="s">
        <v>63</v>
      </c>
      <c r="G299" s="32" t="s">
        <v>598</v>
      </c>
      <c r="H299" s="32" t="s">
        <v>329</v>
      </c>
      <c r="I299" s="50"/>
    </row>
    <row r="300" spans="1:9" s="32" customFormat="1" ht="20.100000000000001" customHeight="1">
      <c r="A300" s="22" t="s">
        <v>544</v>
      </c>
      <c r="B300" s="17" t="s">
        <v>60</v>
      </c>
      <c r="C300" s="46">
        <v>42470</v>
      </c>
      <c r="D300" s="50">
        <v>38.04</v>
      </c>
      <c r="E300" s="19" t="s">
        <v>362</v>
      </c>
      <c r="F300" s="32" t="s">
        <v>63</v>
      </c>
      <c r="G300" s="32" t="s">
        <v>598</v>
      </c>
      <c r="H300" s="32" t="s">
        <v>328</v>
      </c>
      <c r="I300" s="50"/>
    </row>
    <row r="301" spans="1:9" s="32" customFormat="1" ht="20.100000000000001" customHeight="1">
      <c r="A301" s="22" t="s">
        <v>597</v>
      </c>
      <c r="B301" s="17" t="s">
        <v>52</v>
      </c>
      <c r="C301" s="46">
        <v>42470</v>
      </c>
      <c r="D301" s="50">
        <v>38.26</v>
      </c>
      <c r="E301" s="19" t="s">
        <v>362</v>
      </c>
      <c r="F301" s="32" t="s">
        <v>63</v>
      </c>
      <c r="G301" s="32" t="s">
        <v>599</v>
      </c>
      <c r="H301" s="32" t="s">
        <v>329</v>
      </c>
      <c r="I301" s="50"/>
    </row>
    <row r="302" spans="1:9" s="32" customFormat="1" ht="20.100000000000001" customHeight="1">
      <c r="A302" s="22" t="s">
        <v>544</v>
      </c>
      <c r="B302" s="17" t="s">
        <v>60</v>
      </c>
      <c r="C302" s="46">
        <v>42470</v>
      </c>
      <c r="D302" s="50">
        <v>38.26</v>
      </c>
      <c r="E302" s="19" t="s">
        <v>362</v>
      </c>
      <c r="F302" s="32" t="s">
        <v>63</v>
      </c>
      <c r="G302" s="32" t="s">
        <v>599</v>
      </c>
      <c r="H302" s="32" t="s">
        <v>328</v>
      </c>
      <c r="I302" s="50"/>
    </row>
    <row r="303" spans="1:9" s="32" customFormat="1" ht="20.100000000000001" customHeight="1">
      <c r="A303" s="22" t="s">
        <v>597</v>
      </c>
      <c r="B303" s="17" t="s">
        <v>52</v>
      </c>
      <c r="C303" s="46">
        <v>42470</v>
      </c>
      <c r="D303" s="50">
        <v>39.28</v>
      </c>
      <c r="E303" s="19" t="s">
        <v>362</v>
      </c>
      <c r="F303" s="32" t="s">
        <v>63</v>
      </c>
      <c r="G303" s="32" t="s">
        <v>600</v>
      </c>
      <c r="H303" s="32" t="s">
        <v>329</v>
      </c>
      <c r="I303" s="50"/>
    </row>
    <row r="304" spans="1:9" s="32" customFormat="1" ht="20.100000000000001" customHeight="1">
      <c r="A304" s="22" t="s">
        <v>544</v>
      </c>
      <c r="B304" s="17" t="s">
        <v>60</v>
      </c>
      <c r="C304" s="46">
        <v>42470</v>
      </c>
      <c r="D304" s="50">
        <v>39.28</v>
      </c>
      <c r="E304" s="19" t="s">
        <v>362</v>
      </c>
      <c r="F304" s="32" t="s">
        <v>63</v>
      </c>
      <c r="G304" s="32" t="s">
        <v>600</v>
      </c>
      <c r="H304" s="32" t="s">
        <v>328</v>
      </c>
      <c r="I304" s="50"/>
    </row>
    <row r="305" spans="1:9" s="32" customFormat="1" ht="20.100000000000001" customHeight="1">
      <c r="A305" s="22" t="s">
        <v>544</v>
      </c>
      <c r="B305" s="17" t="s">
        <v>52</v>
      </c>
      <c r="C305" s="46">
        <v>42469</v>
      </c>
      <c r="D305" s="50">
        <v>56</v>
      </c>
      <c r="E305" s="19" t="s">
        <v>165</v>
      </c>
      <c r="F305" s="32" t="s">
        <v>63</v>
      </c>
      <c r="G305" s="32" t="s">
        <v>601</v>
      </c>
      <c r="H305" s="32" t="s">
        <v>328</v>
      </c>
      <c r="I305" s="50"/>
    </row>
    <row r="306" spans="1:9" s="32" customFormat="1" ht="20.100000000000001" customHeight="1">
      <c r="A306" s="22" t="s">
        <v>605</v>
      </c>
      <c r="B306" s="17" t="s">
        <v>52</v>
      </c>
      <c r="C306" s="46">
        <v>42471</v>
      </c>
      <c r="D306" s="50">
        <v>40</v>
      </c>
      <c r="E306" s="19" t="s">
        <v>165</v>
      </c>
      <c r="F306" s="32" t="s">
        <v>63</v>
      </c>
      <c r="G306" s="32" t="s">
        <v>601</v>
      </c>
      <c r="H306" s="32" t="s">
        <v>328</v>
      </c>
      <c r="I306" s="50"/>
    </row>
    <row r="307" spans="1:9" s="32" customFormat="1" ht="20.100000000000001" customHeight="1">
      <c r="A307" s="22" t="s">
        <v>605</v>
      </c>
      <c r="B307" s="17" t="s">
        <v>52</v>
      </c>
      <c r="C307" s="46">
        <v>42471</v>
      </c>
      <c r="D307" s="50">
        <v>30</v>
      </c>
      <c r="E307" s="19" t="s">
        <v>165</v>
      </c>
      <c r="F307" s="32" t="s">
        <v>63</v>
      </c>
      <c r="G307" s="32" t="s">
        <v>604</v>
      </c>
      <c r="H307" s="32" t="s">
        <v>328</v>
      </c>
      <c r="I307" s="50"/>
    </row>
    <row r="308" spans="1:9" s="32" customFormat="1" ht="20.100000000000001" customHeight="1">
      <c r="A308" s="22" t="s">
        <v>605</v>
      </c>
      <c r="B308" s="17" t="s">
        <v>52</v>
      </c>
      <c r="C308" s="46">
        <v>42471</v>
      </c>
      <c r="D308" s="50">
        <v>32</v>
      </c>
      <c r="E308" s="19" t="s">
        <v>165</v>
      </c>
      <c r="F308" s="32" t="s">
        <v>63</v>
      </c>
      <c r="G308" s="32" t="s">
        <v>330</v>
      </c>
      <c r="H308" s="32" t="s">
        <v>328</v>
      </c>
      <c r="I308" s="50"/>
    </row>
    <row r="309" spans="1:9" s="32" customFormat="1" ht="20.100000000000001" customHeight="1">
      <c r="A309" s="22" t="s">
        <v>605</v>
      </c>
      <c r="B309" s="17" t="s">
        <v>52</v>
      </c>
      <c r="C309" s="46">
        <v>42471</v>
      </c>
      <c r="D309" s="50">
        <v>30</v>
      </c>
      <c r="E309" s="19" t="s">
        <v>165</v>
      </c>
      <c r="F309" s="32" t="s">
        <v>63</v>
      </c>
      <c r="G309" s="32" t="s">
        <v>594</v>
      </c>
      <c r="H309" s="32" t="s">
        <v>328</v>
      </c>
      <c r="I309" s="50"/>
    </row>
    <row r="310" spans="1:9" s="32" customFormat="1" ht="20.100000000000001" customHeight="1">
      <c r="A310" s="22" t="s">
        <v>544</v>
      </c>
      <c r="B310" s="17" t="s">
        <v>52</v>
      </c>
      <c r="C310" s="46">
        <v>42471</v>
      </c>
      <c r="D310" s="50">
        <v>30</v>
      </c>
      <c r="E310" s="19" t="s">
        <v>165</v>
      </c>
      <c r="F310" s="32" t="s">
        <v>63</v>
      </c>
      <c r="G310" s="32" t="s">
        <v>596</v>
      </c>
      <c r="H310" s="32" t="s">
        <v>328</v>
      </c>
      <c r="I310" s="50"/>
    </row>
    <row r="311" spans="1:9" s="32" customFormat="1" ht="20.100000000000001" customHeight="1">
      <c r="A311" s="22" t="s">
        <v>597</v>
      </c>
      <c r="B311" s="17" t="s">
        <v>52</v>
      </c>
      <c r="C311" s="46">
        <v>42472</v>
      </c>
      <c r="D311" s="50">
        <v>37.6</v>
      </c>
      <c r="E311" s="19" t="s">
        <v>362</v>
      </c>
      <c r="F311" s="32" t="s">
        <v>70</v>
      </c>
      <c r="G311" s="32" t="s">
        <v>613</v>
      </c>
      <c r="H311" s="32" t="s">
        <v>329</v>
      </c>
      <c r="I311" s="50"/>
    </row>
    <row r="312" spans="1:9" s="32" customFormat="1" ht="20.100000000000001" customHeight="1">
      <c r="A312" s="22" t="s">
        <v>545</v>
      </c>
      <c r="B312" s="17" t="s">
        <v>60</v>
      </c>
      <c r="C312" s="46">
        <v>42472</v>
      </c>
      <c r="D312" s="50">
        <v>37.6</v>
      </c>
      <c r="E312" s="19" t="s">
        <v>362</v>
      </c>
      <c r="F312" s="32" t="s">
        <v>70</v>
      </c>
      <c r="G312" s="32" t="s">
        <v>613</v>
      </c>
      <c r="H312" s="32" t="s">
        <v>328</v>
      </c>
      <c r="I312" s="50"/>
    </row>
    <row r="313" spans="1:9" s="32" customFormat="1" ht="20.100000000000001" customHeight="1">
      <c r="A313" s="22" t="s">
        <v>597</v>
      </c>
      <c r="B313" s="17" t="s">
        <v>52</v>
      </c>
      <c r="C313" s="46">
        <v>42472</v>
      </c>
      <c r="D313" s="50">
        <v>40.619999999999997</v>
      </c>
      <c r="E313" s="19" t="s">
        <v>362</v>
      </c>
      <c r="F313" s="32" t="s">
        <v>70</v>
      </c>
      <c r="G313" s="32" t="s">
        <v>612</v>
      </c>
      <c r="H313" s="32" t="s">
        <v>329</v>
      </c>
      <c r="I313" s="50"/>
    </row>
    <row r="314" spans="1:9" s="32" customFormat="1" ht="20.100000000000001" customHeight="1">
      <c r="A314" s="22" t="s">
        <v>545</v>
      </c>
      <c r="B314" s="17" t="s">
        <v>60</v>
      </c>
      <c r="C314" s="46">
        <v>42472</v>
      </c>
      <c r="D314" s="50">
        <v>40.619999999999997</v>
      </c>
      <c r="E314" s="19" t="s">
        <v>362</v>
      </c>
      <c r="F314" s="32" t="s">
        <v>70</v>
      </c>
      <c r="G314" s="32" t="s">
        <v>612</v>
      </c>
      <c r="H314" s="32" t="s">
        <v>328</v>
      </c>
      <c r="I314" s="50"/>
    </row>
    <row r="315" spans="1:9" s="32" customFormat="1" ht="20.100000000000001" customHeight="1">
      <c r="A315" s="22" t="s">
        <v>597</v>
      </c>
      <c r="B315" s="17" t="s">
        <v>52</v>
      </c>
      <c r="C315" s="46">
        <v>42472</v>
      </c>
      <c r="D315" s="50">
        <v>40.520000000000003</v>
      </c>
      <c r="E315" s="19" t="s">
        <v>362</v>
      </c>
      <c r="F315" s="32" t="s">
        <v>63</v>
      </c>
      <c r="G315" s="32" t="s">
        <v>614</v>
      </c>
      <c r="H315" s="32" t="s">
        <v>329</v>
      </c>
      <c r="I315" s="50"/>
    </row>
    <row r="316" spans="1:9" s="32" customFormat="1" ht="20.100000000000001" customHeight="1">
      <c r="A316" s="22" t="s">
        <v>544</v>
      </c>
      <c r="B316" s="17" t="s">
        <v>60</v>
      </c>
      <c r="C316" s="46">
        <v>42472</v>
      </c>
      <c r="D316" s="50">
        <v>40.520000000000003</v>
      </c>
      <c r="E316" s="19" t="s">
        <v>362</v>
      </c>
      <c r="F316" s="32" t="s">
        <v>63</v>
      </c>
      <c r="G316" s="32" t="s">
        <v>614</v>
      </c>
      <c r="H316" s="32" t="s">
        <v>328</v>
      </c>
      <c r="I316" s="50"/>
    </row>
    <row r="317" spans="1:9" s="32" customFormat="1" ht="20.100000000000001" customHeight="1">
      <c r="A317" s="22" t="s">
        <v>597</v>
      </c>
      <c r="B317" s="17" t="s">
        <v>52</v>
      </c>
      <c r="C317" s="46">
        <v>42472</v>
      </c>
      <c r="D317" s="50">
        <v>39.659999999999997</v>
      </c>
      <c r="E317" s="19" t="s">
        <v>362</v>
      </c>
      <c r="F317" s="32" t="s">
        <v>63</v>
      </c>
      <c r="G317" s="32" t="s">
        <v>615</v>
      </c>
      <c r="H317" s="32" t="s">
        <v>329</v>
      </c>
      <c r="I317" s="50"/>
    </row>
    <row r="318" spans="1:9" s="32" customFormat="1" ht="20.100000000000001" customHeight="1">
      <c r="A318" s="22" t="s">
        <v>544</v>
      </c>
      <c r="B318" s="17" t="s">
        <v>60</v>
      </c>
      <c r="C318" s="46">
        <v>42472</v>
      </c>
      <c r="D318" s="50">
        <v>39.659999999999997</v>
      </c>
      <c r="E318" s="19" t="s">
        <v>362</v>
      </c>
      <c r="F318" s="32" t="s">
        <v>63</v>
      </c>
      <c r="G318" s="32" t="s">
        <v>615</v>
      </c>
      <c r="H318" s="32" t="s">
        <v>328</v>
      </c>
      <c r="I318" s="50"/>
    </row>
    <row r="319" spans="1:9" s="32" customFormat="1" ht="20.100000000000001" customHeight="1">
      <c r="A319" s="22" t="s">
        <v>597</v>
      </c>
      <c r="B319" s="17" t="s">
        <v>52</v>
      </c>
      <c r="C319" s="46">
        <v>42472</v>
      </c>
      <c r="D319" s="50">
        <v>39.479999999999997</v>
      </c>
      <c r="E319" s="19" t="s">
        <v>362</v>
      </c>
      <c r="F319" s="32" t="s">
        <v>63</v>
      </c>
      <c r="G319" s="32" t="s">
        <v>616</v>
      </c>
      <c r="H319" s="32" t="s">
        <v>329</v>
      </c>
      <c r="I319" s="50"/>
    </row>
    <row r="320" spans="1:9" s="32" customFormat="1" ht="20.100000000000001" customHeight="1">
      <c r="A320" s="22" t="s">
        <v>544</v>
      </c>
      <c r="B320" s="17" t="s">
        <v>60</v>
      </c>
      <c r="C320" s="46">
        <v>42472</v>
      </c>
      <c r="D320" s="50">
        <v>39.479999999999997</v>
      </c>
      <c r="E320" s="19" t="s">
        <v>362</v>
      </c>
      <c r="F320" s="32" t="s">
        <v>63</v>
      </c>
      <c r="G320" s="32" t="s">
        <v>616</v>
      </c>
      <c r="H320" s="32" t="s">
        <v>328</v>
      </c>
      <c r="I320" s="50"/>
    </row>
    <row r="321" spans="1:9" s="32" customFormat="1" ht="20.100000000000001" customHeight="1">
      <c r="A321" s="22" t="s">
        <v>544</v>
      </c>
      <c r="B321" s="17" t="s">
        <v>52</v>
      </c>
      <c r="C321" s="46">
        <v>42473</v>
      </c>
      <c r="D321" s="50">
        <v>26</v>
      </c>
      <c r="E321" s="19" t="s">
        <v>165</v>
      </c>
      <c r="F321" s="32" t="s">
        <v>63</v>
      </c>
      <c r="G321" s="32" t="s">
        <v>594</v>
      </c>
      <c r="H321" s="32" t="s">
        <v>328</v>
      </c>
      <c r="I321" s="50"/>
    </row>
    <row r="322" spans="1:9" s="32" customFormat="1" ht="20.100000000000001" customHeight="1">
      <c r="A322" s="22" t="s">
        <v>544</v>
      </c>
      <c r="B322" s="17" t="s">
        <v>52</v>
      </c>
      <c r="C322" s="46">
        <v>42473</v>
      </c>
      <c r="D322" s="50">
        <v>26</v>
      </c>
      <c r="E322" s="19" t="s">
        <v>165</v>
      </c>
      <c r="F322" s="32" t="s">
        <v>63</v>
      </c>
      <c r="G322" s="32" t="s">
        <v>352</v>
      </c>
      <c r="H322" s="32" t="s">
        <v>328</v>
      </c>
      <c r="I322" s="50"/>
    </row>
    <row r="323" spans="1:9" s="32" customFormat="1" ht="20.100000000000001" customHeight="1">
      <c r="A323" s="22" t="s">
        <v>544</v>
      </c>
      <c r="B323" s="17" t="s">
        <v>52</v>
      </c>
      <c r="C323" s="46">
        <v>42473</v>
      </c>
      <c r="D323" s="50">
        <v>26</v>
      </c>
      <c r="E323" s="19" t="s">
        <v>165</v>
      </c>
      <c r="F323" s="32" t="s">
        <v>63</v>
      </c>
      <c r="G323" s="32" t="s">
        <v>330</v>
      </c>
      <c r="H323" s="32" t="s">
        <v>328</v>
      </c>
      <c r="I323" s="50"/>
    </row>
    <row r="324" spans="1:9" s="32" customFormat="1" ht="20.100000000000001" customHeight="1">
      <c r="A324" s="22" t="s">
        <v>544</v>
      </c>
      <c r="B324" s="17" t="s">
        <v>52</v>
      </c>
      <c r="C324" s="46">
        <v>42473</v>
      </c>
      <c r="D324" s="50">
        <v>25</v>
      </c>
      <c r="E324" s="19" t="s">
        <v>165</v>
      </c>
      <c r="F324" s="32" t="s">
        <v>63</v>
      </c>
      <c r="G324" s="32" t="s">
        <v>564</v>
      </c>
      <c r="H324" s="32" t="s">
        <v>328</v>
      </c>
      <c r="I324" s="50"/>
    </row>
    <row r="325" spans="1:9" s="32" customFormat="1" ht="20.100000000000001" customHeight="1">
      <c r="A325" s="22" t="s">
        <v>544</v>
      </c>
      <c r="B325" s="17" t="s">
        <v>52</v>
      </c>
      <c r="C325" s="46">
        <v>42474</v>
      </c>
      <c r="D325" s="50">
        <v>14.3</v>
      </c>
      <c r="E325" s="19" t="s">
        <v>165</v>
      </c>
      <c r="F325" s="32" t="s">
        <v>63</v>
      </c>
      <c r="G325" s="32" t="s">
        <v>594</v>
      </c>
      <c r="H325" s="32" t="s">
        <v>328</v>
      </c>
      <c r="I325" s="50"/>
    </row>
    <row r="326" spans="1:9" s="32" customFormat="1" ht="20.100000000000001" customHeight="1">
      <c r="A326" s="22" t="s">
        <v>632</v>
      </c>
      <c r="B326" s="17" t="s">
        <v>52</v>
      </c>
      <c r="C326" s="46">
        <v>42474</v>
      </c>
      <c r="D326" s="50">
        <v>19.977</v>
      </c>
      <c r="E326" s="19" t="s">
        <v>165</v>
      </c>
      <c r="F326" s="32" t="s">
        <v>672</v>
      </c>
      <c r="G326" s="32" t="s">
        <v>633</v>
      </c>
      <c r="H326" s="32" t="s">
        <v>328</v>
      </c>
      <c r="I326" s="50"/>
    </row>
    <row r="327" spans="1:9" s="32" customFormat="1" ht="20.100000000000001" customHeight="1">
      <c r="A327" s="151" t="s">
        <v>1672</v>
      </c>
      <c r="B327" s="32" t="s">
        <v>1642</v>
      </c>
      <c r="C327" s="46">
        <v>42475</v>
      </c>
      <c r="D327" s="50">
        <v>560</v>
      </c>
      <c r="E327" s="19" t="s">
        <v>1643</v>
      </c>
      <c r="F327" s="32" t="s">
        <v>1644</v>
      </c>
      <c r="G327" s="32" t="s">
        <v>1655</v>
      </c>
      <c r="H327" s="32" t="s">
        <v>1646</v>
      </c>
      <c r="I327" s="50"/>
    </row>
    <row r="328" spans="1:9" s="32" customFormat="1" ht="20.100000000000001" customHeight="1">
      <c r="A328" s="151" t="s">
        <v>1673</v>
      </c>
      <c r="B328" s="32" t="s">
        <v>1642</v>
      </c>
      <c r="C328" s="46">
        <v>42475</v>
      </c>
      <c r="D328" s="50">
        <v>560</v>
      </c>
      <c r="E328" s="19" t="s">
        <v>1643</v>
      </c>
      <c r="F328" s="32" t="s">
        <v>1644</v>
      </c>
      <c r="G328" s="32" t="s">
        <v>1655</v>
      </c>
      <c r="H328" s="32" t="s">
        <v>1663</v>
      </c>
      <c r="I328" s="50"/>
    </row>
    <row r="329" spans="1:9" s="32" customFormat="1" ht="20.100000000000001" customHeight="1">
      <c r="A329" s="22" t="s">
        <v>573</v>
      </c>
      <c r="B329" s="17" t="s">
        <v>93</v>
      </c>
      <c r="C329" s="46">
        <v>42465</v>
      </c>
      <c r="D329" s="50">
        <v>1400</v>
      </c>
      <c r="E329" s="19" t="s">
        <v>226</v>
      </c>
      <c r="F329" s="32" t="s">
        <v>63</v>
      </c>
      <c r="H329" s="32" t="s">
        <v>329</v>
      </c>
      <c r="I329" s="50"/>
    </row>
    <row r="330" spans="1:9" s="32" customFormat="1" ht="20.100000000000001" customHeight="1">
      <c r="A330" s="22" t="s">
        <v>573</v>
      </c>
      <c r="B330" s="17" t="s">
        <v>93</v>
      </c>
      <c r="C330" s="46">
        <v>42473</v>
      </c>
      <c r="D330" s="50">
        <v>2000</v>
      </c>
      <c r="E330" s="19" t="s">
        <v>226</v>
      </c>
      <c r="F330" s="32" t="s">
        <v>63</v>
      </c>
      <c r="H330" s="32" t="s">
        <v>329</v>
      </c>
      <c r="I330" s="50"/>
    </row>
    <row r="331" spans="1:9" s="32" customFormat="1" ht="20.100000000000001" customHeight="1">
      <c r="A331" s="22" t="s">
        <v>574</v>
      </c>
      <c r="B331" s="17" t="s">
        <v>93</v>
      </c>
      <c r="C331" s="46">
        <v>42465</v>
      </c>
      <c r="D331" s="50">
        <v>1400</v>
      </c>
      <c r="E331" s="19" t="s">
        <v>226</v>
      </c>
      <c r="F331" s="32" t="s">
        <v>63</v>
      </c>
      <c r="H331" s="32" t="s">
        <v>328</v>
      </c>
      <c r="I331" s="50"/>
    </row>
    <row r="332" spans="1:9" s="32" customFormat="1" ht="20.100000000000001" customHeight="1">
      <c r="A332" s="22" t="s">
        <v>574</v>
      </c>
      <c r="B332" s="17" t="s">
        <v>93</v>
      </c>
      <c r="C332" s="46">
        <v>42473</v>
      </c>
      <c r="D332" s="50">
        <v>2000</v>
      </c>
      <c r="E332" s="19" t="s">
        <v>226</v>
      </c>
      <c r="F332" s="32" t="s">
        <v>63</v>
      </c>
      <c r="H332" s="32" t="s">
        <v>328</v>
      </c>
      <c r="I332" s="50"/>
    </row>
    <row r="333" spans="1:9" s="32" customFormat="1" ht="20.100000000000001" customHeight="1">
      <c r="A333" s="22" t="s">
        <v>597</v>
      </c>
      <c r="B333" s="17" t="s">
        <v>52</v>
      </c>
      <c r="C333" s="46">
        <v>42481</v>
      </c>
      <c r="D333" s="50">
        <v>38.26</v>
      </c>
      <c r="E333" s="19" t="s">
        <v>362</v>
      </c>
      <c r="F333" s="32" t="s">
        <v>63</v>
      </c>
      <c r="G333" s="32" t="s">
        <v>661</v>
      </c>
      <c r="H333" s="32" t="s">
        <v>329</v>
      </c>
      <c r="I333" s="50"/>
    </row>
    <row r="334" spans="1:9" s="32" customFormat="1" ht="20.100000000000001" customHeight="1">
      <c r="A334" s="22" t="s">
        <v>544</v>
      </c>
      <c r="B334" s="17" t="s">
        <v>60</v>
      </c>
      <c r="C334" s="46">
        <v>42481</v>
      </c>
      <c r="D334" s="50">
        <v>38.26</v>
      </c>
      <c r="E334" s="19" t="s">
        <v>362</v>
      </c>
      <c r="F334" s="32" t="s">
        <v>63</v>
      </c>
      <c r="G334" s="32" t="s">
        <v>661</v>
      </c>
      <c r="H334" s="32" t="s">
        <v>328</v>
      </c>
      <c r="I334" s="50"/>
    </row>
    <row r="335" spans="1:9" s="32" customFormat="1" ht="20.100000000000001" customHeight="1">
      <c r="A335" s="22" t="s">
        <v>597</v>
      </c>
      <c r="B335" s="17" t="s">
        <v>52</v>
      </c>
      <c r="C335" s="46">
        <v>42481</v>
      </c>
      <c r="D335" s="50">
        <v>40.32</v>
      </c>
      <c r="E335" s="19" t="s">
        <v>362</v>
      </c>
      <c r="F335" s="32" t="s">
        <v>63</v>
      </c>
      <c r="G335" s="32" t="s">
        <v>662</v>
      </c>
      <c r="H335" s="32" t="s">
        <v>329</v>
      </c>
      <c r="I335" s="50"/>
    </row>
    <row r="336" spans="1:9" s="32" customFormat="1" ht="20.100000000000001" customHeight="1">
      <c r="A336" s="22" t="s">
        <v>544</v>
      </c>
      <c r="B336" s="17" t="s">
        <v>60</v>
      </c>
      <c r="C336" s="46">
        <v>42481</v>
      </c>
      <c r="D336" s="50">
        <v>40.32</v>
      </c>
      <c r="E336" s="19" t="s">
        <v>362</v>
      </c>
      <c r="F336" s="32" t="s">
        <v>63</v>
      </c>
      <c r="G336" s="32" t="s">
        <v>662</v>
      </c>
      <c r="H336" s="32" t="s">
        <v>328</v>
      </c>
      <c r="I336" s="50"/>
    </row>
    <row r="337" spans="1:9" s="32" customFormat="1" ht="20.100000000000001" customHeight="1">
      <c r="A337" s="22" t="s">
        <v>664</v>
      </c>
      <c r="B337" s="17" t="s">
        <v>240</v>
      </c>
      <c r="C337" s="46">
        <v>42482</v>
      </c>
      <c r="D337" s="50">
        <v>60</v>
      </c>
      <c r="E337" s="19" t="s">
        <v>663</v>
      </c>
      <c r="F337" s="32" t="s">
        <v>398</v>
      </c>
      <c r="H337" s="32" t="s">
        <v>329</v>
      </c>
      <c r="I337" s="50"/>
    </row>
    <row r="338" spans="1:9" s="32" customFormat="1" ht="20.100000000000001" customHeight="1">
      <c r="A338" s="22" t="s">
        <v>587</v>
      </c>
      <c r="B338" s="17" t="s">
        <v>240</v>
      </c>
      <c r="C338" s="46">
        <v>42482</v>
      </c>
      <c r="D338" s="50">
        <v>60</v>
      </c>
      <c r="E338" s="19" t="s">
        <v>663</v>
      </c>
      <c r="F338" s="32" t="s">
        <v>398</v>
      </c>
      <c r="H338" s="32" t="s">
        <v>328</v>
      </c>
      <c r="I338" s="50"/>
    </row>
    <row r="339" spans="1:9" s="32" customFormat="1" ht="20.100000000000001" customHeight="1">
      <c r="A339" s="22" t="s">
        <v>546</v>
      </c>
      <c r="B339" s="17" t="s">
        <v>52</v>
      </c>
      <c r="C339" s="46">
        <v>42480</v>
      </c>
      <c r="D339" s="50">
        <v>40.119999999999997</v>
      </c>
      <c r="E339" s="19" t="s">
        <v>62</v>
      </c>
      <c r="F339" s="32" t="s">
        <v>63</v>
      </c>
      <c r="G339" s="32" t="s">
        <v>665</v>
      </c>
      <c r="H339" s="32" t="s">
        <v>329</v>
      </c>
      <c r="I339" s="50"/>
    </row>
    <row r="340" spans="1:9" s="32" customFormat="1" ht="20.100000000000001" customHeight="1">
      <c r="A340" s="22" t="s">
        <v>544</v>
      </c>
      <c r="B340" s="17" t="s">
        <v>52</v>
      </c>
      <c r="C340" s="46">
        <v>42480</v>
      </c>
      <c r="D340" s="50">
        <v>40.119999999999997</v>
      </c>
      <c r="E340" s="19" t="s">
        <v>62</v>
      </c>
      <c r="F340" s="32" t="s">
        <v>63</v>
      </c>
      <c r="G340" s="32" t="s">
        <v>665</v>
      </c>
      <c r="H340" s="32" t="s">
        <v>328</v>
      </c>
      <c r="I340" s="50"/>
    </row>
    <row r="341" spans="1:9" s="32" customFormat="1" ht="20.100000000000001" customHeight="1">
      <c r="A341" s="22" t="s">
        <v>546</v>
      </c>
      <c r="B341" s="17" t="s">
        <v>52</v>
      </c>
      <c r="C341" s="46">
        <v>42480</v>
      </c>
      <c r="D341" s="50">
        <v>40.04</v>
      </c>
      <c r="E341" s="19" t="s">
        <v>62</v>
      </c>
      <c r="F341" s="32" t="s">
        <v>63</v>
      </c>
      <c r="G341" s="32" t="s">
        <v>666</v>
      </c>
      <c r="H341" s="32" t="s">
        <v>329</v>
      </c>
      <c r="I341" s="50"/>
    </row>
    <row r="342" spans="1:9" s="32" customFormat="1" ht="20.100000000000001" customHeight="1">
      <c r="A342" s="22" t="s">
        <v>544</v>
      </c>
      <c r="B342" s="17" t="s">
        <v>52</v>
      </c>
      <c r="C342" s="46">
        <v>42480</v>
      </c>
      <c r="D342" s="50">
        <v>40.04</v>
      </c>
      <c r="E342" s="19" t="s">
        <v>62</v>
      </c>
      <c r="F342" s="32" t="s">
        <v>63</v>
      </c>
      <c r="G342" s="32" t="s">
        <v>666</v>
      </c>
      <c r="H342" s="32" t="s">
        <v>328</v>
      </c>
      <c r="I342" s="50"/>
    </row>
    <row r="343" spans="1:9" s="32" customFormat="1" ht="20.100000000000001" customHeight="1">
      <c r="A343" s="22" t="s">
        <v>546</v>
      </c>
      <c r="B343" s="17" t="s">
        <v>52</v>
      </c>
      <c r="C343" s="46">
        <v>42480</v>
      </c>
      <c r="D343" s="50">
        <v>39.78</v>
      </c>
      <c r="E343" s="19" t="s">
        <v>62</v>
      </c>
      <c r="F343" s="32" t="s">
        <v>63</v>
      </c>
      <c r="G343" s="32" t="s">
        <v>667</v>
      </c>
      <c r="H343" s="32" t="s">
        <v>329</v>
      </c>
      <c r="I343" s="50"/>
    </row>
    <row r="344" spans="1:9" s="32" customFormat="1" ht="20.100000000000001" customHeight="1">
      <c r="A344" s="22" t="s">
        <v>544</v>
      </c>
      <c r="B344" s="17" t="s">
        <v>52</v>
      </c>
      <c r="C344" s="46">
        <v>42480</v>
      </c>
      <c r="D344" s="50">
        <v>39.78</v>
      </c>
      <c r="E344" s="19" t="s">
        <v>62</v>
      </c>
      <c r="F344" s="32" t="s">
        <v>63</v>
      </c>
      <c r="G344" s="32" t="s">
        <v>667</v>
      </c>
      <c r="H344" s="32" t="s">
        <v>328</v>
      </c>
      <c r="I344" s="50"/>
    </row>
    <row r="345" spans="1:9" s="32" customFormat="1" ht="20.100000000000001" customHeight="1">
      <c r="A345" s="22" t="s">
        <v>546</v>
      </c>
      <c r="B345" s="17" t="s">
        <v>52</v>
      </c>
      <c r="C345" s="46">
        <v>42480</v>
      </c>
      <c r="D345" s="50">
        <v>40</v>
      </c>
      <c r="E345" s="19" t="s">
        <v>62</v>
      </c>
      <c r="F345" s="32" t="s">
        <v>63</v>
      </c>
      <c r="G345" s="32" t="s">
        <v>668</v>
      </c>
      <c r="H345" s="32" t="s">
        <v>329</v>
      </c>
      <c r="I345" s="50"/>
    </row>
    <row r="346" spans="1:9" s="32" customFormat="1" ht="20.100000000000001" customHeight="1">
      <c r="A346" s="22" t="s">
        <v>544</v>
      </c>
      <c r="B346" s="17" t="s">
        <v>52</v>
      </c>
      <c r="C346" s="46">
        <v>42480</v>
      </c>
      <c r="D346" s="50">
        <v>40</v>
      </c>
      <c r="E346" s="19" t="s">
        <v>62</v>
      </c>
      <c r="F346" s="32" t="s">
        <v>63</v>
      </c>
      <c r="G346" s="32" t="s">
        <v>668</v>
      </c>
      <c r="H346" s="32" t="s">
        <v>328</v>
      </c>
      <c r="I346" s="50"/>
    </row>
    <row r="347" spans="1:9" s="32" customFormat="1" ht="20.100000000000001" customHeight="1">
      <c r="A347" s="22" t="s">
        <v>546</v>
      </c>
      <c r="B347" s="17" t="s">
        <v>52</v>
      </c>
      <c r="C347" s="46">
        <v>42480</v>
      </c>
      <c r="D347" s="50">
        <v>38.020000000000003</v>
      </c>
      <c r="E347" s="19" t="s">
        <v>62</v>
      </c>
      <c r="F347" s="32" t="s">
        <v>63</v>
      </c>
      <c r="G347" s="32" t="s">
        <v>669</v>
      </c>
      <c r="H347" s="32" t="s">
        <v>329</v>
      </c>
      <c r="I347" s="50"/>
    </row>
    <row r="348" spans="1:9" s="32" customFormat="1" ht="20.100000000000001" customHeight="1">
      <c r="A348" s="22" t="s">
        <v>544</v>
      </c>
      <c r="B348" s="17" t="s">
        <v>52</v>
      </c>
      <c r="C348" s="46">
        <v>42480</v>
      </c>
      <c r="D348" s="50">
        <v>38.020000000000003</v>
      </c>
      <c r="E348" s="19" t="s">
        <v>62</v>
      </c>
      <c r="F348" s="32" t="s">
        <v>63</v>
      </c>
      <c r="G348" s="32" t="s">
        <v>669</v>
      </c>
      <c r="H348" s="32" t="s">
        <v>328</v>
      </c>
      <c r="I348" s="50"/>
    </row>
    <row r="349" spans="1:9" s="32" customFormat="1" ht="20.100000000000001" customHeight="1">
      <c r="A349" s="22" t="s">
        <v>597</v>
      </c>
      <c r="B349" s="17" t="s">
        <v>203</v>
      </c>
      <c r="C349" s="46">
        <v>42482</v>
      </c>
      <c r="D349" s="50">
        <v>42.18</v>
      </c>
      <c r="E349" s="19" t="s">
        <v>426</v>
      </c>
      <c r="F349" s="32" t="s">
        <v>166</v>
      </c>
      <c r="G349" s="32" t="s">
        <v>670</v>
      </c>
      <c r="H349" s="32" t="s">
        <v>329</v>
      </c>
      <c r="I349" s="50"/>
    </row>
    <row r="350" spans="1:9" s="32" customFormat="1" ht="20.100000000000001" customHeight="1">
      <c r="A350" s="22" t="s">
        <v>544</v>
      </c>
      <c r="B350" s="17" t="s">
        <v>430</v>
      </c>
      <c r="C350" s="46">
        <v>42482</v>
      </c>
      <c r="D350" s="50">
        <v>42.18</v>
      </c>
      <c r="E350" s="19" t="s">
        <v>426</v>
      </c>
      <c r="F350" s="32" t="s">
        <v>166</v>
      </c>
      <c r="G350" s="32" t="s">
        <v>670</v>
      </c>
      <c r="H350" s="32" t="s">
        <v>328</v>
      </c>
      <c r="I350" s="50"/>
    </row>
    <row r="351" spans="1:9" s="32" customFormat="1" ht="20.100000000000001" customHeight="1">
      <c r="A351" s="22" t="s">
        <v>597</v>
      </c>
      <c r="B351" s="17" t="s">
        <v>203</v>
      </c>
      <c r="C351" s="46">
        <v>42482</v>
      </c>
      <c r="D351" s="50">
        <v>42.04</v>
      </c>
      <c r="E351" s="19" t="s">
        <v>426</v>
      </c>
      <c r="F351" s="32" t="s">
        <v>166</v>
      </c>
      <c r="G351" s="32" t="s">
        <v>671</v>
      </c>
      <c r="H351" s="32" t="s">
        <v>329</v>
      </c>
      <c r="I351" s="50"/>
    </row>
    <row r="352" spans="1:9" s="32" customFormat="1" ht="20.100000000000001" customHeight="1">
      <c r="A352" s="22" t="s">
        <v>544</v>
      </c>
      <c r="B352" s="17" t="s">
        <v>60</v>
      </c>
      <c r="C352" s="46">
        <v>42482</v>
      </c>
      <c r="D352" s="50">
        <v>42.04</v>
      </c>
      <c r="E352" s="19" t="s">
        <v>362</v>
      </c>
      <c r="F352" s="32" t="s">
        <v>63</v>
      </c>
      <c r="G352" s="32" t="s">
        <v>671</v>
      </c>
      <c r="H352" s="32" t="s">
        <v>328</v>
      </c>
      <c r="I352" s="50"/>
    </row>
    <row r="353" spans="1:9" s="32" customFormat="1" ht="20.100000000000001" customHeight="1">
      <c r="A353" s="151" t="s">
        <v>1672</v>
      </c>
      <c r="B353" s="32" t="s">
        <v>1642</v>
      </c>
      <c r="C353" s="46">
        <v>42483</v>
      </c>
      <c r="D353" s="50">
        <v>80</v>
      </c>
      <c r="E353" s="19" t="s">
        <v>1643</v>
      </c>
      <c r="F353" s="32" t="s">
        <v>1644</v>
      </c>
      <c r="G353" s="32" t="s">
        <v>1674</v>
      </c>
      <c r="H353" s="32" t="s">
        <v>1646</v>
      </c>
      <c r="I353" s="50"/>
    </row>
    <row r="354" spans="1:9" s="32" customFormat="1" ht="20.100000000000001" customHeight="1">
      <c r="A354" s="151" t="s">
        <v>1673</v>
      </c>
      <c r="B354" s="32" t="s">
        <v>1642</v>
      </c>
      <c r="C354" s="46">
        <v>42483</v>
      </c>
      <c r="D354" s="50">
        <v>80</v>
      </c>
      <c r="E354" s="19" t="s">
        <v>1643</v>
      </c>
      <c r="F354" s="32" t="s">
        <v>1644</v>
      </c>
      <c r="G354" s="32" t="s">
        <v>1674</v>
      </c>
      <c r="H354" s="32" t="s">
        <v>1663</v>
      </c>
      <c r="I354" s="50"/>
    </row>
    <row r="355" spans="1:9" s="32" customFormat="1" ht="20.100000000000001" customHeight="1">
      <c r="A355" s="22" t="s">
        <v>545</v>
      </c>
      <c r="B355" s="17" t="s">
        <v>60</v>
      </c>
      <c r="C355" s="46">
        <v>42484</v>
      </c>
      <c r="D355" s="50">
        <v>40.42</v>
      </c>
      <c r="E355" s="19" t="s">
        <v>362</v>
      </c>
      <c r="F355" s="32" t="s">
        <v>70</v>
      </c>
      <c r="G355" s="32" t="s">
        <v>678</v>
      </c>
      <c r="H355" s="32" t="s">
        <v>328</v>
      </c>
      <c r="I355" s="50"/>
    </row>
    <row r="356" spans="1:9" s="32" customFormat="1" ht="20.100000000000001" customHeight="1">
      <c r="A356" s="22" t="s">
        <v>597</v>
      </c>
      <c r="B356" s="17" t="s">
        <v>52</v>
      </c>
      <c r="C356" s="46">
        <v>42484</v>
      </c>
      <c r="D356" s="50">
        <v>40.42</v>
      </c>
      <c r="E356" s="19" t="s">
        <v>362</v>
      </c>
      <c r="F356" s="32" t="s">
        <v>70</v>
      </c>
      <c r="G356" s="32" t="s">
        <v>678</v>
      </c>
      <c r="H356" s="32" t="s">
        <v>329</v>
      </c>
      <c r="I356" s="50"/>
    </row>
    <row r="357" spans="1:9" s="32" customFormat="1" ht="20.100000000000001" customHeight="1">
      <c r="A357" s="22" t="s">
        <v>597</v>
      </c>
      <c r="B357" s="17" t="s">
        <v>52</v>
      </c>
      <c r="C357" s="46">
        <v>42484</v>
      </c>
      <c r="D357" s="50">
        <v>37.28</v>
      </c>
      <c r="E357" s="19" t="s">
        <v>362</v>
      </c>
      <c r="F357" s="32" t="s">
        <v>63</v>
      </c>
      <c r="G357" s="32" t="s">
        <v>680</v>
      </c>
      <c r="H357" s="32" t="s">
        <v>329</v>
      </c>
      <c r="I357" s="50"/>
    </row>
    <row r="358" spans="1:9" s="32" customFormat="1" ht="20.100000000000001" customHeight="1">
      <c r="A358" s="22" t="s">
        <v>544</v>
      </c>
      <c r="B358" s="17" t="s">
        <v>60</v>
      </c>
      <c r="C358" s="46">
        <v>42484</v>
      </c>
      <c r="D358" s="50">
        <v>37.28</v>
      </c>
      <c r="E358" s="19" t="s">
        <v>362</v>
      </c>
      <c r="F358" s="32" t="s">
        <v>63</v>
      </c>
      <c r="G358" s="32" t="s">
        <v>680</v>
      </c>
      <c r="H358" s="32" t="s">
        <v>328</v>
      </c>
      <c r="I358" s="50"/>
    </row>
    <row r="359" spans="1:9" s="32" customFormat="1" ht="20.100000000000001" customHeight="1">
      <c r="A359" s="22" t="s">
        <v>597</v>
      </c>
      <c r="B359" s="17" t="s">
        <v>52</v>
      </c>
      <c r="C359" s="46">
        <v>42484</v>
      </c>
      <c r="D359" s="50">
        <v>37.380000000000003</v>
      </c>
      <c r="E359" s="19" t="s">
        <v>362</v>
      </c>
      <c r="F359" s="32" t="s">
        <v>63</v>
      </c>
      <c r="G359" s="32" t="s">
        <v>679</v>
      </c>
      <c r="H359" s="32" t="s">
        <v>329</v>
      </c>
      <c r="I359" s="50"/>
    </row>
    <row r="360" spans="1:9" s="32" customFormat="1" ht="20.100000000000001" customHeight="1">
      <c r="A360" s="22" t="s">
        <v>544</v>
      </c>
      <c r="B360" s="17" t="s">
        <v>60</v>
      </c>
      <c r="C360" s="46">
        <v>42484</v>
      </c>
      <c r="D360" s="50">
        <v>37.380000000000003</v>
      </c>
      <c r="E360" s="19" t="s">
        <v>362</v>
      </c>
      <c r="F360" s="32" t="s">
        <v>63</v>
      </c>
      <c r="G360" s="32" t="s">
        <v>679</v>
      </c>
      <c r="H360" s="32" t="s">
        <v>328</v>
      </c>
      <c r="I360" s="50"/>
    </row>
    <row r="361" spans="1:9" s="32" customFormat="1" ht="20.100000000000001" customHeight="1">
      <c r="A361" s="22" t="s">
        <v>597</v>
      </c>
      <c r="B361" s="17" t="s">
        <v>52</v>
      </c>
      <c r="C361" s="46">
        <v>42484</v>
      </c>
      <c r="D361" s="50">
        <v>37.200000000000003</v>
      </c>
      <c r="E361" s="19" t="s">
        <v>362</v>
      </c>
      <c r="F361" s="32" t="s">
        <v>63</v>
      </c>
      <c r="G361" s="32" t="s">
        <v>681</v>
      </c>
      <c r="H361" s="32" t="s">
        <v>329</v>
      </c>
      <c r="I361" s="50"/>
    </row>
    <row r="362" spans="1:9" s="32" customFormat="1" ht="20.100000000000001" customHeight="1">
      <c r="A362" s="22" t="s">
        <v>544</v>
      </c>
      <c r="B362" s="17" t="s">
        <v>60</v>
      </c>
      <c r="C362" s="46">
        <v>42484</v>
      </c>
      <c r="D362" s="50">
        <v>37.200000000000003</v>
      </c>
      <c r="E362" s="19" t="s">
        <v>362</v>
      </c>
      <c r="F362" s="32" t="s">
        <v>63</v>
      </c>
      <c r="G362" s="32" t="s">
        <v>681</v>
      </c>
      <c r="H362" s="32" t="s">
        <v>328</v>
      </c>
      <c r="I362" s="50"/>
    </row>
    <row r="363" spans="1:9" s="32" customFormat="1" ht="20.100000000000001" customHeight="1">
      <c r="A363" s="22" t="s">
        <v>597</v>
      </c>
      <c r="B363" s="17" t="s">
        <v>52</v>
      </c>
      <c r="C363" s="46">
        <v>42484</v>
      </c>
      <c r="D363" s="50">
        <v>38.28</v>
      </c>
      <c r="E363" s="19" t="s">
        <v>362</v>
      </c>
      <c r="F363" s="32" t="s">
        <v>63</v>
      </c>
      <c r="G363" s="32" t="s">
        <v>682</v>
      </c>
      <c r="H363" s="32" t="s">
        <v>329</v>
      </c>
      <c r="I363" s="50"/>
    </row>
    <row r="364" spans="1:9" s="32" customFormat="1" ht="20.100000000000001" customHeight="1">
      <c r="A364" s="22" t="s">
        <v>544</v>
      </c>
      <c r="B364" s="17" t="s">
        <v>60</v>
      </c>
      <c r="C364" s="46">
        <v>42484</v>
      </c>
      <c r="D364" s="50">
        <v>38.28</v>
      </c>
      <c r="E364" s="19" t="s">
        <v>362</v>
      </c>
      <c r="F364" s="32" t="s">
        <v>63</v>
      </c>
      <c r="G364" s="32" t="s">
        <v>682</v>
      </c>
      <c r="H364" s="32" t="s">
        <v>328</v>
      </c>
      <c r="I364" s="50"/>
    </row>
    <row r="365" spans="1:9" s="32" customFormat="1" ht="20.100000000000001" customHeight="1">
      <c r="A365" s="22" t="s">
        <v>545</v>
      </c>
      <c r="B365" s="17" t="s">
        <v>60</v>
      </c>
      <c r="C365" s="46">
        <v>42485</v>
      </c>
      <c r="D365" s="50">
        <v>40.32</v>
      </c>
      <c r="E365" s="19" t="s">
        <v>362</v>
      </c>
      <c r="F365" s="32" t="s">
        <v>70</v>
      </c>
      <c r="G365" s="32" t="s">
        <v>612</v>
      </c>
      <c r="H365" s="32" t="s">
        <v>328</v>
      </c>
      <c r="I365" s="50"/>
    </row>
    <row r="366" spans="1:9" s="32" customFormat="1" ht="20.100000000000001" customHeight="1">
      <c r="A366" s="22" t="s">
        <v>685</v>
      </c>
      <c r="B366" s="17" t="s">
        <v>686</v>
      </c>
      <c r="C366" s="46">
        <v>42485</v>
      </c>
      <c r="D366" s="50">
        <v>40.32</v>
      </c>
      <c r="E366" s="19" t="s">
        <v>687</v>
      </c>
      <c r="F366" s="32" t="s">
        <v>688</v>
      </c>
      <c r="G366" s="32" t="s">
        <v>689</v>
      </c>
      <c r="H366" s="32" t="s">
        <v>690</v>
      </c>
      <c r="I366" s="50"/>
    </row>
    <row r="367" spans="1:9" s="32" customFormat="1" ht="20.100000000000001" customHeight="1">
      <c r="A367" s="22" t="s">
        <v>545</v>
      </c>
      <c r="B367" s="17" t="s">
        <v>691</v>
      </c>
      <c r="C367" s="46">
        <v>42485</v>
      </c>
      <c r="D367" s="50">
        <v>40.32</v>
      </c>
      <c r="E367" s="19" t="s">
        <v>687</v>
      </c>
      <c r="F367" s="32" t="s">
        <v>688</v>
      </c>
      <c r="G367" s="32" t="s">
        <v>692</v>
      </c>
      <c r="H367" s="32" t="s">
        <v>693</v>
      </c>
      <c r="I367" s="50"/>
    </row>
    <row r="368" spans="1:9" s="32" customFormat="1" ht="20.100000000000001" customHeight="1">
      <c r="A368" s="22" t="s">
        <v>685</v>
      </c>
      <c r="B368" s="17" t="s">
        <v>686</v>
      </c>
      <c r="C368" s="46">
        <v>42485</v>
      </c>
      <c r="D368" s="50">
        <v>40.32</v>
      </c>
      <c r="E368" s="19" t="s">
        <v>687</v>
      </c>
      <c r="F368" s="32" t="s">
        <v>688</v>
      </c>
      <c r="G368" s="32" t="s">
        <v>692</v>
      </c>
      <c r="H368" s="32" t="s">
        <v>690</v>
      </c>
      <c r="I368" s="50"/>
    </row>
    <row r="369" spans="1:9" s="32" customFormat="1" ht="20.100000000000001" customHeight="1">
      <c r="A369" s="151" t="s">
        <v>1672</v>
      </c>
      <c r="B369" s="32" t="s">
        <v>1642</v>
      </c>
      <c r="C369" s="46">
        <v>42485</v>
      </c>
      <c r="D369" s="50">
        <v>70</v>
      </c>
      <c r="E369" s="19" t="s">
        <v>1643</v>
      </c>
      <c r="F369" s="32" t="s">
        <v>1644</v>
      </c>
      <c r="G369" s="32" t="s">
        <v>1655</v>
      </c>
      <c r="H369" s="32" t="s">
        <v>1646</v>
      </c>
      <c r="I369" s="50"/>
    </row>
    <row r="370" spans="1:9" s="32" customFormat="1" ht="20.100000000000001" customHeight="1">
      <c r="A370" s="151" t="s">
        <v>1673</v>
      </c>
      <c r="B370" s="32" t="s">
        <v>1642</v>
      </c>
      <c r="C370" s="46">
        <v>42485</v>
      </c>
      <c r="D370" s="50">
        <v>70</v>
      </c>
      <c r="E370" s="19" t="s">
        <v>1643</v>
      </c>
      <c r="F370" s="32" t="s">
        <v>1644</v>
      </c>
      <c r="G370" s="32" t="s">
        <v>1655</v>
      </c>
      <c r="H370" s="32" t="s">
        <v>1663</v>
      </c>
      <c r="I370" s="50"/>
    </row>
    <row r="371" spans="1:9" s="32" customFormat="1" ht="20.100000000000001" customHeight="1">
      <c r="A371" s="22" t="s">
        <v>695</v>
      </c>
      <c r="B371" s="17" t="s">
        <v>52</v>
      </c>
      <c r="C371" s="46">
        <v>42486</v>
      </c>
      <c r="D371" s="50">
        <v>65</v>
      </c>
      <c r="E371" s="19" t="s">
        <v>663</v>
      </c>
      <c r="F371" s="32" t="s">
        <v>70</v>
      </c>
      <c r="G371" s="32" t="s">
        <v>696</v>
      </c>
      <c r="H371" s="32" t="s">
        <v>329</v>
      </c>
      <c r="I371" s="50"/>
    </row>
    <row r="372" spans="1:9" s="32" customFormat="1" ht="20.100000000000001" customHeight="1">
      <c r="A372" s="22" t="s">
        <v>545</v>
      </c>
      <c r="B372" s="17" t="s">
        <v>52</v>
      </c>
      <c r="C372" s="46">
        <v>42486</v>
      </c>
      <c r="D372" s="50">
        <v>65</v>
      </c>
      <c r="E372" s="19" t="s">
        <v>663</v>
      </c>
      <c r="F372" s="32" t="s">
        <v>70</v>
      </c>
      <c r="G372" s="32" t="s">
        <v>696</v>
      </c>
      <c r="H372" s="32" t="s">
        <v>328</v>
      </c>
      <c r="I372" s="50"/>
    </row>
    <row r="373" spans="1:9" s="32" customFormat="1" ht="20.100000000000001" customHeight="1">
      <c r="A373" s="22" t="s">
        <v>695</v>
      </c>
      <c r="B373" s="17" t="s">
        <v>52</v>
      </c>
      <c r="C373" s="46">
        <v>42486</v>
      </c>
      <c r="D373" s="50">
        <v>65</v>
      </c>
      <c r="E373" s="19" t="s">
        <v>663</v>
      </c>
      <c r="F373" s="32" t="s">
        <v>70</v>
      </c>
      <c r="G373" s="32" t="s">
        <v>697</v>
      </c>
      <c r="H373" s="32" t="s">
        <v>329</v>
      </c>
      <c r="I373" s="50"/>
    </row>
    <row r="374" spans="1:9" s="32" customFormat="1" ht="20.100000000000001" customHeight="1">
      <c r="A374" s="22" t="s">
        <v>545</v>
      </c>
      <c r="B374" s="17" t="s">
        <v>203</v>
      </c>
      <c r="C374" s="46">
        <v>42486</v>
      </c>
      <c r="D374" s="50">
        <v>65</v>
      </c>
      <c r="E374" s="19" t="s">
        <v>698</v>
      </c>
      <c r="F374" s="32" t="s">
        <v>422</v>
      </c>
      <c r="G374" s="32" t="s">
        <v>697</v>
      </c>
      <c r="H374" s="32" t="s">
        <v>328</v>
      </c>
      <c r="I374" s="50"/>
    </row>
    <row r="375" spans="1:9" s="32" customFormat="1" ht="20.100000000000001" customHeight="1">
      <c r="A375" s="22" t="s">
        <v>699</v>
      </c>
      <c r="B375" s="17" t="s">
        <v>240</v>
      </c>
      <c r="C375" s="46">
        <v>42486</v>
      </c>
      <c r="D375" s="50">
        <v>140</v>
      </c>
      <c r="E375" s="19" t="s">
        <v>700</v>
      </c>
      <c r="F375" s="32" t="s">
        <v>701</v>
      </c>
      <c r="H375" s="32" t="s">
        <v>329</v>
      </c>
      <c r="I375" s="50"/>
    </row>
    <row r="376" spans="1:9" s="32" customFormat="1" ht="20.100000000000001" customHeight="1">
      <c r="A376" s="22" t="s">
        <v>588</v>
      </c>
      <c r="B376" s="17" t="s">
        <v>240</v>
      </c>
      <c r="C376" s="46">
        <v>42486</v>
      </c>
      <c r="D376" s="50">
        <v>140</v>
      </c>
      <c r="E376" s="19" t="s">
        <v>700</v>
      </c>
      <c r="F376" s="32" t="s">
        <v>701</v>
      </c>
      <c r="H376" s="32" t="s">
        <v>328</v>
      </c>
      <c r="I376" s="50"/>
    </row>
    <row r="377" spans="1:9" s="32" customFormat="1" ht="20.100000000000001" customHeight="1">
      <c r="A377" s="22" t="s">
        <v>502</v>
      </c>
      <c r="B377" s="32" t="s">
        <v>82</v>
      </c>
      <c r="C377" s="46">
        <v>42487</v>
      </c>
      <c r="D377" s="50">
        <v>22</v>
      </c>
      <c r="E377" s="19" t="s">
        <v>165</v>
      </c>
      <c r="F377" s="32" t="s">
        <v>63</v>
      </c>
      <c r="G377" s="32" t="s">
        <v>330</v>
      </c>
      <c r="H377" s="32" t="s">
        <v>328</v>
      </c>
      <c r="I377" s="50"/>
    </row>
    <row r="378" spans="1:9" s="32" customFormat="1" ht="20.100000000000001" customHeight="1">
      <c r="A378" s="22" t="s">
        <v>502</v>
      </c>
      <c r="B378" s="32" t="s">
        <v>82</v>
      </c>
      <c r="C378" s="46">
        <v>42487</v>
      </c>
      <c r="D378" s="50">
        <v>40</v>
      </c>
      <c r="E378" s="19" t="s">
        <v>165</v>
      </c>
      <c r="F378" s="32" t="s">
        <v>63</v>
      </c>
      <c r="G378" s="32" t="s">
        <v>360</v>
      </c>
      <c r="H378" s="32" t="s">
        <v>328</v>
      </c>
      <c r="I378" s="50"/>
    </row>
    <row r="379" spans="1:9" s="32" customFormat="1" ht="20.100000000000001" customHeight="1">
      <c r="A379" s="22" t="s">
        <v>545</v>
      </c>
      <c r="B379" s="17" t="s">
        <v>60</v>
      </c>
      <c r="C379" s="46">
        <v>42486</v>
      </c>
      <c r="D379" s="50">
        <v>40.44</v>
      </c>
      <c r="E379" s="19" t="s">
        <v>362</v>
      </c>
      <c r="F379" s="32" t="s">
        <v>70</v>
      </c>
      <c r="G379" s="32" t="s">
        <v>702</v>
      </c>
      <c r="H379" s="32" t="s">
        <v>328</v>
      </c>
      <c r="I379" s="50"/>
    </row>
    <row r="380" spans="1:9" s="32" customFormat="1" ht="20.100000000000001" customHeight="1">
      <c r="A380" s="22" t="s">
        <v>685</v>
      </c>
      <c r="B380" s="17" t="s">
        <v>52</v>
      </c>
      <c r="C380" s="46">
        <v>42486</v>
      </c>
      <c r="D380" s="50">
        <v>40.44</v>
      </c>
      <c r="E380" s="19" t="s">
        <v>362</v>
      </c>
      <c r="F380" s="32" t="s">
        <v>70</v>
      </c>
      <c r="G380" s="32" t="s">
        <v>702</v>
      </c>
      <c r="H380" s="32" t="s">
        <v>329</v>
      </c>
      <c r="I380" s="50"/>
    </row>
    <row r="381" spans="1:9" s="32" customFormat="1" ht="20.100000000000001" customHeight="1">
      <c r="A381" s="22" t="s">
        <v>545</v>
      </c>
      <c r="B381" s="17" t="s">
        <v>60</v>
      </c>
      <c r="C381" s="46">
        <v>42486</v>
      </c>
      <c r="D381" s="50">
        <v>40.380000000000003</v>
      </c>
      <c r="E381" s="19" t="s">
        <v>362</v>
      </c>
      <c r="F381" s="32" t="s">
        <v>70</v>
      </c>
      <c r="G381" s="32" t="s">
        <v>703</v>
      </c>
      <c r="H381" s="32" t="s">
        <v>328</v>
      </c>
      <c r="I381" s="50"/>
    </row>
    <row r="382" spans="1:9" s="32" customFormat="1" ht="20.100000000000001" customHeight="1">
      <c r="A382" s="22" t="s">
        <v>685</v>
      </c>
      <c r="B382" s="17" t="s">
        <v>52</v>
      </c>
      <c r="C382" s="46">
        <v>42486</v>
      </c>
      <c r="D382" s="50">
        <v>40.380000000000003</v>
      </c>
      <c r="E382" s="19" t="s">
        <v>362</v>
      </c>
      <c r="F382" s="32" t="s">
        <v>70</v>
      </c>
      <c r="G382" s="32" t="s">
        <v>703</v>
      </c>
      <c r="H382" s="32" t="s">
        <v>329</v>
      </c>
      <c r="I382" s="50"/>
    </row>
    <row r="383" spans="1:9" s="32" customFormat="1" ht="20.100000000000001" customHeight="1">
      <c r="A383" s="22" t="s">
        <v>695</v>
      </c>
      <c r="B383" s="17" t="s">
        <v>52</v>
      </c>
      <c r="C383" s="46">
        <v>42487</v>
      </c>
      <c r="D383" s="50">
        <v>55</v>
      </c>
      <c r="E383" s="19" t="s">
        <v>663</v>
      </c>
      <c r="F383" s="32" t="s">
        <v>70</v>
      </c>
      <c r="G383" s="32" t="s">
        <v>704</v>
      </c>
      <c r="H383" s="32" t="s">
        <v>329</v>
      </c>
      <c r="I383" s="50"/>
    </row>
    <row r="384" spans="1:9" s="32" customFormat="1" ht="20.100000000000001" customHeight="1">
      <c r="A384" s="22" t="s">
        <v>545</v>
      </c>
      <c r="B384" s="17" t="s">
        <v>52</v>
      </c>
      <c r="C384" s="46">
        <v>42487</v>
      </c>
      <c r="D384" s="50">
        <v>55</v>
      </c>
      <c r="E384" s="19" t="s">
        <v>663</v>
      </c>
      <c r="F384" s="32" t="s">
        <v>70</v>
      </c>
      <c r="G384" s="32" t="s">
        <v>704</v>
      </c>
      <c r="H384" s="32" t="s">
        <v>328</v>
      </c>
      <c r="I384" s="50"/>
    </row>
    <row r="385" spans="1:9" s="32" customFormat="1" ht="20.100000000000001" customHeight="1">
      <c r="A385" s="151" t="s">
        <v>1672</v>
      </c>
      <c r="B385" s="32" t="s">
        <v>1642</v>
      </c>
      <c r="C385" s="46">
        <v>42486</v>
      </c>
      <c r="D385" s="50">
        <v>37</v>
      </c>
      <c r="E385" s="19" t="s">
        <v>1643</v>
      </c>
      <c r="F385" s="32" t="s">
        <v>1644</v>
      </c>
      <c r="G385" s="32" t="s">
        <v>1675</v>
      </c>
      <c r="H385" s="32" t="s">
        <v>1646</v>
      </c>
      <c r="I385" s="50"/>
    </row>
    <row r="386" spans="1:9" s="32" customFormat="1" ht="20.100000000000001" customHeight="1">
      <c r="A386" s="151" t="s">
        <v>1673</v>
      </c>
      <c r="B386" s="32" t="s">
        <v>1642</v>
      </c>
      <c r="C386" s="46">
        <v>42486</v>
      </c>
      <c r="D386" s="50">
        <v>37</v>
      </c>
      <c r="E386" s="19" t="s">
        <v>1643</v>
      </c>
      <c r="F386" s="32" t="s">
        <v>1644</v>
      </c>
      <c r="G386" s="32" t="s">
        <v>1675</v>
      </c>
      <c r="H386" s="32" t="s">
        <v>1663</v>
      </c>
      <c r="I386" s="50"/>
    </row>
    <row r="387" spans="1:9" s="32" customFormat="1" ht="20.100000000000001" customHeight="1">
      <c r="A387" s="151" t="s">
        <v>1672</v>
      </c>
      <c r="B387" s="32" t="s">
        <v>1642</v>
      </c>
      <c r="C387" s="46">
        <v>42486</v>
      </c>
      <c r="D387" s="50">
        <v>41</v>
      </c>
      <c r="E387" s="19" t="s">
        <v>1643</v>
      </c>
      <c r="F387" s="32" t="s">
        <v>1644</v>
      </c>
      <c r="G387" s="32" t="s">
        <v>1676</v>
      </c>
      <c r="H387" s="32" t="s">
        <v>1646</v>
      </c>
      <c r="I387" s="50"/>
    </row>
    <row r="388" spans="1:9" s="32" customFormat="1" ht="20.100000000000001" customHeight="1">
      <c r="A388" s="151" t="s">
        <v>1673</v>
      </c>
      <c r="B388" s="32" t="s">
        <v>1642</v>
      </c>
      <c r="C388" s="46">
        <v>42486</v>
      </c>
      <c r="D388" s="50">
        <v>41</v>
      </c>
      <c r="E388" s="19" t="s">
        <v>1643</v>
      </c>
      <c r="F388" s="32" t="s">
        <v>1644</v>
      </c>
      <c r="G388" s="32" t="s">
        <v>1676</v>
      </c>
      <c r="H388" s="32" t="s">
        <v>1663</v>
      </c>
      <c r="I388" s="50"/>
    </row>
    <row r="389" spans="1:9" s="32" customFormat="1" ht="20.100000000000001" customHeight="1">
      <c r="A389" s="151" t="s">
        <v>1672</v>
      </c>
      <c r="B389" s="32" t="s">
        <v>1642</v>
      </c>
      <c r="C389" s="46">
        <v>42486</v>
      </c>
      <c r="D389" s="50">
        <v>41</v>
      </c>
      <c r="E389" s="19" t="s">
        <v>1643</v>
      </c>
      <c r="F389" s="32" t="s">
        <v>1644</v>
      </c>
      <c r="G389" s="32" t="s">
        <v>1677</v>
      </c>
      <c r="H389" s="32" t="s">
        <v>1646</v>
      </c>
      <c r="I389" s="50"/>
    </row>
    <row r="390" spans="1:9" s="32" customFormat="1" ht="20.100000000000001" customHeight="1">
      <c r="A390" s="151" t="s">
        <v>1673</v>
      </c>
      <c r="B390" s="32" t="s">
        <v>1642</v>
      </c>
      <c r="C390" s="46">
        <v>42486</v>
      </c>
      <c r="D390" s="50">
        <v>41</v>
      </c>
      <c r="E390" s="19" t="s">
        <v>1643</v>
      </c>
      <c r="F390" s="32" t="s">
        <v>1644</v>
      </c>
      <c r="G390" s="32" t="s">
        <v>1677</v>
      </c>
      <c r="H390" s="32" t="s">
        <v>1663</v>
      </c>
      <c r="I390" s="50"/>
    </row>
    <row r="391" spans="1:9" s="32" customFormat="1" ht="20.100000000000001" customHeight="1">
      <c r="A391" s="22" t="s">
        <v>695</v>
      </c>
      <c r="B391" s="17" t="s">
        <v>203</v>
      </c>
      <c r="C391" s="46">
        <v>42487</v>
      </c>
      <c r="D391" s="50">
        <v>50</v>
      </c>
      <c r="E391" s="19" t="s">
        <v>663</v>
      </c>
      <c r="F391" s="32" t="s">
        <v>422</v>
      </c>
      <c r="G391" s="32" t="s">
        <v>706</v>
      </c>
      <c r="H391" s="32" t="s">
        <v>329</v>
      </c>
      <c r="I391" s="50"/>
    </row>
    <row r="392" spans="1:9" s="32" customFormat="1" ht="20.100000000000001" customHeight="1">
      <c r="A392" s="22" t="s">
        <v>545</v>
      </c>
      <c r="B392" s="17" t="s">
        <v>203</v>
      </c>
      <c r="C392" s="46">
        <v>42487</v>
      </c>
      <c r="D392" s="50">
        <v>50</v>
      </c>
      <c r="E392" s="19" t="s">
        <v>663</v>
      </c>
      <c r="F392" s="32" t="s">
        <v>422</v>
      </c>
      <c r="G392" s="32" t="s">
        <v>706</v>
      </c>
      <c r="H392" s="32" t="s">
        <v>328</v>
      </c>
      <c r="I392" s="50"/>
    </row>
    <row r="393" spans="1:9" s="32" customFormat="1" ht="20.100000000000001" customHeight="1">
      <c r="A393" s="22" t="s">
        <v>695</v>
      </c>
      <c r="B393" s="17" t="s">
        <v>203</v>
      </c>
      <c r="C393" s="46">
        <v>42487</v>
      </c>
      <c r="D393" s="50">
        <v>67</v>
      </c>
      <c r="E393" s="19" t="s">
        <v>663</v>
      </c>
      <c r="F393" s="32" t="s">
        <v>422</v>
      </c>
      <c r="G393" s="32" t="s">
        <v>707</v>
      </c>
      <c r="H393" s="32" t="s">
        <v>329</v>
      </c>
      <c r="I393" s="50"/>
    </row>
    <row r="394" spans="1:9" s="32" customFormat="1" ht="20.100000000000001" customHeight="1">
      <c r="A394" s="22" t="s">
        <v>545</v>
      </c>
      <c r="B394" s="17" t="s">
        <v>203</v>
      </c>
      <c r="C394" s="46">
        <v>42487</v>
      </c>
      <c r="D394" s="50">
        <v>67</v>
      </c>
      <c r="E394" s="19" t="s">
        <v>663</v>
      </c>
      <c r="F394" s="32" t="s">
        <v>422</v>
      </c>
      <c r="G394" s="32" t="s">
        <v>707</v>
      </c>
      <c r="H394" s="32" t="s">
        <v>328</v>
      </c>
      <c r="I394" s="50"/>
    </row>
    <row r="395" spans="1:9" s="32" customFormat="1" ht="20.100000000000001" customHeight="1">
      <c r="A395" s="22" t="s">
        <v>695</v>
      </c>
      <c r="B395" s="17" t="s">
        <v>203</v>
      </c>
      <c r="C395" s="46">
        <v>42487</v>
      </c>
      <c r="D395" s="50">
        <v>67</v>
      </c>
      <c r="E395" s="19" t="s">
        <v>663</v>
      </c>
      <c r="F395" s="32" t="s">
        <v>422</v>
      </c>
      <c r="G395" s="32" t="s">
        <v>708</v>
      </c>
      <c r="H395" s="32" t="s">
        <v>329</v>
      </c>
      <c r="I395" s="50"/>
    </row>
    <row r="396" spans="1:9" s="32" customFormat="1" ht="20.100000000000001" customHeight="1">
      <c r="A396" s="22" t="s">
        <v>545</v>
      </c>
      <c r="B396" s="17" t="s">
        <v>203</v>
      </c>
      <c r="C396" s="46">
        <v>42487</v>
      </c>
      <c r="D396" s="50">
        <v>67</v>
      </c>
      <c r="E396" s="19" t="s">
        <v>663</v>
      </c>
      <c r="F396" s="32" t="s">
        <v>422</v>
      </c>
      <c r="G396" s="32" t="s">
        <v>708</v>
      </c>
      <c r="H396" s="32" t="s">
        <v>328</v>
      </c>
      <c r="I396" s="50"/>
    </row>
    <row r="397" spans="1:9" s="32" customFormat="1" ht="20.100000000000001" customHeight="1">
      <c r="A397" s="22" t="s">
        <v>502</v>
      </c>
      <c r="B397" s="32" t="s">
        <v>82</v>
      </c>
      <c r="C397" s="46">
        <v>42489</v>
      </c>
      <c r="D397" s="50">
        <v>25</v>
      </c>
      <c r="E397" s="19" t="s">
        <v>165</v>
      </c>
      <c r="F397" s="32" t="s">
        <v>63</v>
      </c>
      <c r="G397" s="32" t="s">
        <v>330</v>
      </c>
      <c r="H397" s="32" t="s">
        <v>328</v>
      </c>
      <c r="I397" s="50"/>
    </row>
    <row r="398" spans="1:9" s="32" customFormat="1" ht="20.100000000000001" customHeight="1">
      <c r="A398" s="22" t="s">
        <v>502</v>
      </c>
      <c r="B398" s="32" t="s">
        <v>82</v>
      </c>
      <c r="C398" s="46">
        <v>42489</v>
      </c>
      <c r="D398" s="50">
        <v>25</v>
      </c>
      <c r="E398" s="19" t="s">
        <v>165</v>
      </c>
      <c r="F398" s="32" t="s">
        <v>63</v>
      </c>
      <c r="G398" s="32" t="s">
        <v>728</v>
      </c>
      <c r="H398" s="32" t="s">
        <v>328</v>
      </c>
      <c r="I398" s="50"/>
    </row>
    <row r="399" spans="1:9" s="32" customFormat="1" ht="20.100000000000001" customHeight="1">
      <c r="A399" s="22" t="s">
        <v>502</v>
      </c>
      <c r="B399" s="32" t="s">
        <v>175</v>
      </c>
      <c r="C399" s="46">
        <v>42490</v>
      </c>
      <c r="D399" s="50">
        <v>26</v>
      </c>
      <c r="E399" s="19" t="s">
        <v>165</v>
      </c>
      <c r="F399" s="32" t="s">
        <v>63</v>
      </c>
      <c r="G399" s="32" t="s">
        <v>330</v>
      </c>
      <c r="H399" s="32" t="s">
        <v>328</v>
      </c>
      <c r="I399" s="50"/>
    </row>
    <row r="400" spans="1:9" s="32" customFormat="1" ht="20.100000000000001" customHeight="1">
      <c r="A400" s="22" t="s">
        <v>648</v>
      </c>
      <c r="B400" s="32" t="s">
        <v>230</v>
      </c>
      <c r="C400" s="46">
        <v>42488</v>
      </c>
      <c r="D400" s="50">
        <v>20000</v>
      </c>
      <c r="E400" s="19" t="s">
        <v>231</v>
      </c>
      <c r="F400" s="32" t="s">
        <v>63</v>
      </c>
      <c r="H400" s="32" t="s">
        <v>328</v>
      </c>
      <c r="I400" s="50"/>
    </row>
    <row r="401" spans="1:9" s="32" customFormat="1" ht="20.100000000000001" customHeight="1">
      <c r="A401" s="22" t="s">
        <v>731</v>
      </c>
      <c r="B401" s="32" t="s">
        <v>230</v>
      </c>
      <c r="C401" s="46">
        <v>42488</v>
      </c>
      <c r="D401" s="50">
        <v>20000</v>
      </c>
      <c r="E401" s="19" t="s">
        <v>231</v>
      </c>
      <c r="F401" s="32" t="s">
        <v>63</v>
      </c>
      <c r="H401" s="32" t="s">
        <v>329</v>
      </c>
      <c r="I401" s="50"/>
    </row>
    <row r="402" spans="1:9" s="32" customFormat="1" ht="20.100000000000001" customHeight="1">
      <c r="A402" s="22" t="s">
        <v>573</v>
      </c>
      <c r="B402" s="32" t="s">
        <v>291</v>
      </c>
      <c r="C402" s="46">
        <v>42480</v>
      </c>
      <c r="D402" s="50">
        <v>2200</v>
      </c>
      <c r="E402" s="19" t="s">
        <v>226</v>
      </c>
      <c r="F402" s="32" t="s">
        <v>63</v>
      </c>
      <c r="H402" s="32" t="s">
        <v>329</v>
      </c>
      <c r="I402" s="50"/>
    </row>
    <row r="403" spans="1:9" s="32" customFormat="1" ht="20.100000000000001" customHeight="1">
      <c r="A403" s="22" t="s">
        <v>574</v>
      </c>
      <c r="B403" s="32" t="s">
        <v>291</v>
      </c>
      <c r="C403" s="46">
        <v>42480</v>
      </c>
      <c r="D403" s="50">
        <v>2200</v>
      </c>
      <c r="E403" s="19" t="s">
        <v>226</v>
      </c>
      <c r="F403" s="32" t="s">
        <v>63</v>
      </c>
      <c r="H403" s="32" t="s">
        <v>328</v>
      </c>
      <c r="I403" s="50"/>
    </row>
    <row r="404" spans="1:9" s="32" customFormat="1" ht="20.100000000000001" customHeight="1">
      <c r="A404" s="22" t="s">
        <v>774</v>
      </c>
      <c r="B404" s="32" t="s">
        <v>291</v>
      </c>
      <c r="C404" s="46">
        <v>42488</v>
      </c>
      <c r="D404" s="50">
        <v>2000</v>
      </c>
      <c r="E404" s="19" t="s">
        <v>226</v>
      </c>
      <c r="F404" s="32" t="s">
        <v>63</v>
      </c>
      <c r="H404" s="32" t="s">
        <v>329</v>
      </c>
      <c r="I404" s="50"/>
    </row>
    <row r="405" spans="1:9" s="32" customFormat="1" ht="20.100000000000001" customHeight="1">
      <c r="A405" s="22" t="s">
        <v>730</v>
      </c>
      <c r="B405" s="32" t="s">
        <v>291</v>
      </c>
      <c r="C405" s="46">
        <v>42488</v>
      </c>
      <c r="D405" s="50">
        <v>2000</v>
      </c>
      <c r="E405" s="19" t="s">
        <v>226</v>
      </c>
      <c r="F405" s="32" t="s">
        <v>63</v>
      </c>
      <c r="H405" s="32" t="s">
        <v>328</v>
      </c>
      <c r="I405" s="50"/>
    </row>
    <row r="406" spans="1:9" s="32" customFormat="1" ht="20.100000000000001" customHeight="1">
      <c r="A406" s="22" t="s">
        <v>742</v>
      </c>
      <c r="B406" s="32" t="s">
        <v>747</v>
      </c>
      <c r="C406" s="46">
        <v>42486</v>
      </c>
      <c r="D406" s="50">
        <v>100</v>
      </c>
      <c r="E406" s="19" t="s">
        <v>775</v>
      </c>
      <c r="F406" s="32" t="s">
        <v>743</v>
      </c>
      <c r="H406" s="32" t="s">
        <v>329</v>
      </c>
      <c r="I406" s="50"/>
    </row>
    <row r="407" spans="1:9" s="32" customFormat="1" ht="20.100000000000001" customHeight="1">
      <c r="A407" s="22" t="s">
        <v>811</v>
      </c>
      <c r="B407" s="32" t="s">
        <v>203</v>
      </c>
      <c r="C407" s="46">
        <v>42494</v>
      </c>
      <c r="D407" s="50">
        <v>120</v>
      </c>
      <c r="E407" s="32" t="s">
        <v>776</v>
      </c>
      <c r="F407" s="32" t="s">
        <v>63</v>
      </c>
      <c r="G407" s="32" t="s">
        <v>64</v>
      </c>
      <c r="H407" s="32" t="s">
        <v>329</v>
      </c>
      <c r="I407" s="50"/>
    </row>
    <row r="408" spans="1:9" s="32" customFormat="1" ht="20.100000000000001" customHeight="1">
      <c r="A408" s="22" t="s">
        <v>803</v>
      </c>
      <c r="B408" s="32" t="s">
        <v>203</v>
      </c>
      <c r="C408" s="46">
        <v>42494</v>
      </c>
      <c r="D408" s="50">
        <v>120</v>
      </c>
      <c r="E408" s="32" t="s">
        <v>776</v>
      </c>
      <c r="F408" s="32" t="s">
        <v>63</v>
      </c>
      <c r="G408" s="32" t="s">
        <v>64</v>
      </c>
      <c r="H408" s="32" t="s">
        <v>328</v>
      </c>
      <c r="I408" s="50"/>
    </row>
    <row r="409" spans="1:9" s="32" customFormat="1" ht="20.100000000000001" customHeight="1">
      <c r="A409" s="22" t="s">
        <v>811</v>
      </c>
      <c r="B409" s="32" t="s">
        <v>203</v>
      </c>
      <c r="C409" s="46">
        <v>42495</v>
      </c>
      <c r="D409" s="50">
        <v>130</v>
      </c>
      <c r="E409" s="32" t="s">
        <v>776</v>
      </c>
      <c r="F409" s="32" t="s">
        <v>63</v>
      </c>
      <c r="G409" s="32" t="s">
        <v>64</v>
      </c>
      <c r="H409" s="32" t="s">
        <v>329</v>
      </c>
      <c r="I409" s="50"/>
    </row>
    <row r="410" spans="1:9" s="32" customFormat="1" ht="20.100000000000001" customHeight="1">
      <c r="A410" s="22" t="s">
        <v>803</v>
      </c>
      <c r="B410" s="32" t="s">
        <v>203</v>
      </c>
      <c r="C410" s="46">
        <v>42495</v>
      </c>
      <c r="D410" s="50">
        <v>130</v>
      </c>
      <c r="E410" s="32" t="s">
        <v>776</v>
      </c>
      <c r="F410" s="32" t="s">
        <v>63</v>
      </c>
      <c r="G410" s="32" t="s">
        <v>64</v>
      </c>
      <c r="H410" s="32" t="s">
        <v>328</v>
      </c>
      <c r="I410" s="50"/>
    </row>
    <row r="411" spans="1:9" s="32" customFormat="1" ht="20.100000000000001" customHeight="1">
      <c r="A411" s="22" t="s">
        <v>685</v>
      </c>
      <c r="B411" s="17" t="s">
        <v>52</v>
      </c>
      <c r="C411" s="46">
        <v>42491</v>
      </c>
      <c r="D411" s="50">
        <v>40.44</v>
      </c>
      <c r="E411" s="19" t="s">
        <v>362</v>
      </c>
      <c r="F411" s="32" t="s">
        <v>70</v>
      </c>
      <c r="G411" s="32" t="s">
        <v>834</v>
      </c>
      <c r="H411" s="32" t="s">
        <v>329</v>
      </c>
      <c r="I411" s="50"/>
    </row>
    <row r="412" spans="1:9" s="32" customFormat="1" ht="20.100000000000001" customHeight="1">
      <c r="A412" s="22" t="s">
        <v>545</v>
      </c>
      <c r="B412" s="17" t="s">
        <v>60</v>
      </c>
      <c r="C412" s="46">
        <v>42491</v>
      </c>
      <c r="D412" s="50">
        <v>40.44</v>
      </c>
      <c r="E412" s="19" t="s">
        <v>362</v>
      </c>
      <c r="F412" s="32" t="s">
        <v>70</v>
      </c>
      <c r="G412" s="32" t="s">
        <v>834</v>
      </c>
      <c r="H412" s="32" t="s">
        <v>328</v>
      </c>
      <c r="I412" s="50"/>
    </row>
    <row r="413" spans="1:9" s="32" customFormat="1" ht="20.100000000000001" customHeight="1">
      <c r="A413" s="22" t="s">
        <v>685</v>
      </c>
      <c r="B413" s="17" t="s">
        <v>52</v>
      </c>
      <c r="C413" s="46">
        <v>42491</v>
      </c>
      <c r="D413" s="50">
        <v>40.56</v>
      </c>
      <c r="E413" s="19" t="s">
        <v>362</v>
      </c>
      <c r="F413" s="32" t="s">
        <v>70</v>
      </c>
      <c r="G413" s="32" t="s">
        <v>835</v>
      </c>
      <c r="H413" s="32" t="s">
        <v>329</v>
      </c>
      <c r="I413" s="50"/>
    </row>
    <row r="414" spans="1:9" s="32" customFormat="1" ht="20.100000000000001" customHeight="1">
      <c r="A414" s="22" t="s">
        <v>545</v>
      </c>
      <c r="B414" s="17" t="s">
        <v>60</v>
      </c>
      <c r="C414" s="46">
        <v>42491</v>
      </c>
      <c r="D414" s="50">
        <v>40.56</v>
      </c>
      <c r="E414" s="19" t="s">
        <v>362</v>
      </c>
      <c r="F414" s="32" t="s">
        <v>70</v>
      </c>
      <c r="G414" s="32" t="s">
        <v>835</v>
      </c>
      <c r="H414" s="32" t="s">
        <v>328</v>
      </c>
      <c r="I414" s="50"/>
    </row>
    <row r="415" spans="1:9" s="32" customFormat="1" ht="20.100000000000001" customHeight="1">
      <c r="A415" s="22" t="s">
        <v>730</v>
      </c>
      <c r="B415" s="17" t="s">
        <v>93</v>
      </c>
      <c r="C415" s="46">
        <v>42499</v>
      </c>
      <c r="D415" s="50">
        <v>3350</v>
      </c>
      <c r="E415" s="19" t="s">
        <v>226</v>
      </c>
      <c r="F415" s="32" t="s">
        <v>63</v>
      </c>
      <c r="H415" s="32" t="s">
        <v>328</v>
      </c>
      <c r="I415" s="50"/>
    </row>
    <row r="416" spans="1:9" s="32" customFormat="1" ht="20.100000000000001" customHeight="1">
      <c r="A416" s="22" t="s">
        <v>774</v>
      </c>
      <c r="B416" s="17" t="s">
        <v>93</v>
      </c>
      <c r="C416" s="46">
        <v>42499</v>
      </c>
      <c r="D416" s="50">
        <v>3350</v>
      </c>
      <c r="E416" s="19" t="s">
        <v>226</v>
      </c>
      <c r="F416" s="32" t="s">
        <v>63</v>
      </c>
      <c r="H416" s="32" t="s">
        <v>329</v>
      </c>
      <c r="I416" s="50"/>
    </row>
    <row r="417" spans="1:12" s="32" customFormat="1" ht="20.100000000000001" customHeight="1">
      <c r="A417" s="22" t="s">
        <v>805</v>
      </c>
      <c r="B417" s="17" t="s">
        <v>82</v>
      </c>
      <c r="C417" s="46">
        <v>42501</v>
      </c>
      <c r="D417" s="50">
        <v>48</v>
      </c>
      <c r="E417" s="19" t="s">
        <v>165</v>
      </c>
      <c r="F417" s="32" t="s">
        <v>63</v>
      </c>
      <c r="G417" s="32" t="s">
        <v>360</v>
      </c>
      <c r="H417" s="32" t="s">
        <v>328</v>
      </c>
      <c r="I417" s="50"/>
    </row>
    <row r="418" spans="1:12" s="32" customFormat="1" ht="20.100000000000001" customHeight="1">
      <c r="A418" s="22" t="s">
        <v>958</v>
      </c>
      <c r="B418" s="17" t="s">
        <v>240</v>
      </c>
      <c r="C418" s="46">
        <v>42502</v>
      </c>
      <c r="D418" s="50">
        <v>80</v>
      </c>
      <c r="E418" s="19" t="s">
        <v>862</v>
      </c>
      <c r="F418" s="32" t="s">
        <v>165</v>
      </c>
      <c r="H418" s="32" t="s">
        <v>329</v>
      </c>
      <c r="I418" s="50">
        <v>120</v>
      </c>
      <c r="L418" s="32">
        <f>I418*D418</f>
        <v>9600</v>
      </c>
    </row>
    <row r="419" spans="1:12" s="32" customFormat="1" ht="20.100000000000001" customHeight="1">
      <c r="A419" s="151" t="s">
        <v>1678</v>
      </c>
      <c r="B419" s="32" t="s">
        <v>1642</v>
      </c>
      <c r="C419" s="46">
        <v>42503</v>
      </c>
      <c r="D419" s="50">
        <v>500</v>
      </c>
      <c r="E419" s="19" t="s">
        <v>1643</v>
      </c>
      <c r="F419" s="32" t="s">
        <v>1644</v>
      </c>
      <c r="G419" s="32" t="s">
        <v>1655</v>
      </c>
      <c r="H419" s="32" t="s">
        <v>1646</v>
      </c>
      <c r="I419" s="50"/>
    </row>
    <row r="420" spans="1:12" s="32" customFormat="1" ht="20.100000000000001" customHeight="1">
      <c r="A420" s="151" t="s">
        <v>1679</v>
      </c>
      <c r="B420" s="32" t="s">
        <v>1642</v>
      </c>
      <c r="C420" s="46">
        <v>42503</v>
      </c>
      <c r="D420" s="50">
        <v>500</v>
      </c>
      <c r="E420" s="19" t="s">
        <v>1643</v>
      </c>
      <c r="F420" s="32" t="s">
        <v>1644</v>
      </c>
      <c r="G420" s="32" t="s">
        <v>1655</v>
      </c>
      <c r="H420" s="32" t="s">
        <v>1663</v>
      </c>
      <c r="I420" s="50"/>
    </row>
    <row r="421" spans="1:12" s="32" customFormat="1" ht="20.100000000000001" customHeight="1">
      <c r="A421" s="22" t="s">
        <v>889</v>
      </c>
      <c r="B421" s="17" t="s">
        <v>887</v>
      </c>
      <c r="C421" s="46">
        <v>42502</v>
      </c>
      <c r="D421" s="50">
        <v>120</v>
      </c>
      <c r="E421" s="19" t="s">
        <v>890</v>
      </c>
      <c r="F421" s="32" t="s">
        <v>891</v>
      </c>
      <c r="G421" s="32" t="s">
        <v>885</v>
      </c>
      <c r="H421" s="32" t="s">
        <v>886</v>
      </c>
      <c r="I421" s="50"/>
    </row>
    <row r="422" spans="1:12" s="32" customFormat="1" ht="20.100000000000001" customHeight="1">
      <c r="A422" s="22" t="s">
        <v>892</v>
      </c>
      <c r="B422" s="17" t="s">
        <v>887</v>
      </c>
      <c r="C422" s="46">
        <v>42502</v>
      </c>
      <c r="D422" s="50">
        <v>120</v>
      </c>
      <c r="E422" s="19" t="s">
        <v>890</v>
      </c>
      <c r="F422" s="32" t="s">
        <v>891</v>
      </c>
      <c r="G422" s="32" t="s">
        <v>885</v>
      </c>
      <c r="H422" s="32" t="s">
        <v>888</v>
      </c>
      <c r="I422" s="50"/>
    </row>
    <row r="423" spans="1:12" s="32" customFormat="1" ht="20.100000000000001" customHeight="1">
      <c r="A423" s="22" t="s">
        <v>893</v>
      </c>
      <c r="B423" s="17" t="s">
        <v>894</v>
      </c>
      <c r="C423" s="46">
        <v>42505</v>
      </c>
      <c r="D423" s="50">
        <v>25</v>
      </c>
      <c r="E423" s="19" t="s">
        <v>895</v>
      </c>
      <c r="F423" s="32" t="s">
        <v>891</v>
      </c>
      <c r="G423" s="32" t="s">
        <v>896</v>
      </c>
      <c r="H423" s="32" t="s">
        <v>888</v>
      </c>
      <c r="I423" s="50"/>
    </row>
    <row r="424" spans="1:12" s="32" customFormat="1" ht="20.100000000000001" customHeight="1">
      <c r="A424" s="22" t="s">
        <v>805</v>
      </c>
      <c r="B424" s="17" t="s">
        <v>82</v>
      </c>
      <c r="C424" s="46">
        <v>42505</v>
      </c>
      <c r="D424" s="50">
        <v>25</v>
      </c>
      <c r="E424" s="19" t="s">
        <v>165</v>
      </c>
      <c r="F424" s="32" t="s">
        <v>63</v>
      </c>
      <c r="G424" s="32" t="s">
        <v>352</v>
      </c>
      <c r="H424" s="32" t="s">
        <v>328</v>
      </c>
      <c r="I424" s="50"/>
    </row>
    <row r="425" spans="1:12" s="32" customFormat="1" ht="20.100000000000001" customHeight="1">
      <c r="A425" s="22" t="s">
        <v>893</v>
      </c>
      <c r="B425" s="17" t="s">
        <v>894</v>
      </c>
      <c r="C425" s="46">
        <v>42505</v>
      </c>
      <c r="D425" s="50">
        <v>26</v>
      </c>
      <c r="E425" s="19" t="s">
        <v>895</v>
      </c>
      <c r="F425" s="32" t="s">
        <v>891</v>
      </c>
      <c r="G425" s="32" t="s">
        <v>897</v>
      </c>
      <c r="H425" s="32" t="s">
        <v>888</v>
      </c>
      <c r="I425" s="50"/>
    </row>
    <row r="426" spans="1:12" s="32" customFormat="1" ht="20.100000000000001" customHeight="1">
      <c r="A426" s="22" t="s">
        <v>893</v>
      </c>
      <c r="B426" s="17" t="s">
        <v>894</v>
      </c>
      <c r="C426" s="46">
        <v>42505</v>
      </c>
      <c r="D426" s="50">
        <v>40</v>
      </c>
      <c r="E426" s="19" t="s">
        <v>895</v>
      </c>
      <c r="F426" s="32" t="s">
        <v>891</v>
      </c>
      <c r="G426" s="32" t="s">
        <v>898</v>
      </c>
      <c r="H426" s="32" t="s">
        <v>888</v>
      </c>
      <c r="I426" s="50"/>
    </row>
    <row r="427" spans="1:12" s="32" customFormat="1" ht="20.100000000000001" customHeight="1">
      <c r="A427" s="22" t="s">
        <v>889</v>
      </c>
      <c r="B427" s="17" t="s">
        <v>887</v>
      </c>
      <c r="C427" s="46">
        <v>42507</v>
      </c>
      <c r="D427" s="50">
        <v>36.94</v>
      </c>
      <c r="E427" s="19" t="s">
        <v>890</v>
      </c>
      <c r="F427" s="32" t="s">
        <v>891</v>
      </c>
      <c r="G427" s="32" t="s">
        <v>899</v>
      </c>
      <c r="H427" s="32" t="s">
        <v>886</v>
      </c>
      <c r="I427" s="50"/>
    </row>
    <row r="428" spans="1:12" s="32" customFormat="1" ht="20.100000000000001" customHeight="1">
      <c r="A428" s="22" t="s">
        <v>892</v>
      </c>
      <c r="B428" s="17" t="s">
        <v>887</v>
      </c>
      <c r="C428" s="46">
        <v>42507</v>
      </c>
      <c r="D428" s="50">
        <v>36.94</v>
      </c>
      <c r="E428" s="19" t="s">
        <v>890</v>
      </c>
      <c r="F428" s="32" t="s">
        <v>891</v>
      </c>
      <c r="G428" s="32" t="s">
        <v>899</v>
      </c>
      <c r="H428" s="32" t="s">
        <v>888</v>
      </c>
      <c r="I428" s="50"/>
    </row>
    <row r="429" spans="1:12" s="32" customFormat="1" ht="20.100000000000001" customHeight="1">
      <c r="A429" s="22" t="s">
        <v>889</v>
      </c>
      <c r="B429" s="17" t="s">
        <v>887</v>
      </c>
      <c r="C429" s="46">
        <v>42507</v>
      </c>
      <c r="D429" s="50">
        <v>39.840000000000003</v>
      </c>
      <c r="E429" s="19" t="s">
        <v>890</v>
      </c>
      <c r="F429" s="32" t="s">
        <v>891</v>
      </c>
      <c r="G429" s="32" t="s">
        <v>900</v>
      </c>
      <c r="H429" s="32" t="s">
        <v>886</v>
      </c>
      <c r="I429" s="50"/>
    </row>
    <row r="430" spans="1:12" s="32" customFormat="1" ht="20.100000000000001" customHeight="1">
      <c r="A430" s="22" t="s">
        <v>892</v>
      </c>
      <c r="B430" s="17" t="s">
        <v>887</v>
      </c>
      <c r="C430" s="46">
        <v>42507</v>
      </c>
      <c r="D430" s="50">
        <v>39.840000000000003</v>
      </c>
      <c r="E430" s="19" t="s">
        <v>890</v>
      </c>
      <c r="F430" s="32" t="s">
        <v>891</v>
      </c>
      <c r="G430" s="32" t="s">
        <v>900</v>
      </c>
      <c r="H430" s="32" t="s">
        <v>888</v>
      </c>
      <c r="I430" s="50"/>
    </row>
    <row r="431" spans="1:12" s="32" customFormat="1" ht="20.100000000000001" customHeight="1">
      <c r="A431" s="22" t="s">
        <v>909</v>
      </c>
      <c r="B431" s="17" t="s">
        <v>910</v>
      </c>
      <c r="C431" s="46">
        <v>42504</v>
      </c>
      <c r="D431" s="50">
        <v>100</v>
      </c>
      <c r="E431" s="19" t="s">
        <v>911</v>
      </c>
      <c r="F431" s="32" t="s">
        <v>912</v>
      </c>
      <c r="G431" s="32" t="s">
        <v>914</v>
      </c>
      <c r="H431" s="32" t="s">
        <v>913</v>
      </c>
      <c r="I431" s="50"/>
    </row>
    <row r="432" spans="1:12" s="32" customFormat="1" ht="20.100000000000001" customHeight="1">
      <c r="A432" s="22" t="s">
        <v>889</v>
      </c>
      <c r="B432" s="17" t="s">
        <v>60</v>
      </c>
      <c r="C432" s="46">
        <v>42515</v>
      </c>
      <c r="D432" s="50">
        <v>39.92</v>
      </c>
      <c r="E432" s="19" t="s">
        <v>185</v>
      </c>
      <c r="F432" s="32" t="s">
        <v>63</v>
      </c>
      <c r="G432" s="32" t="s">
        <v>917</v>
      </c>
      <c r="H432" s="32" t="s">
        <v>329</v>
      </c>
      <c r="I432" s="50"/>
    </row>
    <row r="433" spans="1:12" s="32" customFormat="1" ht="20.100000000000001" customHeight="1">
      <c r="A433" s="22" t="s">
        <v>803</v>
      </c>
      <c r="B433" s="17" t="s">
        <v>60</v>
      </c>
      <c r="C433" s="46">
        <v>42515</v>
      </c>
      <c r="D433" s="50">
        <v>39.92</v>
      </c>
      <c r="E433" s="19" t="s">
        <v>185</v>
      </c>
      <c r="F433" s="32" t="s">
        <v>63</v>
      </c>
      <c r="G433" s="32" t="s">
        <v>917</v>
      </c>
      <c r="H433" s="32" t="s">
        <v>328</v>
      </c>
      <c r="I433" s="50"/>
    </row>
    <row r="434" spans="1:12" s="32" customFormat="1" ht="20.100000000000001" customHeight="1">
      <c r="A434" s="22" t="s">
        <v>889</v>
      </c>
      <c r="B434" s="17" t="s">
        <v>60</v>
      </c>
      <c r="C434" s="46">
        <v>42515</v>
      </c>
      <c r="D434" s="50">
        <v>39</v>
      </c>
      <c r="E434" s="19" t="s">
        <v>185</v>
      </c>
      <c r="F434" s="32" t="s">
        <v>63</v>
      </c>
      <c r="G434" s="32" t="s">
        <v>918</v>
      </c>
      <c r="H434" s="32" t="s">
        <v>329</v>
      </c>
      <c r="I434" s="50"/>
    </row>
    <row r="435" spans="1:12" s="32" customFormat="1" ht="20.100000000000001" customHeight="1">
      <c r="A435" s="22" t="s">
        <v>803</v>
      </c>
      <c r="B435" s="17" t="s">
        <v>60</v>
      </c>
      <c r="C435" s="46">
        <v>42515</v>
      </c>
      <c r="D435" s="50">
        <v>39</v>
      </c>
      <c r="E435" s="19" t="s">
        <v>185</v>
      </c>
      <c r="F435" s="32" t="s">
        <v>63</v>
      </c>
      <c r="G435" s="32" t="s">
        <v>918</v>
      </c>
      <c r="H435" s="32" t="s">
        <v>328</v>
      </c>
      <c r="I435" s="50"/>
    </row>
    <row r="436" spans="1:12" s="32" customFormat="1" ht="20.100000000000001" customHeight="1">
      <c r="A436" s="22" t="s">
        <v>922</v>
      </c>
      <c r="B436" s="17" t="s">
        <v>60</v>
      </c>
      <c r="C436" s="46">
        <v>42513</v>
      </c>
      <c r="D436" s="50">
        <v>112.98</v>
      </c>
      <c r="E436" s="19" t="s">
        <v>919</v>
      </c>
      <c r="F436" s="32" t="s">
        <v>70</v>
      </c>
      <c r="G436" s="32" t="s">
        <v>920</v>
      </c>
      <c r="H436" s="32" t="s">
        <v>329</v>
      </c>
      <c r="I436" s="50"/>
    </row>
    <row r="437" spans="1:12" s="32" customFormat="1" ht="20.100000000000001" customHeight="1">
      <c r="A437" s="22" t="s">
        <v>804</v>
      </c>
      <c r="B437" s="17" t="s">
        <v>60</v>
      </c>
      <c r="C437" s="46">
        <v>42513</v>
      </c>
      <c r="D437" s="50">
        <v>112.98</v>
      </c>
      <c r="E437" s="19" t="s">
        <v>919</v>
      </c>
      <c r="F437" s="32" t="s">
        <v>70</v>
      </c>
      <c r="G437" s="32" t="s">
        <v>920</v>
      </c>
      <c r="H437" s="32" t="s">
        <v>328</v>
      </c>
      <c r="I437" s="50"/>
    </row>
    <row r="438" spans="1:12" s="32" customFormat="1" ht="20.100000000000001" customHeight="1">
      <c r="A438" s="22" t="s">
        <v>889</v>
      </c>
      <c r="B438" s="17" t="s">
        <v>60</v>
      </c>
      <c r="C438" s="46">
        <v>42515</v>
      </c>
      <c r="D438" s="50">
        <v>37.9</v>
      </c>
      <c r="E438" s="19" t="s">
        <v>185</v>
      </c>
      <c r="F438" s="32" t="s">
        <v>63</v>
      </c>
      <c r="G438" s="32" t="s">
        <v>921</v>
      </c>
      <c r="H438" s="32" t="s">
        <v>329</v>
      </c>
      <c r="I438" s="50"/>
    </row>
    <row r="439" spans="1:12" s="32" customFormat="1" ht="20.100000000000001" customHeight="1">
      <c r="A439" s="22" t="s">
        <v>924</v>
      </c>
      <c r="B439" s="17" t="s">
        <v>925</v>
      </c>
      <c r="C439" s="46">
        <v>42515</v>
      </c>
      <c r="D439" s="50">
        <v>37.9</v>
      </c>
      <c r="E439" s="19" t="s">
        <v>926</v>
      </c>
      <c r="F439" s="32" t="s">
        <v>927</v>
      </c>
      <c r="G439" s="32" t="s">
        <v>928</v>
      </c>
      <c r="H439" s="32" t="s">
        <v>929</v>
      </c>
      <c r="I439" s="50"/>
    </row>
    <row r="440" spans="1:12" s="32" customFormat="1" ht="20.100000000000001" customHeight="1">
      <c r="A440" s="22" t="s">
        <v>930</v>
      </c>
      <c r="B440" s="17" t="s">
        <v>925</v>
      </c>
      <c r="C440" s="46">
        <v>42515</v>
      </c>
      <c r="D440" s="50">
        <v>39.06</v>
      </c>
      <c r="E440" s="19" t="s">
        <v>926</v>
      </c>
      <c r="F440" s="32" t="s">
        <v>927</v>
      </c>
      <c r="G440" s="32" t="s">
        <v>931</v>
      </c>
      <c r="H440" s="32" t="s">
        <v>932</v>
      </c>
      <c r="I440" s="50"/>
    </row>
    <row r="441" spans="1:12" s="32" customFormat="1" ht="20.100000000000001" customHeight="1">
      <c r="A441" s="22" t="s">
        <v>924</v>
      </c>
      <c r="B441" s="17" t="s">
        <v>925</v>
      </c>
      <c r="C441" s="46">
        <v>42515</v>
      </c>
      <c r="D441" s="50">
        <v>39.06</v>
      </c>
      <c r="E441" s="19" t="s">
        <v>926</v>
      </c>
      <c r="F441" s="32" t="s">
        <v>927</v>
      </c>
      <c r="G441" s="32" t="s">
        <v>931</v>
      </c>
      <c r="H441" s="32" t="s">
        <v>929</v>
      </c>
      <c r="I441" s="50"/>
    </row>
    <row r="442" spans="1:12" s="32" customFormat="1" ht="20.100000000000001" customHeight="1">
      <c r="A442" s="22" t="s">
        <v>933</v>
      </c>
      <c r="B442" s="17" t="s">
        <v>934</v>
      </c>
      <c r="C442" s="46">
        <v>42514</v>
      </c>
      <c r="D442" s="50">
        <v>70</v>
      </c>
      <c r="E442" s="19" t="s">
        <v>935</v>
      </c>
      <c r="F442" s="32" t="s">
        <v>936</v>
      </c>
      <c r="H442" s="32" t="s">
        <v>932</v>
      </c>
      <c r="I442" s="50">
        <v>120</v>
      </c>
      <c r="L442" s="32">
        <f>I442*D442</f>
        <v>8400</v>
      </c>
    </row>
    <row r="443" spans="1:12" s="32" customFormat="1" ht="20.100000000000001" customHeight="1">
      <c r="A443" s="22" t="s">
        <v>937</v>
      </c>
      <c r="B443" s="17" t="s">
        <v>938</v>
      </c>
      <c r="C443" s="46">
        <v>42515</v>
      </c>
      <c r="D443" s="50">
        <v>38</v>
      </c>
      <c r="E443" s="19" t="s">
        <v>936</v>
      </c>
      <c r="F443" s="32" t="s">
        <v>927</v>
      </c>
      <c r="G443" s="32" t="s">
        <v>939</v>
      </c>
      <c r="H443" s="32" t="s">
        <v>929</v>
      </c>
      <c r="I443" s="50"/>
    </row>
    <row r="444" spans="1:12" s="32" customFormat="1" ht="20.100000000000001" customHeight="1">
      <c r="A444" s="22" t="s">
        <v>937</v>
      </c>
      <c r="B444" s="17" t="s">
        <v>938</v>
      </c>
      <c r="C444" s="46">
        <v>42515</v>
      </c>
      <c r="D444" s="50">
        <v>25</v>
      </c>
      <c r="E444" s="19" t="s">
        <v>936</v>
      </c>
      <c r="F444" s="32" t="s">
        <v>927</v>
      </c>
      <c r="G444" s="32" t="s">
        <v>940</v>
      </c>
      <c r="H444" s="32" t="s">
        <v>929</v>
      </c>
      <c r="I444" s="50"/>
    </row>
    <row r="445" spans="1:12" s="32" customFormat="1" ht="20.100000000000001" customHeight="1">
      <c r="A445" s="22" t="s">
        <v>937</v>
      </c>
      <c r="B445" s="17" t="s">
        <v>938</v>
      </c>
      <c r="C445" s="46">
        <v>42515</v>
      </c>
      <c r="D445" s="50">
        <v>25</v>
      </c>
      <c r="E445" s="19" t="s">
        <v>936</v>
      </c>
      <c r="F445" s="32" t="s">
        <v>927</v>
      </c>
      <c r="G445" s="32" t="s">
        <v>941</v>
      </c>
      <c r="H445" s="32" t="s">
        <v>929</v>
      </c>
      <c r="I445" s="50"/>
    </row>
    <row r="446" spans="1:12" s="32" customFormat="1" ht="20.100000000000001" customHeight="1">
      <c r="A446" s="22" t="s">
        <v>889</v>
      </c>
      <c r="B446" s="17" t="s">
        <v>60</v>
      </c>
      <c r="C446" s="46">
        <v>42516</v>
      </c>
      <c r="D446" s="50">
        <v>39.94</v>
      </c>
      <c r="E446" s="19" t="s">
        <v>185</v>
      </c>
      <c r="F446" s="32" t="s">
        <v>63</v>
      </c>
      <c r="G446" s="32" t="s">
        <v>957</v>
      </c>
      <c r="H446" s="32" t="s">
        <v>932</v>
      </c>
      <c r="I446" s="50"/>
    </row>
    <row r="447" spans="1:12" s="32" customFormat="1" ht="20.100000000000001" customHeight="1">
      <c r="A447" s="22" t="s">
        <v>959</v>
      </c>
      <c r="B447" s="17" t="s">
        <v>960</v>
      </c>
      <c r="C447" s="46">
        <v>42516</v>
      </c>
      <c r="D447" s="50">
        <v>39.94</v>
      </c>
      <c r="E447" s="19" t="s">
        <v>961</v>
      </c>
      <c r="F447" s="32" t="s">
        <v>962</v>
      </c>
      <c r="G447" s="32" t="s">
        <v>963</v>
      </c>
      <c r="H447" s="32" t="s">
        <v>964</v>
      </c>
      <c r="I447" s="50"/>
    </row>
    <row r="448" spans="1:12" s="32" customFormat="1" ht="20.100000000000001" customHeight="1">
      <c r="A448" s="22" t="s">
        <v>965</v>
      </c>
      <c r="B448" s="17" t="s">
        <v>966</v>
      </c>
      <c r="C448" s="46">
        <v>42516</v>
      </c>
      <c r="D448" s="50">
        <v>40</v>
      </c>
      <c r="E448" s="19" t="s">
        <v>967</v>
      </c>
      <c r="F448" s="32" t="s">
        <v>968</v>
      </c>
      <c r="H448" s="32" t="s">
        <v>969</v>
      </c>
      <c r="I448" s="50"/>
    </row>
    <row r="449" spans="1:13" s="32" customFormat="1" ht="20.100000000000001" customHeight="1">
      <c r="A449" s="22" t="s">
        <v>970</v>
      </c>
      <c r="B449" s="17" t="s">
        <v>966</v>
      </c>
      <c r="C449" s="46">
        <v>42516</v>
      </c>
      <c r="D449" s="50">
        <v>40</v>
      </c>
      <c r="E449" s="19" t="s">
        <v>967</v>
      </c>
      <c r="F449" s="32" t="s">
        <v>968</v>
      </c>
      <c r="H449" s="32" t="s">
        <v>964</v>
      </c>
      <c r="I449" s="50"/>
    </row>
    <row r="450" spans="1:13" s="32" customFormat="1" ht="20.100000000000001" customHeight="1">
      <c r="A450" s="22" t="s">
        <v>982</v>
      </c>
      <c r="B450" s="17" t="s">
        <v>966</v>
      </c>
      <c r="C450" s="46">
        <v>42517</v>
      </c>
      <c r="D450" s="50">
        <v>160</v>
      </c>
      <c r="E450" s="19" t="s">
        <v>663</v>
      </c>
      <c r="F450" s="32" t="s">
        <v>971</v>
      </c>
      <c r="H450" s="32" t="s">
        <v>969</v>
      </c>
      <c r="I450" s="50"/>
    </row>
    <row r="451" spans="1:13" s="32" customFormat="1" ht="20.100000000000001" customHeight="1">
      <c r="A451" s="22" t="s">
        <v>729</v>
      </c>
      <c r="B451" s="17" t="s">
        <v>966</v>
      </c>
      <c r="C451" s="46">
        <v>42517</v>
      </c>
      <c r="D451" s="50">
        <v>160</v>
      </c>
      <c r="E451" s="19" t="s">
        <v>663</v>
      </c>
      <c r="F451" s="32" t="s">
        <v>971</v>
      </c>
      <c r="H451" s="32" t="s">
        <v>964</v>
      </c>
      <c r="I451" s="50"/>
    </row>
    <row r="452" spans="1:13" s="32" customFormat="1" ht="20.100000000000001" customHeight="1">
      <c r="A452" s="22" t="s">
        <v>889</v>
      </c>
      <c r="B452" s="17" t="s">
        <v>60</v>
      </c>
      <c r="C452" s="46">
        <v>42511</v>
      </c>
      <c r="D452" s="50">
        <v>180</v>
      </c>
      <c r="E452" s="19" t="s">
        <v>185</v>
      </c>
      <c r="F452" s="32" t="s">
        <v>63</v>
      </c>
      <c r="G452" s="32" t="s">
        <v>64</v>
      </c>
      <c r="H452" s="32" t="s">
        <v>329</v>
      </c>
      <c r="I452" s="50"/>
    </row>
    <row r="453" spans="1:13" s="32" customFormat="1" ht="20.100000000000001" customHeight="1">
      <c r="A453" s="22" t="s">
        <v>803</v>
      </c>
      <c r="B453" s="17" t="s">
        <v>60</v>
      </c>
      <c r="C453" s="46">
        <v>42511</v>
      </c>
      <c r="D453" s="50">
        <v>180</v>
      </c>
      <c r="E453" s="19" t="s">
        <v>185</v>
      </c>
      <c r="F453" s="32" t="s">
        <v>63</v>
      </c>
      <c r="G453" s="32" t="s">
        <v>64</v>
      </c>
      <c r="H453" s="32" t="s">
        <v>328</v>
      </c>
      <c r="I453" s="50"/>
    </row>
    <row r="454" spans="1:13" s="32" customFormat="1" ht="20.100000000000001" customHeight="1">
      <c r="A454" s="22" t="s">
        <v>889</v>
      </c>
      <c r="B454" s="17" t="s">
        <v>60</v>
      </c>
      <c r="C454" s="46">
        <v>42511</v>
      </c>
      <c r="D454" s="50">
        <v>39.9</v>
      </c>
      <c r="E454" s="19" t="s">
        <v>185</v>
      </c>
      <c r="F454" s="32" t="s">
        <v>63</v>
      </c>
      <c r="G454" s="32" t="s">
        <v>994</v>
      </c>
      <c r="H454" s="32" t="s">
        <v>329</v>
      </c>
      <c r="I454" s="50"/>
    </row>
    <row r="455" spans="1:13" s="32" customFormat="1" ht="20.100000000000001" customHeight="1">
      <c r="A455" s="22" t="s">
        <v>803</v>
      </c>
      <c r="B455" s="17" t="s">
        <v>60</v>
      </c>
      <c r="C455" s="46">
        <v>42511</v>
      </c>
      <c r="D455" s="50">
        <v>39.9</v>
      </c>
      <c r="E455" s="19" t="s">
        <v>185</v>
      </c>
      <c r="F455" s="32" t="s">
        <v>63</v>
      </c>
      <c r="G455" s="32" t="s">
        <v>994</v>
      </c>
      <c r="H455" s="32" t="s">
        <v>328</v>
      </c>
      <c r="I455" s="50"/>
    </row>
    <row r="456" spans="1:13" s="32" customFormat="1" ht="20.100000000000001" customHeight="1">
      <c r="A456" s="22" t="s">
        <v>889</v>
      </c>
      <c r="B456" s="17" t="s">
        <v>60</v>
      </c>
      <c r="C456" s="46">
        <v>42511</v>
      </c>
      <c r="D456" s="50">
        <v>40.04</v>
      </c>
      <c r="E456" s="19" t="s">
        <v>185</v>
      </c>
      <c r="F456" s="32" t="s">
        <v>63</v>
      </c>
      <c r="G456" s="32" t="s">
        <v>995</v>
      </c>
      <c r="H456" s="32" t="s">
        <v>329</v>
      </c>
      <c r="I456" s="50"/>
    </row>
    <row r="457" spans="1:13" s="32" customFormat="1" ht="20.100000000000001" customHeight="1">
      <c r="A457" s="22" t="s">
        <v>803</v>
      </c>
      <c r="B457" s="17" t="s">
        <v>60</v>
      </c>
      <c r="C457" s="46">
        <v>42511</v>
      </c>
      <c r="D457" s="50">
        <v>40.04</v>
      </c>
      <c r="E457" s="19" t="s">
        <v>185</v>
      </c>
      <c r="F457" s="32" t="s">
        <v>63</v>
      </c>
      <c r="G457" s="32" t="s">
        <v>995</v>
      </c>
      <c r="H457" s="32" t="s">
        <v>328</v>
      </c>
      <c r="I457" s="50"/>
    </row>
    <row r="458" spans="1:13" s="32" customFormat="1" ht="20.100000000000001" customHeight="1">
      <c r="A458" s="22" t="s">
        <v>996</v>
      </c>
      <c r="B458" s="17" t="s">
        <v>999</v>
      </c>
      <c r="C458" s="46">
        <v>42520</v>
      </c>
      <c r="D458" s="50">
        <v>7900</v>
      </c>
      <c r="E458" s="19" t="s">
        <v>1002</v>
      </c>
      <c r="F458" s="32" t="s">
        <v>1001</v>
      </c>
      <c r="H458" s="32" t="s">
        <v>328</v>
      </c>
      <c r="I458" s="50"/>
    </row>
    <row r="459" spans="1:13" s="32" customFormat="1" ht="20.100000000000001" customHeight="1">
      <c r="A459" s="22" t="s">
        <v>998</v>
      </c>
      <c r="B459" s="17" t="s">
        <v>999</v>
      </c>
      <c r="C459" s="46">
        <v>42520</v>
      </c>
      <c r="D459" s="50">
        <v>7900</v>
      </c>
      <c r="E459" s="19" t="s">
        <v>1002</v>
      </c>
      <c r="F459" s="32" t="s">
        <v>1001</v>
      </c>
      <c r="H459" s="32" t="s">
        <v>329</v>
      </c>
      <c r="I459" s="50"/>
    </row>
    <row r="460" spans="1:13" customFormat="1" ht="20.100000000000001" customHeight="1">
      <c r="A460" s="22" t="s">
        <v>997</v>
      </c>
      <c r="B460" s="17" t="s">
        <v>999</v>
      </c>
      <c r="C460" s="46">
        <v>42520</v>
      </c>
      <c r="D460" s="50">
        <v>15250</v>
      </c>
      <c r="E460" s="19" t="s">
        <v>1000</v>
      </c>
      <c r="F460" s="32" t="s">
        <v>1001</v>
      </c>
      <c r="H460" s="32" t="s">
        <v>328</v>
      </c>
      <c r="I460" s="50"/>
    </row>
    <row r="461" spans="1:13" customFormat="1" ht="20.100000000000001" customHeight="1">
      <c r="A461" s="22" t="s">
        <v>1008</v>
      </c>
      <c r="B461" s="17" t="s">
        <v>999</v>
      </c>
      <c r="C461" s="46">
        <v>42520</v>
      </c>
      <c r="D461" s="50">
        <v>15250</v>
      </c>
      <c r="E461" s="19" t="s">
        <v>1000</v>
      </c>
      <c r="F461" s="32" t="s">
        <v>1001</v>
      </c>
      <c r="H461" s="32" t="s">
        <v>329</v>
      </c>
      <c r="I461" s="50"/>
    </row>
    <row r="462" spans="1:13" customFormat="1" ht="20.100000000000001" customHeight="1">
      <c r="A462" s="22" t="s">
        <v>1023</v>
      </c>
      <c r="B462" s="17" t="s">
        <v>240</v>
      </c>
      <c r="C462" s="46">
        <v>42525</v>
      </c>
      <c r="D462" s="47">
        <v>72</v>
      </c>
      <c r="E462" s="32" t="s">
        <v>935</v>
      </c>
      <c r="F462" s="32" t="s">
        <v>165</v>
      </c>
      <c r="G462" s="32"/>
      <c r="H462" s="32" t="s">
        <v>329</v>
      </c>
      <c r="I462" s="47">
        <v>120</v>
      </c>
      <c r="J462" s="32"/>
      <c r="K462" s="32"/>
      <c r="L462" s="32">
        <f>I462*D462</f>
        <v>8640</v>
      </c>
      <c r="M462" s="32"/>
    </row>
    <row r="463" spans="1:13" customFormat="1" ht="20.100000000000001" customHeight="1">
      <c r="A463" s="22" t="s">
        <v>1020</v>
      </c>
      <c r="B463" s="17" t="s">
        <v>175</v>
      </c>
      <c r="C463" s="46">
        <v>42527</v>
      </c>
      <c r="D463" s="47">
        <v>28</v>
      </c>
      <c r="E463" s="32" t="s">
        <v>165</v>
      </c>
      <c r="F463" s="32" t="s">
        <v>166</v>
      </c>
      <c r="G463" s="32" t="s">
        <v>1040</v>
      </c>
      <c r="H463" s="32" t="s">
        <v>328</v>
      </c>
      <c r="I463" s="47"/>
      <c r="J463" s="32"/>
      <c r="K463" s="32"/>
      <c r="L463" s="32"/>
      <c r="M463" s="32"/>
    </row>
    <row r="464" spans="1:13" customFormat="1" ht="20.100000000000001" customHeight="1">
      <c r="A464" s="22" t="s">
        <v>1020</v>
      </c>
      <c r="B464" s="17" t="s">
        <v>82</v>
      </c>
      <c r="C464" s="46">
        <v>42528</v>
      </c>
      <c r="D464" s="47">
        <v>35</v>
      </c>
      <c r="E464" s="32" t="s">
        <v>165</v>
      </c>
      <c r="F464" s="32" t="s">
        <v>63</v>
      </c>
      <c r="G464" s="32" t="s">
        <v>1051</v>
      </c>
      <c r="H464" s="32" t="s">
        <v>328</v>
      </c>
      <c r="I464" s="47"/>
      <c r="J464" s="32"/>
      <c r="K464" s="32"/>
      <c r="L464" s="32"/>
      <c r="M464" s="32"/>
    </row>
    <row r="465" spans="1:13" customFormat="1" ht="20.100000000000001" customHeight="1">
      <c r="A465" s="22" t="s">
        <v>1020</v>
      </c>
      <c r="B465" s="17" t="s">
        <v>82</v>
      </c>
      <c r="C465" s="46">
        <v>42528</v>
      </c>
      <c r="D465" s="47">
        <v>25</v>
      </c>
      <c r="E465" s="32" t="s">
        <v>165</v>
      </c>
      <c r="F465" s="32" t="s">
        <v>63</v>
      </c>
      <c r="G465" s="32" t="s">
        <v>1052</v>
      </c>
      <c r="H465" s="32" t="s">
        <v>328</v>
      </c>
      <c r="I465" s="47"/>
      <c r="J465" s="32"/>
      <c r="K465" s="32"/>
      <c r="L465" s="32"/>
      <c r="M465" s="32"/>
    </row>
    <row r="466" spans="1:13" customFormat="1" ht="20.100000000000001" customHeight="1">
      <c r="A466" s="22" t="s">
        <v>1020</v>
      </c>
      <c r="B466" s="17" t="s">
        <v>82</v>
      </c>
      <c r="C466" s="46">
        <v>42528</v>
      </c>
      <c r="D466" s="47">
        <v>25</v>
      </c>
      <c r="E466" s="32" t="s">
        <v>165</v>
      </c>
      <c r="F466" s="32" t="s">
        <v>63</v>
      </c>
      <c r="G466" s="32" t="s">
        <v>1053</v>
      </c>
      <c r="H466" s="32" t="s">
        <v>328</v>
      </c>
      <c r="I466" s="47"/>
      <c r="J466" s="32"/>
      <c r="K466" s="32"/>
      <c r="L466" s="32"/>
      <c r="M466" s="32"/>
    </row>
    <row r="467" spans="1:13" customFormat="1" ht="20.100000000000001" customHeight="1">
      <c r="A467" s="22" t="s">
        <v>1057</v>
      </c>
      <c r="B467" s="17" t="s">
        <v>60</v>
      </c>
      <c r="C467" s="46">
        <v>42528</v>
      </c>
      <c r="D467" s="47">
        <v>120</v>
      </c>
      <c r="E467" s="19" t="s">
        <v>62</v>
      </c>
      <c r="F467" s="32" t="s">
        <v>310</v>
      </c>
      <c r="G467" s="32" t="s">
        <v>423</v>
      </c>
      <c r="H467" s="32" t="s">
        <v>443</v>
      </c>
      <c r="I467" s="47"/>
      <c r="J467" s="32"/>
      <c r="K467" s="32"/>
      <c r="L467" s="32"/>
      <c r="M467" s="32"/>
    </row>
    <row r="468" spans="1:13" customFormat="1" ht="20.100000000000001" customHeight="1">
      <c r="A468" s="22" t="s">
        <v>1058</v>
      </c>
      <c r="B468" s="17" t="s">
        <v>60</v>
      </c>
      <c r="C468" s="46">
        <v>42530</v>
      </c>
      <c r="D468" s="47">
        <v>120</v>
      </c>
      <c r="E468" s="32" t="s">
        <v>185</v>
      </c>
      <c r="F468" s="32" t="s">
        <v>63</v>
      </c>
      <c r="G468" s="32" t="s">
        <v>64</v>
      </c>
      <c r="H468" s="32" t="s">
        <v>329</v>
      </c>
      <c r="I468" s="47"/>
      <c r="J468" s="32"/>
      <c r="K468" s="32"/>
      <c r="L468" s="32"/>
      <c r="M468" s="32"/>
    </row>
    <row r="469" spans="1:13" customFormat="1" ht="20.100000000000001" customHeight="1">
      <c r="A469" s="22" t="s">
        <v>1054</v>
      </c>
      <c r="B469" s="17" t="s">
        <v>60</v>
      </c>
      <c r="C469" s="46">
        <v>42536</v>
      </c>
      <c r="D469" s="47">
        <v>120</v>
      </c>
      <c r="E469" s="19" t="s">
        <v>62</v>
      </c>
      <c r="F469" s="32" t="s">
        <v>63</v>
      </c>
      <c r="G469" s="32" t="s">
        <v>64</v>
      </c>
      <c r="H469" s="32" t="s">
        <v>328</v>
      </c>
      <c r="I469" s="47"/>
      <c r="J469" s="32"/>
      <c r="K469" s="32"/>
      <c r="L469" s="32"/>
      <c r="M469" s="32"/>
    </row>
    <row r="470" spans="1:13" customFormat="1" ht="20.100000000000001" customHeight="1">
      <c r="A470" s="22" t="s">
        <v>1054</v>
      </c>
      <c r="B470" s="17" t="s">
        <v>60</v>
      </c>
      <c r="C470" s="46">
        <v>42536</v>
      </c>
      <c r="D470" s="47">
        <v>120</v>
      </c>
      <c r="E470" s="32" t="s">
        <v>185</v>
      </c>
      <c r="F470" s="32" t="s">
        <v>63</v>
      </c>
      <c r="G470" s="32" t="s">
        <v>64</v>
      </c>
      <c r="H470" s="32" t="s">
        <v>328</v>
      </c>
      <c r="I470" s="47"/>
      <c r="J470" s="32"/>
      <c r="K470" s="32"/>
      <c r="L470" s="32"/>
      <c r="M470" s="32"/>
    </row>
    <row r="471" spans="1:13" customFormat="1" ht="20.100000000000001" customHeight="1">
      <c r="A471" s="22" t="s">
        <v>1057</v>
      </c>
      <c r="B471" s="17" t="s">
        <v>60</v>
      </c>
      <c r="C471" s="46">
        <v>42533</v>
      </c>
      <c r="D471" s="47">
        <v>120</v>
      </c>
      <c r="E471" s="19" t="s">
        <v>62</v>
      </c>
      <c r="F471" s="32" t="s">
        <v>166</v>
      </c>
      <c r="G471" s="32" t="s">
        <v>188</v>
      </c>
      <c r="H471" s="32" t="s">
        <v>329</v>
      </c>
      <c r="I471" s="47"/>
      <c r="J471" s="32"/>
      <c r="K471" s="32"/>
      <c r="L471" s="32"/>
      <c r="M471" s="32"/>
    </row>
    <row r="472" spans="1:13" customFormat="1" ht="20.100000000000001" customHeight="1">
      <c r="A472" s="22" t="s">
        <v>1054</v>
      </c>
      <c r="B472" s="17" t="s">
        <v>60</v>
      </c>
      <c r="C472" s="46">
        <v>42541</v>
      </c>
      <c r="D472" s="47">
        <v>120</v>
      </c>
      <c r="E472" s="19" t="s">
        <v>62</v>
      </c>
      <c r="F472" s="32" t="s">
        <v>166</v>
      </c>
      <c r="G472" s="32" t="s">
        <v>188</v>
      </c>
      <c r="H472" s="32" t="s">
        <v>328</v>
      </c>
      <c r="I472" s="47"/>
      <c r="J472" s="32"/>
      <c r="K472" s="32"/>
      <c r="L472" s="32"/>
      <c r="M472" s="32"/>
    </row>
    <row r="473" spans="1:13" customFormat="1" ht="20.100000000000001" customHeight="1">
      <c r="A473" s="22" t="s">
        <v>1068</v>
      </c>
      <c r="B473" s="17" t="s">
        <v>1069</v>
      </c>
      <c r="C473" s="46">
        <v>42531</v>
      </c>
      <c r="D473" s="47">
        <v>37</v>
      </c>
      <c r="E473" s="32" t="s">
        <v>935</v>
      </c>
      <c r="F473" s="32" t="s">
        <v>165</v>
      </c>
      <c r="G473" s="32"/>
      <c r="H473" s="32" t="s">
        <v>329</v>
      </c>
      <c r="I473" s="47">
        <v>120</v>
      </c>
      <c r="J473" s="32"/>
      <c r="K473" s="32"/>
      <c r="L473" s="32">
        <f>I473*D473</f>
        <v>4440</v>
      </c>
      <c r="M473" s="32"/>
    </row>
    <row r="474" spans="1:13" customFormat="1" ht="20.100000000000001" customHeight="1">
      <c r="A474" s="22" t="s">
        <v>1070</v>
      </c>
      <c r="B474" s="17" t="s">
        <v>1069</v>
      </c>
      <c r="C474" s="46">
        <v>42536</v>
      </c>
      <c r="D474" s="47">
        <v>35</v>
      </c>
      <c r="E474" s="32" t="s">
        <v>1071</v>
      </c>
      <c r="F474" s="32" t="s">
        <v>165</v>
      </c>
      <c r="G474" s="32"/>
      <c r="H474" s="32" t="s">
        <v>329</v>
      </c>
      <c r="I474" s="47">
        <v>120</v>
      </c>
      <c r="J474" s="32"/>
      <c r="K474" s="32"/>
      <c r="L474" s="32">
        <f>I474*D474</f>
        <v>4200</v>
      </c>
      <c r="M474" s="32"/>
    </row>
    <row r="475" spans="1:13" customFormat="1" ht="20.100000000000001" customHeight="1">
      <c r="A475" s="22" t="s">
        <v>1020</v>
      </c>
      <c r="B475" s="17" t="s">
        <v>82</v>
      </c>
      <c r="C475" s="46">
        <v>42535</v>
      </c>
      <c r="D475" s="47">
        <v>28</v>
      </c>
      <c r="E475" s="32" t="s">
        <v>165</v>
      </c>
      <c r="F475" s="32" t="s">
        <v>63</v>
      </c>
      <c r="G475" s="32" t="s">
        <v>594</v>
      </c>
      <c r="H475" s="32" t="s">
        <v>328</v>
      </c>
      <c r="I475" s="47"/>
      <c r="J475" s="32"/>
      <c r="K475" s="32"/>
      <c r="L475" s="32"/>
      <c r="M475" s="32"/>
    </row>
    <row r="476" spans="1:13" customFormat="1" ht="20.100000000000001" customHeight="1">
      <c r="A476" s="22" t="s">
        <v>1079</v>
      </c>
      <c r="B476" s="17" t="s">
        <v>1080</v>
      </c>
      <c r="C476" s="46">
        <v>42527</v>
      </c>
      <c r="D476" s="47">
        <v>2900</v>
      </c>
      <c r="E476" s="19" t="s">
        <v>226</v>
      </c>
      <c r="F476" s="32" t="s">
        <v>63</v>
      </c>
      <c r="G476" s="32"/>
      <c r="H476" s="32" t="s">
        <v>329</v>
      </c>
      <c r="I476" s="47"/>
      <c r="J476" s="32"/>
      <c r="K476" s="32"/>
      <c r="L476" s="32"/>
      <c r="M476" s="32"/>
    </row>
    <row r="477" spans="1:13" customFormat="1" ht="20.100000000000001" customHeight="1">
      <c r="A477" s="22" t="s">
        <v>1081</v>
      </c>
      <c r="B477" s="17" t="s">
        <v>1080</v>
      </c>
      <c r="C477" s="46">
        <v>42527</v>
      </c>
      <c r="D477" s="47">
        <v>2900</v>
      </c>
      <c r="E477" s="19" t="s">
        <v>226</v>
      </c>
      <c r="F477" s="32" t="s">
        <v>63</v>
      </c>
      <c r="G477" s="32"/>
      <c r="H477" s="32" t="s">
        <v>424</v>
      </c>
      <c r="I477" s="47"/>
      <c r="J477" s="32"/>
      <c r="K477" s="32"/>
      <c r="L477" s="32"/>
      <c r="M477" s="32"/>
    </row>
    <row r="478" spans="1:13" customFormat="1" ht="20.100000000000001" customHeight="1">
      <c r="A478" s="22" t="s">
        <v>1085</v>
      </c>
      <c r="B478" s="17" t="s">
        <v>93</v>
      </c>
      <c r="C478" s="46">
        <v>42527</v>
      </c>
      <c r="D478" s="21">
        <v>3850</v>
      </c>
      <c r="E478" s="19" t="s">
        <v>1000</v>
      </c>
      <c r="F478" s="32" t="s">
        <v>63</v>
      </c>
      <c r="H478" s="32" t="s">
        <v>328</v>
      </c>
      <c r="I478" s="21"/>
      <c r="J478" s="32"/>
      <c r="K478" s="32"/>
      <c r="L478" s="32"/>
      <c r="M478" s="32"/>
    </row>
    <row r="479" spans="1:13" customFormat="1" ht="20.100000000000001" customHeight="1">
      <c r="A479" s="22" t="s">
        <v>1084</v>
      </c>
      <c r="B479" s="17" t="s">
        <v>93</v>
      </c>
      <c r="C479" s="46">
        <v>42527</v>
      </c>
      <c r="D479" s="21">
        <v>3850</v>
      </c>
      <c r="E479" s="19" t="s">
        <v>1000</v>
      </c>
      <c r="F479" s="32" t="s">
        <v>63</v>
      </c>
      <c r="H479" s="32" t="s">
        <v>329</v>
      </c>
      <c r="I479" s="21"/>
      <c r="J479" s="32"/>
      <c r="K479" s="32"/>
      <c r="L479" s="32"/>
      <c r="M479" s="32"/>
    </row>
    <row r="480" spans="1:13" customFormat="1" ht="20.100000000000001" customHeight="1">
      <c r="A480" s="22" t="s">
        <v>1085</v>
      </c>
      <c r="B480" s="17" t="s">
        <v>93</v>
      </c>
      <c r="C480" s="46">
        <v>42529</v>
      </c>
      <c r="D480" s="21">
        <v>1950</v>
      </c>
      <c r="E480" s="19" t="s">
        <v>1000</v>
      </c>
      <c r="F480" s="32" t="s">
        <v>63</v>
      </c>
      <c r="H480" s="32" t="s">
        <v>328</v>
      </c>
      <c r="I480" s="21"/>
      <c r="J480" s="32"/>
      <c r="K480" s="32"/>
      <c r="L480" s="32"/>
      <c r="M480" s="32"/>
    </row>
    <row r="481" spans="1:13" customFormat="1" ht="20.100000000000001" customHeight="1">
      <c r="A481" s="22" t="s">
        <v>1084</v>
      </c>
      <c r="B481" s="17" t="s">
        <v>93</v>
      </c>
      <c r="C481" s="46">
        <v>42529</v>
      </c>
      <c r="D481" s="21">
        <v>1950</v>
      </c>
      <c r="E481" s="19" t="s">
        <v>1000</v>
      </c>
      <c r="F481" s="32" t="s">
        <v>63</v>
      </c>
      <c r="H481" s="32" t="s">
        <v>329</v>
      </c>
      <c r="I481" s="21"/>
      <c r="J481" s="32"/>
      <c r="K481" s="32"/>
      <c r="L481" s="32"/>
      <c r="M481" s="32"/>
    </row>
    <row r="482" spans="1:13" customFormat="1" ht="20.100000000000001" customHeight="1">
      <c r="A482" s="22" t="s">
        <v>1085</v>
      </c>
      <c r="B482" s="17" t="s">
        <v>93</v>
      </c>
      <c r="C482" s="46">
        <v>42533</v>
      </c>
      <c r="D482" s="21">
        <v>1950</v>
      </c>
      <c r="E482" s="19" t="s">
        <v>1000</v>
      </c>
      <c r="F482" s="32" t="s">
        <v>63</v>
      </c>
      <c r="H482" s="32" t="s">
        <v>328</v>
      </c>
      <c r="I482" s="21"/>
    </row>
    <row r="483" spans="1:13" customFormat="1" ht="20.100000000000001" customHeight="1">
      <c r="A483" s="22" t="s">
        <v>1084</v>
      </c>
      <c r="B483" s="17" t="s">
        <v>93</v>
      </c>
      <c r="C483" s="46">
        <v>42533</v>
      </c>
      <c r="D483" s="21">
        <v>1950</v>
      </c>
      <c r="E483" s="19" t="s">
        <v>1000</v>
      </c>
      <c r="F483" s="32" t="s">
        <v>63</v>
      </c>
      <c r="H483" s="32" t="s">
        <v>329</v>
      </c>
      <c r="I483" s="21"/>
    </row>
    <row r="484" spans="1:13" customFormat="1" ht="20.100000000000001" customHeight="1">
      <c r="A484" s="22" t="s">
        <v>1058</v>
      </c>
      <c r="B484" s="17" t="s">
        <v>60</v>
      </c>
      <c r="C484" s="46">
        <v>42537</v>
      </c>
      <c r="D484" s="47">
        <v>120</v>
      </c>
      <c r="E484" s="32" t="s">
        <v>185</v>
      </c>
      <c r="F484" s="32" t="s">
        <v>63</v>
      </c>
      <c r="G484" s="32" t="s">
        <v>64</v>
      </c>
      <c r="H484" s="32" t="s">
        <v>329</v>
      </c>
      <c r="I484" s="47"/>
    </row>
    <row r="485" spans="1:13" customFormat="1" ht="20.100000000000001" customHeight="1">
      <c r="A485" s="22" t="s">
        <v>1054</v>
      </c>
      <c r="B485" s="17" t="s">
        <v>60</v>
      </c>
      <c r="C485" s="46">
        <v>42545</v>
      </c>
      <c r="D485" s="47">
        <v>120</v>
      </c>
      <c r="E485" s="32" t="s">
        <v>185</v>
      </c>
      <c r="F485" s="32" t="s">
        <v>63</v>
      </c>
      <c r="G485" s="32" t="s">
        <v>64</v>
      </c>
      <c r="H485" s="32" t="s">
        <v>328</v>
      </c>
      <c r="I485" s="47"/>
    </row>
    <row r="486" spans="1:13" s="150" customFormat="1" ht="20.100000000000001" customHeight="1">
      <c r="A486" s="151" t="s">
        <v>1680</v>
      </c>
      <c r="B486" s="32" t="s">
        <v>1642</v>
      </c>
      <c r="C486" s="46">
        <v>42538</v>
      </c>
      <c r="D486" s="21">
        <v>180</v>
      </c>
      <c r="E486" s="19" t="s">
        <v>1681</v>
      </c>
      <c r="F486" s="32" t="s">
        <v>1644</v>
      </c>
      <c r="G486" s="32" t="s">
        <v>1655</v>
      </c>
      <c r="H486" s="32" t="s">
        <v>1646</v>
      </c>
      <c r="I486" s="21"/>
    </row>
    <row r="487" spans="1:13" s="150" customFormat="1" ht="20.100000000000001" customHeight="1">
      <c r="A487" s="151" t="s">
        <v>1682</v>
      </c>
      <c r="B487" s="32" t="s">
        <v>1642</v>
      </c>
      <c r="C487" s="46">
        <v>42544</v>
      </c>
      <c r="D487" s="21">
        <v>180</v>
      </c>
      <c r="E487" s="19" t="s">
        <v>1681</v>
      </c>
      <c r="F487" s="32" t="s">
        <v>1644</v>
      </c>
      <c r="G487" s="32" t="s">
        <v>1655</v>
      </c>
      <c r="H487" s="32" t="s">
        <v>1663</v>
      </c>
      <c r="I487" s="21"/>
    </row>
    <row r="488" spans="1:13" customFormat="1" ht="20.100000000000001" customHeight="1">
      <c r="A488" s="22" t="s">
        <v>1020</v>
      </c>
      <c r="B488" s="17" t="s">
        <v>82</v>
      </c>
      <c r="C488" s="46">
        <v>42537</v>
      </c>
      <c r="D488" s="47">
        <v>26</v>
      </c>
      <c r="E488" s="32" t="s">
        <v>165</v>
      </c>
      <c r="F488" s="32" t="s">
        <v>63</v>
      </c>
      <c r="G488" s="32" t="s">
        <v>594</v>
      </c>
      <c r="H488" s="32" t="s">
        <v>328</v>
      </c>
      <c r="I488" s="47"/>
    </row>
    <row r="489" spans="1:13" customFormat="1" ht="20.100000000000001" customHeight="1">
      <c r="A489" s="22" t="s">
        <v>1020</v>
      </c>
      <c r="B489" s="17" t="s">
        <v>82</v>
      </c>
      <c r="C489" s="46">
        <v>42537</v>
      </c>
      <c r="D489" s="47">
        <v>26</v>
      </c>
      <c r="E489" s="32" t="s">
        <v>165</v>
      </c>
      <c r="F489" s="32" t="s">
        <v>63</v>
      </c>
      <c r="G489" s="32" t="s">
        <v>564</v>
      </c>
      <c r="H489" s="32" t="s">
        <v>328</v>
      </c>
      <c r="I489" s="47"/>
    </row>
    <row r="490" spans="1:13" customFormat="1" ht="20.100000000000001" customHeight="1">
      <c r="A490" s="22" t="s">
        <v>1020</v>
      </c>
      <c r="B490" s="17" t="s">
        <v>82</v>
      </c>
      <c r="C490" s="46">
        <v>42537</v>
      </c>
      <c r="D490" s="47">
        <v>27</v>
      </c>
      <c r="E490" s="32" t="s">
        <v>165</v>
      </c>
      <c r="F490" s="32" t="s">
        <v>63</v>
      </c>
      <c r="G490" s="32" t="s">
        <v>352</v>
      </c>
      <c r="H490" s="32" t="s">
        <v>328</v>
      </c>
      <c r="I490" s="47"/>
    </row>
    <row r="491" spans="1:13" customFormat="1" ht="20.100000000000001" customHeight="1">
      <c r="A491" s="22" t="s">
        <v>1020</v>
      </c>
      <c r="B491" s="17" t="s">
        <v>82</v>
      </c>
      <c r="C491" s="46">
        <v>42538</v>
      </c>
      <c r="D491" s="47">
        <v>33</v>
      </c>
      <c r="E491" s="32" t="s">
        <v>165</v>
      </c>
      <c r="F491" s="32" t="s">
        <v>63</v>
      </c>
      <c r="G491" s="32" t="s">
        <v>360</v>
      </c>
      <c r="H491" s="32" t="s">
        <v>328</v>
      </c>
      <c r="I491" s="47"/>
    </row>
    <row r="492" spans="1:13" customFormat="1" ht="20.100000000000001" customHeight="1">
      <c r="A492" s="22" t="s">
        <v>1070</v>
      </c>
      <c r="B492" s="17" t="s">
        <v>240</v>
      </c>
      <c r="C492" s="46">
        <v>42537</v>
      </c>
      <c r="D492" s="47">
        <v>70</v>
      </c>
      <c r="E492" s="32" t="s">
        <v>1071</v>
      </c>
      <c r="F492" s="32" t="s">
        <v>165</v>
      </c>
      <c r="G492" s="32"/>
      <c r="H492" s="32" t="s">
        <v>329</v>
      </c>
      <c r="I492" s="47">
        <v>120</v>
      </c>
      <c r="J492" s="32"/>
      <c r="K492" s="32"/>
      <c r="L492" s="32">
        <f>I492*D492</f>
        <v>8400</v>
      </c>
    </row>
    <row r="493" spans="1:13" customFormat="1" ht="20.100000000000001" customHeight="1">
      <c r="A493" s="22" t="s">
        <v>1119</v>
      </c>
      <c r="B493" s="17" t="s">
        <v>60</v>
      </c>
      <c r="C493" s="46">
        <v>42538</v>
      </c>
      <c r="D493" s="47">
        <v>45</v>
      </c>
      <c r="E493" s="32" t="s">
        <v>1110</v>
      </c>
      <c r="F493" s="32" t="s">
        <v>1111</v>
      </c>
      <c r="G493" s="32" t="s">
        <v>1112</v>
      </c>
      <c r="H493" s="32" t="s">
        <v>329</v>
      </c>
      <c r="I493" s="47"/>
    </row>
    <row r="494" spans="1:13" customFormat="1" ht="20.100000000000001" customHeight="1">
      <c r="A494" s="22" t="s">
        <v>1119</v>
      </c>
      <c r="B494" s="17" t="s">
        <v>60</v>
      </c>
      <c r="C494" s="46">
        <v>42538</v>
      </c>
      <c r="D494" s="47">
        <v>44</v>
      </c>
      <c r="E494" s="32" t="s">
        <v>1110</v>
      </c>
      <c r="F494" s="32" t="s">
        <v>1111</v>
      </c>
      <c r="G494" s="32" t="s">
        <v>1113</v>
      </c>
      <c r="H494" s="32" t="s">
        <v>329</v>
      </c>
      <c r="I494" s="47"/>
    </row>
    <row r="495" spans="1:13" customFormat="1" ht="20.100000000000001" customHeight="1">
      <c r="A495" s="22" t="s">
        <v>1119</v>
      </c>
      <c r="B495" s="17" t="s">
        <v>60</v>
      </c>
      <c r="C495" s="46">
        <v>42538</v>
      </c>
      <c r="D495" s="47">
        <v>45</v>
      </c>
      <c r="E495" s="32" t="s">
        <v>1110</v>
      </c>
      <c r="F495" s="32" t="s">
        <v>1111</v>
      </c>
      <c r="G495" s="32" t="s">
        <v>1114</v>
      </c>
      <c r="H495" s="32" t="s">
        <v>329</v>
      </c>
      <c r="I495" s="47"/>
    </row>
    <row r="496" spans="1:13" customFormat="1" ht="20.100000000000001" customHeight="1">
      <c r="A496" s="22" t="s">
        <v>1119</v>
      </c>
      <c r="B496" s="17" t="s">
        <v>60</v>
      </c>
      <c r="C496" s="46">
        <v>42538</v>
      </c>
      <c r="D496" s="47">
        <v>44</v>
      </c>
      <c r="E496" s="32" t="s">
        <v>1110</v>
      </c>
      <c r="F496" s="32" t="s">
        <v>1111</v>
      </c>
      <c r="G496" s="32" t="s">
        <v>1115</v>
      </c>
      <c r="H496" s="32" t="s">
        <v>329</v>
      </c>
      <c r="I496" s="47"/>
    </row>
    <row r="497" spans="1:9" customFormat="1" ht="20.100000000000001" customHeight="1">
      <c r="A497" s="22" t="s">
        <v>1119</v>
      </c>
      <c r="B497" s="17" t="s">
        <v>60</v>
      </c>
      <c r="C497" s="46">
        <v>42538</v>
      </c>
      <c r="D497" s="47">
        <v>40</v>
      </c>
      <c r="E497" s="32" t="s">
        <v>1110</v>
      </c>
      <c r="F497" s="32" t="s">
        <v>1111</v>
      </c>
      <c r="G497" s="32" t="s">
        <v>1116</v>
      </c>
      <c r="H497" s="32" t="s">
        <v>329</v>
      </c>
      <c r="I497" s="47"/>
    </row>
    <row r="498" spans="1:9" customFormat="1" ht="20.100000000000001" customHeight="1">
      <c r="A498" s="22" t="s">
        <v>1119</v>
      </c>
      <c r="B498" s="17" t="s">
        <v>60</v>
      </c>
      <c r="C498" s="46">
        <v>42538</v>
      </c>
      <c r="D498" s="47">
        <v>44</v>
      </c>
      <c r="E498" s="32" t="s">
        <v>1110</v>
      </c>
      <c r="F498" s="32" t="s">
        <v>1111</v>
      </c>
      <c r="G498" s="32" t="s">
        <v>1117</v>
      </c>
      <c r="H498" s="32" t="s">
        <v>329</v>
      </c>
      <c r="I498" s="47"/>
    </row>
    <row r="499" spans="1:9" customFormat="1" ht="20.100000000000001" customHeight="1">
      <c r="A499" s="22" t="s">
        <v>1119</v>
      </c>
      <c r="B499" s="17" t="s">
        <v>60</v>
      </c>
      <c r="C499" s="46">
        <v>42538</v>
      </c>
      <c r="D499" s="47">
        <v>38</v>
      </c>
      <c r="E499" s="32" t="s">
        <v>1110</v>
      </c>
      <c r="F499" s="32" t="s">
        <v>1111</v>
      </c>
      <c r="G499" s="32" t="s">
        <v>1118</v>
      </c>
      <c r="H499" s="32" t="s">
        <v>329</v>
      </c>
      <c r="I499" s="47"/>
    </row>
    <row r="500" spans="1:9" customFormat="1" ht="20.100000000000001" customHeight="1">
      <c r="A500" s="22" t="s">
        <v>1055</v>
      </c>
      <c r="B500" s="17" t="s">
        <v>60</v>
      </c>
      <c r="C500" s="46">
        <v>42540</v>
      </c>
      <c r="D500" s="47">
        <v>45</v>
      </c>
      <c r="E500" s="32" t="s">
        <v>1110</v>
      </c>
      <c r="F500" s="32" t="s">
        <v>1111</v>
      </c>
      <c r="G500" s="32" t="s">
        <v>1112</v>
      </c>
      <c r="H500" s="32" t="s">
        <v>328</v>
      </c>
      <c r="I500" s="47"/>
    </row>
    <row r="501" spans="1:9" customFormat="1" ht="20.100000000000001" customHeight="1">
      <c r="A501" s="22" t="s">
        <v>1055</v>
      </c>
      <c r="B501" s="17" t="s">
        <v>60</v>
      </c>
      <c r="C501" s="46">
        <v>42540</v>
      </c>
      <c r="D501" s="47">
        <v>44</v>
      </c>
      <c r="E501" s="32" t="s">
        <v>1110</v>
      </c>
      <c r="F501" s="32" t="s">
        <v>1111</v>
      </c>
      <c r="G501" s="32" t="s">
        <v>1113</v>
      </c>
      <c r="H501" s="32" t="s">
        <v>328</v>
      </c>
      <c r="I501" s="47"/>
    </row>
    <row r="502" spans="1:9" customFormat="1" ht="20.100000000000001" customHeight="1">
      <c r="A502" s="22" t="s">
        <v>1055</v>
      </c>
      <c r="B502" s="17" t="s">
        <v>60</v>
      </c>
      <c r="C502" s="46">
        <v>42540</v>
      </c>
      <c r="D502" s="47">
        <v>45</v>
      </c>
      <c r="E502" s="32" t="s">
        <v>1110</v>
      </c>
      <c r="F502" s="32" t="s">
        <v>1111</v>
      </c>
      <c r="G502" s="32" t="s">
        <v>1114</v>
      </c>
      <c r="H502" s="32" t="s">
        <v>328</v>
      </c>
      <c r="I502" s="47"/>
    </row>
    <row r="503" spans="1:9" customFormat="1" ht="20.100000000000001" customHeight="1">
      <c r="A503" s="22" t="s">
        <v>1055</v>
      </c>
      <c r="B503" s="17" t="s">
        <v>60</v>
      </c>
      <c r="C503" s="46">
        <v>42540</v>
      </c>
      <c r="D503" s="47">
        <v>44</v>
      </c>
      <c r="E503" s="32" t="s">
        <v>1110</v>
      </c>
      <c r="F503" s="32" t="s">
        <v>1111</v>
      </c>
      <c r="G503" s="32" t="s">
        <v>1115</v>
      </c>
      <c r="H503" s="32" t="s">
        <v>328</v>
      </c>
      <c r="I503" s="47"/>
    </row>
    <row r="504" spans="1:9" customFormat="1" ht="20.100000000000001" customHeight="1">
      <c r="A504" s="22" t="s">
        <v>1055</v>
      </c>
      <c r="B504" s="17" t="s">
        <v>60</v>
      </c>
      <c r="C504" s="46">
        <v>42540</v>
      </c>
      <c r="D504" s="47">
        <v>40</v>
      </c>
      <c r="E504" s="32" t="s">
        <v>1110</v>
      </c>
      <c r="F504" s="32" t="s">
        <v>1111</v>
      </c>
      <c r="G504" s="32" t="s">
        <v>1116</v>
      </c>
      <c r="H504" s="32" t="s">
        <v>328</v>
      </c>
      <c r="I504" s="47"/>
    </row>
    <row r="505" spans="1:9" customFormat="1" ht="20.100000000000001" customHeight="1">
      <c r="A505" s="22" t="s">
        <v>1055</v>
      </c>
      <c r="B505" s="17" t="s">
        <v>60</v>
      </c>
      <c r="C505" s="46">
        <v>42540</v>
      </c>
      <c r="D505" s="47">
        <v>44</v>
      </c>
      <c r="E505" s="32" t="s">
        <v>1110</v>
      </c>
      <c r="F505" s="32" t="s">
        <v>1111</v>
      </c>
      <c r="G505" s="32" t="s">
        <v>1117</v>
      </c>
      <c r="H505" s="32" t="s">
        <v>328</v>
      </c>
      <c r="I505" s="47"/>
    </row>
    <row r="506" spans="1:9" customFormat="1" ht="20.100000000000001" customHeight="1">
      <c r="A506" s="22" t="s">
        <v>1055</v>
      </c>
      <c r="B506" s="17" t="s">
        <v>60</v>
      </c>
      <c r="C506" s="46">
        <v>42540</v>
      </c>
      <c r="D506" s="47">
        <v>38</v>
      </c>
      <c r="E506" s="32" t="s">
        <v>1110</v>
      </c>
      <c r="F506" s="32" t="s">
        <v>1111</v>
      </c>
      <c r="G506" s="32" t="s">
        <v>1118</v>
      </c>
      <c r="H506" s="32" t="s">
        <v>328</v>
      </c>
      <c r="I506" s="47"/>
    </row>
    <row r="507" spans="1:9" customFormat="1" ht="20.100000000000001" customHeight="1">
      <c r="A507" s="22" t="s">
        <v>1057</v>
      </c>
      <c r="B507" s="17" t="s">
        <v>60</v>
      </c>
      <c r="C507" s="46">
        <v>42538</v>
      </c>
      <c r="D507" s="47">
        <v>60</v>
      </c>
      <c r="E507" s="19" t="s">
        <v>62</v>
      </c>
      <c r="F507" s="32" t="s">
        <v>63</v>
      </c>
      <c r="G507" s="32" t="s">
        <v>64</v>
      </c>
      <c r="H507" s="32" t="s">
        <v>329</v>
      </c>
      <c r="I507" s="47"/>
    </row>
    <row r="508" spans="1:9" customFormat="1" ht="20.100000000000001" customHeight="1">
      <c r="A508" s="22" t="s">
        <v>1054</v>
      </c>
      <c r="B508" s="17" t="s">
        <v>60</v>
      </c>
      <c r="C508" s="46">
        <v>42551</v>
      </c>
      <c r="D508" s="47">
        <v>60</v>
      </c>
      <c r="E508" s="19" t="s">
        <v>62</v>
      </c>
      <c r="F508" s="32" t="s">
        <v>63</v>
      </c>
      <c r="G508" s="32" t="s">
        <v>64</v>
      </c>
      <c r="H508" s="32" t="s">
        <v>328</v>
      </c>
      <c r="I508" s="47"/>
    </row>
    <row r="509" spans="1:9" customFormat="1" ht="20.100000000000001" customHeight="1">
      <c r="A509" s="22" t="s">
        <v>1057</v>
      </c>
      <c r="B509" s="17" t="s">
        <v>60</v>
      </c>
      <c r="C509" s="46">
        <v>42539</v>
      </c>
      <c r="D509" s="47">
        <v>39.9</v>
      </c>
      <c r="E509" s="19" t="s">
        <v>62</v>
      </c>
      <c r="F509" s="32" t="s">
        <v>63</v>
      </c>
      <c r="G509" s="32" t="s">
        <v>1122</v>
      </c>
      <c r="H509" s="32" t="s">
        <v>329</v>
      </c>
      <c r="I509" s="47"/>
    </row>
    <row r="510" spans="1:9" customFormat="1" ht="20.100000000000001" customHeight="1">
      <c r="A510" s="22" t="s">
        <v>1054</v>
      </c>
      <c r="B510" s="17" t="s">
        <v>60</v>
      </c>
      <c r="C510" s="46">
        <v>42545</v>
      </c>
      <c r="D510" s="47">
        <v>39.9</v>
      </c>
      <c r="E510" s="19" t="s">
        <v>62</v>
      </c>
      <c r="F510" s="32" t="s">
        <v>63</v>
      </c>
      <c r="G510" s="32" t="s">
        <v>1122</v>
      </c>
      <c r="H510" s="32" t="s">
        <v>328</v>
      </c>
      <c r="I510" s="47"/>
    </row>
    <row r="511" spans="1:9" customFormat="1" ht="20.100000000000001" customHeight="1">
      <c r="A511" s="22" t="s">
        <v>1057</v>
      </c>
      <c r="B511" s="17" t="s">
        <v>60</v>
      </c>
      <c r="C511" s="46">
        <v>42539</v>
      </c>
      <c r="D511" s="47">
        <v>39.799999999999997</v>
      </c>
      <c r="E511" s="19" t="s">
        <v>62</v>
      </c>
      <c r="F511" s="32" t="s">
        <v>63</v>
      </c>
      <c r="G511" s="32" t="s">
        <v>1123</v>
      </c>
      <c r="H511" s="32" t="s">
        <v>329</v>
      </c>
      <c r="I511" s="47"/>
    </row>
    <row r="512" spans="1:9" customFormat="1" ht="20.100000000000001" customHeight="1">
      <c r="A512" s="22" t="s">
        <v>1054</v>
      </c>
      <c r="B512" s="17" t="s">
        <v>60</v>
      </c>
      <c r="C512" s="46">
        <v>42545</v>
      </c>
      <c r="D512" s="47">
        <v>39.799999999999997</v>
      </c>
      <c r="E512" s="19" t="s">
        <v>62</v>
      </c>
      <c r="F512" s="32" t="s">
        <v>63</v>
      </c>
      <c r="G512" s="32" t="s">
        <v>1123</v>
      </c>
      <c r="H512" s="32" t="s">
        <v>328</v>
      </c>
      <c r="I512" s="47"/>
    </row>
    <row r="513" spans="1:12" customFormat="1" ht="20.100000000000001" customHeight="1">
      <c r="A513" s="22" t="s">
        <v>1020</v>
      </c>
      <c r="B513" s="17" t="s">
        <v>82</v>
      </c>
      <c r="C513" s="46">
        <v>42544</v>
      </c>
      <c r="D513" s="47">
        <v>32</v>
      </c>
      <c r="E513" s="32" t="s">
        <v>165</v>
      </c>
      <c r="F513" s="32" t="s">
        <v>63</v>
      </c>
      <c r="G513" s="32" t="s">
        <v>360</v>
      </c>
      <c r="H513" s="32" t="s">
        <v>328</v>
      </c>
      <c r="I513" s="47"/>
    </row>
    <row r="514" spans="1:12" customFormat="1" ht="20.100000000000001" customHeight="1">
      <c r="A514" s="22" t="s">
        <v>1137</v>
      </c>
      <c r="B514" s="17" t="s">
        <v>1138</v>
      </c>
      <c r="C514" s="20">
        <v>42535</v>
      </c>
      <c r="D514" s="47">
        <v>2600</v>
      </c>
      <c r="E514" s="19" t="s">
        <v>1000</v>
      </c>
      <c r="F514" s="32" t="s">
        <v>63</v>
      </c>
      <c r="H514" s="32" t="s">
        <v>329</v>
      </c>
      <c r="I514" s="47"/>
    </row>
    <row r="515" spans="1:12" customFormat="1" ht="20.100000000000001" customHeight="1">
      <c r="A515" s="22" t="s">
        <v>1073</v>
      </c>
      <c r="B515" s="17" t="s">
        <v>93</v>
      </c>
      <c r="C515" s="20">
        <v>42535</v>
      </c>
      <c r="D515" s="21">
        <v>2600</v>
      </c>
      <c r="E515" s="19" t="s">
        <v>1000</v>
      </c>
      <c r="F515" s="32" t="s">
        <v>63</v>
      </c>
      <c r="H515" s="32" t="s">
        <v>328</v>
      </c>
      <c r="I515" s="21"/>
    </row>
    <row r="516" spans="1:12" customFormat="1" ht="20.100000000000001" customHeight="1">
      <c r="A516" s="22" t="s">
        <v>1140</v>
      </c>
      <c r="B516" s="17" t="s">
        <v>93</v>
      </c>
      <c r="C516" s="46">
        <v>42538</v>
      </c>
      <c r="D516" s="21">
        <v>2000</v>
      </c>
      <c r="E516" s="19" t="s">
        <v>226</v>
      </c>
      <c r="F516" s="32" t="s">
        <v>63</v>
      </c>
      <c r="H516" s="32" t="s">
        <v>329</v>
      </c>
      <c r="I516" s="21"/>
    </row>
    <row r="517" spans="1:12" customFormat="1" ht="20.100000000000001" customHeight="1">
      <c r="A517" s="22" t="s">
        <v>1141</v>
      </c>
      <c r="B517" s="17" t="s">
        <v>93</v>
      </c>
      <c r="C517" s="46">
        <v>42538</v>
      </c>
      <c r="D517" s="21">
        <v>2000</v>
      </c>
      <c r="E517" s="19" t="s">
        <v>226</v>
      </c>
      <c r="F517" s="32" t="s">
        <v>63</v>
      </c>
      <c r="H517" s="32" t="s">
        <v>328</v>
      </c>
      <c r="I517" s="21"/>
    </row>
    <row r="518" spans="1:12" customFormat="1" ht="20.100000000000001" customHeight="1">
      <c r="A518" s="22" t="s">
        <v>1143</v>
      </c>
      <c r="B518" s="17" t="s">
        <v>1144</v>
      </c>
      <c r="C518" s="46">
        <v>42544</v>
      </c>
      <c r="D518" s="21">
        <v>80</v>
      </c>
      <c r="E518" s="19" t="s">
        <v>1145</v>
      </c>
      <c r="F518" s="32" t="s">
        <v>1146</v>
      </c>
      <c r="H518" s="32" t="s">
        <v>329</v>
      </c>
      <c r="I518" s="21">
        <v>120</v>
      </c>
      <c r="J518" s="32"/>
      <c r="K518" s="32"/>
      <c r="L518" s="32">
        <f>I518*D518</f>
        <v>9600</v>
      </c>
    </row>
    <row r="519" spans="1:12" customFormat="1" ht="20.100000000000001" customHeight="1">
      <c r="A519" s="22" t="s">
        <v>1109</v>
      </c>
      <c r="B519" s="17" t="s">
        <v>82</v>
      </c>
      <c r="C519" s="46">
        <v>42545</v>
      </c>
      <c r="D519" s="47">
        <v>28</v>
      </c>
      <c r="E519" s="32" t="s">
        <v>165</v>
      </c>
      <c r="F519" s="32" t="s">
        <v>63</v>
      </c>
      <c r="G519" s="32" t="s">
        <v>564</v>
      </c>
      <c r="H519" s="32" t="s">
        <v>328</v>
      </c>
      <c r="I519" s="47"/>
    </row>
    <row r="520" spans="1:12" customFormat="1" ht="20.100000000000001" customHeight="1">
      <c r="A520" s="22" t="s">
        <v>1109</v>
      </c>
      <c r="B520" s="17" t="s">
        <v>82</v>
      </c>
      <c r="C520" s="46">
        <v>42545</v>
      </c>
      <c r="D520" s="47">
        <v>28</v>
      </c>
      <c r="E520" s="32" t="s">
        <v>165</v>
      </c>
      <c r="F520" s="32" t="s">
        <v>63</v>
      </c>
      <c r="G520" s="32" t="s">
        <v>352</v>
      </c>
      <c r="H520" s="32" t="s">
        <v>328</v>
      </c>
      <c r="I520" s="47"/>
    </row>
    <row r="521" spans="1:12" customFormat="1" ht="20.100000000000001" customHeight="1">
      <c r="A521" s="22" t="s">
        <v>1057</v>
      </c>
      <c r="B521" s="17" t="s">
        <v>60</v>
      </c>
      <c r="C521" s="46">
        <v>42539</v>
      </c>
      <c r="D521" s="47">
        <v>39.799999999999997</v>
      </c>
      <c r="E521" s="32" t="s">
        <v>62</v>
      </c>
      <c r="F521" s="32" t="s">
        <v>63</v>
      </c>
      <c r="G521" s="32" t="s">
        <v>1152</v>
      </c>
      <c r="H521" s="32" t="s">
        <v>329</v>
      </c>
      <c r="I521" s="47"/>
    </row>
    <row r="522" spans="1:12" customFormat="1" ht="20.100000000000001" customHeight="1">
      <c r="A522" s="22" t="s">
        <v>1054</v>
      </c>
      <c r="B522" s="17" t="s">
        <v>60</v>
      </c>
      <c r="C522" s="46">
        <v>42545</v>
      </c>
      <c r="D522" s="47">
        <v>39.799999999999997</v>
      </c>
      <c r="E522" s="32" t="s">
        <v>62</v>
      </c>
      <c r="F522" s="32" t="s">
        <v>63</v>
      </c>
      <c r="G522" s="32" t="s">
        <v>1152</v>
      </c>
      <c r="H522" s="32" t="s">
        <v>328</v>
      </c>
      <c r="I522" s="47"/>
    </row>
    <row r="523" spans="1:12" customFormat="1" ht="20.100000000000001" customHeight="1">
      <c r="A523" s="22" t="s">
        <v>1153</v>
      </c>
      <c r="B523" s="17" t="s">
        <v>240</v>
      </c>
      <c r="C523" s="46">
        <v>42546</v>
      </c>
      <c r="D523" s="47">
        <v>112</v>
      </c>
      <c r="E523" s="32" t="s">
        <v>935</v>
      </c>
      <c r="F523" s="32" t="s">
        <v>165</v>
      </c>
      <c r="G523" s="32"/>
      <c r="H523" s="32" t="s">
        <v>329</v>
      </c>
      <c r="I523" s="47">
        <v>120</v>
      </c>
      <c r="L523" s="32">
        <f>I523*D523</f>
        <v>13440</v>
      </c>
    </row>
    <row r="524" spans="1:12" customFormat="1" ht="20.100000000000001" customHeight="1">
      <c r="A524" s="22" t="s">
        <v>1154</v>
      </c>
      <c r="B524" s="17" t="s">
        <v>240</v>
      </c>
      <c r="C524" s="46">
        <v>42544</v>
      </c>
      <c r="D524" s="47">
        <v>40</v>
      </c>
      <c r="E524" s="32" t="s">
        <v>968</v>
      </c>
      <c r="F524" s="32" t="s">
        <v>1155</v>
      </c>
      <c r="G524" s="32"/>
      <c r="H524" s="32" t="s">
        <v>329</v>
      </c>
      <c r="I524" s="47"/>
    </row>
    <row r="525" spans="1:12" customFormat="1" ht="20.100000000000001" customHeight="1">
      <c r="A525" s="22" t="s">
        <v>1156</v>
      </c>
      <c r="B525" s="17" t="s">
        <v>240</v>
      </c>
      <c r="C525" s="46">
        <v>42544</v>
      </c>
      <c r="D525" s="47">
        <v>160</v>
      </c>
      <c r="E525" s="32" t="s">
        <v>968</v>
      </c>
      <c r="F525" s="32" t="s">
        <v>1155</v>
      </c>
      <c r="G525" s="32"/>
      <c r="H525" s="32" t="s">
        <v>329</v>
      </c>
      <c r="I525" s="47"/>
    </row>
    <row r="526" spans="1:12" customFormat="1" ht="20.100000000000001" customHeight="1">
      <c r="A526" s="22" t="s">
        <v>985</v>
      </c>
      <c r="B526" s="17" t="s">
        <v>240</v>
      </c>
      <c r="C526" s="46">
        <v>42544</v>
      </c>
      <c r="D526" s="47">
        <v>40</v>
      </c>
      <c r="E526" s="32" t="s">
        <v>968</v>
      </c>
      <c r="F526" s="32" t="s">
        <v>1155</v>
      </c>
      <c r="G526" s="32"/>
      <c r="H526" s="32" t="s">
        <v>328</v>
      </c>
      <c r="I526" s="47"/>
    </row>
    <row r="527" spans="1:12" customFormat="1" ht="20.100000000000001" customHeight="1">
      <c r="A527" s="22" t="s">
        <v>987</v>
      </c>
      <c r="B527" s="17" t="s">
        <v>240</v>
      </c>
      <c r="C527" s="46">
        <v>42544</v>
      </c>
      <c r="D527" s="47">
        <v>60</v>
      </c>
      <c r="E527" s="32" t="s">
        <v>968</v>
      </c>
      <c r="F527" s="32" t="s">
        <v>1155</v>
      </c>
      <c r="G527" s="32"/>
      <c r="H527" s="32" t="s">
        <v>328</v>
      </c>
      <c r="I527" s="47"/>
    </row>
    <row r="528" spans="1:12" customFormat="1" ht="20.100000000000001" customHeight="1">
      <c r="A528" s="22" t="s">
        <v>989</v>
      </c>
      <c r="B528" s="17" t="s">
        <v>240</v>
      </c>
      <c r="C528" s="46">
        <v>42544</v>
      </c>
      <c r="D528" s="47">
        <v>60</v>
      </c>
      <c r="E528" s="32" t="s">
        <v>968</v>
      </c>
      <c r="F528" s="32" t="s">
        <v>1155</v>
      </c>
      <c r="G528" s="32"/>
      <c r="H528" s="32" t="s">
        <v>328</v>
      </c>
      <c r="I528" s="47"/>
    </row>
    <row r="529" spans="1:9" customFormat="1" ht="20.100000000000001" customHeight="1">
      <c r="A529" s="22" t="s">
        <v>991</v>
      </c>
      <c r="B529" s="17" t="s">
        <v>240</v>
      </c>
      <c r="C529" s="46">
        <v>42544</v>
      </c>
      <c r="D529" s="47">
        <v>40</v>
      </c>
      <c r="E529" s="32" t="s">
        <v>968</v>
      </c>
      <c r="F529" s="32" t="s">
        <v>1155</v>
      </c>
      <c r="G529" s="32"/>
      <c r="H529" s="32" t="s">
        <v>328</v>
      </c>
      <c r="I529" s="47"/>
    </row>
    <row r="530" spans="1:9" customFormat="1" ht="20.100000000000001" customHeight="1">
      <c r="A530" s="22" t="s">
        <v>1021</v>
      </c>
      <c r="B530" s="17" t="s">
        <v>85</v>
      </c>
      <c r="C530" s="46">
        <v>42548</v>
      </c>
      <c r="D530" s="47">
        <v>32</v>
      </c>
      <c r="E530" s="32" t="s">
        <v>165</v>
      </c>
      <c r="F530" s="32" t="s">
        <v>63</v>
      </c>
      <c r="G530" s="32" t="s">
        <v>360</v>
      </c>
      <c r="H530" s="32" t="s">
        <v>328</v>
      </c>
      <c r="I530" s="47"/>
    </row>
    <row r="531" spans="1:9" customFormat="1" ht="20.100000000000001" customHeight="1">
      <c r="A531" s="22" t="s">
        <v>1109</v>
      </c>
      <c r="B531" s="17" t="s">
        <v>82</v>
      </c>
      <c r="C531" s="46">
        <v>42548</v>
      </c>
      <c r="D531" s="47">
        <v>28</v>
      </c>
      <c r="E531" s="32" t="s">
        <v>165</v>
      </c>
      <c r="F531" s="32" t="s">
        <v>63</v>
      </c>
      <c r="G531" s="32" t="s">
        <v>594</v>
      </c>
      <c r="H531" s="32" t="s">
        <v>328</v>
      </c>
      <c r="I531" s="47"/>
    </row>
    <row r="532" spans="1:9" customFormat="1" ht="20.100000000000001" customHeight="1">
      <c r="A532" s="22" t="s">
        <v>1109</v>
      </c>
      <c r="B532" s="17" t="s">
        <v>82</v>
      </c>
      <c r="C532" s="46">
        <v>42548</v>
      </c>
      <c r="D532" s="47">
        <v>28</v>
      </c>
      <c r="E532" s="32" t="s">
        <v>165</v>
      </c>
      <c r="F532" s="32" t="s">
        <v>63</v>
      </c>
      <c r="G532" s="32" t="s">
        <v>564</v>
      </c>
      <c r="H532" s="32" t="s">
        <v>328</v>
      </c>
      <c r="I532" s="47"/>
    </row>
    <row r="533" spans="1:9" customFormat="1" ht="20.100000000000001" customHeight="1">
      <c r="A533" s="22" t="s">
        <v>1109</v>
      </c>
      <c r="B533" s="17" t="s">
        <v>82</v>
      </c>
      <c r="C533" s="46">
        <v>42550</v>
      </c>
      <c r="D533" s="47">
        <v>35</v>
      </c>
      <c r="E533" s="32" t="s">
        <v>165</v>
      </c>
      <c r="F533" s="32" t="s">
        <v>63</v>
      </c>
      <c r="G533" s="32" t="s">
        <v>1183</v>
      </c>
      <c r="H533" s="32" t="s">
        <v>328</v>
      </c>
      <c r="I533" s="47"/>
    </row>
    <row r="534" spans="1:9" customFormat="1" ht="20.100000000000001" customHeight="1">
      <c r="A534" s="22" t="s">
        <v>1109</v>
      </c>
      <c r="B534" s="17" t="s">
        <v>82</v>
      </c>
      <c r="C534" s="46">
        <v>42550</v>
      </c>
      <c r="D534" s="47">
        <v>35</v>
      </c>
      <c r="E534" s="32" t="s">
        <v>165</v>
      </c>
      <c r="F534" s="32" t="s">
        <v>63</v>
      </c>
      <c r="G534" s="32" t="s">
        <v>360</v>
      </c>
      <c r="H534" s="32" t="s">
        <v>328</v>
      </c>
      <c r="I534" s="47"/>
    </row>
    <row r="535" spans="1:9" customFormat="1" ht="20.100000000000001" customHeight="1">
      <c r="A535" s="22" t="s">
        <v>1109</v>
      </c>
      <c r="B535" s="17" t="s">
        <v>82</v>
      </c>
      <c r="C535" s="46">
        <v>42550</v>
      </c>
      <c r="D535" s="47">
        <v>27</v>
      </c>
      <c r="E535" s="32" t="s">
        <v>165</v>
      </c>
      <c r="F535" s="32" t="s">
        <v>63</v>
      </c>
      <c r="G535" s="32" t="s">
        <v>594</v>
      </c>
      <c r="H535" s="32" t="s">
        <v>328</v>
      </c>
      <c r="I535" s="47"/>
    </row>
    <row r="536" spans="1:9" customFormat="1" ht="20.100000000000001" customHeight="1">
      <c r="A536" s="22" t="s">
        <v>1021</v>
      </c>
      <c r="B536" s="17" t="s">
        <v>85</v>
      </c>
      <c r="C536" s="46">
        <v>42550</v>
      </c>
      <c r="D536" s="47">
        <v>24</v>
      </c>
      <c r="E536" s="32" t="s">
        <v>165</v>
      </c>
      <c r="F536" s="32" t="s">
        <v>63</v>
      </c>
      <c r="G536" s="32" t="s">
        <v>1184</v>
      </c>
      <c r="H536" s="32" t="s">
        <v>328</v>
      </c>
      <c r="I536" s="47"/>
    </row>
    <row r="537" spans="1:9" customFormat="1" ht="20.100000000000001" customHeight="1">
      <c r="A537" s="22" t="s">
        <v>1063</v>
      </c>
      <c r="B537" s="32" t="s">
        <v>1185</v>
      </c>
      <c r="C537" s="46">
        <v>42536</v>
      </c>
      <c r="D537" s="47">
        <v>25</v>
      </c>
      <c r="E537" s="19" t="s">
        <v>1186</v>
      </c>
      <c r="F537" s="32" t="s">
        <v>1187</v>
      </c>
      <c r="H537" s="32" t="s">
        <v>1188</v>
      </c>
      <c r="I537" s="47">
        <v>180</v>
      </c>
    </row>
    <row r="538" spans="1:9" customFormat="1" ht="20.100000000000001" customHeight="1">
      <c r="A538" s="22" t="s">
        <v>1021</v>
      </c>
      <c r="B538" s="17" t="s">
        <v>85</v>
      </c>
      <c r="C538" s="46">
        <v>42551</v>
      </c>
      <c r="D538" s="47">
        <v>24.2</v>
      </c>
      <c r="E538" s="32" t="s">
        <v>165</v>
      </c>
      <c r="F538" s="32" t="s">
        <v>63</v>
      </c>
      <c r="G538" s="32" t="s">
        <v>1189</v>
      </c>
      <c r="H538" s="32" t="s">
        <v>328</v>
      </c>
      <c r="I538" s="47"/>
    </row>
    <row r="539" spans="1:9" customFormat="1" ht="20.100000000000001" customHeight="1">
      <c r="A539" s="22" t="s">
        <v>1191</v>
      </c>
      <c r="B539" s="17" t="s">
        <v>1193</v>
      </c>
      <c r="C539" s="46">
        <v>42545</v>
      </c>
      <c r="D539" s="47">
        <v>1650</v>
      </c>
      <c r="E539" s="19" t="s">
        <v>1000</v>
      </c>
      <c r="F539" s="32" t="s">
        <v>63</v>
      </c>
      <c r="H539" s="32" t="s">
        <v>329</v>
      </c>
      <c r="I539" s="47"/>
    </row>
    <row r="540" spans="1:9" customFormat="1" ht="20.100000000000001" customHeight="1">
      <c r="A540" s="22" t="s">
        <v>1192</v>
      </c>
      <c r="B540" s="17" t="s">
        <v>1193</v>
      </c>
      <c r="C540" s="46">
        <v>42545</v>
      </c>
      <c r="D540" s="47">
        <v>1650</v>
      </c>
      <c r="E540" s="19" t="s">
        <v>1000</v>
      </c>
      <c r="F540" s="32" t="s">
        <v>63</v>
      </c>
      <c r="H540" s="32" t="s">
        <v>328</v>
      </c>
      <c r="I540" s="47"/>
    </row>
    <row r="541" spans="1:9" customFormat="1" ht="20.100000000000001" customHeight="1">
      <c r="A541" s="22" t="s">
        <v>1191</v>
      </c>
      <c r="B541" s="17" t="s">
        <v>1193</v>
      </c>
      <c r="C541" s="46">
        <v>42548</v>
      </c>
      <c r="D541" s="47">
        <v>2600</v>
      </c>
      <c r="E541" s="19" t="s">
        <v>1000</v>
      </c>
      <c r="F541" s="32" t="s">
        <v>63</v>
      </c>
      <c r="H541" s="32" t="s">
        <v>329</v>
      </c>
      <c r="I541" s="47"/>
    </row>
    <row r="542" spans="1:9" customFormat="1" ht="20.100000000000001" customHeight="1">
      <c r="A542" s="22" t="s">
        <v>1192</v>
      </c>
      <c r="B542" s="17" t="s">
        <v>1193</v>
      </c>
      <c r="C542" s="46">
        <v>42548</v>
      </c>
      <c r="D542" s="47">
        <v>2600</v>
      </c>
      <c r="E542" s="19" t="s">
        <v>1000</v>
      </c>
      <c r="F542" s="32" t="s">
        <v>63</v>
      </c>
      <c r="H542" s="32" t="s">
        <v>328</v>
      </c>
      <c r="I542" s="47"/>
    </row>
    <row r="543" spans="1:9" customFormat="1" ht="20.100000000000001" customHeight="1">
      <c r="A543" s="22" t="s">
        <v>1191</v>
      </c>
      <c r="B543" s="17" t="s">
        <v>1193</v>
      </c>
      <c r="C543" s="46">
        <v>42545</v>
      </c>
      <c r="D543" s="47">
        <v>3000</v>
      </c>
      <c r="E543" s="19" t="s">
        <v>1000</v>
      </c>
      <c r="F543" s="32" t="s">
        <v>63</v>
      </c>
      <c r="H543" s="32" t="s">
        <v>329</v>
      </c>
      <c r="I543" s="47"/>
    </row>
    <row r="544" spans="1:9" customFormat="1" ht="20.100000000000001" customHeight="1">
      <c r="A544" s="22" t="s">
        <v>1192</v>
      </c>
      <c r="B544" s="17" t="s">
        <v>1193</v>
      </c>
      <c r="C544" s="46">
        <v>42545</v>
      </c>
      <c r="D544" s="47">
        <v>3000</v>
      </c>
      <c r="E544" s="19" t="s">
        <v>1000</v>
      </c>
      <c r="F544" s="32" t="s">
        <v>63</v>
      </c>
      <c r="H544" s="32" t="s">
        <v>328</v>
      </c>
      <c r="I544" s="47"/>
    </row>
    <row r="545" spans="1:9" customFormat="1" ht="20.100000000000001" customHeight="1">
      <c r="A545" s="22" t="s">
        <v>1194</v>
      </c>
      <c r="B545" s="17" t="s">
        <v>1193</v>
      </c>
      <c r="C545" s="46">
        <v>42548</v>
      </c>
      <c r="D545" s="47">
        <v>1950</v>
      </c>
      <c r="E545" s="19" t="s">
        <v>226</v>
      </c>
      <c r="F545" s="32" t="s">
        <v>63</v>
      </c>
      <c r="H545" s="32" t="s">
        <v>329</v>
      </c>
      <c r="I545" s="47"/>
    </row>
    <row r="546" spans="1:9" customFormat="1" ht="20.100000000000001" customHeight="1">
      <c r="A546" s="22" t="s">
        <v>1195</v>
      </c>
      <c r="B546" s="17" t="s">
        <v>1193</v>
      </c>
      <c r="C546" s="46">
        <v>42548</v>
      </c>
      <c r="D546" s="47">
        <v>1950</v>
      </c>
      <c r="E546" s="19" t="s">
        <v>226</v>
      </c>
      <c r="F546" s="32" t="s">
        <v>63</v>
      </c>
      <c r="H546" s="32" t="s">
        <v>328</v>
      </c>
      <c r="I546" s="47"/>
    </row>
    <row r="547" spans="1:9" customFormat="1" ht="20.100000000000001" customHeight="1">
      <c r="A547" s="22" t="s">
        <v>1058</v>
      </c>
      <c r="B547" s="17" t="s">
        <v>60</v>
      </c>
      <c r="C547" s="46">
        <v>42545</v>
      </c>
      <c r="D547" s="47">
        <v>34.14</v>
      </c>
      <c r="E547" s="32" t="s">
        <v>185</v>
      </c>
      <c r="F547" s="32" t="s">
        <v>63</v>
      </c>
      <c r="G547" s="32" t="s">
        <v>1207</v>
      </c>
      <c r="H547" s="32" t="s">
        <v>329</v>
      </c>
      <c r="I547" s="47"/>
    </row>
    <row r="548" spans="1:9" customFormat="1" ht="20.100000000000001" customHeight="1">
      <c r="A548" s="22" t="s">
        <v>1054</v>
      </c>
      <c r="B548" s="17" t="s">
        <v>60</v>
      </c>
      <c r="C548" s="46">
        <v>42547</v>
      </c>
      <c r="D548" s="47">
        <v>34.14</v>
      </c>
      <c r="E548" s="32" t="s">
        <v>185</v>
      </c>
      <c r="F548" s="32" t="s">
        <v>63</v>
      </c>
      <c r="G548" s="32" t="s">
        <v>1207</v>
      </c>
      <c r="H548" s="32" t="s">
        <v>328</v>
      </c>
      <c r="I548" s="47"/>
    </row>
    <row r="549" spans="1:9" customFormat="1" ht="20.100000000000001" customHeight="1">
      <c r="A549" s="22" t="s">
        <v>1058</v>
      </c>
      <c r="B549" s="17" t="s">
        <v>60</v>
      </c>
      <c r="C549" s="46">
        <v>42545</v>
      </c>
      <c r="D549" s="47">
        <v>36.22</v>
      </c>
      <c r="E549" s="32" t="s">
        <v>185</v>
      </c>
      <c r="F549" s="32" t="s">
        <v>63</v>
      </c>
      <c r="G549" s="32" t="s">
        <v>1208</v>
      </c>
      <c r="H549" s="32" t="s">
        <v>329</v>
      </c>
      <c r="I549" s="47"/>
    </row>
    <row r="550" spans="1:9" customFormat="1" ht="20.100000000000001" customHeight="1">
      <c r="A550" s="22" t="s">
        <v>1054</v>
      </c>
      <c r="B550" s="17" t="s">
        <v>60</v>
      </c>
      <c r="C550" s="46">
        <v>42547</v>
      </c>
      <c r="D550" s="47">
        <v>36.22</v>
      </c>
      <c r="E550" s="32" t="s">
        <v>185</v>
      </c>
      <c r="F550" s="32" t="s">
        <v>63</v>
      </c>
      <c r="G550" s="32" t="s">
        <v>1208</v>
      </c>
      <c r="H550" s="32" t="s">
        <v>328</v>
      </c>
      <c r="I550" s="47"/>
    </row>
    <row r="551" spans="1:9" customFormat="1" ht="20.100000000000001" customHeight="1">
      <c r="A551" s="22" t="s">
        <v>1058</v>
      </c>
      <c r="B551" s="17" t="s">
        <v>60</v>
      </c>
      <c r="C551" s="46">
        <v>42545</v>
      </c>
      <c r="D551" s="47">
        <v>36.21</v>
      </c>
      <c r="E551" s="32" t="s">
        <v>185</v>
      </c>
      <c r="F551" s="32" t="s">
        <v>63</v>
      </c>
      <c r="G551" s="32" t="s">
        <v>1209</v>
      </c>
      <c r="H551" s="32" t="s">
        <v>329</v>
      </c>
      <c r="I551" s="47"/>
    </row>
    <row r="552" spans="1:9" customFormat="1" ht="20.100000000000001" customHeight="1">
      <c r="A552" s="22" t="s">
        <v>1054</v>
      </c>
      <c r="B552" s="17" t="s">
        <v>60</v>
      </c>
      <c r="C552" s="46">
        <v>42547</v>
      </c>
      <c r="D552" s="47">
        <v>36.21</v>
      </c>
      <c r="E552" s="32" t="s">
        <v>185</v>
      </c>
      <c r="F552" s="32" t="s">
        <v>63</v>
      </c>
      <c r="G552" s="32" t="s">
        <v>1209</v>
      </c>
      <c r="H552" s="32" t="s">
        <v>328</v>
      </c>
      <c r="I552" s="47"/>
    </row>
    <row r="553" spans="1:9" customFormat="1" ht="20.100000000000001" customHeight="1">
      <c r="A553" s="22" t="s">
        <v>1058</v>
      </c>
      <c r="B553" s="17" t="s">
        <v>60</v>
      </c>
      <c r="C553" s="46">
        <v>42545</v>
      </c>
      <c r="D553" s="47">
        <v>39.229999999999997</v>
      </c>
      <c r="E553" s="32" t="s">
        <v>185</v>
      </c>
      <c r="F553" s="32" t="s">
        <v>63</v>
      </c>
      <c r="G553" s="32" t="s">
        <v>1210</v>
      </c>
      <c r="H553" s="32" t="s">
        <v>329</v>
      </c>
      <c r="I553" s="47"/>
    </row>
    <row r="554" spans="1:9" customFormat="1" ht="20.100000000000001" customHeight="1">
      <c r="A554" s="22" t="s">
        <v>1054</v>
      </c>
      <c r="B554" s="17" t="s">
        <v>60</v>
      </c>
      <c r="C554" s="46">
        <v>42547</v>
      </c>
      <c r="D554" s="47">
        <v>39.229999999999997</v>
      </c>
      <c r="E554" s="32" t="s">
        <v>185</v>
      </c>
      <c r="F554" s="32" t="s">
        <v>63</v>
      </c>
      <c r="G554" s="32" t="s">
        <v>1210</v>
      </c>
      <c r="H554" s="32" t="s">
        <v>328</v>
      </c>
      <c r="I554" s="47"/>
    </row>
    <row r="555" spans="1:9" customFormat="1" ht="20.100000000000001" customHeight="1">
      <c r="A555" s="22" t="s">
        <v>1058</v>
      </c>
      <c r="B555" s="17" t="s">
        <v>60</v>
      </c>
      <c r="C555" s="46">
        <v>42545</v>
      </c>
      <c r="D555" s="47">
        <v>39.21</v>
      </c>
      <c r="E555" s="32" t="s">
        <v>185</v>
      </c>
      <c r="F555" s="32" t="s">
        <v>63</v>
      </c>
      <c r="G555" s="32" t="s">
        <v>1211</v>
      </c>
      <c r="H555" s="32" t="s">
        <v>329</v>
      </c>
      <c r="I555" s="47"/>
    </row>
    <row r="556" spans="1:9" customFormat="1" ht="20.100000000000001" customHeight="1">
      <c r="A556" s="22" t="s">
        <v>1054</v>
      </c>
      <c r="B556" s="17" t="s">
        <v>60</v>
      </c>
      <c r="C556" s="46">
        <v>42547</v>
      </c>
      <c r="D556" s="47">
        <v>39.21</v>
      </c>
      <c r="E556" s="32" t="s">
        <v>185</v>
      </c>
      <c r="F556" s="32" t="s">
        <v>63</v>
      </c>
      <c r="G556" s="32" t="s">
        <v>1211</v>
      </c>
      <c r="H556" s="32" t="s">
        <v>328</v>
      </c>
      <c r="I556" s="47"/>
    </row>
    <row r="557" spans="1:9" customFormat="1" ht="20.100000000000001" customHeight="1">
      <c r="A557" s="22" t="s">
        <v>1058</v>
      </c>
      <c r="B557" s="17" t="s">
        <v>60</v>
      </c>
      <c r="C557" s="46">
        <v>42545</v>
      </c>
      <c r="D557" s="47">
        <v>39.26</v>
      </c>
      <c r="E557" s="32" t="s">
        <v>185</v>
      </c>
      <c r="F557" s="32" t="s">
        <v>63</v>
      </c>
      <c r="G557" s="32" t="s">
        <v>1212</v>
      </c>
      <c r="H557" s="32" t="s">
        <v>329</v>
      </c>
      <c r="I557" s="47"/>
    </row>
    <row r="558" spans="1:9" customFormat="1" ht="20.100000000000001" customHeight="1">
      <c r="A558" s="22" t="s">
        <v>1054</v>
      </c>
      <c r="B558" s="17" t="s">
        <v>60</v>
      </c>
      <c r="C558" s="46">
        <v>42547</v>
      </c>
      <c r="D558" s="47">
        <v>39.26</v>
      </c>
      <c r="E558" s="32" t="s">
        <v>185</v>
      </c>
      <c r="F558" s="32" t="s">
        <v>63</v>
      </c>
      <c r="G558" s="32" t="s">
        <v>1212</v>
      </c>
      <c r="H558" s="32" t="s">
        <v>328</v>
      </c>
      <c r="I558" s="47"/>
    </row>
    <row r="559" spans="1:9" customFormat="1" ht="20.100000000000001" customHeight="1">
      <c r="A559" s="22" t="s">
        <v>1058</v>
      </c>
      <c r="B559" s="17" t="s">
        <v>60</v>
      </c>
      <c r="C559" s="46">
        <v>42545</v>
      </c>
      <c r="D559" s="47">
        <v>40.25</v>
      </c>
      <c r="E559" s="32" t="s">
        <v>185</v>
      </c>
      <c r="F559" s="32" t="s">
        <v>63</v>
      </c>
      <c r="G559" s="32" t="s">
        <v>1213</v>
      </c>
      <c r="H559" s="32" t="s">
        <v>329</v>
      </c>
      <c r="I559" s="47"/>
    </row>
    <row r="560" spans="1:9" customFormat="1" ht="20.100000000000001" customHeight="1">
      <c r="A560" s="22" t="s">
        <v>1233</v>
      </c>
      <c r="B560" s="17" t="s">
        <v>1234</v>
      </c>
      <c r="C560" s="46">
        <v>42547</v>
      </c>
      <c r="D560" s="47">
        <v>40.25</v>
      </c>
      <c r="E560" s="32" t="s">
        <v>1235</v>
      </c>
      <c r="F560" s="32" t="s">
        <v>1236</v>
      </c>
      <c r="G560" s="32" t="s">
        <v>1237</v>
      </c>
      <c r="H560" s="32" t="s">
        <v>1238</v>
      </c>
      <c r="I560" s="47"/>
    </row>
    <row r="561" spans="1:9" customFormat="1" ht="20.100000000000001" customHeight="1">
      <c r="A561" s="22" t="s">
        <v>1239</v>
      </c>
      <c r="B561" s="17" t="s">
        <v>1240</v>
      </c>
      <c r="C561" s="46">
        <v>42556</v>
      </c>
      <c r="D561" s="50">
        <v>37</v>
      </c>
      <c r="E561" s="32" t="s">
        <v>1241</v>
      </c>
      <c r="F561" s="32" t="s">
        <v>1242</v>
      </c>
      <c r="G561" s="32"/>
      <c r="H561" s="32" t="s">
        <v>1243</v>
      </c>
      <c r="I561" s="50"/>
    </row>
    <row r="562" spans="1:9" customFormat="1" ht="20.100000000000001" customHeight="1">
      <c r="A562" s="22" t="s">
        <v>1221</v>
      </c>
      <c r="B562" s="17" t="s">
        <v>1240</v>
      </c>
      <c r="C562" s="46">
        <v>42557</v>
      </c>
      <c r="D562" s="50">
        <v>37</v>
      </c>
      <c r="E562" s="32" t="s">
        <v>1241</v>
      </c>
      <c r="F562" s="32" t="s">
        <v>1242</v>
      </c>
      <c r="G562" s="32"/>
      <c r="H562" s="32" t="s">
        <v>1238</v>
      </c>
      <c r="I562" s="50"/>
    </row>
    <row r="563" spans="1:9" customFormat="1" ht="20.100000000000001" customHeight="1">
      <c r="A563" s="22" t="s">
        <v>1217</v>
      </c>
      <c r="B563" s="17" t="s">
        <v>1244</v>
      </c>
      <c r="C563" s="46">
        <v>42556</v>
      </c>
      <c r="D563" s="50">
        <v>40</v>
      </c>
      <c r="E563" s="32" t="s">
        <v>1245</v>
      </c>
      <c r="F563" s="32" t="s">
        <v>1236</v>
      </c>
      <c r="G563" s="32" t="s">
        <v>1246</v>
      </c>
      <c r="H563" s="32" t="s">
        <v>1238</v>
      </c>
      <c r="I563" s="50"/>
    </row>
    <row r="564" spans="1:9" customFormat="1" ht="20.100000000000001" customHeight="1">
      <c r="A564" s="22" t="s">
        <v>1251</v>
      </c>
      <c r="B564" s="17" t="s">
        <v>1234</v>
      </c>
      <c r="C564" s="46">
        <v>42556</v>
      </c>
      <c r="D564" s="50">
        <v>65.540000000000006</v>
      </c>
      <c r="E564" s="32" t="s">
        <v>1248</v>
      </c>
      <c r="F564" s="32" t="s">
        <v>422</v>
      </c>
      <c r="G564" s="32" t="s">
        <v>1247</v>
      </c>
      <c r="H564" s="32" t="s">
        <v>329</v>
      </c>
      <c r="I564" s="50"/>
    </row>
    <row r="565" spans="1:9" customFormat="1" ht="20.100000000000001" customHeight="1">
      <c r="A565" s="22" t="s">
        <v>1251</v>
      </c>
      <c r="B565" s="17" t="s">
        <v>1234</v>
      </c>
      <c r="C565" s="46">
        <v>42556</v>
      </c>
      <c r="D565" s="50">
        <v>40.14</v>
      </c>
      <c r="E565" s="32" t="s">
        <v>1248</v>
      </c>
      <c r="F565" s="32" t="s">
        <v>422</v>
      </c>
      <c r="G565" s="32" t="s">
        <v>1249</v>
      </c>
      <c r="H565" s="32" t="s">
        <v>329</v>
      </c>
      <c r="I565" s="50"/>
    </row>
    <row r="566" spans="1:9" customFormat="1" ht="20.100000000000001" customHeight="1">
      <c r="A566" s="22" t="s">
        <v>1251</v>
      </c>
      <c r="B566" s="17" t="s">
        <v>1234</v>
      </c>
      <c r="C566" s="46">
        <v>42556</v>
      </c>
      <c r="D566" s="50">
        <v>40.08</v>
      </c>
      <c r="E566" s="32" t="s">
        <v>1248</v>
      </c>
      <c r="F566" s="32" t="s">
        <v>422</v>
      </c>
      <c r="G566" s="32" t="s">
        <v>1250</v>
      </c>
      <c r="H566" s="32" t="s">
        <v>329</v>
      </c>
      <c r="I566" s="50"/>
    </row>
    <row r="567" spans="1:9" customFormat="1" ht="20.100000000000001" customHeight="1">
      <c r="A567" s="22" t="s">
        <v>1220</v>
      </c>
      <c r="B567" s="22" t="s">
        <v>1276</v>
      </c>
      <c r="C567" s="46">
        <v>42559</v>
      </c>
      <c r="D567" s="50">
        <v>65.540000000000006</v>
      </c>
      <c r="E567" s="32" t="s">
        <v>362</v>
      </c>
      <c r="F567" s="32" t="s">
        <v>70</v>
      </c>
      <c r="G567" s="32" t="s">
        <v>1247</v>
      </c>
      <c r="H567" s="32" t="s">
        <v>328</v>
      </c>
      <c r="I567" s="50"/>
    </row>
    <row r="568" spans="1:9" customFormat="1" ht="20.100000000000001" customHeight="1">
      <c r="A568" s="22" t="s">
        <v>1251</v>
      </c>
      <c r="B568" s="17" t="s">
        <v>60</v>
      </c>
      <c r="C568" s="46">
        <v>42556</v>
      </c>
      <c r="D568" s="50">
        <v>75.28</v>
      </c>
      <c r="E568" s="32" t="s">
        <v>362</v>
      </c>
      <c r="F568" s="32" t="s">
        <v>70</v>
      </c>
      <c r="G568" s="32" t="s">
        <v>1277</v>
      </c>
      <c r="H568" s="32" t="s">
        <v>329</v>
      </c>
      <c r="I568" s="50"/>
    </row>
    <row r="569" spans="1:9" customFormat="1" ht="20.100000000000001" customHeight="1">
      <c r="A569" s="22" t="s">
        <v>1220</v>
      </c>
      <c r="B569" s="22" t="s">
        <v>60</v>
      </c>
      <c r="C569" s="46">
        <v>42559</v>
      </c>
      <c r="D569" s="50">
        <v>75.28</v>
      </c>
      <c r="E569" s="32" t="s">
        <v>362</v>
      </c>
      <c r="F569" s="32" t="s">
        <v>70</v>
      </c>
      <c r="G569" s="32" t="s">
        <v>1277</v>
      </c>
      <c r="H569" s="32" t="s">
        <v>328</v>
      </c>
      <c r="I569" s="50"/>
    </row>
    <row r="570" spans="1:9" customFormat="1" ht="20.100000000000001" customHeight="1">
      <c r="A570" s="22" t="s">
        <v>1220</v>
      </c>
      <c r="B570" s="22" t="s">
        <v>60</v>
      </c>
      <c r="C570" s="46">
        <v>42559</v>
      </c>
      <c r="D570" s="50">
        <v>40.14</v>
      </c>
      <c r="E570" s="32" t="s">
        <v>362</v>
      </c>
      <c r="F570" s="32" t="s">
        <v>70</v>
      </c>
      <c r="G570" s="32" t="s">
        <v>1249</v>
      </c>
      <c r="H570" s="32" t="s">
        <v>328</v>
      </c>
      <c r="I570" s="50"/>
    </row>
    <row r="571" spans="1:9" customFormat="1" ht="20.100000000000001" customHeight="1">
      <c r="A571" s="22" t="s">
        <v>1220</v>
      </c>
      <c r="B571" s="22" t="s">
        <v>60</v>
      </c>
      <c r="C571" s="46">
        <v>42559</v>
      </c>
      <c r="D571" s="50">
        <v>40.08</v>
      </c>
      <c r="E571" s="32" t="s">
        <v>362</v>
      </c>
      <c r="F571" s="32" t="s">
        <v>70</v>
      </c>
      <c r="G571" s="32" t="s">
        <v>1250</v>
      </c>
      <c r="H571" s="32" t="s">
        <v>328</v>
      </c>
      <c r="I571" s="50"/>
    </row>
    <row r="572" spans="1:9" customFormat="1" ht="20.100000000000001" customHeight="1">
      <c r="A572" s="22" t="s">
        <v>1293</v>
      </c>
      <c r="B572" s="22" t="s">
        <v>1294</v>
      </c>
      <c r="C572" s="46">
        <v>42562</v>
      </c>
      <c r="D572" s="50">
        <v>60</v>
      </c>
      <c r="E572" s="32" t="s">
        <v>663</v>
      </c>
      <c r="F572" s="32" t="s">
        <v>1295</v>
      </c>
      <c r="G572" s="32" t="s">
        <v>1296</v>
      </c>
      <c r="H572" s="32" t="s">
        <v>1297</v>
      </c>
      <c r="I572" s="50"/>
    </row>
    <row r="573" spans="1:9" customFormat="1" ht="20.100000000000001" customHeight="1">
      <c r="A573" s="22" t="s">
        <v>1293</v>
      </c>
      <c r="B573" s="22" t="s">
        <v>1294</v>
      </c>
      <c r="C573" s="46">
        <v>42562</v>
      </c>
      <c r="D573" s="50">
        <v>60</v>
      </c>
      <c r="E573" s="32" t="s">
        <v>663</v>
      </c>
      <c r="F573" s="32" t="s">
        <v>1295</v>
      </c>
      <c r="G573" s="32" t="s">
        <v>1298</v>
      </c>
      <c r="H573" s="32" t="s">
        <v>1297</v>
      </c>
      <c r="I573" s="50"/>
    </row>
    <row r="574" spans="1:9" customFormat="1" ht="20.100000000000001" customHeight="1">
      <c r="A574" s="22" t="s">
        <v>1293</v>
      </c>
      <c r="B574" s="22" t="s">
        <v>1294</v>
      </c>
      <c r="C574" s="46">
        <v>42562</v>
      </c>
      <c r="D574" s="50">
        <v>60</v>
      </c>
      <c r="E574" s="32" t="s">
        <v>663</v>
      </c>
      <c r="F574" s="32" t="s">
        <v>1295</v>
      </c>
      <c r="G574" s="32" t="s">
        <v>1299</v>
      </c>
      <c r="H574" s="32" t="s">
        <v>1297</v>
      </c>
      <c r="I574" s="50"/>
    </row>
    <row r="575" spans="1:9" customFormat="1" ht="20.100000000000001" customHeight="1">
      <c r="A575" s="22" t="s">
        <v>1293</v>
      </c>
      <c r="B575" s="22" t="s">
        <v>1294</v>
      </c>
      <c r="C575" s="46">
        <v>42562</v>
      </c>
      <c r="D575" s="50">
        <v>60</v>
      </c>
      <c r="E575" s="32" t="s">
        <v>663</v>
      </c>
      <c r="F575" s="32" t="s">
        <v>1295</v>
      </c>
      <c r="G575" s="32" t="s">
        <v>1300</v>
      </c>
      <c r="H575" s="32" t="s">
        <v>1297</v>
      </c>
      <c r="I575" s="50"/>
    </row>
    <row r="576" spans="1:9" customFormat="1" ht="20.100000000000001" customHeight="1">
      <c r="A576" s="22" t="s">
        <v>1293</v>
      </c>
      <c r="B576" s="22" t="s">
        <v>1294</v>
      </c>
      <c r="C576" s="46">
        <v>42562</v>
      </c>
      <c r="D576" s="50">
        <v>60</v>
      </c>
      <c r="E576" s="32" t="s">
        <v>663</v>
      </c>
      <c r="F576" s="32" t="s">
        <v>1295</v>
      </c>
      <c r="G576" s="32" t="s">
        <v>1301</v>
      </c>
      <c r="H576" s="32" t="s">
        <v>1297</v>
      </c>
      <c r="I576" s="50"/>
    </row>
    <row r="577" spans="1:9" customFormat="1" ht="20.100000000000001" customHeight="1">
      <c r="A577" s="22" t="s">
        <v>1217</v>
      </c>
      <c r="B577" s="22" t="s">
        <v>82</v>
      </c>
      <c r="C577" s="46">
        <v>42564</v>
      </c>
      <c r="D577" s="50">
        <v>31</v>
      </c>
      <c r="E577" s="32" t="s">
        <v>165</v>
      </c>
      <c r="F577" s="32" t="s">
        <v>63</v>
      </c>
      <c r="G577" s="32" t="s">
        <v>360</v>
      </c>
      <c r="H577" s="32" t="s">
        <v>328</v>
      </c>
      <c r="I577" s="50"/>
    </row>
    <row r="578" spans="1:9" customFormat="1" ht="20.100000000000001" customHeight="1">
      <c r="A578" s="22" t="s">
        <v>1220</v>
      </c>
      <c r="B578" s="22" t="s">
        <v>60</v>
      </c>
      <c r="C578" s="46">
        <v>42562</v>
      </c>
      <c r="D578" s="50">
        <v>60</v>
      </c>
      <c r="E578" s="32" t="s">
        <v>663</v>
      </c>
      <c r="F578" s="32" t="s">
        <v>70</v>
      </c>
      <c r="G578" s="32" t="s">
        <v>1296</v>
      </c>
      <c r="H578" s="32" t="s">
        <v>328</v>
      </c>
      <c r="I578" s="50"/>
    </row>
    <row r="579" spans="1:9" customFormat="1" ht="20.100000000000001" customHeight="1">
      <c r="A579" s="22" t="s">
        <v>1220</v>
      </c>
      <c r="B579" s="22" t="s">
        <v>60</v>
      </c>
      <c r="C579" s="46">
        <v>42562</v>
      </c>
      <c r="D579" s="50">
        <v>60</v>
      </c>
      <c r="E579" s="32" t="s">
        <v>663</v>
      </c>
      <c r="F579" s="32" t="s">
        <v>70</v>
      </c>
      <c r="G579" s="32" t="s">
        <v>1298</v>
      </c>
      <c r="H579" s="32" t="s">
        <v>328</v>
      </c>
      <c r="I579" s="50"/>
    </row>
    <row r="580" spans="1:9" customFormat="1" ht="20.100000000000001" customHeight="1">
      <c r="A580" s="22" t="s">
        <v>1220</v>
      </c>
      <c r="B580" s="22" t="s">
        <v>60</v>
      </c>
      <c r="C580" s="46">
        <v>42562</v>
      </c>
      <c r="D580" s="50">
        <v>60</v>
      </c>
      <c r="E580" s="32" t="s">
        <v>663</v>
      </c>
      <c r="F580" s="32" t="s">
        <v>70</v>
      </c>
      <c r="G580" s="32" t="s">
        <v>1299</v>
      </c>
      <c r="H580" s="32" t="s">
        <v>328</v>
      </c>
      <c r="I580" s="50"/>
    </row>
    <row r="581" spans="1:9" customFormat="1" ht="20.100000000000001" customHeight="1">
      <c r="A581" s="22" t="s">
        <v>1220</v>
      </c>
      <c r="B581" s="22" t="s">
        <v>60</v>
      </c>
      <c r="C581" s="46">
        <v>42562</v>
      </c>
      <c r="D581" s="50">
        <v>60</v>
      </c>
      <c r="E581" s="32" t="s">
        <v>663</v>
      </c>
      <c r="F581" s="32" t="s">
        <v>70</v>
      </c>
      <c r="G581" s="32" t="s">
        <v>1300</v>
      </c>
      <c r="H581" s="32" t="s">
        <v>328</v>
      </c>
      <c r="I581" s="50"/>
    </row>
    <row r="582" spans="1:9" customFormat="1" ht="20.100000000000001" customHeight="1">
      <c r="A582" s="22" t="s">
        <v>1220</v>
      </c>
      <c r="B582" s="22" t="s">
        <v>1310</v>
      </c>
      <c r="C582" s="46">
        <v>42562</v>
      </c>
      <c r="D582" s="50">
        <v>60</v>
      </c>
      <c r="E582" s="32" t="s">
        <v>1311</v>
      </c>
      <c r="F582" s="32" t="s">
        <v>1312</v>
      </c>
      <c r="G582" s="32" t="s">
        <v>1313</v>
      </c>
      <c r="H582" s="32" t="s">
        <v>1314</v>
      </c>
      <c r="I582" s="50"/>
    </row>
    <row r="583" spans="1:9" customFormat="1" ht="20.100000000000001" customHeight="1">
      <c r="A583" s="22" t="s">
        <v>1324</v>
      </c>
      <c r="B583" s="22" t="s">
        <v>1315</v>
      </c>
      <c r="C583" s="46">
        <v>42563</v>
      </c>
      <c r="D583" s="50">
        <v>39.200000000000003</v>
      </c>
      <c r="E583" s="32" t="s">
        <v>1316</v>
      </c>
      <c r="F583" s="32" t="s">
        <v>1317</v>
      </c>
      <c r="G583" s="32" t="s">
        <v>1318</v>
      </c>
      <c r="H583" s="32" t="s">
        <v>1319</v>
      </c>
      <c r="I583" s="50"/>
    </row>
    <row r="584" spans="1:9" customFormat="1" ht="20.100000000000001" customHeight="1">
      <c r="A584" s="22" t="s">
        <v>1324</v>
      </c>
      <c r="B584" s="22" t="s">
        <v>1315</v>
      </c>
      <c r="C584" s="46">
        <v>42563</v>
      </c>
      <c r="D584" s="50">
        <v>39.06</v>
      </c>
      <c r="E584" s="32" t="s">
        <v>1316</v>
      </c>
      <c r="F584" s="32" t="s">
        <v>1317</v>
      </c>
      <c r="G584" s="32" t="s">
        <v>1320</v>
      </c>
      <c r="H584" s="32" t="s">
        <v>1319</v>
      </c>
      <c r="I584" s="50"/>
    </row>
    <row r="585" spans="1:9" customFormat="1" ht="20.100000000000001" customHeight="1">
      <c r="A585" s="22" t="s">
        <v>1251</v>
      </c>
      <c r="B585" s="22" t="s">
        <v>1310</v>
      </c>
      <c r="C585" s="46">
        <v>42562</v>
      </c>
      <c r="D585" s="50">
        <v>51.52</v>
      </c>
      <c r="E585" s="32" t="s">
        <v>362</v>
      </c>
      <c r="F585" s="32" t="s">
        <v>1312</v>
      </c>
      <c r="G585" s="32" t="s">
        <v>1321</v>
      </c>
      <c r="H585" s="32" t="s">
        <v>1319</v>
      </c>
      <c r="I585" s="50"/>
    </row>
    <row r="586" spans="1:9" customFormat="1" ht="20.100000000000001" customHeight="1">
      <c r="A586" s="22" t="s">
        <v>1251</v>
      </c>
      <c r="B586" s="22" t="s">
        <v>1310</v>
      </c>
      <c r="C586" s="46">
        <v>42562</v>
      </c>
      <c r="D586" s="50">
        <v>54.02</v>
      </c>
      <c r="E586" s="32" t="s">
        <v>362</v>
      </c>
      <c r="F586" s="32" t="s">
        <v>1312</v>
      </c>
      <c r="G586" s="32" t="s">
        <v>1322</v>
      </c>
      <c r="H586" s="32" t="s">
        <v>1319</v>
      </c>
      <c r="I586" s="50"/>
    </row>
    <row r="587" spans="1:9" customFormat="1" ht="20.100000000000001" customHeight="1">
      <c r="A587" s="22" t="s">
        <v>1251</v>
      </c>
      <c r="B587" s="22" t="s">
        <v>1310</v>
      </c>
      <c r="C587" s="46">
        <v>42562</v>
      </c>
      <c r="D587" s="50">
        <v>55.4</v>
      </c>
      <c r="E587" s="32" t="s">
        <v>362</v>
      </c>
      <c r="F587" s="32" t="s">
        <v>1312</v>
      </c>
      <c r="G587" s="32" t="s">
        <v>1323</v>
      </c>
      <c r="H587" s="32" t="s">
        <v>1319</v>
      </c>
      <c r="I587" s="50"/>
    </row>
    <row r="588" spans="1:9" customFormat="1" ht="20.100000000000001" customHeight="1">
      <c r="A588" s="22" t="s">
        <v>1220</v>
      </c>
      <c r="B588" s="22" t="s">
        <v>1310</v>
      </c>
      <c r="C588" s="46">
        <v>42564</v>
      </c>
      <c r="D588" s="50">
        <v>51.52</v>
      </c>
      <c r="E588" s="32" t="s">
        <v>1311</v>
      </c>
      <c r="F588" s="32" t="s">
        <v>1312</v>
      </c>
      <c r="G588" s="32" t="s">
        <v>1321</v>
      </c>
      <c r="H588" s="32" t="s">
        <v>328</v>
      </c>
      <c r="I588" s="50"/>
    </row>
    <row r="589" spans="1:9" customFormat="1" ht="20.100000000000001" customHeight="1">
      <c r="A589" s="22" t="s">
        <v>1220</v>
      </c>
      <c r="B589" s="22" t="s">
        <v>1310</v>
      </c>
      <c r="C589" s="46">
        <v>42564</v>
      </c>
      <c r="D589" s="50">
        <v>54.02</v>
      </c>
      <c r="E589" s="32" t="s">
        <v>1311</v>
      </c>
      <c r="F589" s="32" t="s">
        <v>1312</v>
      </c>
      <c r="G589" s="32" t="s">
        <v>1322</v>
      </c>
      <c r="H589" s="32" t="s">
        <v>328</v>
      </c>
      <c r="I589" s="50"/>
    </row>
    <row r="590" spans="1:9" customFormat="1" ht="20.100000000000001" customHeight="1">
      <c r="A590" s="22" t="s">
        <v>1220</v>
      </c>
      <c r="B590" s="22" t="s">
        <v>1310</v>
      </c>
      <c r="C590" s="46">
        <v>42564</v>
      </c>
      <c r="D590" s="50">
        <v>55.4</v>
      </c>
      <c r="E590" s="32" t="s">
        <v>1311</v>
      </c>
      <c r="F590" s="32" t="s">
        <v>1312</v>
      </c>
      <c r="G590" s="32" t="s">
        <v>1323</v>
      </c>
      <c r="H590" s="32" t="s">
        <v>328</v>
      </c>
      <c r="I590" s="50"/>
    </row>
    <row r="591" spans="1:9" customFormat="1" ht="20.100000000000001" customHeight="1">
      <c r="A591" s="22" t="s">
        <v>1219</v>
      </c>
      <c r="B591" s="22" t="s">
        <v>60</v>
      </c>
      <c r="C591" s="46">
        <v>42565</v>
      </c>
      <c r="D591" s="50">
        <v>39.200000000000003</v>
      </c>
      <c r="E591" s="32" t="s">
        <v>362</v>
      </c>
      <c r="F591" s="32" t="s">
        <v>63</v>
      </c>
      <c r="G591" s="32" t="s">
        <v>1318</v>
      </c>
      <c r="H591" s="32" t="s">
        <v>328</v>
      </c>
      <c r="I591" s="50"/>
    </row>
    <row r="592" spans="1:9" customFormat="1" ht="21" customHeight="1">
      <c r="A592" s="22" t="s">
        <v>1219</v>
      </c>
      <c r="B592" s="22" t="s">
        <v>60</v>
      </c>
      <c r="C592" s="46">
        <v>42565</v>
      </c>
      <c r="D592" s="50">
        <v>39.06</v>
      </c>
      <c r="E592" s="32" t="s">
        <v>362</v>
      </c>
      <c r="F592" s="32" t="s">
        <v>63</v>
      </c>
      <c r="G592" s="32" t="s">
        <v>1320</v>
      </c>
      <c r="H592" s="32" t="s">
        <v>328</v>
      </c>
      <c r="I592" s="50"/>
    </row>
    <row r="593" spans="1:9" customFormat="1" ht="20.100000000000001" customHeight="1">
      <c r="A593" s="22" t="s">
        <v>1324</v>
      </c>
      <c r="B593" s="22" t="s">
        <v>60</v>
      </c>
      <c r="C593" s="46">
        <v>42565</v>
      </c>
      <c r="D593" s="50">
        <v>39.4</v>
      </c>
      <c r="E593" s="32" t="s">
        <v>362</v>
      </c>
      <c r="F593" s="32" t="s">
        <v>63</v>
      </c>
      <c r="G593" s="32" t="s">
        <v>1337</v>
      </c>
      <c r="H593" s="32" t="s">
        <v>329</v>
      </c>
      <c r="I593" s="50"/>
    </row>
    <row r="594" spans="1:9" customFormat="1" ht="20.100000000000001" customHeight="1">
      <c r="A594" s="22" t="s">
        <v>1324</v>
      </c>
      <c r="B594" s="22" t="s">
        <v>60</v>
      </c>
      <c r="C594" s="46">
        <v>42565</v>
      </c>
      <c r="D594" s="50">
        <v>39.4</v>
      </c>
      <c r="E594" s="32" t="s">
        <v>362</v>
      </c>
      <c r="F594" s="32" t="s">
        <v>63</v>
      </c>
      <c r="G594" s="32" t="s">
        <v>1338</v>
      </c>
      <c r="H594" s="32" t="s">
        <v>329</v>
      </c>
      <c r="I594" s="50"/>
    </row>
    <row r="595" spans="1:9" customFormat="1" ht="20.100000000000001" customHeight="1">
      <c r="A595" s="22" t="s">
        <v>1346</v>
      </c>
      <c r="B595" s="22" t="s">
        <v>1347</v>
      </c>
      <c r="C595" s="46">
        <v>42565</v>
      </c>
      <c r="D595" s="50">
        <v>38.42</v>
      </c>
      <c r="E595" s="32" t="s">
        <v>1348</v>
      </c>
      <c r="F595" s="32" t="s">
        <v>1349</v>
      </c>
      <c r="G595" s="32" t="s">
        <v>1350</v>
      </c>
      <c r="H595" s="32" t="s">
        <v>1351</v>
      </c>
      <c r="I595" s="50"/>
    </row>
    <row r="596" spans="1:9" customFormat="1" ht="20.100000000000001" customHeight="1">
      <c r="A596" s="22" t="s">
        <v>1356</v>
      </c>
      <c r="B596" s="22" t="s">
        <v>1352</v>
      </c>
      <c r="C596" s="46">
        <v>42565</v>
      </c>
      <c r="D596" s="50">
        <v>40</v>
      </c>
      <c r="E596" s="32" t="s">
        <v>1353</v>
      </c>
      <c r="F596" s="32" t="s">
        <v>1349</v>
      </c>
      <c r="G596" s="32" t="s">
        <v>1354</v>
      </c>
      <c r="H596" s="32" t="s">
        <v>1351</v>
      </c>
      <c r="I596" s="50"/>
    </row>
    <row r="597" spans="1:9" customFormat="1" ht="20.100000000000001" customHeight="1">
      <c r="A597" s="22" t="s">
        <v>1356</v>
      </c>
      <c r="B597" s="22" t="s">
        <v>1352</v>
      </c>
      <c r="C597" s="46">
        <v>42565</v>
      </c>
      <c r="D597" s="50">
        <v>40</v>
      </c>
      <c r="E597" s="32" t="s">
        <v>1353</v>
      </c>
      <c r="F597" s="32" t="s">
        <v>1349</v>
      </c>
      <c r="G597" s="32" t="s">
        <v>1355</v>
      </c>
      <c r="H597" s="32" t="s">
        <v>1351</v>
      </c>
      <c r="I597" s="50"/>
    </row>
    <row r="598" spans="1:9" customFormat="1" ht="20.100000000000001" customHeight="1">
      <c r="A598" s="22" t="s">
        <v>1191</v>
      </c>
      <c r="B598" s="22" t="s">
        <v>1373</v>
      </c>
      <c r="C598" s="46">
        <v>42552</v>
      </c>
      <c r="D598" s="50">
        <v>2900</v>
      </c>
      <c r="E598" s="19" t="s">
        <v>1000</v>
      </c>
      <c r="F598" s="32" t="s">
        <v>63</v>
      </c>
      <c r="H598" s="32" t="s">
        <v>329</v>
      </c>
      <c r="I598" s="50"/>
    </row>
    <row r="599" spans="1:9" customFormat="1" ht="20.100000000000001" customHeight="1">
      <c r="A599" s="22" t="s">
        <v>1192</v>
      </c>
      <c r="B599" s="22" t="s">
        <v>1373</v>
      </c>
      <c r="C599" s="46">
        <v>42552</v>
      </c>
      <c r="D599" s="50">
        <v>2900</v>
      </c>
      <c r="E599" s="19" t="s">
        <v>1000</v>
      </c>
      <c r="F599" s="32" t="s">
        <v>63</v>
      </c>
      <c r="H599" s="32" t="s">
        <v>328</v>
      </c>
      <c r="I599" s="50"/>
    </row>
    <row r="600" spans="1:9" customFormat="1" ht="20.100000000000001" customHeight="1">
      <c r="A600" s="22" t="s">
        <v>1191</v>
      </c>
      <c r="B600" s="22" t="s">
        <v>1373</v>
      </c>
      <c r="C600" s="46">
        <v>42555</v>
      </c>
      <c r="D600" s="50">
        <v>2850</v>
      </c>
      <c r="H600" s="32" t="s">
        <v>329</v>
      </c>
      <c r="I600" s="50"/>
    </row>
    <row r="601" spans="1:9" customFormat="1" ht="20.100000000000001" customHeight="1">
      <c r="A601" s="22" t="s">
        <v>1192</v>
      </c>
      <c r="B601" s="22" t="s">
        <v>1373</v>
      </c>
      <c r="C601" s="46">
        <v>42555</v>
      </c>
      <c r="D601" s="50">
        <v>2850</v>
      </c>
      <c r="H601" s="32" t="s">
        <v>328</v>
      </c>
      <c r="I601" s="50"/>
    </row>
    <row r="602" spans="1:9" customFormat="1" ht="20.100000000000001" customHeight="1">
      <c r="A602" s="22" t="s">
        <v>1375</v>
      </c>
      <c r="B602" s="22" t="s">
        <v>1373</v>
      </c>
      <c r="C602" s="46">
        <v>42557</v>
      </c>
      <c r="D602" s="50">
        <v>2450</v>
      </c>
      <c r="H602" s="32" t="s">
        <v>329</v>
      </c>
      <c r="I602" s="50"/>
    </row>
    <row r="603" spans="1:9" customFormat="1" ht="20.100000000000001" customHeight="1">
      <c r="A603" s="22" t="s">
        <v>1376</v>
      </c>
      <c r="B603" s="22" t="s">
        <v>1373</v>
      </c>
      <c r="C603" s="46">
        <v>42557</v>
      </c>
      <c r="D603" s="50">
        <v>2450</v>
      </c>
      <c r="E603" s="56"/>
      <c r="F603" s="56"/>
      <c r="G603" s="56"/>
      <c r="H603" s="32" t="s">
        <v>328</v>
      </c>
      <c r="I603" s="50"/>
    </row>
    <row r="604" spans="1:9" customFormat="1" ht="20.100000000000001" customHeight="1">
      <c r="A604" s="22" t="s">
        <v>1379</v>
      </c>
      <c r="B604" s="22" t="s">
        <v>1380</v>
      </c>
      <c r="C604" s="46">
        <v>42559</v>
      </c>
      <c r="D604" s="50">
        <v>3000</v>
      </c>
      <c r="E604" s="32" t="s">
        <v>1000</v>
      </c>
      <c r="F604" s="32" t="s">
        <v>63</v>
      </c>
      <c r="G604" s="32"/>
      <c r="H604" s="32" t="s">
        <v>329</v>
      </c>
      <c r="I604" s="50"/>
    </row>
    <row r="605" spans="1:9" customFormat="1" ht="20.100000000000001" customHeight="1">
      <c r="A605" s="22" t="s">
        <v>1379</v>
      </c>
      <c r="B605" s="22" t="s">
        <v>1380</v>
      </c>
      <c r="C605" s="46">
        <v>42566</v>
      </c>
      <c r="D605" s="50">
        <v>1100</v>
      </c>
      <c r="E605" s="32" t="s">
        <v>1000</v>
      </c>
      <c r="F605" s="32" t="s">
        <v>63</v>
      </c>
      <c r="G605" s="32"/>
      <c r="H605" s="32" t="s">
        <v>329</v>
      </c>
      <c r="I605" s="50"/>
    </row>
    <row r="606" spans="1:9" s="150" customFormat="1" ht="20.100000000000001" customHeight="1">
      <c r="A606" s="151" t="s">
        <v>1641</v>
      </c>
      <c r="B606" s="151" t="s">
        <v>1642</v>
      </c>
      <c r="C606" s="46">
        <v>42566</v>
      </c>
      <c r="D606" s="50">
        <v>38.06</v>
      </c>
      <c r="E606" s="32" t="s">
        <v>1643</v>
      </c>
      <c r="F606" s="32" t="s">
        <v>1654</v>
      </c>
      <c r="G606" s="32" t="s">
        <v>1683</v>
      </c>
      <c r="H606" s="32" t="s">
        <v>1646</v>
      </c>
      <c r="I606" s="50"/>
    </row>
    <row r="607" spans="1:9" s="150" customFormat="1" ht="20.100000000000001" customHeight="1">
      <c r="A607" s="151" t="s">
        <v>1641</v>
      </c>
      <c r="B607" s="151" t="s">
        <v>1642</v>
      </c>
      <c r="C607" s="46">
        <v>42567</v>
      </c>
      <c r="D607" s="50">
        <v>38</v>
      </c>
      <c r="E607" s="32" t="s">
        <v>1643</v>
      </c>
      <c r="F607" s="32" t="s">
        <v>1654</v>
      </c>
      <c r="G607" s="32" t="s">
        <v>1684</v>
      </c>
      <c r="H607" s="32" t="s">
        <v>1646</v>
      </c>
      <c r="I607" s="50"/>
    </row>
    <row r="608" spans="1:9" s="150" customFormat="1" ht="20.100000000000001" customHeight="1">
      <c r="A608" s="151" t="s">
        <v>1641</v>
      </c>
      <c r="B608" s="151" t="s">
        <v>1642</v>
      </c>
      <c r="C608" s="46">
        <v>42567</v>
      </c>
      <c r="D608" s="50">
        <v>39</v>
      </c>
      <c r="E608" s="32" t="s">
        <v>1643</v>
      </c>
      <c r="F608" s="32" t="s">
        <v>1654</v>
      </c>
      <c r="G608" s="32" t="s">
        <v>1685</v>
      </c>
      <c r="H608" s="32" t="s">
        <v>1646</v>
      </c>
      <c r="I608" s="50"/>
    </row>
    <row r="609" spans="1:9" customFormat="1" ht="20.100000000000001" customHeight="1">
      <c r="A609" s="22" t="s">
        <v>1390</v>
      </c>
      <c r="B609" s="22" t="s">
        <v>60</v>
      </c>
      <c r="C609" s="46">
        <v>42567</v>
      </c>
      <c r="D609" s="50">
        <v>37.82</v>
      </c>
      <c r="E609" s="32" t="s">
        <v>1384</v>
      </c>
      <c r="F609" s="32" t="s">
        <v>63</v>
      </c>
      <c r="G609" s="32" t="s">
        <v>1385</v>
      </c>
      <c r="H609" s="32" t="s">
        <v>329</v>
      </c>
      <c r="I609" s="50"/>
    </row>
    <row r="610" spans="1:9" customFormat="1" ht="20.100000000000001" customHeight="1">
      <c r="A610" s="22" t="s">
        <v>1324</v>
      </c>
      <c r="B610" s="22" t="s">
        <v>60</v>
      </c>
      <c r="C610" s="46">
        <v>42567</v>
      </c>
      <c r="D610" s="50">
        <v>40.6</v>
      </c>
      <c r="E610" s="32" t="s">
        <v>362</v>
      </c>
      <c r="F610" s="32" t="s">
        <v>63</v>
      </c>
      <c r="G610" s="32" t="s">
        <v>1386</v>
      </c>
      <c r="H610" s="32" t="s">
        <v>329</v>
      </c>
      <c r="I610" s="50"/>
    </row>
    <row r="611" spans="1:9" ht="20.100000000000001" customHeight="1">
      <c r="A611" s="151" t="s">
        <v>1641</v>
      </c>
      <c r="B611" s="151" t="s">
        <v>1642</v>
      </c>
      <c r="C611" s="46">
        <v>42568</v>
      </c>
      <c r="D611" s="50">
        <v>60</v>
      </c>
      <c r="E611" s="32" t="s">
        <v>1643</v>
      </c>
      <c r="F611" s="32" t="s">
        <v>1644</v>
      </c>
      <c r="G611" s="32" t="s">
        <v>1686</v>
      </c>
      <c r="H611" s="32" t="s">
        <v>1646</v>
      </c>
      <c r="I611" s="50"/>
    </row>
    <row r="612" spans="1:9" customFormat="1" ht="20.100000000000001" customHeight="1">
      <c r="A612" s="22" t="s">
        <v>1356</v>
      </c>
      <c r="B612" s="22" t="s">
        <v>60</v>
      </c>
      <c r="C612" s="46">
        <v>42568</v>
      </c>
      <c r="D612" s="50">
        <v>39</v>
      </c>
      <c r="E612" s="32" t="s">
        <v>663</v>
      </c>
      <c r="F612" s="32" t="s">
        <v>63</v>
      </c>
      <c r="G612" s="32" t="s">
        <v>1387</v>
      </c>
      <c r="H612" s="32" t="s">
        <v>329</v>
      </c>
      <c r="I612" s="50"/>
    </row>
    <row r="613" spans="1:9" customFormat="1" ht="20.100000000000001" customHeight="1">
      <c r="A613" s="22" t="s">
        <v>1356</v>
      </c>
      <c r="B613" s="22" t="s">
        <v>60</v>
      </c>
      <c r="C613" s="46">
        <v>42568</v>
      </c>
      <c r="D613" s="50">
        <v>40</v>
      </c>
      <c r="E613" s="32" t="s">
        <v>663</v>
      </c>
      <c r="F613" s="32" t="s">
        <v>63</v>
      </c>
      <c r="G613" s="32" t="s">
        <v>1388</v>
      </c>
      <c r="H613" s="32" t="s">
        <v>329</v>
      </c>
      <c r="I613" s="50"/>
    </row>
    <row r="614" spans="1:9" customFormat="1" ht="20.100000000000001" customHeight="1">
      <c r="A614" s="22" t="s">
        <v>1219</v>
      </c>
      <c r="B614" s="22" t="s">
        <v>60</v>
      </c>
      <c r="C614" s="46">
        <v>42568</v>
      </c>
      <c r="D614" s="50">
        <v>39.4</v>
      </c>
      <c r="E614" s="32" t="s">
        <v>362</v>
      </c>
      <c r="F614" s="32" t="s">
        <v>63</v>
      </c>
      <c r="G614" s="32" t="s">
        <v>1337</v>
      </c>
      <c r="H614" s="32" t="s">
        <v>328</v>
      </c>
      <c r="I614" s="50"/>
    </row>
    <row r="615" spans="1:9" customFormat="1" ht="20.100000000000001" customHeight="1">
      <c r="A615" s="22" t="s">
        <v>1219</v>
      </c>
      <c r="B615" s="22" t="s">
        <v>60</v>
      </c>
      <c r="C615" s="46">
        <v>42568</v>
      </c>
      <c r="D615" s="50">
        <v>39.4</v>
      </c>
      <c r="E615" s="32" t="s">
        <v>362</v>
      </c>
      <c r="F615" s="32" t="s">
        <v>63</v>
      </c>
      <c r="G615" s="32" t="s">
        <v>1338</v>
      </c>
      <c r="H615" s="32" t="s">
        <v>328</v>
      </c>
      <c r="I615" s="50"/>
    </row>
    <row r="616" spans="1:9" customFormat="1" ht="20.100000000000001" customHeight="1">
      <c r="A616" s="22" t="s">
        <v>1219</v>
      </c>
      <c r="B616" s="22" t="s">
        <v>60</v>
      </c>
      <c r="C616" s="46">
        <v>42568</v>
      </c>
      <c r="D616" s="50">
        <v>38.42</v>
      </c>
      <c r="E616" s="32" t="s">
        <v>362</v>
      </c>
      <c r="F616" s="32" t="s">
        <v>63</v>
      </c>
      <c r="G616" s="32" t="s">
        <v>1350</v>
      </c>
      <c r="H616" s="32" t="s">
        <v>328</v>
      </c>
      <c r="I616" s="50"/>
    </row>
    <row r="617" spans="1:9" customFormat="1" ht="20.100000000000001" customHeight="1">
      <c r="A617" s="22" t="s">
        <v>1219</v>
      </c>
      <c r="B617" s="22" t="s">
        <v>60</v>
      </c>
      <c r="C617" s="46">
        <v>42565</v>
      </c>
      <c r="D617" s="50">
        <v>40</v>
      </c>
      <c r="E617" s="32" t="s">
        <v>663</v>
      </c>
      <c r="F617" s="32" t="s">
        <v>63</v>
      </c>
      <c r="G617" s="32" t="s">
        <v>1354</v>
      </c>
      <c r="H617" s="32" t="s">
        <v>328</v>
      </c>
      <c r="I617" s="50"/>
    </row>
    <row r="618" spans="1:9" customFormat="1" ht="20.100000000000001" customHeight="1">
      <c r="A618" s="22" t="s">
        <v>1219</v>
      </c>
      <c r="B618" s="22" t="s">
        <v>60</v>
      </c>
      <c r="C618" s="46">
        <v>42565</v>
      </c>
      <c r="D618" s="50">
        <v>40</v>
      </c>
      <c r="E618" s="32" t="s">
        <v>663</v>
      </c>
      <c r="F618" s="32" t="s">
        <v>63</v>
      </c>
      <c r="G618" s="32" t="s">
        <v>1355</v>
      </c>
      <c r="H618" s="32" t="s">
        <v>328</v>
      </c>
      <c r="I618" s="50"/>
    </row>
    <row r="619" spans="1:9" s="150" customFormat="1" ht="20.100000000000001" customHeight="1">
      <c r="A619" s="151" t="s">
        <v>1687</v>
      </c>
      <c r="B619" s="151" t="s">
        <v>1642</v>
      </c>
      <c r="C619" s="46">
        <v>42568</v>
      </c>
      <c r="D619" s="50">
        <v>38.06</v>
      </c>
      <c r="E619" s="32" t="s">
        <v>1643</v>
      </c>
      <c r="F619" s="32" t="s">
        <v>1654</v>
      </c>
      <c r="G619" s="32" t="s">
        <v>1683</v>
      </c>
      <c r="H619" s="32" t="s">
        <v>1663</v>
      </c>
      <c r="I619" s="50"/>
    </row>
    <row r="620" spans="1:9" customFormat="1" ht="20.100000000000001" customHeight="1">
      <c r="A620" s="22" t="s">
        <v>1218</v>
      </c>
      <c r="B620" s="22" t="s">
        <v>85</v>
      </c>
      <c r="C620" s="46">
        <v>42569</v>
      </c>
      <c r="D620" s="50">
        <v>28</v>
      </c>
      <c r="E620" s="32" t="s">
        <v>165</v>
      </c>
      <c r="F620" s="32" t="s">
        <v>63</v>
      </c>
      <c r="G620" s="32" t="s">
        <v>1402</v>
      </c>
      <c r="H620" s="32" t="s">
        <v>328</v>
      </c>
      <c r="I620" s="50"/>
    </row>
    <row r="621" spans="1:9" customFormat="1" ht="20.100000000000001" customHeight="1">
      <c r="A621" s="22" t="s">
        <v>1403</v>
      </c>
      <c r="B621" s="22" t="s">
        <v>85</v>
      </c>
      <c r="C621" s="46">
        <v>42564</v>
      </c>
      <c r="D621" s="50">
        <v>22</v>
      </c>
      <c r="E621" s="32" t="s">
        <v>165</v>
      </c>
      <c r="F621" s="32" t="s">
        <v>63</v>
      </c>
      <c r="G621" s="32"/>
      <c r="H621" s="32" t="s">
        <v>328</v>
      </c>
      <c r="I621" s="50"/>
    </row>
    <row r="622" spans="1:9" s="150" customFormat="1" ht="20.100000000000001" customHeight="1">
      <c r="A622" s="151" t="s">
        <v>1687</v>
      </c>
      <c r="B622" s="151" t="s">
        <v>1642</v>
      </c>
      <c r="C622" s="46">
        <v>42569</v>
      </c>
      <c r="D622" s="50">
        <v>38</v>
      </c>
      <c r="E622" s="32" t="s">
        <v>1643</v>
      </c>
      <c r="F622" s="32" t="s">
        <v>1654</v>
      </c>
      <c r="G622" s="32" t="s">
        <v>1684</v>
      </c>
      <c r="H622" s="32" t="s">
        <v>1663</v>
      </c>
      <c r="I622" s="50"/>
    </row>
    <row r="623" spans="1:9" s="150" customFormat="1" ht="20.100000000000001" customHeight="1">
      <c r="A623" s="151" t="s">
        <v>1687</v>
      </c>
      <c r="B623" s="151" t="s">
        <v>1642</v>
      </c>
      <c r="C623" s="46">
        <v>42569</v>
      </c>
      <c r="D623" s="50">
        <v>39</v>
      </c>
      <c r="E623" s="32" t="s">
        <v>1643</v>
      </c>
      <c r="F623" s="32" t="s">
        <v>1654</v>
      </c>
      <c r="G623" s="32" t="s">
        <v>1685</v>
      </c>
      <c r="H623" s="32" t="s">
        <v>1663</v>
      </c>
      <c r="I623" s="50"/>
    </row>
    <row r="624" spans="1:9" customFormat="1" ht="20.100000000000001" customHeight="1">
      <c r="A624" s="22" t="s">
        <v>1404</v>
      </c>
      <c r="B624" s="22" t="s">
        <v>60</v>
      </c>
      <c r="C624" s="46">
        <v>42569</v>
      </c>
      <c r="D624" s="50">
        <v>40.6</v>
      </c>
      <c r="E624" s="32" t="s">
        <v>362</v>
      </c>
      <c r="F624" s="32" t="s">
        <v>63</v>
      </c>
      <c r="G624" s="32" t="s">
        <v>1386</v>
      </c>
      <c r="H624" s="32" t="s">
        <v>328</v>
      </c>
      <c r="I624" s="50"/>
    </row>
    <row r="625" spans="1:10" customFormat="1" ht="20.100000000000001" customHeight="1">
      <c r="A625" s="22" t="s">
        <v>1219</v>
      </c>
      <c r="B625" s="22" t="s">
        <v>60</v>
      </c>
      <c r="C625" s="46">
        <v>42569</v>
      </c>
      <c r="D625" s="50">
        <v>42.6</v>
      </c>
      <c r="E625" s="32" t="s">
        <v>362</v>
      </c>
      <c r="F625" s="32" t="s">
        <v>63</v>
      </c>
      <c r="G625" s="32" t="s">
        <v>1391</v>
      </c>
      <c r="H625" s="32" t="s">
        <v>328</v>
      </c>
      <c r="I625" s="50"/>
    </row>
    <row r="626" spans="1:10" customFormat="1" ht="20.100000000000001" customHeight="1">
      <c r="A626" s="22" t="s">
        <v>1219</v>
      </c>
      <c r="B626" s="22" t="s">
        <v>60</v>
      </c>
      <c r="C626" s="46">
        <v>42569</v>
      </c>
      <c r="D626" s="50">
        <v>42.74</v>
      </c>
      <c r="E626" s="32" t="s">
        <v>362</v>
      </c>
      <c r="F626" s="32" t="s">
        <v>63</v>
      </c>
      <c r="G626" s="32" t="s">
        <v>670</v>
      </c>
      <c r="H626" s="32" t="s">
        <v>328</v>
      </c>
      <c r="I626" s="50"/>
    </row>
    <row r="627" spans="1:10" customFormat="1" ht="20.100000000000001" customHeight="1">
      <c r="A627" s="22" t="s">
        <v>1324</v>
      </c>
      <c r="B627" s="22" t="s">
        <v>60</v>
      </c>
      <c r="C627" s="46">
        <v>42568</v>
      </c>
      <c r="D627" s="50">
        <v>42.6</v>
      </c>
      <c r="E627" s="32" t="s">
        <v>362</v>
      </c>
      <c r="F627" s="32" t="s">
        <v>63</v>
      </c>
      <c r="G627" s="32" t="s">
        <v>1391</v>
      </c>
      <c r="H627" s="32" t="s">
        <v>329</v>
      </c>
      <c r="I627" s="50"/>
    </row>
    <row r="628" spans="1:10" customFormat="1" ht="20.100000000000001" customHeight="1">
      <c r="A628" s="22" t="s">
        <v>1324</v>
      </c>
      <c r="B628" s="22" t="s">
        <v>60</v>
      </c>
      <c r="C628" s="46">
        <v>42568</v>
      </c>
      <c r="D628" s="50">
        <v>42.74</v>
      </c>
      <c r="E628" s="32" t="s">
        <v>362</v>
      </c>
      <c r="F628" s="32" t="s">
        <v>63</v>
      </c>
      <c r="G628" s="32" t="s">
        <v>670</v>
      </c>
      <c r="H628" s="32" t="s">
        <v>329</v>
      </c>
      <c r="I628" s="50"/>
    </row>
    <row r="629" spans="1:10" customFormat="1" ht="20.100000000000001" customHeight="1">
      <c r="A629" s="22" t="s">
        <v>1390</v>
      </c>
      <c r="B629" s="22" t="s">
        <v>60</v>
      </c>
      <c r="C629" s="46">
        <v>42560</v>
      </c>
      <c r="D629" s="50">
        <v>60</v>
      </c>
      <c r="E629" s="32" t="s">
        <v>1384</v>
      </c>
      <c r="F629" s="32" t="s">
        <v>63</v>
      </c>
      <c r="G629" s="32" t="s">
        <v>1393</v>
      </c>
      <c r="H629" s="32" t="s">
        <v>329</v>
      </c>
      <c r="I629" s="50"/>
    </row>
    <row r="630" spans="1:10" customFormat="1" ht="20.100000000000001" customHeight="1">
      <c r="A630" s="22" t="s">
        <v>1390</v>
      </c>
      <c r="B630" s="22" t="s">
        <v>60</v>
      </c>
      <c r="C630" s="46">
        <v>42560</v>
      </c>
      <c r="D630" s="50">
        <v>60</v>
      </c>
      <c r="E630" s="32" t="s">
        <v>1384</v>
      </c>
      <c r="F630" s="32" t="s">
        <v>63</v>
      </c>
      <c r="G630" s="32" t="s">
        <v>1394</v>
      </c>
      <c r="H630" s="32" t="s">
        <v>329</v>
      </c>
      <c r="I630" s="50"/>
      <c r="J630" s="146"/>
    </row>
    <row r="631" spans="1:10" customFormat="1" ht="20.100000000000001" customHeight="1">
      <c r="A631" s="22" t="s">
        <v>1390</v>
      </c>
      <c r="B631" s="22" t="s">
        <v>60</v>
      </c>
      <c r="C631" s="46">
        <v>42560</v>
      </c>
      <c r="D631" s="50">
        <v>70</v>
      </c>
      <c r="E631" s="32" t="s">
        <v>1384</v>
      </c>
      <c r="F631" s="32" t="s">
        <v>63</v>
      </c>
      <c r="G631" s="32" t="s">
        <v>1395</v>
      </c>
      <c r="H631" s="32" t="s">
        <v>329</v>
      </c>
      <c r="I631" s="50"/>
    </row>
    <row r="632" spans="1:10" s="56" customFormat="1" ht="20.100000000000001" customHeight="1">
      <c r="A632" s="22" t="s">
        <v>1390</v>
      </c>
      <c r="B632" s="22" t="s">
        <v>60</v>
      </c>
      <c r="C632" s="46">
        <v>42566</v>
      </c>
      <c r="D632" s="50">
        <v>60</v>
      </c>
      <c r="E632" s="32" t="s">
        <v>1384</v>
      </c>
      <c r="F632" s="32" t="s">
        <v>63</v>
      </c>
      <c r="G632" s="32" t="s">
        <v>1396</v>
      </c>
      <c r="H632" s="32" t="s">
        <v>329</v>
      </c>
      <c r="I632" s="50"/>
    </row>
    <row r="633" spans="1:10" s="56" customFormat="1" ht="20.100000000000001" customHeight="1">
      <c r="A633" s="22" t="s">
        <v>1390</v>
      </c>
      <c r="B633" s="22" t="s">
        <v>60</v>
      </c>
      <c r="C633" s="46">
        <v>42566</v>
      </c>
      <c r="D633" s="50">
        <v>60</v>
      </c>
      <c r="E633" s="32" t="s">
        <v>1384</v>
      </c>
      <c r="F633" s="32" t="s">
        <v>63</v>
      </c>
      <c r="G633" s="32" t="s">
        <v>1397</v>
      </c>
      <c r="H633" s="32" t="s">
        <v>329</v>
      </c>
      <c r="I633" s="50"/>
    </row>
    <row r="634" spans="1:10" s="56" customFormat="1" ht="20.100000000000001" customHeight="1">
      <c r="A634" s="22" t="s">
        <v>1390</v>
      </c>
      <c r="B634" s="22" t="s">
        <v>60</v>
      </c>
      <c r="C634" s="46">
        <v>42564</v>
      </c>
      <c r="D634" s="50">
        <v>70</v>
      </c>
      <c r="E634" s="32" t="s">
        <v>1384</v>
      </c>
      <c r="F634" s="32" t="s">
        <v>63</v>
      </c>
      <c r="G634" s="138">
        <v>3810276</v>
      </c>
      <c r="H634" s="32" t="s">
        <v>329</v>
      </c>
      <c r="I634" s="50"/>
    </row>
    <row r="635" spans="1:10" s="56" customFormat="1" ht="20.100000000000001" customHeight="1">
      <c r="A635" s="22" t="s">
        <v>1390</v>
      </c>
      <c r="B635" s="22" t="s">
        <v>60</v>
      </c>
      <c r="C635" s="46">
        <v>42564</v>
      </c>
      <c r="D635" s="50">
        <v>38.82</v>
      </c>
      <c r="E635" s="32" t="s">
        <v>1384</v>
      </c>
      <c r="F635" s="32" t="s">
        <v>63</v>
      </c>
      <c r="G635" s="138" t="s">
        <v>1398</v>
      </c>
      <c r="H635" s="32" t="s">
        <v>329</v>
      </c>
      <c r="I635" s="50"/>
    </row>
    <row r="636" spans="1:10" s="56" customFormat="1" ht="20.100000000000001" customHeight="1">
      <c r="A636" s="22" t="s">
        <v>1219</v>
      </c>
      <c r="B636" s="22" t="s">
        <v>60</v>
      </c>
      <c r="C636" s="46">
        <v>42569</v>
      </c>
      <c r="D636" s="50">
        <v>38.82</v>
      </c>
      <c r="E636" s="32" t="s">
        <v>1384</v>
      </c>
      <c r="F636" s="32" t="s">
        <v>63</v>
      </c>
      <c r="G636" s="138" t="s">
        <v>1398</v>
      </c>
      <c r="H636" s="32" t="s">
        <v>328</v>
      </c>
      <c r="I636" s="50"/>
    </row>
    <row r="637" spans="1:10" customFormat="1" ht="20.100000000000001" customHeight="1">
      <c r="A637" s="22" t="s">
        <v>1382</v>
      </c>
      <c r="B637" s="22" t="s">
        <v>1383</v>
      </c>
      <c r="C637" s="46">
        <v>42569</v>
      </c>
      <c r="D637" s="50">
        <v>1950</v>
      </c>
      <c r="E637" s="32" t="s">
        <v>1000</v>
      </c>
      <c r="F637" s="32" t="s">
        <v>63</v>
      </c>
      <c r="G637" s="138"/>
      <c r="H637" s="32" t="s">
        <v>329</v>
      </c>
      <c r="I637" s="50"/>
    </row>
    <row r="638" spans="1:10" customFormat="1" ht="20.100000000000001" customHeight="1">
      <c r="A638" s="22" t="s">
        <v>1407</v>
      </c>
      <c r="B638" s="22" t="s">
        <v>1380</v>
      </c>
      <c r="C638" s="46">
        <v>42569</v>
      </c>
      <c r="D638" s="50">
        <v>6050</v>
      </c>
      <c r="E638" s="32" t="s">
        <v>1408</v>
      </c>
      <c r="F638" s="32" t="s">
        <v>166</v>
      </c>
      <c r="G638" s="32"/>
      <c r="H638" s="32" t="s">
        <v>328</v>
      </c>
      <c r="I638" s="50"/>
    </row>
    <row r="639" spans="1:10" customFormat="1" ht="20.100000000000001" customHeight="1">
      <c r="A639" s="22" t="s">
        <v>1324</v>
      </c>
      <c r="B639" s="22" t="s">
        <v>60</v>
      </c>
      <c r="C639" s="46">
        <v>42569</v>
      </c>
      <c r="D639" s="50">
        <v>39.700000000000003</v>
      </c>
      <c r="E639" s="32" t="s">
        <v>362</v>
      </c>
      <c r="F639" s="32" t="s">
        <v>63</v>
      </c>
      <c r="G639" s="32" t="s">
        <v>440</v>
      </c>
      <c r="H639" s="32" t="s">
        <v>329</v>
      </c>
      <c r="I639" s="50"/>
    </row>
    <row r="640" spans="1:10" customFormat="1" ht="20.100000000000001" customHeight="1">
      <c r="A640" s="22" t="s">
        <v>1324</v>
      </c>
      <c r="B640" s="22" t="s">
        <v>60</v>
      </c>
      <c r="C640" s="46">
        <v>42569</v>
      </c>
      <c r="D640" s="50">
        <v>40.06</v>
      </c>
      <c r="E640" s="32" t="s">
        <v>362</v>
      </c>
      <c r="F640" s="32" t="s">
        <v>63</v>
      </c>
      <c r="G640" s="32" t="s">
        <v>1409</v>
      </c>
      <c r="H640" s="32" t="s">
        <v>329</v>
      </c>
      <c r="I640" s="50"/>
    </row>
    <row r="641" spans="1:9" customFormat="1" ht="20.100000000000001" customHeight="1">
      <c r="A641" s="22" t="s">
        <v>1219</v>
      </c>
      <c r="B641" s="22" t="s">
        <v>60</v>
      </c>
      <c r="C641" s="46">
        <v>42570</v>
      </c>
      <c r="D641" s="50">
        <v>39</v>
      </c>
      <c r="E641" s="32" t="s">
        <v>663</v>
      </c>
      <c r="F641" s="32" t="s">
        <v>63</v>
      </c>
      <c r="G641" s="32" t="s">
        <v>1387</v>
      </c>
      <c r="H641" s="32" t="s">
        <v>328</v>
      </c>
      <c r="I641" s="50"/>
    </row>
    <row r="642" spans="1:9" customFormat="1" ht="20.100000000000001" customHeight="1">
      <c r="A642" s="22" t="s">
        <v>1219</v>
      </c>
      <c r="B642" s="22" t="s">
        <v>60</v>
      </c>
      <c r="C642" s="46">
        <v>42570</v>
      </c>
      <c r="D642" s="50">
        <v>40</v>
      </c>
      <c r="E642" s="32" t="s">
        <v>663</v>
      </c>
      <c r="F642" s="32" t="s">
        <v>63</v>
      </c>
      <c r="G642" s="32" t="s">
        <v>1388</v>
      </c>
      <c r="H642" s="32" t="s">
        <v>328</v>
      </c>
      <c r="I642" s="50"/>
    </row>
    <row r="643" spans="1:9" customFormat="1" ht="20.100000000000001" customHeight="1">
      <c r="A643" s="22" t="s">
        <v>1356</v>
      </c>
      <c r="B643" s="22" t="s">
        <v>60</v>
      </c>
      <c r="C643" s="46">
        <v>42569</v>
      </c>
      <c r="D643" s="50">
        <v>38</v>
      </c>
      <c r="E643" s="32" t="s">
        <v>663</v>
      </c>
      <c r="F643" s="32" t="s">
        <v>63</v>
      </c>
      <c r="G643" s="32" t="s">
        <v>1410</v>
      </c>
      <c r="H643" s="32" t="s">
        <v>329</v>
      </c>
      <c r="I643" s="50"/>
    </row>
    <row r="644" spans="1:9" customFormat="1" ht="20.100000000000001" customHeight="1">
      <c r="A644" s="22" t="s">
        <v>1219</v>
      </c>
      <c r="B644" s="22" t="s">
        <v>60</v>
      </c>
      <c r="C644" s="46">
        <v>42570</v>
      </c>
      <c r="D644" s="50">
        <v>38</v>
      </c>
      <c r="E644" s="32" t="s">
        <v>663</v>
      </c>
      <c r="F644" s="32" t="s">
        <v>63</v>
      </c>
      <c r="G644" s="32" t="s">
        <v>1410</v>
      </c>
      <c r="H644" s="32" t="s">
        <v>328</v>
      </c>
      <c r="I644" s="50"/>
    </row>
    <row r="645" spans="1:9" s="56" customFormat="1" ht="20.100000000000001" customHeight="1">
      <c r="A645" s="22" t="s">
        <v>1390</v>
      </c>
      <c r="B645" s="22" t="s">
        <v>60</v>
      </c>
      <c r="C645" s="46">
        <v>42570</v>
      </c>
      <c r="D645" s="50">
        <v>60</v>
      </c>
      <c r="E645" s="32" t="s">
        <v>1384</v>
      </c>
      <c r="F645" s="32" t="s">
        <v>63</v>
      </c>
      <c r="G645" s="138" t="s">
        <v>1412</v>
      </c>
      <c r="H645" s="32" t="s">
        <v>329</v>
      </c>
      <c r="I645" s="50"/>
    </row>
    <row r="646" spans="1:9" ht="20.100000000000001" customHeight="1">
      <c r="A646" s="151" t="s">
        <v>1641</v>
      </c>
      <c r="B646" s="151" t="s">
        <v>1642</v>
      </c>
      <c r="C646" s="46">
        <v>42568</v>
      </c>
      <c r="D646" s="50">
        <v>60</v>
      </c>
      <c r="E646" s="32" t="s">
        <v>1643</v>
      </c>
      <c r="F646" s="32" t="s">
        <v>1644</v>
      </c>
      <c r="G646" s="32" t="s">
        <v>1688</v>
      </c>
      <c r="H646" s="32" t="s">
        <v>1646</v>
      </c>
      <c r="I646" s="50"/>
    </row>
    <row r="647" spans="1:9" customFormat="1" ht="20.100000000000001" customHeight="1">
      <c r="A647" s="22" t="s">
        <v>1219</v>
      </c>
      <c r="B647" s="22" t="s">
        <v>60</v>
      </c>
      <c r="C647" s="46">
        <v>42571</v>
      </c>
      <c r="D647" s="50">
        <v>39.700000000000003</v>
      </c>
      <c r="E647" s="32" t="s">
        <v>362</v>
      </c>
      <c r="F647" s="32" t="s">
        <v>63</v>
      </c>
      <c r="G647" s="32" t="s">
        <v>440</v>
      </c>
      <c r="H647" s="32" t="s">
        <v>328</v>
      </c>
      <c r="I647" s="50"/>
    </row>
    <row r="648" spans="1:9" customFormat="1" ht="20.100000000000001" customHeight="1">
      <c r="A648" s="22" t="s">
        <v>1219</v>
      </c>
      <c r="B648" s="22" t="s">
        <v>60</v>
      </c>
      <c r="C648" s="46">
        <v>42571</v>
      </c>
      <c r="D648" s="50">
        <v>40.06</v>
      </c>
      <c r="E648" s="32" t="s">
        <v>362</v>
      </c>
      <c r="F648" s="32" t="s">
        <v>63</v>
      </c>
      <c r="G648" s="32" t="s">
        <v>1409</v>
      </c>
      <c r="H648" s="32" t="s">
        <v>328</v>
      </c>
      <c r="I648" s="50"/>
    </row>
    <row r="649" spans="1:9" customFormat="1" ht="20.100000000000001" customHeight="1">
      <c r="A649" s="22" t="s">
        <v>1285</v>
      </c>
      <c r="B649" s="22" t="s">
        <v>240</v>
      </c>
      <c r="C649" s="46">
        <v>42553</v>
      </c>
      <c r="D649" s="50">
        <v>120</v>
      </c>
      <c r="E649" s="32" t="s">
        <v>663</v>
      </c>
      <c r="F649" s="32" t="s">
        <v>1155</v>
      </c>
      <c r="G649" s="32"/>
      <c r="H649" s="32" t="s">
        <v>329</v>
      </c>
      <c r="I649" s="50"/>
    </row>
    <row r="650" spans="1:9" customFormat="1" ht="20.100000000000001" customHeight="1">
      <c r="A650" s="22" t="s">
        <v>983</v>
      </c>
      <c r="B650" s="22" t="s">
        <v>240</v>
      </c>
      <c r="C650" s="46">
        <v>42553</v>
      </c>
      <c r="D650" s="50">
        <v>120</v>
      </c>
      <c r="E650" s="32" t="s">
        <v>663</v>
      </c>
      <c r="F650" s="32" t="s">
        <v>1155</v>
      </c>
      <c r="G650" s="32"/>
      <c r="H650" s="32" t="s">
        <v>328</v>
      </c>
      <c r="I650" s="50"/>
    </row>
    <row r="651" spans="1:9" customFormat="1" ht="20.100000000000001" customHeight="1">
      <c r="A651" s="22" t="s">
        <v>1523</v>
      </c>
      <c r="B651" s="22" t="s">
        <v>1380</v>
      </c>
      <c r="C651" s="46">
        <v>42571</v>
      </c>
      <c r="D651" s="50">
        <v>1950</v>
      </c>
      <c r="E651" s="32" t="s">
        <v>1000</v>
      </c>
      <c r="F651" s="32" t="s">
        <v>63</v>
      </c>
      <c r="G651" s="32"/>
      <c r="H651" s="32" t="s">
        <v>329</v>
      </c>
      <c r="I651" s="50"/>
    </row>
    <row r="652" spans="1:9" customFormat="1" ht="20.100000000000001" customHeight="1">
      <c r="A652" s="22" t="s">
        <v>1524</v>
      </c>
      <c r="B652" s="22" t="s">
        <v>1380</v>
      </c>
      <c r="C652" s="46">
        <v>42571</v>
      </c>
      <c r="D652" s="50">
        <v>1950</v>
      </c>
      <c r="E652" s="32" t="s">
        <v>1000</v>
      </c>
      <c r="F652" s="32" t="s">
        <v>63</v>
      </c>
      <c r="G652" s="32"/>
      <c r="H652" s="32" t="s">
        <v>328</v>
      </c>
      <c r="I652" s="50"/>
    </row>
    <row r="653" spans="1:9" customFormat="1" ht="20.100000000000001" customHeight="1">
      <c r="A653" s="22" t="s">
        <v>1525</v>
      </c>
      <c r="B653" s="22" t="s">
        <v>85</v>
      </c>
      <c r="C653" s="46">
        <v>42572</v>
      </c>
      <c r="D653" s="50">
        <v>28.13</v>
      </c>
      <c r="E653" s="32" t="s">
        <v>165</v>
      </c>
      <c r="F653" s="32" t="s">
        <v>63</v>
      </c>
      <c r="G653" s="32" t="s">
        <v>594</v>
      </c>
      <c r="H653" s="32" t="s">
        <v>328</v>
      </c>
      <c r="I653" s="50"/>
    </row>
    <row r="654" spans="1:9" s="56" customFormat="1" ht="20.100000000000001" customHeight="1">
      <c r="A654" s="22" t="s">
        <v>1526</v>
      </c>
      <c r="B654" s="22" t="s">
        <v>60</v>
      </c>
      <c r="C654" s="46">
        <v>42571</v>
      </c>
      <c r="D654" s="50">
        <v>65.760000000000005</v>
      </c>
      <c r="E654" s="32" t="s">
        <v>362</v>
      </c>
      <c r="F654" s="32" t="s">
        <v>1432</v>
      </c>
      <c r="G654" s="138" t="s">
        <v>1277</v>
      </c>
      <c r="H654" s="32" t="s">
        <v>329</v>
      </c>
      <c r="I654" s="50"/>
    </row>
    <row r="655" spans="1:9" s="56" customFormat="1" ht="20.100000000000001" customHeight="1">
      <c r="A655" s="22" t="s">
        <v>1526</v>
      </c>
      <c r="B655" s="22" t="s">
        <v>60</v>
      </c>
      <c r="C655" s="46">
        <v>42571</v>
      </c>
      <c r="D655" s="50">
        <v>40.799999999999997</v>
      </c>
      <c r="E655" s="32" t="s">
        <v>362</v>
      </c>
      <c r="F655" s="32" t="s">
        <v>1432</v>
      </c>
      <c r="G655" s="138" t="s">
        <v>1431</v>
      </c>
      <c r="H655" s="32" t="s">
        <v>329</v>
      </c>
      <c r="I655" s="50"/>
    </row>
    <row r="656" spans="1:9" s="56" customFormat="1" ht="20.100000000000001" customHeight="1">
      <c r="A656" s="22" t="s">
        <v>1527</v>
      </c>
      <c r="B656" s="22" t="s">
        <v>60</v>
      </c>
      <c r="C656" s="46">
        <v>42573</v>
      </c>
      <c r="D656" s="50">
        <v>37.82</v>
      </c>
      <c r="E656" s="32" t="s">
        <v>1384</v>
      </c>
      <c r="F656" s="32" t="s">
        <v>63</v>
      </c>
      <c r="G656" s="32" t="s">
        <v>1385</v>
      </c>
      <c r="H656" s="32" t="s">
        <v>328</v>
      </c>
      <c r="I656" s="50"/>
    </row>
    <row r="657" spans="1:10" s="56" customFormat="1" ht="20.100000000000001" customHeight="1">
      <c r="A657" s="22" t="s">
        <v>1390</v>
      </c>
      <c r="B657" s="22" t="s">
        <v>60</v>
      </c>
      <c r="C657" s="46">
        <v>42572</v>
      </c>
      <c r="D657" s="50">
        <v>39.979999999999997</v>
      </c>
      <c r="E657" s="32" t="s">
        <v>1384</v>
      </c>
      <c r="F657" s="32" t="s">
        <v>63</v>
      </c>
      <c r="G657" s="138" t="s">
        <v>1433</v>
      </c>
      <c r="H657" s="32" t="s">
        <v>329</v>
      </c>
      <c r="I657" s="50"/>
      <c r="J657"/>
    </row>
    <row r="658" spans="1:10" s="56" customFormat="1" ht="20.100000000000001" customHeight="1">
      <c r="A658" s="22" t="s">
        <v>1390</v>
      </c>
      <c r="B658" s="22" t="s">
        <v>60</v>
      </c>
      <c r="C658" s="46">
        <v>42573</v>
      </c>
      <c r="D658" s="50">
        <v>38.92</v>
      </c>
      <c r="E658" s="32" t="s">
        <v>1384</v>
      </c>
      <c r="F658" s="32" t="s">
        <v>63</v>
      </c>
      <c r="G658" s="138" t="s">
        <v>1434</v>
      </c>
      <c r="H658" s="32" t="s">
        <v>329</v>
      </c>
      <c r="I658" s="50"/>
      <c r="J658"/>
    </row>
    <row r="659" spans="1:10" customFormat="1" ht="20.100000000000001" customHeight="1">
      <c r="A659" s="22" t="s">
        <v>1527</v>
      </c>
      <c r="B659" s="22" t="s">
        <v>60</v>
      </c>
      <c r="C659" s="46">
        <v>42573</v>
      </c>
      <c r="D659" s="50">
        <v>60</v>
      </c>
      <c r="E659" s="32" t="s">
        <v>1384</v>
      </c>
      <c r="F659" s="32" t="s">
        <v>63</v>
      </c>
      <c r="G659" s="32" t="s">
        <v>1393</v>
      </c>
      <c r="H659" s="32" t="s">
        <v>328</v>
      </c>
      <c r="I659" s="50"/>
    </row>
    <row r="660" spans="1:10" customFormat="1" ht="20.100000000000001" customHeight="1">
      <c r="A660" s="22" t="s">
        <v>1527</v>
      </c>
      <c r="B660" s="22" t="s">
        <v>60</v>
      </c>
      <c r="C660" s="46">
        <v>42573</v>
      </c>
      <c r="D660" s="50">
        <v>60</v>
      </c>
      <c r="E660" s="32" t="s">
        <v>1384</v>
      </c>
      <c r="F660" s="32" t="s">
        <v>63</v>
      </c>
      <c r="G660" s="32" t="s">
        <v>1394</v>
      </c>
      <c r="H660" s="32" t="s">
        <v>328</v>
      </c>
      <c r="I660" s="50"/>
    </row>
    <row r="661" spans="1:10" customFormat="1" ht="20.100000000000001" customHeight="1">
      <c r="A661" s="22" t="s">
        <v>1527</v>
      </c>
      <c r="B661" s="22" t="s">
        <v>60</v>
      </c>
      <c r="C661" s="46">
        <v>42573</v>
      </c>
      <c r="D661" s="50">
        <v>70</v>
      </c>
      <c r="E661" s="32" t="s">
        <v>1384</v>
      </c>
      <c r="F661" s="32" t="s">
        <v>63</v>
      </c>
      <c r="G661" s="32" t="s">
        <v>1395</v>
      </c>
      <c r="H661" s="32" t="s">
        <v>328</v>
      </c>
      <c r="I661" s="50"/>
    </row>
    <row r="662" spans="1:10" customFormat="1" ht="20.100000000000001" customHeight="1">
      <c r="A662" s="22" t="s">
        <v>1527</v>
      </c>
      <c r="B662" s="22" t="s">
        <v>60</v>
      </c>
      <c r="C662" s="46">
        <v>42573</v>
      </c>
      <c r="D662" s="50">
        <v>70</v>
      </c>
      <c r="E662" s="32" t="s">
        <v>1384</v>
      </c>
      <c r="F662" s="32" t="s">
        <v>63</v>
      </c>
      <c r="G662" s="138" t="s">
        <v>1581</v>
      </c>
      <c r="H662" s="32" t="s">
        <v>328</v>
      </c>
      <c r="I662" s="50"/>
    </row>
    <row r="663" spans="1:10" customFormat="1" ht="20.100000000000001" customHeight="1">
      <c r="A663" s="22"/>
      <c r="B663" s="22"/>
      <c r="C663" s="46"/>
      <c r="D663" s="47"/>
      <c r="E663" s="32"/>
      <c r="F663" s="32"/>
      <c r="G663" s="32"/>
      <c r="H663" s="32"/>
      <c r="I663" s="47"/>
    </row>
    <row r="664" spans="1:10" customFormat="1" ht="20.100000000000001" customHeight="1">
      <c r="A664" s="22" t="s">
        <v>1528</v>
      </c>
      <c r="B664" s="22" t="s">
        <v>1438</v>
      </c>
      <c r="C664" s="46">
        <v>42575</v>
      </c>
      <c r="D664" s="50">
        <v>24</v>
      </c>
      <c r="E664" s="32" t="s">
        <v>1439</v>
      </c>
      <c r="F664" s="32" t="s">
        <v>1437</v>
      </c>
      <c r="G664" s="32" t="s">
        <v>1440</v>
      </c>
      <c r="H664" s="32" t="s">
        <v>328</v>
      </c>
      <c r="I664" s="50"/>
    </row>
    <row r="665" spans="1:10" customFormat="1" ht="20.100000000000001" customHeight="1">
      <c r="A665" s="22" t="s">
        <v>1528</v>
      </c>
      <c r="B665" s="22" t="s">
        <v>1438</v>
      </c>
      <c r="C665" s="46">
        <v>42575</v>
      </c>
      <c r="D665" s="50">
        <v>24</v>
      </c>
      <c r="E665" s="32" t="s">
        <v>1439</v>
      </c>
      <c r="F665" s="32" t="s">
        <v>1437</v>
      </c>
      <c r="G665" s="32" t="s">
        <v>1441</v>
      </c>
      <c r="H665" s="32" t="s">
        <v>328</v>
      </c>
      <c r="I665" s="50"/>
    </row>
    <row r="666" spans="1:10" customFormat="1" ht="20.100000000000001" customHeight="1">
      <c r="A666" s="22" t="s">
        <v>1435</v>
      </c>
      <c r="B666" s="22" t="s">
        <v>60</v>
      </c>
      <c r="C666" s="46">
        <v>42574</v>
      </c>
      <c r="D666" s="50">
        <v>37</v>
      </c>
      <c r="E666" s="32" t="s">
        <v>1436</v>
      </c>
      <c r="F666" s="32" t="s">
        <v>1437</v>
      </c>
      <c r="G666" s="32" t="s">
        <v>1443</v>
      </c>
      <c r="H666" s="32" t="s">
        <v>328</v>
      </c>
      <c r="I666" s="50"/>
    </row>
    <row r="667" spans="1:10" customFormat="1" ht="20.100000000000001" customHeight="1">
      <c r="A667" s="22" t="s">
        <v>1442</v>
      </c>
      <c r="B667" s="22" t="s">
        <v>60</v>
      </c>
      <c r="C667" s="46">
        <v>42572</v>
      </c>
      <c r="D667" s="50">
        <v>37</v>
      </c>
      <c r="E667" s="32" t="s">
        <v>1436</v>
      </c>
      <c r="F667" s="32" t="s">
        <v>1437</v>
      </c>
      <c r="G667" s="32" t="s">
        <v>1443</v>
      </c>
      <c r="H667" s="32" t="s">
        <v>1445</v>
      </c>
      <c r="I667" s="50"/>
    </row>
    <row r="668" spans="1:10" customFormat="1" ht="20.100000000000001" customHeight="1">
      <c r="A668" s="22" t="s">
        <v>1529</v>
      </c>
      <c r="B668" s="22" t="s">
        <v>60</v>
      </c>
      <c r="C668" s="46">
        <v>42574</v>
      </c>
      <c r="D668" s="50">
        <v>37</v>
      </c>
      <c r="E668" s="32" t="s">
        <v>1436</v>
      </c>
      <c r="F668" s="32" t="s">
        <v>1437</v>
      </c>
      <c r="G668" s="32" t="s">
        <v>1444</v>
      </c>
      <c r="H668" s="32" t="s">
        <v>328</v>
      </c>
      <c r="I668" s="50"/>
    </row>
    <row r="669" spans="1:10" customFormat="1" ht="20.100000000000001" customHeight="1">
      <c r="A669" s="22" t="s">
        <v>1530</v>
      </c>
      <c r="B669" s="22" t="s">
        <v>60</v>
      </c>
      <c r="C669" s="46">
        <v>42572</v>
      </c>
      <c r="D669" s="50">
        <v>37</v>
      </c>
      <c r="E669" s="32" t="s">
        <v>1436</v>
      </c>
      <c r="F669" s="32" t="s">
        <v>1437</v>
      </c>
      <c r="G669" s="32" t="s">
        <v>1444</v>
      </c>
      <c r="H669" s="32" t="s">
        <v>1445</v>
      </c>
      <c r="I669" s="50"/>
    </row>
    <row r="670" spans="1:10" ht="20.100000000000001" customHeight="1">
      <c r="A670" s="151" t="s">
        <v>1641</v>
      </c>
      <c r="B670" s="151" t="s">
        <v>1642</v>
      </c>
      <c r="C670" s="46">
        <v>42576</v>
      </c>
      <c r="D670" s="50">
        <v>60</v>
      </c>
      <c r="E670" s="32" t="s">
        <v>1643</v>
      </c>
      <c r="F670" s="32" t="s">
        <v>1644</v>
      </c>
      <c r="G670" s="32" t="s">
        <v>1689</v>
      </c>
      <c r="H670" s="32" t="s">
        <v>1646</v>
      </c>
      <c r="I670" s="50"/>
    </row>
    <row r="671" spans="1:10" ht="20.100000000000001" customHeight="1">
      <c r="A671" s="151" t="s">
        <v>1641</v>
      </c>
      <c r="B671" s="151" t="s">
        <v>1642</v>
      </c>
      <c r="C671" s="46">
        <v>42576</v>
      </c>
      <c r="D671" s="50">
        <v>70</v>
      </c>
      <c r="E671" s="32" t="s">
        <v>1643</v>
      </c>
      <c r="F671" s="32" t="s">
        <v>1644</v>
      </c>
      <c r="G671" s="32" t="s">
        <v>1690</v>
      </c>
      <c r="H671" s="32" t="s">
        <v>1646</v>
      </c>
      <c r="I671" s="50"/>
    </row>
    <row r="672" spans="1:10" ht="20.100000000000001" customHeight="1">
      <c r="A672" s="151" t="s">
        <v>1641</v>
      </c>
      <c r="B672" s="151" t="s">
        <v>1642</v>
      </c>
      <c r="C672" s="46">
        <v>42576</v>
      </c>
      <c r="D672" s="50">
        <v>70</v>
      </c>
      <c r="E672" s="32" t="s">
        <v>1643</v>
      </c>
      <c r="F672" s="32" t="s">
        <v>1644</v>
      </c>
      <c r="G672" s="32" t="s">
        <v>1691</v>
      </c>
      <c r="H672" s="32" t="s">
        <v>1646</v>
      </c>
      <c r="I672" s="50"/>
    </row>
    <row r="673" spans="1:10" customFormat="1" ht="20.100000000000001" customHeight="1">
      <c r="A673" s="22" t="s">
        <v>1530</v>
      </c>
      <c r="B673" s="22" t="s">
        <v>60</v>
      </c>
      <c r="C673" s="46">
        <v>42575</v>
      </c>
      <c r="D673" s="50">
        <v>38</v>
      </c>
      <c r="E673" s="32" t="s">
        <v>663</v>
      </c>
      <c r="F673" s="32" t="s">
        <v>63</v>
      </c>
      <c r="G673" s="32" t="s">
        <v>1447</v>
      </c>
      <c r="H673" s="32" t="s">
        <v>329</v>
      </c>
      <c r="I673" s="50"/>
    </row>
    <row r="674" spans="1:10" customFormat="1" ht="20.100000000000001" customHeight="1">
      <c r="A674" s="22" t="s">
        <v>1530</v>
      </c>
      <c r="B674" s="22" t="s">
        <v>60</v>
      </c>
      <c r="C674" s="46">
        <v>42575</v>
      </c>
      <c r="D674" s="50">
        <v>38</v>
      </c>
      <c r="E674" s="32" t="s">
        <v>663</v>
      </c>
      <c r="F674" s="32" t="s">
        <v>63</v>
      </c>
      <c r="G674" s="32" t="s">
        <v>1448</v>
      </c>
      <c r="H674" s="32" t="s">
        <v>329</v>
      </c>
      <c r="I674" s="50"/>
    </row>
    <row r="675" spans="1:10" customFormat="1" ht="20.100000000000001" customHeight="1">
      <c r="A675" s="22" t="s">
        <v>1531</v>
      </c>
      <c r="B675" s="22" t="s">
        <v>1380</v>
      </c>
      <c r="C675" s="46">
        <v>42576</v>
      </c>
      <c r="D675" s="50">
        <v>3000</v>
      </c>
      <c r="E675" s="32" t="s">
        <v>1000</v>
      </c>
      <c r="F675" s="32" t="s">
        <v>63</v>
      </c>
      <c r="G675" s="32"/>
      <c r="H675" s="32" t="s">
        <v>329</v>
      </c>
      <c r="I675" s="50"/>
    </row>
    <row r="676" spans="1:10" customFormat="1" ht="20.100000000000001" customHeight="1">
      <c r="A676" s="145" t="s">
        <v>1550</v>
      </c>
      <c r="B676" s="22" t="s">
        <v>1380</v>
      </c>
      <c r="C676" s="46">
        <v>42576</v>
      </c>
      <c r="D676" s="50">
        <v>3000</v>
      </c>
      <c r="E676" s="32" t="s">
        <v>1000</v>
      </c>
      <c r="F676" s="32" t="s">
        <v>63</v>
      </c>
      <c r="G676" s="32"/>
      <c r="H676" s="32" t="s">
        <v>328</v>
      </c>
      <c r="I676" s="50"/>
    </row>
    <row r="677" spans="1:10" customFormat="1" ht="20.100000000000001" customHeight="1">
      <c r="A677" s="22" t="s">
        <v>1464</v>
      </c>
      <c r="B677" s="22" t="s">
        <v>1465</v>
      </c>
      <c r="C677" s="46">
        <v>42564</v>
      </c>
      <c r="D677" s="50">
        <v>1000</v>
      </c>
      <c r="E677" s="32" t="s">
        <v>1466</v>
      </c>
      <c r="F677" s="32" t="s">
        <v>1467</v>
      </c>
      <c r="G677" s="56"/>
      <c r="H677" s="32" t="s">
        <v>329</v>
      </c>
      <c r="I677" s="50"/>
    </row>
    <row r="678" spans="1:10" customFormat="1" ht="20.100000000000001" customHeight="1">
      <c r="A678" s="22" t="s">
        <v>1532</v>
      </c>
      <c r="B678" s="22" t="s">
        <v>1465</v>
      </c>
      <c r="C678" s="46">
        <v>42571</v>
      </c>
      <c r="D678" s="50">
        <v>1000</v>
      </c>
      <c r="E678" s="32" t="s">
        <v>1466</v>
      </c>
      <c r="F678" s="32" t="s">
        <v>1467</v>
      </c>
      <c r="G678" s="56"/>
      <c r="H678" s="32" t="s">
        <v>329</v>
      </c>
      <c r="I678" s="50"/>
    </row>
    <row r="679" spans="1:10" customFormat="1" ht="20.100000000000001" customHeight="1">
      <c r="A679" s="22" t="s">
        <v>1529</v>
      </c>
      <c r="B679" s="22" t="s">
        <v>60</v>
      </c>
      <c r="C679" s="46">
        <v>42576</v>
      </c>
      <c r="D679" s="50">
        <v>38</v>
      </c>
      <c r="E679" s="32" t="s">
        <v>663</v>
      </c>
      <c r="F679" s="32" t="s">
        <v>63</v>
      </c>
      <c r="G679" s="32" t="s">
        <v>1447</v>
      </c>
      <c r="H679" s="32" t="s">
        <v>328</v>
      </c>
      <c r="I679" s="50"/>
    </row>
    <row r="680" spans="1:10" customFormat="1" ht="20.100000000000001" customHeight="1">
      <c r="A680" s="22" t="s">
        <v>1529</v>
      </c>
      <c r="B680" s="22" t="s">
        <v>60</v>
      </c>
      <c r="C680" s="46">
        <v>42576</v>
      </c>
      <c r="D680" s="50">
        <v>38</v>
      </c>
      <c r="E680" s="32" t="s">
        <v>663</v>
      </c>
      <c r="F680" s="32" t="s">
        <v>63</v>
      </c>
      <c r="G680" s="32" t="s">
        <v>1448</v>
      </c>
      <c r="H680" s="32" t="s">
        <v>328</v>
      </c>
      <c r="I680" s="50"/>
    </row>
    <row r="681" spans="1:10" s="56" customFormat="1" ht="20.100000000000001" customHeight="1">
      <c r="A681" s="22" t="s">
        <v>1530</v>
      </c>
      <c r="B681" s="22" t="s">
        <v>60</v>
      </c>
      <c r="C681" s="46">
        <v>42576</v>
      </c>
      <c r="D681" s="50">
        <v>38</v>
      </c>
      <c r="E681" s="32" t="s">
        <v>663</v>
      </c>
      <c r="F681" s="32" t="s">
        <v>63</v>
      </c>
      <c r="G681" s="32" t="s">
        <v>1471</v>
      </c>
      <c r="H681" s="32" t="s">
        <v>329</v>
      </c>
      <c r="I681" s="50"/>
      <c r="J681"/>
    </row>
    <row r="682" spans="1:10" customFormat="1" ht="20.100000000000001" customHeight="1">
      <c r="A682" s="22" t="s">
        <v>1308</v>
      </c>
      <c r="B682" s="22" t="s">
        <v>1474</v>
      </c>
      <c r="C682" s="46">
        <v>42573</v>
      </c>
      <c r="D682" s="50">
        <v>200</v>
      </c>
      <c r="E682" s="32" t="s">
        <v>1475</v>
      </c>
      <c r="F682" s="32" t="s">
        <v>1476</v>
      </c>
      <c r="G682" s="56"/>
      <c r="H682" s="32" t="s">
        <v>328</v>
      </c>
      <c r="I682" s="50"/>
    </row>
    <row r="683" spans="1:10" customFormat="1" ht="20.100000000000001" customHeight="1">
      <c r="A683" s="22" t="s">
        <v>1473</v>
      </c>
      <c r="B683" s="22" t="s">
        <v>1474</v>
      </c>
      <c r="C683" s="46">
        <v>42573</v>
      </c>
      <c r="D683" s="50">
        <v>200</v>
      </c>
      <c r="E683" s="32" t="s">
        <v>1475</v>
      </c>
      <c r="F683" s="32" t="s">
        <v>1476</v>
      </c>
      <c r="G683" s="56"/>
      <c r="H683" s="32" t="s">
        <v>329</v>
      </c>
      <c r="I683" s="50"/>
    </row>
    <row r="684" spans="1:10" s="56" customFormat="1" ht="20.100000000000001" customHeight="1">
      <c r="A684" s="22" t="s">
        <v>1533</v>
      </c>
      <c r="B684" s="22" t="s">
        <v>505</v>
      </c>
      <c r="C684" s="46">
        <v>42576</v>
      </c>
      <c r="D684" s="50">
        <v>65.760000000000005</v>
      </c>
      <c r="E684" s="32" t="s">
        <v>362</v>
      </c>
      <c r="F684" s="32" t="s">
        <v>884</v>
      </c>
      <c r="G684" s="32" t="s">
        <v>1277</v>
      </c>
      <c r="H684" s="32" t="s">
        <v>328</v>
      </c>
      <c r="I684" s="50"/>
    </row>
    <row r="685" spans="1:10" s="56" customFormat="1" ht="20.100000000000001" customHeight="1">
      <c r="A685" s="22" t="s">
        <v>1533</v>
      </c>
      <c r="B685" s="22" t="s">
        <v>505</v>
      </c>
      <c r="C685" s="46">
        <v>42576</v>
      </c>
      <c r="D685" s="50">
        <v>40.799999999999997</v>
      </c>
      <c r="E685" s="32" t="s">
        <v>362</v>
      </c>
      <c r="F685" s="32" t="s">
        <v>884</v>
      </c>
      <c r="G685" s="32" t="s">
        <v>1431</v>
      </c>
      <c r="H685" s="32" t="s">
        <v>328</v>
      </c>
      <c r="I685" s="50"/>
    </row>
    <row r="686" spans="1:10" customFormat="1" ht="20.100000000000001" customHeight="1">
      <c r="A686" s="22" t="s">
        <v>1534</v>
      </c>
      <c r="B686" s="22" t="s">
        <v>1380</v>
      </c>
      <c r="C686" s="46">
        <v>42577</v>
      </c>
      <c r="D686" s="50">
        <v>2500</v>
      </c>
      <c r="E686" s="32" t="s">
        <v>1479</v>
      </c>
      <c r="F686" s="32" t="s">
        <v>299</v>
      </c>
      <c r="G686" s="56"/>
      <c r="H686" s="32" t="s">
        <v>329</v>
      </c>
      <c r="I686" s="50"/>
    </row>
    <row r="687" spans="1:10" customFormat="1" ht="20.100000000000001" customHeight="1">
      <c r="A687" s="22" t="s">
        <v>1524</v>
      </c>
      <c r="B687" s="22" t="s">
        <v>1380</v>
      </c>
      <c r="C687" s="46">
        <v>42577</v>
      </c>
      <c r="D687" s="50">
        <v>2500</v>
      </c>
      <c r="E687" s="32" t="s">
        <v>1479</v>
      </c>
      <c r="F687" s="32" t="s">
        <v>299</v>
      </c>
      <c r="G687" s="56"/>
      <c r="H687" s="32" t="s">
        <v>328</v>
      </c>
      <c r="I687" s="50"/>
    </row>
    <row r="688" spans="1:10" s="56" customFormat="1" ht="20.100000000000001" customHeight="1">
      <c r="A688" s="22" t="s">
        <v>1527</v>
      </c>
      <c r="B688" s="22" t="s">
        <v>60</v>
      </c>
      <c r="C688" s="46">
        <v>42577</v>
      </c>
      <c r="D688" s="50">
        <v>39.979999999999997</v>
      </c>
      <c r="E688" s="32" t="s">
        <v>1384</v>
      </c>
      <c r="F688" s="32" t="s">
        <v>63</v>
      </c>
      <c r="G688" s="138" t="s">
        <v>1433</v>
      </c>
      <c r="H688" s="32" t="s">
        <v>328</v>
      </c>
      <c r="I688" s="50"/>
      <c r="J688"/>
    </row>
    <row r="689" spans="1:10" s="56" customFormat="1" ht="20.100000000000001" customHeight="1">
      <c r="A689" s="22" t="s">
        <v>1527</v>
      </c>
      <c r="B689" s="22" t="s">
        <v>60</v>
      </c>
      <c r="C689" s="46">
        <v>42577</v>
      </c>
      <c r="D689" s="50">
        <v>38.92</v>
      </c>
      <c r="E689" s="32" t="s">
        <v>1384</v>
      </c>
      <c r="F689" s="32" t="s">
        <v>63</v>
      </c>
      <c r="G689" s="138" t="s">
        <v>1434</v>
      </c>
      <c r="H689" s="32" t="s">
        <v>328</v>
      </c>
      <c r="I689" s="50"/>
      <c r="J689"/>
    </row>
    <row r="690" spans="1:10" s="56" customFormat="1" ht="20.100000000000001" customHeight="1">
      <c r="A690" s="22" t="s">
        <v>1529</v>
      </c>
      <c r="B690" s="22" t="s">
        <v>60</v>
      </c>
      <c r="C690" s="46">
        <v>42578</v>
      </c>
      <c r="D690" s="50">
        <v>38</v>
      </c>
      <c r="E690" s="32" t="s">
        <v>663</v>
      </c>
      <c r="F690" s="32" t="s">
        <v>63</v>
      </c>
      <c r="G690" s="32" t="s">
        <v>1471</v>
      </c>
      <c r="H690" s="32" t="s">
        <v>328</v>
      </c>
      <c r="I690" s="50"/>
      <c r="J690"/>
    </row>
    <row r="691" spans="1:10" s="56" customFormat="1" ht="20.100000000000001" customHeight="1">
      <c r="A691" s="22" t="s">
        <v>1523</v>
      </c>
      <c r="B691" s="22" t="s">
        <v>1480</v>
      </c>
      <c r="C691" s="46">
        <v>42578</v>
      </c>
      <c r="D691" s="50">
        <v>1150</v>
      </c>
      <c r="E691" s="32" t="s">
        <v>1481</v>
      </c>
      <c r="F691" s="32" t="s">
        <v>1482</v>
      </c>
      <c r="G691" s="138"/>
      <c r="H691" s="32" t="s">
        <v>1483</v>
      </c>
      <c r="I691" s="50"/>
      <c r="J691"/>
    </row>
    <row r="692" spans="1:10" s="56" customFormat="1" ht="20.100000000000001" customHeight="1">
      <c r="A692" s="22" t="s">
        <v>1524</v>
      </c>
      <c r="B692" s="22" t="s">
        <v>1480</v>
      </c>
      <c r="C692" s="46">
        <v>42578</v>
      </c>
      <c r="D692" s="50">
        <v>1150</v>
      </c>
      <c r="E692" s="32" t="s">
        <v>1481</v>
      </c>
      <c r="F692" s="32" t="s">
        <v>1482</v>
      </c>
      <c r="G692" s="138"/>
      <c r="H692" s="32" t="s">
        <v>1484</v>
      </c>
      <c r="I692" s="50"/>
      <c r="J692"/>
    </row>
    <row r="693" spans="1:10" ht="20.100000000000001" customHeight="1">
      <c r="A693" s="151" t="s">
        <v>1641</v>
      </c>
      <c r="B693" s="151" t="s">
        <v>1642</v>
      </c>
      <c r="C693" s="46">
        <v>42578</v>
      </c>
      <c r="D693" s="50">
        <v>70</v>
      </c>
      <c r="E693" s="32" t="s">
        <v>1643</v>
      </c>
      <c r="F693" s="32" t="s">
        <v>1644</v>
      </c>
      <c r="G693" s="32" t="s">
        <v>1692</v>
      </c>
      <c r="H693" s="32" t="s">
        <v>1646</v>
      </c>
      <c r="I693" s="50"/>
    </row>
    <row r="694" spans="1:10" ht="20.100000000000001" customHeight="1">
      <c r="A694" s="151" t="s">
        <v>1641</v>
      </c>
      <c r="B694" s="151" t="s">
        <v>1642</v>
      </c>
      <c r="C694" s="46">
        <v>42578</v>
      </c>
      <c r="D694" s="50">
        <v>60</v>
      </c>
      <c r="E694" s="32" t="s">
        <v>1643</v>
      </c>
      <c r="F694" s="32" t="s">
        <v>1644</v>
      </c>
      <c r="G694" s="32" t="s">
        <v>1693</v>
      </c>
      <c r="H694" s="32" t="s">
        <v>1646</v>
      </c>
      <c r="I694" s="50"/>
    </row>
    <row r="695" spans="1:10" ht="20.100000000000001" customHeight="1">
      <c r="A695" s="151" t="s">
        <v>1641</v>
      </c>
      <c r="B695" s="151" t="s">
        <v>1642</v>
      </c>
      <c r="C695" s="46">
        <v>42578</v>
      </c>
      <c r="D695" s="50">
        <v>70</v>
      </c>
      <c r="E695" s="32" t="s">
        <v>1643</v>
      </c>
      <c r="F695" s="32" t="s">
        <v>1644</v>
      </c>
      <c r="G695" s="32" t="s">
        <v>1694</v>
      </c>
      <c r="H695" s="32" t="s">
        <v>1646</v>
      </c>
      <c r="I695" s="50"/>
    </row>
    <row r="696" spans="1:10" customFormat="1" ht="20.100000000000001" customHeight="1">
      <c r="A696" s="22" t="s">
        <v>1531</v>
      </c>
      <c r="B696" s="22" t="s">
        <v>1380</v>
      </c>
      <c r="C696" s="46">
        <v>42579</v>
      </c>
      <c r="D696" s="50">
        <v>3000</v>
      </c>
      <c r="E696" s="32" t="s">
        <v>1000</v>
      </c>
      <c r="F696" s="32" t="s">
        <v>63</v>
      </c>
      <c r="G696" s="32"/>
      <c r="H696" s="32" t="s">
        <v>329</v>
      </c>
      <c r="I696" s="50"/>
    </row>
    <row r="697" spans="1:10" customFormat="1" ht="20.100000000000001" customHeight="1">
      <c r="A697" s="145" t="s">
        <v>1550</v>
      </c>
      <c r="B697" s="22" t="s">
        <v>1380</v>
      </c>
      <c r="C697" s="46">
        <v>42579</v>
      </c>
      <c r="D697" s="50">
        <v>3000</v>
      </c>
      <c r="E697" s="32" t="s">
        <v>1000</v>
      </c>
      <c r="F697" s="32" t="s">
        <v>63</v>
      </c>
      <c r="G697" s="32"/>
      <c r="H697" s="32" t="s">
        <v>328</v>
      </c>
      <c r="I697" s="50"/>
    </row>
    <row r="698" spans="1:10" customFormat="1" ht="20.100000000000001" customHeight="1">
      <c r="A698" s="22" t="s">
        <v>1528</v>
      </c>
      <c r="B698" s="22" t="s">
        <v>82</v>
      </c>
      <c r="C698" s="46">
        <v>42581</v>
      </c>
      <c r="D698" s="50">
        <v>24</v>
      </c>
      <c r="E698" s="32" t="s">
        <v>165</v>
      </c>
      <c r="F698" s="32" t="s">
        <v>63</v>
      </c>
      <c r="G698" s="32" t="s">
        <v>594</v>
      </c>
      <c r="H698" s="32" t="s">
        <v>328</v>
      </c>
      <c r="I698" s="50"/>
    </row>
    <row r="699" spans="1:10" s="56" customFormat="1" ht="20.100000000000001" customHeight="1">
      <c r="A699" s="22" t="s">
        <v>1551</v>
      </c>
      <c r="B699" s="22" t="s">
        <v>747</v>
      </c>
      <c r="C699" s="46">
        <v>42576</v>
      </c>
      <c r="D699" s="50">
        <v>1000</v>
      </c>
      <c r="E699" s="32" t="s">
        <v>911</v>
      </c>
      <c r="F699" s="32" t="s">
        <v>912</v>
      </c>
      <c r="G699" s="138"/>
      <c r="H699" s="32" t="s">
        <v>328</v>
      </c>
      <c r="I699" s="50"/>
      <c r="J699"/>
    </row>
    <row r="700" spans="1:10" s="56" customFormat="1" ht="20.100000000000001" customHeight="1">
      <c r="A700" s="22" t="s">
        <v>1590</v>
      </c>
      <c r="B700" s="22" t="s">
        <v>747</v>
      </c>
      <c r="C700" s="46">
        <v>42583</v>
      </c>
      <c r="D700" s="47">
        <v>1000</v>
      </c>
      <c r="E700" s="32" t="s">
        <v>911</v>
      </c>
      <c r="F700" s="32" t="s">
        <v>912</v>
      </c>
      <c r="G700" s="138"/>
      <c r="H700" s="32" t="s">
        <v>328</v>
      </c>
      <c r="I700" s="47"/>
      <c r="J700"/>
    </row>
    <row r="701" spans="1:10" customFormat="1" ht="20.100000000000001" customHeight="1">
      <c r="A701" s="22" t="s">
        <v>1535</v>
      </c>
      <c r="B701" s="22" t="s">
        <v>60</v>
      </c>
      <c r="C701" s="46">
        <v>42581</v>
      </c>
      <c r="D701" s="47">
        <v>70</v>
      </c>
      <c r="E701" s="32" t="s">
        <v>1384</v>
      </c>
      <c r="F701" s="32" t="s">
        <v>63</v>
      </c>
      <c r="G701" s="138" t="s">
        <v>1582</v>
      </c>
      <c r="H701" s="32" t="s">
        <v>329</v>
      </c>
      <c r="I701" s="47"/>
    </row>
    <row r="702" spans="1:10" customFormat="1" ht="20.100000000000001" customHeight="1">
      <c r="A702" s="22" t="s">
        <v>1390</v>
      </c>
      <c r="B702" s="22" t="s">
        <v>60</v>
      </c>
      <c r="C702" s="46">
        <v>42582</v>
      </c>
      <c r="D702" s="47">
        <v>60</v>
      </c>
      <c r="E702" s="32" t="s">
        <v>1384</v>
      </c>
      <c r="F702" s="32" t="s">
        <v>63</v>
      </c>
      <c r="G702" s="138" t="s">
        <v>1522</v>
      </c>
      <c r="H702" s="32" t="s">
        <v>329</v>
      </c>
      <c r="I702" s="47"/>
    </row>
    <row r="703" spans="1:10" customFormat="1" ht="20.100000000000001" customHeight="1">
      <c r="A703" s="22" t="s">
        <v>1527</v>
      </c>
      <c r="B703" s="22" t="s">
        <v>60</v>
      </c>
      <c r="C703" s="46">
        <v>42583</v>
      </c>
      <c r="D703" s="47">
        <v>60</v>
      </c>
      <c r="E703" s="32" t="s">
        <v>1384</v>
      </c>
      <c r="F703" s="32" t="s">
        <v>63</v>
      </c>
      <c r="G703" s="32" t="s">
        <v>1396</v>
      </c>
      <c r="H703" s="32" t="s">
        <v>328</v>
      </c>
      <c r="I703" s="47"/>
    </row>
    <row r="704" spans="1:10" customFormat="1" ht="20.100000000000001" customHeight="1">
      <c r="A704" s="22" t="s">
        <v>1527</v>
      </c>
      <c r="B704" s="22" t="s">
        <v>60</v>
      </c>
      <c r="C704" s="46">
        <v>42583</v>
      </c>
      <c r="D704" s="47">
        <v>60</v>
      </c>
      <c r="E704" s="32" t="s">
        <v>1384</v>
      </c>
      <c r="F704" s="32" t="s">
        <v>63</v>
      </c>
      <c r="G704" s="32" t="s">
        <v>1397</v>
      </c>
      <c r="H704" s="32" t="s">
        <v>328</v>
      </c>
      <c r="I704" s="47"/>
    </row>
    <row r="705" spans="1:9" customFormat="1" ht="20.100000000000001" customHeight="1">
      <c r="A705" s="22" t="s">
        <v>1527</v>
      </c>
      <c r="B705" s="22" t="s">
        <v>60</v>
      </c>
      <c r="C705" s="46">
        <v>42583</v>
      </c>
      <c r="D705" s="47">
        <v>60</v>
      </c>
      <c r="E705" s="32" t="s">
        <v>1384</v>
      </c>
      <c r="F705" s="32" t="s">
        <v>63</v>
      </c>
      <c r="G705" s="138" t="s">
        <v>1412</v>
      </c>
      <c r="H705" s="32" t="s">
        <v>328</v>
      </c>
      <c r="I705" s="47"/>
    </row>
    <row r="706" spans="1:9" customFormat="1" ht="20.100000000000001" customHeight="1">
      <c r="A706" s="22" t="s">
        <v>1531</v>
      </c>
      <c r="B706" s="22" t="s">
        <v>1380</v>
      </c>
      <c r="C706" s="46">
        <v>42584</v>
      </c>
      <c r="D706" s="47">
        <v>2700</v>
      </c>
      <c r="E706" s="32" t="s">
        <v>1000</v>
      </c>
      <c r="F706" s="32" t="s">
        <v>63</v>
      </c>
      <c r="G706" s="32"/>
      <c r="H706" s="32" t="s">
        <v>329</v>
      </c>
      <c r="I706" s="47"/>
    </row>
    <row r="707" spans="1:9" customFormat="1" ht="20.100000000000001" customHeight="1">
      <c r="A707" s="145" t="s">
        <v>1550</v>
      </c>
      <c r="B707" s="22" t="s">
        <v>1380</v>
      </c>
      <c r="C707" s="46">
        <v>42584</v>
      </c>
      <c r="D707" s="47">
        <v>2700</v>
      </c>
      <c r="E707" s="32" t="s">
        <v>1000</v>
      </c>
      <c r="F707" s="32" t="s">
        <v>63</v>
      </c>
      <c r="G707" s="32"/>
      <c r="H707" s="32" t="s">
        <v>328</v>
      </c>
      <c r="I707" s="47"/>
    </row>
    <row r="708" spans="1:9" ht="20.100000000000001" customHeight="1">
      <c r="A708" s="151" t="s">
        <v>1695</v>
      </c>
      <c r="B708" s="151" t="s">
        <v>1642</v>
      </c>
      <c r="C708" s="46">
        <v>42584</v>
      </c>
      <c r="D708" s="47">
        <v>60</v>
      </c>
      <c r="E708" s="32" t="s">
        <v>1643</v>
      </c>
      <c r="F708" s="32" t="s">
        <v>1644</v>
      </c>
      <c r="G708" s="32" t="s">
        <v>1686</v>
      </c>
      <c r="H708" s="32" t="s">
        <v>1663</v>
      </c>
      <c r="I708" s="47"/>
    </row>
    <row r="709" spans="1:9" ht="20.100000000000001" customHeight="1">
      <c r="A709" s="151" t="s">
        <v>1695</v>
      </c>
      <c r="B709" s="151" t="s">
        <v>1642</v>
      </c>
      <c r="C709" s="46">
        <v>42584</v>
      </c>
      <c r="D709" s="47">
        <v>60</v>
      </c>
      <c r="E709" s="32" t="s">
        <v>1643</v>
      </c>
      <c r="F709" s="32" t="s">
        <v>1644</v>
      </c>
      <c r="G709" s="32" t="s">
        <v>1688</v>
      </c>
      <c r="H709" s="32" t="s">
        <v>1663</v>
      </c>
      <c r="I709" s="47"/>
    </row>
    <row r="710" spans="1:9" ht="20.100000000000001" customHeight="1">
      <c r="A710" s="151" t="s">
        <v>1695</v>
      </c>
      <c r="B710" s="151" t="s">
        <v>1642</v>
      </c>
      <c r="C710" s="46">
        <v>42584</v>
      </c>
      <c r="D710" s="47">
        <v>60</v>
      </c>
      <c r="E710" s="32" t="s">
        <v>1643</v>
      </c>
      <c r="F710" s="32" t="s">
        <v>1644</v>
      </c>
      <c r="G710" s="32" t="s">
        <v>1689</v>
      </c>
      <c r="H710" s="32" t="s">
        <v>1663</v>
      </c>
      <c r="I710" s="47"/>
    </row>
    <row r="711" spans="1:9" ht="20.100000000000001" customHeight="1">
      <c r="A711" s="151" t="s">
        <v>1695</v>
      </c>
      <c r="B711" s="151" t="s">
        <v>1642</v>
      </c>
      <c r="C711" s="46">
        <v>42584</v>
      </c>
      <c r="D711" s="47">
        <v>70</v>
      </c>
      <c r="E711" s="32" t="s">
        <v>1643</v>
      </c>
      <c r="F711" s="32" t="s">
        <v>1644</v>
      </c>
      <c r="G711" s="32" t="s">
        <v>1690</v>
      </c>
      <c r="H711" s="32" t="s">
        <v>1663</v>
      </c>
      <c r="I711" s="47"/>
    </row>
    <row r="712" spans="1:9" ht="20.100000000000001" customHeight="1">
      <c r="A712" s="151" t="s">
        <v>1695</v>
      </c>
      <c r="B712" s="151" t="s">
        <v>1642</v>
      </c>
      <c r="C712" s="46">
        <v>42584</v>
      </c>
      <c r="D712" s="47">
        <v>70</v>
      </c>
      <c r="E712" s="32" t="s">
        <v>1643</v>
      </c>
      <c r="F712" s="32" t="s">
        <v>1644</v>
      </c>
      <c r="G712" s="32" t="s">
        <v>1691</v>
      </c>
      <c r="H712" s="32" t="s">
        <v>1663</v>
      </c>
      <c r="I712" s="47"/>
    </row>
    <row r="713" spans="1:9" ht="20.100000000000001" customHeight="1">
      <c r="A713" s="151" t="s">
        <v>1695</v>
      </c>
      <c r="B713" s="151" t="s">
        <v>1642</v>
      </c>
      <c r="C713" s="46">
        <v>42584</v>
      </c>
      <c r="D713" s="47">
        <v>70</v>
      </c>
      <c r="E713" s="32" t="s">
        <v>1643</v>
      </c>
      <c r="F713" s="32" t="s">
        <v>1644</v>
      </c>
      <c r="G713" s="32" t="s">
        <v>1692</v>
      </c>
      <c r="H713" s="32" t="s">
        <v>1663</v>
      </c>
      <c r="I713" s="47"/>
    </row>
    <row r="714" spans="1:9" ht="20.100000000000001" customHeight="1">
      <c r="A714" s="151" t="s">
        <v>1695</v>
      </c>
      <c r="B714" s="151" t="s">
        <v>1642</v>
      </c>
      <c r="C714" s="46">
        <v>42584</v>
      </c>
      <c r="D714" s="47">
        <v>60</v>
      </c>
      <c r="E714" s="32" t="s">
        <v>1643</v>
      </c>
      <c r="F714" s="32" t="s">
        <v>1644</v>
      </c>
      <c r="G714" s="32" t="s">
        <v>1693</v>
      </c>
      <c r="H714" s="32" t="s">
        <v>1663</v>
      </c>
      <c r="I714" s="47"/>
    </row>
    <row r="715" spans="1:9" ht="20.100000000000001" customHeight="1">
      <c r="A715" s="151" t="s">
        <v>1695</v>
      </c>
      <c r="B715" s="151" t="s">
        <v>1642</v>
      </c>
      <c r="C715" s="46">
        <v>42584</v>
      </c>
      <c r="D715" s="47">
        <v>70</v>
      </c>
      <c r="E715" s="32" t="s">
        <v>1643</v>
      </c>
      <c r="F715" s="32" t="s">
        <v>1644</v>
      </c>
      <c r="G715" s="32" t="s">
        <v>1694</v>
      </c>
      <c r="H715" s="32" t="s">
        <v>1663</v>
      </c>
      <c r="I715" s="47"/>
    </row>
    <row r="716" spans="1:9" customFormat="1" ht="20.100000000000001" customHeight="1">
      <c r="A716" s="22" t="s">
        <v>1531</v>
      </c>
      <c r="B716" s="22" t="s">
        <v>1380</v>
      </c>
      <c r="C716" s="46">
        <v>42585</v>
      </c>
      <c r="D716" s="47">
        <v>2200</v>
      </c>
      <c r="E716" s="32" t="s">
        <v>1000</v>
      </c>
      <c r="F716" s="32" t="s">
        <v>63</v>
      </c>
      <c r="G716" s="32"/>
      <c r="H716" s="32" t="s">
        <v>329</v>
      </c>
      <c r="I716" s="47"/>
    </row>
    <row r="717" spans="1:9" customFormat="1" ht="20.100000000000001" customHeight="1">
      <c r="A717" s="145" t="s">
        <v>1550</v>
      </c>
      <c r="B717" s="22" t="s">
        <v>1380</v>
      </c>
      <c r="C717" s="46">
        <v>42585</v>
      </c>
      <c r="D717" s="47">
        <v>2200</v>
      </c>
      <c r="E717" s="32" t="s">
        <v>1000</v>
      </c>
      <c r="F717" s="32" t="s">
        <v>63</v>
      </c>
      <c r="G717" s="32"/>
      <c r="H717" s="32" t="s">
        <v>328</v>
      </c>
      <c r="I717" s="47"/>
    </row>
    <row r="718" spans="1:9" s="56" customFormat="1" ht="20.100000000000001" customHeight="1">
      <c r="A718" s="22" t="s">
        <v>1540</v>
      </c>
      <c r="B718" s="22" t="s">
        <v>60</v>
      </c>
      <c r="C718" s="46">
        <v>42586</v>
      </c>
      <c r="D718" s="47">
        <v>65</v>
      </c>
      <c r="E718" s="32" t="s">
        <v>663</v>
      </c>
      <c r="F718" s="32" t="s">
        <v>70</v>
      </c>
      <c r="G718" s="32" t="s">
        <v>1298</v>
      </c>
      <c r="H718" s="32" t="s">
        <v>329</v>
      </c>
      <c r="I718" s="47"/>
    </row>
    <row r="719" spans="1:9" s="56" customFormat="1" ht="20.100000000000001" customHeight="1">
      <c r="A719" s="22" t="s">
        <v>1540</v>
      </c>
      <c r="B719" s="22" t="s">
        <v>60</v>
      </c>
      <c r="C719" s="46">
        <v>42586</v>
      </c>
      <c r="D719" s="47">
        <v>65</v>
      </c>
      <c r="E719" s="32" t="s">
        <v>663</v>
      </c>
      <c r="F719" s="32" t="s">
        <v>70</v>
      </c>
      <c r="G719" s="32" t="s">
        <v>1541</v>
      </c>
      <c r="H719" s="32" t="s">
        <v>329</v>
      </c>
      <c r="I719" s="47"/>
    </row>
    <row r="720" spans="1:9" s="56" customFormat="1" ht="20.100000000000001" customHeight="1">
      <c r="A720" s="22" t="s">
        <v>1540</v>
      </c>
      <c r="B720" s="22" t="s">
        <v>60</v>
      </c>
      <c r="C720" s="46">
        <v>42586</v>
      </c>
      <c r="D720" s="47">
        <v>96</v>
      </c>
      <c r="E720" s="32" t="s">
        <v>663</v>
      </c>
      <c r="F720" s="32" t="s">
        <v>70</v>
      </c>
      <c r="G720" s="32" t="s">
        <v>1542</v>
      </c>
      <c r="H720" s="32" t="s">
        <v>329</v>
      </c>
      <c r="I720" s="47"/>
    </row>
    <row r="721" spans="1:14" customFormat="1" ht="20.100000000000001" customHeight="1">
      <c r="A721" s="22" t="s">
        <v>1570</v>
      </c>
      <c r="B721" s="22" t="s">
        <v>60</v>
      </c>
      <c r="C721" s="46">
        <v>42587</v>
      </c>
      <c r="D721" s="47">
        <v>38</v>
      </c>
      <c r="E721" s="32" t="s">
        <v>1553</v>
      </c>
      <c r="F721" s="32" t="s">
        <v>1554</v>
      </c>
      <c r="G721" s="32" t="s">
        <v>1552</v>
      </c>
      <c r="H721" s="32" t="s">
        <v>329</v>
      </c>
      <c r="I721" s="47"/>
    </row>
    <row r="722" spans="1:14" customFormat="1" ht="20.100000000000001" customHeight="1">
      <c r="A722" s="22" t="s">
        <v>1570</v>
      </c>
      <c r="B722" s="22" t="s">
        <v>60</v>
      </c>
      <c r="C722" s="46">
        <v>42587</v>
      </c>
      <c r="D722" s="47">
        <v>35</v>
      </c>
      <c r="E722" s="32" t="s">
        <v>1553</v>
      </c>
      <c r="F722" s="32" t="s">
        <v>1554</v>
      </c>
      <c r="G722" s="32" t="s">
        <v>1555</v>
      </c>
      <c r="H722" s="32" t="s">
        <v>329</v>
      </c>
      <c r="I722" s="47"/>
    </row>
    <row r="723" spans="1:14" customFormat="1" ht="20.100000000000001" customHeight="1">
      <c r="A723" s="22" t="s">
        <v>1570</v>
      </c>
      <c r="B723" s="22" t="s">
        <v>60</v>
      </c>
      <c r="C723" s="46">
        <v>42587</v>
      </c>
      <c r="D723" s="47">
        <v>38</v>
      </c>
      <c r="E723" s="32" t="s">
        <v>1553</v>
      </c>
      <c r="F723" s="32" t="s">
        <v>1554</v>
      </c>
      <c r="G723" s="32" t="s">
        <v>1556</v>
      </c>
      <c r="H723" s="32" t="s">
        <v>329</v>
      </c>
      <c r="I723" s="47"/>
    </row>
    <row r="724" spans="1:14" customFormat="1" ht="20.100000000000001" customHeight="1">
      <c r="A724" s="22" t="s">
        <v>1571</v>
      </c>
      <c r="B724" s="22" t="s">
        <v>60</v>
      </c>
      <c r="C724" s="46">
        <v>42587</v>
      </c>
      <c r="D724" s="47">
        <v>38</v>
      </c>
      <c r="E724" s="32" t="s">
        <v>1553</v>
      </c>
      <c r="F724" s="32" t="s">
        <v>1554</v>
      </c>
      <c r="G724" s="32" t="s">
        <v>1552</v>
      </c>
      <c r="H724" s="32" t="s">
        <v>328</v>
      </c>
      <c r="I724" s="47"/>
    </row>
    <row r="725" spans="1:14" customFormat="1" ht="20.100000000000001" customHeight="1">
      <c r="A725" s="22" t="s">
        <v>1571</v>
      </c>
      <c r="B725" s="22" t="s">
        <v>60</v>
      </c>
      <c r="C725" s="46">
        <v>42587</v>
      </c>
      <c r="D725" s="47">
        <v>35</v>
      </c>
      <c r="E725" s="32" t="s">
        <v>1553</v>
      </c>
      <c r="F725" s="32" t="s">
        <v>1554</v>
      </c>
      <c r="G725" s="32" t="s">
        <v>1555</v>
      </c>
      <c r="H725" s="32" t="s">
        <v>328</v>
      </c>
      <c r="I725" s="47"/>
    </row>
    <row r="726" spans="1:14" customFormat="1" ht="20.100000000000001" customHeight="1">
      <c r="A726" s="22" t="s">
        <v>1571</v>
      </c>
      <c r="B726" s="22" t="s">
        <v>60</v>
      </c>
      <c r="C726" s="46">
        <v>42587</v>
      </c>
      <c r="D726" s="47">
        <v>38</v>
      </c>
      <c r="E726" s="32" t="s">
        <v>1553</v>
      </c>
      <c r="F726" s="32" t="s">
        <v>1554</v>
      </c>
      <c r="G726" s="32" t="s">
        <v>1556</v>
      </c>
      <c r="H726" s="32" t="s">
        <v>328</v>
      </c>
      <c r="I726" s="47"/>
    </row>
    <row r="727" spans="1:14" customFormat="1" ht="20.100000000000001" customHeight="1">
      <c r="A727" s="22" t="s">
        <v>1572</v>
      </c>
      <c r="B727" s="22" t="s">
        <v>1380</v>
      </c>
      <c r="C727" s="46">
        <v>42590</v>
      </c>
      <c r="D727" s="47">
        <v>3000</v>
      </c>
      <c r="E727" s="32" t="s">
        <v>1000</v>
      </c>
      <c r="F727" s="32" t="s">
        <v>63</v>
      </c>
      <c r="G727" s="32"/>
      <c r="H727" s="32" t="s">
        <v>329</v>
      </c>
      <c r="I727" s="47"/>
    </row>
    <row r="728" spans="1:14" customFormat="1" ht="20.100000000000001" customHeight="1">
      <c r="A728" s="22" t="s">
        <v>1596</v>
      </c>
      <c r="B728" s="22" t="s">
        <v>1380</v>
      </c>
      <c r="C728" s="46">
        <v>42590</v>
      </c>
      <c r="D728" s="47">
        <v>3000</v>
      </c>
      <c r="E728" s="32" t="s">
        <v>1000</v>
      </c>
      <c r="F728" s="32" t="s">
        <v>63</v>
      </c>
      <c r="G728" s="32"/>
      <c r="H728" s="32" t="s">
        <v>328</v>
      </c>
      <c r="I728" s="47"/>
    </row>
    <row r="729" spans="1:14" customFormat="1" ht="20.100000000000001" customHeight="1">
      <c r="A729" s="22" t="s">
        <v>1540</v>
      </c>
      <c r="B729" s="22" t="s">
        <v>60</v>
      </c>
      <c r="C729" s="46">
        <v>42588</v>
      </c>
      <c r="D729" s="47">
        <v>71</v>
      </c>
      <c r="E729" s="32" t="s">
        <v>663</v>
      </c>
      <c r="F729" s="32" t="s">
        <v>70</v>
      </c>
      <c r="G729" s="32" t="s">
        <v>1557</v>
      </c>
      <c r="H729" s="32" t="s">
        <v>329</v>
      </c>
      <c r="I729" s="47"/>
    </row>
    <row r="730" spans="1:14" customFormat="1" ht="20.100000000000001" customHeight="1">
      <c r="A730" s="22" t="s">
        <v>1540</v>
      </c>
      <c r="B730" s="22" t="s">
        <v>60</v>
      </c>
      <c r="C730" s="46">
        <v>42588</v>
      </c>
      <c r="D730" s="47">
        <v>71</v>
      </c>
      <c r="E730" s="32" t="s">
        <v>663</v>
      </c>
      <c r="F730" s="32" t="s">
        <v>70</v>
      </c>
      <c r="G730" s="32" t="s">
        <v>1558</v>
      </c>
      <c r="H730" s="32" t="s">
        <v>329</v>
      </c>
      <c r="I730" s="47"/>
    </row>
    <row r="731" spans="1:14" customFormat="1" ht="20.100000000000001" customHeight="1">
      <c r="A731" s="22" t="s">
        <v>1540</v>
      </c>
      <c r="B731" s="22" t="s">
        <v>60</v>
      </c>
      <c r="C731" s="46">
        <v>42588</v>
      </c>
      <c r="D731" s="47">
        <v>61</v>
      </c>
      <c r="E731" s="32" t="s">
        <v>663</v>
      </c>
      <c r="F731" s="32" t="s">
        <v>70</v>
      </c>
      <c r="G731" s="32" t="s">
        <v>1559</v>
      </c>
      <c r="H731" s="32" t="s">
        <v>329</v>
      </c>
      <c r="I731" s="47"/>
    </row>
    <row r="732" spans="1:14" customFormat="1" ht="20.100000000000001" customHeight="1">
      <c r="A732" s="22" t="s">
        <v>1540</v>
      </c>
      <c r="B732" s="22" t="s">
        <v>60</v>
      </c>
      <c r="C732" s="46">
        <v>42588</v>
      </c>
      <c r="D732" s="47">
        <v>71</v>
      </c>
      <c r="E732" s="32" t="s">
        <v>663</v>
      </c>
      <c r="F732" s="32" t="s">
        <v>70</v>
      </c>
      <c r="G732" s="32" t="s">
        <v>1560</v>
      </c>
      <c r="H732" s="32" t="s">
        <v>329</v>
      </c>
      <c r="I732" s="47"/>
    </row>
    <row r="733" spans="1:14" customFormat="1" ht="20.100000000000001" customHeight="1">
      <c r="A733" s="22" t="s">
        <v>1497</v>
      </c>
      <c r="B733" s="22" t="s">
        <v>60</v>
      </c>
      <c r="C733" s="46">
        <v>42586</v>
      </c>
      <c r="D733" s="47">
        <v>65</v>
      </c>
      <c r="E733" s="32" t="s">
        <v>663</v>
      </c>
      <c r="F733" s="32" t="s">
        <v>70</v>
      </c>
      <c r="G733" s="32" t="s">
        <v>1298</v>
      </c>
      <c r="H733" s="32" t="s">
        <v>328</v>
      </c>
      <c r="I733" s="47"/>
    </row>
    <row r="734" spans="1:14" customFormat="1" ht="20.100000000000001" customHeight="1">
      <c r="A734" s="22" t="s">
        <v>1497</v>
      </c>
      <c r="B734" s="22" t="s">
        <v>60</v>
      </c>
      <c r="C734" s="46">
        <v>42586</v>
      </c>
      <c r="D734" s="47">
        <v>65</v>
      </c>
      <c r="E734" s="32" t="s">
        <v>663</v>
      </c>
      <c r="F734" s="32" t="s">
        <v>70</v>
      </c>
      <c r="G734" s="32" t="s">
        <v>1541</v>
      </c>
      <c r="H734" s="32" t="s">
        <v>328</v>
      </c>
      <c r="I734" s="47"/>
    </row>
    <row r="735" spans="1:14" customFormat="1" ht="20.100000000000001" customHeight="1">
      <c r="A735" s="22" t="s">
        <v>1497</v>
      </c>
      <c r="B735" s="22" t="s">
        <v>60</v>
      </c>
      <c r="C735" s="46">
        <v>42586</v>
      </c>
      <c r="D735" s="47">
        <v>96</v>
      </c>
      <c r="E735" s="32" t="s">
        <v>663</v>
      </c>
      <c r="F735" s="32" t="s">
        <v>70</v>
      </c>
      <c r="G735" s="32" t="s">
        <v>1542</v>
      </c>
      <c r="H735" s="32" t="s">
        <v>328</v>
      </c>
      <c r="I735" s="47"/>
    </row>
    <row r="736" spans="1:14" ht="20.100000000000001" customHeight="1">
      <c r="A736" s="151" t="s">
        <v>1696</v>
      </c>
      <c r="B736" s="151" t="s">
        <v>1642</v>
      </c>
      <c r="C736" s="46">
        <v>42587</v>
      </c>
      <c r="D736" s="47">
        <v>40</v>
      </c>
      <c r="E736" s="32" t="s">
        <v>1643</v>
      </c>
      <c r="F736" s="32" t="s">
        <v>1644</v>
      </c>
      <c r="G736" s="32" t="s">
        <v>1697</v>
      </c>
      <c r="H736" s="32" t="s">
        <v>1646</v>
      </c>
      <c r="I736" s="47"/>
      <c r="K736" s="154"/>
      <c r="L736" s="155"/>
      <c r="M736" s="155"/>
      <c r="N736" s="156"/>
    </row>
    <row r="737" spans="1:14" ht="27.75" customHeight="1">
      <c r="A737" s="151" t="s">
        <v>1696</v>
      </c>
      <c r="B737" s="151" t="s">
        <v>60</v>
      </c>
      <c r="C737" s="46">
        <v>42587</v>
      </c>
      <c r="D737" s="47">
        <v>44.98</v>
      </c>
      <c r="E737" s="32" t="s">
        <v>181</v>
      </c>
      <c r="F737" s="32" t="s">
        <v>70</v>
      </c>
      <c r="G737" s="32" t="s">
        <v>1698</v>
      </c>
      <c r="H737" s="32" t="s">
        <v>329</v>
      </c>
      <c r="I737" s="47"/>
      <c r="K737" s="154"/>
      <c r="L737" s="155"/>
      <c r="M737" s="155"/>
      <c r="N737" s="156"/>
    </row>
    <row r="738" spans="1:14" customFormat="1" ht="20.100000000000001" customHeight="1">
      <c r="A738" s="22" t="s">
        <v>1570</v>
      </c>
      <c r="B738" s="22" t="s">
        <v>60</v>
      </c>
      <c r="C738" s="46">
        <v>42589</v>
      </c>
      <c r="D738" s="47">
        <v>38.14</v>
      </c>
      <c r="E738" s="32" t="s">
        <v>1384</v>
      </c>
      <c r="F738" s="32" t="s">
        <v>63</v>
      </c>
      <c r="G738" s="32" t="s">
        <v>1573</v>
      </c>
      <c r="H738" s="32" t="s">
        <v>329</v>
      </c>
      <c r="I738" s="47"/>
      <c r="K738" s="158"/>
      <c r="L738" s="159"/>
      <c r="M738" s="159"/>
      <c r="N738" s="160"/>
    </row>
    <row r="739" spans="1:14" customFormat="1" ht="20.100000000000001" customHeight="1">
      <c r="A739" s="22" t="s">
        <v>1570</v>
      </c>
      <c r="B739" s="22" t="s">
        <v>60</v>
      </c>
      <c r="C739" s="46">
        <v>42589</v>
      </c>
      <c r="D739" s="47">
        <v>38.18</v>
      </c>
      <c r="E739" s="32" t="s">
        <v>1384</v>
      </c>
      <c r="F739" s="32" t="s">
        <v>63</v>
      </c>
      <c r="G739" s="32" t="s">
        <v>1584</v>
      </c>
      <c r="H739" s="32" t="s">
        <v>329</v>
      </c>
      <c r="I739" s="47"/>
    </row>
    <row r="740" spans="1:14" customFormat="1" ht="20.100000000000001" customHeight="1">
      <c r="A740" s="22" t="s">
        <v>1570</v>
      </c>
      <c r="B740" s="22" t="s">
        <v>60</v>
      </c>
      <c r="C740" s="46">
        <v>42589</v>
      </c>
      <c r="D740" s="47">
        <v>37.119999999999997</v>
      </c>
      <c r="E740" s="32" t="s">
        <v>1384</v>
      </c>
      <c r="F740" s="32" t="s">
        <v>63</v>
      </c>
      <c r="G740" s="32" t="s">
        <v>1575</v>
      </c>
      <c r="H740" s="32" t="s">
        <v>329</v>
      </c>
      <c r="I740" s="47"/>
    </row>
    <row r="741" spans="1:14" customFormat="1" ht="20.100000000000001" customHeight="1">
      <c r="A741" s="22" t="s">
        <v>1570</v>
      </c>
      <c r="B741" s="22" t="s">
        <v>60</v>
      </c>
      <c r="C741" s="46">
        <v>42589</v>
      </c>
      <c r="D741" s="47">
        <v>37.159999999999997</v>
      </c>
      <c r="E741" s="32" t="s">
        <v>1384</v>
      </c>
      <c r="F741" s="32" t="s">
        <v>63</v>
      </c>
      <c r="G741" s="32" t="s">
        <v>1576</v>
      </c>
      <c r="H741" s="32" t="s">
        <v>329</v>
      </c>
      <c r="I741" s="47"/>
    </row>
    <row r="742" spans="1:14" customFormat="1" ht="20.100000000000001" customHeight="1">
      <c r="A742" s="22" t="s">
        <v>1570</v>
      </c>
      <c r="B742" s="22" t="s">
        <v>60</v>
      </c>
      <c r="C742" s="46">
        <v>42591</v>
      </c>
      <c r="D742" s="47">
        <v>37.08</v>
      </c>
      <c r="E742" s="32" t="s">
        <v>1384</v>
      </c>
      <c r="F742" s="32" t="s">
        <v>63</v>
      </c>
      <c r="G742" s="32" t="s">
        <v>1577</v>
      </c>
      <c r="H742" s="32" t="s">
        <v>329</v>
      </c>
      <c r="I742" s="47"/>
    </row>
    <row r="743" spans="1:14" customFormat="1" ht="20.100000000000001" customHeight="1">
      <c r="A743" s="22" t="s">
        <v>1570</v>
      </c>
      <c r="B743" s="22" t="s">
        <v>60</v>
      </c>
      <c r="C743" s="46">
        <v>42591</v>
      </c>
      <c r="D743" s="47">
        <v>37.119999999999997</v>
      </c>
      <c r="E743" s="32" t="s">
        <v>1384</v>
      </c>
      <c r="F743" s="32" t="s">
        <v>63</v>
      </c>
      <c r="G743" s="32" t="s">
        <v>1578</v>
      </c>
      <c r="H743" s="32" t="s">
        <v>329</v>
      </c>
      <c r="I743" s="47"/>
    </row>
    <row r="744" spans="1:14" customFormat="1" ht="20.100000000000001" customHeight="1">
      <c r="A744" s="22" t="s">
        <v>1570</v>
      </c>
      <c r="B744" s="22" t="s">
        <v>60</v>
      </c>
      <c r="C744" s="46">
        <v>42591</v>
      </c>
      <c r="D744" s="47">
        <v>38.06</v>
      </c>
      <c r="E744" s="32" t="s">
        <v>1384</v>
      </c>
      <c r="F744" s="32" t="s">
        <v>63</v>
      </c>
      <c r="G744" s="32" t="s">
        <v>1579</v>
      </c>
      <c r="H744" s="32" t="s">
        <v>329</v>
      </c>
      <c r="I744" s="47"/>
    </row>
    <row r="745" spans="1:14" customFormat="1" ht="20.100000000000001" customHeight="1">
      <c r="A745" s="22" t="s">
        <v>1570</v>
      </c>
      <c r="B745" s="22" t="s">
        <v>60</v>
      </c>
      <c r="C745" s="46">
        <v>42591</v>
      </c>
      <c r="D745" s="47">
        <v>36.14</v>
      </c>
      <c r="E745" s="32" t="s">
        <v>1384</v>
      </c>
      <c r="F745" s="32" t="s">
        <v>63</v>
      </c>
      <c r="G745" s="32" t="s">
        <v>1580</v>
      </c>
      <c r="H745" s="32" t="s">
        <v>329</v>
      </c>
      <c r="I745" s="47"/>
    </row>
    <row r="746" spans="1:14" customFormat="1" ht="20.100000000000001" customHeight="1">
      <c r="A746" s="22" t="s">
        <v>1571</v>
      </c>
      <c r="B746" s="22" t="s">
        <v>60</v>
      </c>
      <c r="C746" s="46">
        <v>42589</v>
      </c>
      <c r="D746" s="47">
        <v>38.14</v>
      </c>
      <c r="E746" s="32" t="s">
        <v>1384</v>
      </c>
      <c r="F746" s="32" t="s">
        <v>63</v>
      </c>
      <c r="G746" s="32" t="s">
        <v>1573</v>
      </c>
      <c r="H746" s="32" t="s">
        <v>328</v>
      </c>
      <c r="I746" s="47"/>
    </row>
    <row r="747" spans="1:14" customFormat="1" ht="20.100000000000001" customHeight="1">
      <c r="A747" s="22" t="s">
        <v>1571</v>
      </c>
      <c r="B747" s="22" t="s">
        <v>60</v>
      </c>
      <c r="C747" s="46">
        <v>42589</v>
      </c>
      <c r="D747" s="47">
        <v>38.18</v>
      </c>
      <c r="E747" s="32" t="s">
        <v>1384</v>
      </c>
      <c r="F747" s="32" t="s">
        <v>63</v>
      </c>
      <c r="G747" s="32" t="s">
        <v>1574</v>
      </c>
      <c r="H747" s="32" t="s">
        <v>328</v>
      </c>
      <c r="I747" s="47"/>
    </row>
    <row r="748" spans="1:14" customFormat="1" ht="20.100000000000001" customHeight="1">
      <c r="A748" s="22" t="s">
        <v>1571</v>
      </c>
      <c r="B748" s="22" t="s">
        <v>60</v>
      </c>
      <c r="C748" s="46">
        <v>42589</v>
      </c>
      <c r="D748" s="47">
        <v>37.119999999999997</v>
      </c>
      <c r="E748" s="32" t="s">
        <v>1384</v>
      </c>
      <c r="F748" s="32" t="s">
        <v>63</v>
      </c>
      <c r="G748" s="32" t="s">
        <v>1575</v>
      </c>
      <c r="H748" s="32" t="s">
        <v>328</v>
      </c>
      <c r="I748" s="47"/>
    </row>
    <row r="749" spans="1:14" customFormat="1" ht="20.100000000000001" customHeight="1">
      <c r="A749" s="22" t="s">
        <v>1571</v>
      </c>
      <c r="B749" s="22" t="s">
        <v>60</v>
      </c>
      <c r="C749" s="46">
        <v>42589</v>
      </c>
      <c r="D749" s="47">
        <v>37.159999999999997</v>
      </c>
      <c r="E749" s="32" t="s">
        <v>1384</v>
      </c>
      <c r="F749" s="32" t="s">
        <v>63</v>
      </c>
      <c r="G749" s="32" t="s">
        <v>1576</v>
      </c>
      <c r="H749" s="32" t="s">
        <v>328</v>
      </c>
      <c r="I749" s="47"/>
    </row>
    <row r="750" spans="1:14" customFormat="1" ht="20.100000000000001" customHeight="1">
      <c r="A750" s="22" t="s">
        <v>1571</v>
      </c>
      <c r="B750" s="22" t="s">
        <v>60</v>
      </c>
      <c r="C750" s="46">
        <v>42591</v>
      </c>
      <c r="D750" s="47">
        <v>37.08</v>
      </c>
      <c r="E750" s="32" t="s">
        <v>1384</v>
      </c>
      <c r="F750" s="32" t="s">
        <v>63</v>
      </c>
      <c r="G750" s="32" t="s">
        <v>1577</v>
      </c>
      <c r="H750" s="32" t="s">
        <v>328</v>
      </c>
      <c r="I750" s="47"/>
    </row>
    <row r="751" spans="1:14" customFormat="1" ht="20.100000000000001" customHeight="1">
      <c r="A751" s="22" t="s">
        <v>1571</v>
      </c>
      <c r="B751" s="22" t="s">
        <v>60</v>
      </c>
      <c r="C751" s="46">
        <v>42591</v>
      </c>
      <c r="D751" s="47">
        <v>37.119999999999997</v>
      </c>
      <c r="E751" s="32" t="s">
        <v>1384</v>
      </c>
      <c r="F751" s="32" t="s">
        <v>63</v>
      </c>
      <c r="G751" s="32" t="s">
        <v>1578</v>
      </c>
      <c r="H751" s="32" t="s">
        <v>328</v>
      </c>
      <c r="I751" s="47"/>
    </row>
    <row r="752" spans="1:14" customFormat="1" ht="20.100000000000001" customHeight="1">
      <c r="A752" s="22" t="s">
        <v>1571</v>
      </c>
      <c r="B752" s="22" t="s">
        <v>60</v>
      </c>
      <c r="C752" s="46">
        <v>42591</v>
      </c>
      <c r="D752" s="47">
        <v>38.06</v>
      </c>
      <c r="E752" s="32" t="s">
        <v>1384</v>
      </c>
      <c r="F752" s="32" t="s">
        <v>63</v>
      </c>
      <c r="G752" s="32" t="s">
        <v>1579</v>
      </c>
      <c r="H752" s="32" t="s">
        <v>328</v>
      </c>
      <c r="I752" s="47"/>
    </row>
    <row r="753" spans="1:12" customFormat="1" ht="20.100000000000001" customHeight="1">
      <c r="A753" s="22" t="s">
        <v>1571</v>
      </c>
      <c r="B753" s="22" t="s">
        <v>60</v>
      </c>
      <c r="C753" s="46">
        <v>42591</v>
      </c>
      <c r="D753" s="47">
        <v>36.14</v>
      </c>
      <c r="E753" s="32" t="s">
        <v>1384</v>
      </c>
      <c r="F753" s="32" t="s">
        <v>63</v>
      </c>
      <c r="G753" s="32" t="s">
        <v>1580</v>
      </c>
      <c r="H753" s="32" t="s">
        <v>328</v>
      </c>
      <c r="I753" s="47"/>
    </row>
    <row r="754" spans="1:12" customFormat="1" ht="20.100000000000001" customHeight="1">
      <c r="A754" s="22" t="s">
        <v>1390</v>
      </c>
      <c r="B754" s="22" t="s">
        <v>60</v>
      </c>
      <c r="C754" s="46">
        <v>42590</v>
      </c>
      <c r="D754" s="47">
        <v>60</v>
      </c>
      <c r="E754" s="32" t="s">
        <v>1384</v>
      </c>
      <c r="F754" s="32" t="s">
        <v>63</v>
      </c>
      <c r="G754" s="138" t="s">
        <v>1583</v>
      </c>
      <c r="H754" s="32" t="s">
        <v>329</v>
      </c>
      <c r="I754" s="47"/>
    </row>
    <row r="755" spans="1:12" customFormat="1" ht="20.100000000000001" customHeight="1">
      <c r="A755" s="22"/>
      <c r="B755" s="22"/>
      <c r="C755" s="46"/>
      <c r="D755" s="47"/>
      <c r="E755" s="32"/>
      <c r="F755" s="32"/>
      <c r="G755" s="138"/>
      <c r="H755" s="32"/>
      <c r="I755" s="47"/>
    </row>
    <row r="756" spans="1:12" customFormat="1" ht="20.100000000000001" customHeight="1">
      <c r="A756" s="22" t="s">
        <v>1585</v>
      </c>
      <c r="B756" s="22" t="s">
        <v>60</v>
      </c>
      <c r="C756" s="46">
        <v>42588</v>
      </c>
      <c r="D756" s="47">
        <v>71</v>
      </c>
      <c r="E756" s="32" t="s">
        <v>663</v>
      </c>
      <c r="F756" s="32" t="s">
        <v>70</v>
      </c>
      <c r="G756" s="32" t="s">
        <v>1586</v>
      </c>
      <c r="H756" s="32" t="s">
        <v>551</v>
      </c>
      <c r="I756" s="47"/>
    </row>
    <row r="757" spans="1:12" customFormat="1" ht="20.100000000000001" customHeight="1">
      <c r="A757" s="22" t="s">
        <v>1585</v>
      </c>
      <c r="B757" s="22" t="s">
        <v>60</v>
      </c>
      <c r="C757" s="46">
        <v>42588</v>
      </c>
      <c r="D757" s="47">
        <v>71</v>
      </c>
      <c r="E757" s="32" t="s">
        <v>663</v>
      </c>
      <c r="F757" s="32" t="s">
        <v>70</v>
      </c>
      <c r="G757" s="32" t="s">
        <v>1587</v>
      </c>
      <c r="H757" s="32" t="s">
        <v>551</v>
      </c>
      <c r="I757" s="47"/>
    </row>
    <row r="758" spans="1:12" customFormat="1" ht="20.100000000000001" customHeight="1">
      <c r="A758" s="22" t="s">
        <v>1585</v>
      </c>
      <c r="B758" s="22" t="s">
        <v>60</v>
      </c>
      <c r="C758" s="46">
        <v>42588</v>
      </c>
      <c r="D758" s="47">
        <v>61</v>
      </c>
      <c r="E758" s="32" t="s">
        <v>663</v>
      </c>
      <c r="F758" s="32" t="s">
        <v>70</v>
      </c>
      <c r="G758" s="32" t="s">
        <v>1588</v>
      </c>
      <c r="H758" s="32" t="s">
        <v>551</v>
      </c>
      <c r="I758" s="47"/>
    </row>
    <row r="759" spans="1:12" customFormat="1" ht="20.100000000000001" customHeight="1">
      <c r="A759" s="22" t="s">
        <v>1585</v>
      </c>
      <c r="B759" s="22" t="s">
        <v>60</v>
      </c>
      <c r="C759" s="46">
        <v>42588</v>
      </c>
      <c r="D759" s="47">
        <v>71</v>
      </c>
      <c r="E759" s="32" t="s">
        <v>663</v>
      </c>
      <c r="F759" s="32" t="s">
        <v>70</v>
      </c>
      <c r="G759" s="32" t="s">
        <v>1589</v>
      </c>
      <c r="H759" s="32" t="s">
        <v>551</v>
      </c>
      <c r="I759" s="47"/>
    </row>
    <row r="760" spans="1:12" ht="20.100000000000001" customHeight="1">
      <c r="A760" s="151" t="s">
        <v>1699</v>
      </c>
      <c r="B760" s="151" t="s">
        <v>60</v>
      </c>
      <c r="C760" s="46">
        <v>42587</v>
      </c>
      <c r="D760" s="47">
        <v>40</v>
      </c>
      <c r="E760" s="32" t="s">
        <v>181</v>
      </c>
      <c r="F760" s="32" t="s">
        <v>70</v>
      </c>
      <c r="G760" s="32" t="s">
        <v>1697</v>
      </c>
      <c r="H760" s="32" t="s">
        <v>328</v>
      </c>
      <c r="I760" s="47"/>
    </row>
    <row r="761" spans="1:12" ht="20.100000000000001" customHeight="1">
      <c r="A761" s="151" t="s">
        <v>1699</v>
      </c>
      <c r="B761" s="151" t="s">
        <v>60</v>
      </c>
      <c r="C761" s="46">
        <v>42587</v>
      </c>
      <c r="D761" s="47">
        <v>44.98</v>
      </c>
      <c r="E761" s="32" t="s">
        <v>181</v>
      </c>
      <c r="F761" s="32" t="s">
        <v>70</v>
      </c>
      <c r="G761" s="32" t="s">
        <v>1698</v>
      </c>
      <c r="H761" s="32" t="s">
        <v>328</v>
      </c>
      <c r="I761" s="47"/>
    </row>
    <row r="762" spans="1:12" ht="20.100000000000001" customHeight="1">
      <c r="A762" s="151" t="s">
        <v>1696</v>
      </c>
      <c r="B762" s="151" t="s">
        <v>60</v>
      </c>
      <c r="C762" s="46">
        <v>42591</v>
      </c>
      <c r="D762" s="47">
        <v>44</v>
      </c>
      <c r="E762" s="32" t="s">
        <v>181</v>
      </c>
      <c r="F762" s="32" t="s">
        <v>70</v>
      </c>
      <c r="G762" s="32" t="s">
        <v>1700</v>
      </c>
      <c r="H762" s="32" t="s">
        <v>329</v>
      </c>
      <c r="I762" s="47"/>
    </row>
    <row r="763" spans="1:12" s="56" customFormat="1" ht="20.100000000000001" customHeight="1">
      <c r="A763" s="22" t="s">
        <v>1598</v>
      </c>
      <c r="B763" s="22" t="s">
        <v>240</v>
      </c>
      <c r="C763" s="46">
        <v>42593</v>
      </c>
      <c r="D763" s="47">
        <v>38</v>
      </c>
      <c r="E763" s="32" t="s">
        <v>935</v>
      </c>
      <c r="F763" s="32" t="s">
        <v>165</v>
      </c>
      <c r="G763" s="147" t="s">
        <v>1591</v>
      </c>
      <c r="H763" s="32" t="s">
        <v>443</v>
      </c>
      <c r="I763" s="47">
        <v>120</v>
      </c>
      <c r="J763"/>
      <c r="L763" s="56">
        <f>I763*D763</f>
        <v>4560</v>
      </c>
    </row>
    <row r="764" spans="1:12" s="56" customFormat="1" ht="20.100000000000001" customHeight="1">
      <c r="A764" s="22" t="s">
        <v>1592</v>
      </c>
      <c r="B764" s="22" t="s">
        <v>402</v>
      </c>
      <c r="C764" s="46">
        <v>42592</v>
      </c>
      <c r="D764" s="47">
        <v>70</v>
      </c>
      <c r="E764" s="32" t="s">
        <v>62</v>
      </c>
      <c r="F764" s="32" t="s">
        <v>63</v>
      </c>
      <c r="G764" s="147">
        <v>3813538</v>
      </c>
      <c r="H764" s="32" t="s">
        <v>329</v>
      </c>
      <c r="I764" s="47"/>
    </row>
    <row r="765" spans="1:12" customFormat="1" ht="20.100000000000001" customHeight="1">
      <c r="A765" s="22" t="s">
        <v>1498</v>
      </c>
      <c r="B765" s="22" t="s">
        <v>82</v>
      </c>
      <c r="C765" s="46">
        <v>42593</v>
      </c>
      <c r="D765" s="47">
        <v>28</v>
      </c>
      <c r="E765" s="32" t="s">
        <v>165</v>
      </c>
      <c r="F765" s="32" t="s">
        <v>63</v>
      </c>
      <c r="G765" s="32" t="s">
        <v>594</v>
      </c>
      <c r="H765" s="32" t="s">
        <v>328</v>
      </c>
      <c r="I765" s="47"/>
    </row>
    <row r="766" spans="1:12" ht="20.100000000000001" customHeight="1">
      <c r="A766" s="151" t="s">
        <v>1699</v>
      </c>
      <c r="B766" s="151" t="s">
        <v>60</v>
      </c>
      <c r="C766" s="46">
        <v>42591</v>
      </c>
      <c r="D766" s="47">
        <v>44</v>
      </c>
      <c r="E766" s="32" t="s">
        <v>181</v>
      </c>
      <c r="F766" s="32" t="s">
        <v>70</v>
      </c>
      <c r="G766" s="32" t="s">
        <v>1700</v>
      </c>
      <c r="H766" s="32" t="s">
        <v>328</v>
      </c>
      <c r="I766" s="47"/>
    </row>
    <row r="767" spans="1:12" customFormat="1" ht="20.100000000000001" customHeight="1">
      <c r="A767" s="22" t="s">
        <v>1543</v>
      </c>
      <c r="B767" s="22" t="s">
        <v>85</v>
      </c>
      <c r="C767" s="46">
        <v>42597</v>
      </c>
      <c r="D767" s="47">
        <v>26</v>
      </c>
      <c r="E767" s="32" t="s">
        <v>165</v>
      </c>
      <c r="F767" s="32" t="s">
        <v>63</v>
      </c>
      <c r="G767" s="32" t="s">
        <v>564</v>
      </c>
      <c r="H767" s="32" t="s">
        <v>328</v>
      </c>
      <c r="I767" s="47"/>
    </row>
    <row r="768" spans="1:12" customFormat="1" ht="20.100000000000001" customHeight="1">
      <c r="A768" s="22" t="s">
        <v>1597</v>
      </c>
      <c r="B768" s="22" t="s">
        <v>93</v>
      </c>
      <c r="C768" s="46">
        <v>42585</v>
      </c>
      <c r="D768" s="47">
        <v>2450</v>
      </c>
      <c r="E768" s="32" t="s">
        <v>1479</v>
      </c>
      <c r="F768" s="32" t="s">
        <v>63</v>
      </c>
      <c r="G768" s="32"/>
      <c r="H768" s="32" t="s">
        <v>329</v>
      </c>
      <c r="I768" s="47"/>
    </row>
    <row r="769" spans="1:9" customFormat="1" ht="20.100000000000001" customHeight="1">
      <c r="A769" s="22" t="s">
        <v>1399</v>
      </c>
      <c r="B769" s="22" t="s">
        <v>93</v>
      </c>
      <c r="C769" s="46">
        <v>42585</v>
      </c>
      <c r="D769" s="47">
        <v>2450</v>
      </c>
      <c r="E769" s="32" t="s">
        <v>1479</v>
      </c>
      <c r="F769" s="32" t="s">
        <v>63</v>
      </c>
      <c r="G769" s="32"/>
      <c r="H769" s="32" t="s">
        <v>328</v>
      </c>
      <c r="I769" s="47"/>
    </row>
    <row r="770" spans="1:9" customFormat="1" ht="20.100000000000001" customHeight="1">
      <c r="A770" s="22" t="s">
        <v>1219</v>
      </c>
      <c r="B770" s="22" t="s">
        <v>60</v>
      </c>
      <c r="C770" s="46">
        <v>42581</v>
      </c>
      <c r="D770" s="47">
        <v>70</v>
      </c>
      <c r="E770" s="32" t="s">
        <v>1384</v>
      </c>
      <c r="F770" s="32" t="s">
        <v>63</v>
      </c>
      <c r="G770" s="32" t="s">
        <v>1582</v>
      </c>
      <c r="H770" s="32" t="s">
        <v>328</v>
      </c>
      <c r="I770" s="47"/>
    </row>
    <row r="771" spans="1:9" customFormat="1" ht="20.100000000000001" customHeight="1">
      <c r="A771" s="22" t="s">
        <v>1219</v>
      </c>
      <c r="B771" s="22" t="s">
        <v>60</v>
      </c>
      <c r="C771" s="46">
        <v>42582</v>
      </c>
      <c r="D771" s="47">
        <v>60</v>
      </c>
      <c r="E771" s="32" t="s">
        <v>1384</v>
      </c>
      <c r="F771" s="32" t="s">
        <v>63</v>
      </c>
      <c r="G771" s="32" t="s">
        <v>1522</v>
      </c>
      <c r="H771" s="32" t="s">
        <v>328</v>
      </c>
      <c r="I771" s="47"/>
    </row>
    <row r="772" spans="1:9" customFormat="1" ht="20.100000000000001" customHeight="1">
      <c r="A772" s="22" t="s">
        <v>1219</v>
      </c>
      <c r="B772" s="22" t="s">
        <v>60</v>
      </c>
      <c r="C772" s="46">
        <v>42590</v>
      </c>
      <c r="D772" s="47">
        <v>60</v>
      </c>
      <c r="E772" s="32" t="s">
        <v>1384</v>
      </c>
      <c r="F772" s="32" t="s">
        <v>63</v>
      </c>
      <c r="G772" s="32" t="s">
        <v>1583</v>
      </c>
      <c r="H772" s="32" t="s">
        <v>328</v>
      </c>
      <c r="I772" s="47"/>
    </row>
    <row r="773" spans="1:9" customFormat="1" ht="20.100000000000001" customHeight="1">
      <c r="A773" s="22" t="s">
        <v>1572</v>
      </c>
      <c r="B773" s="22" t="s">
        <v>1380</v>
      </c>
      <c r="C773" s="46">
        <v>42599</v>
      </c>
      <c r="D773" s="47">
        <v>2600</v>
      </c>
      <c r="E773" s="32" t="s">
        <v>1000</v>
      </c>
      <c r="F773" s="32" t="s">
        <v>63</v>
      </c>
      <c r="G773" s="32"/>
      <c r="H773" s="32" t="s">
        <v>329</v>
      </c>
      <c r="I773" s="47"/>
    </row>
    <row r="774" spans="1:9" customFormat="1" ht="20.100000000000001" customHeight="1">
      <c r="A774" s="22" t="s">
        <v>1596</v>
      </c>
      <c r="B774" s="22" t="s">
        <v>1380</v>
      </c>
      <c r="C774" s="46">
        <v>42599</v>
      </c>
      <c r="D774" s="47">
        <v>2600</v>
      </c>
      <c r="E774" s="32" t="s">
        <v>1000</v>
      </c>
      <c r="F774" s="32" t="s">
        <v>63</v>
      </c>
      <c r="G774" s="32"/>
      <c r="H774" s="32" t="s">
        <v>328</v>
      </c>
      <c r="I774" s="47"/>
    </row>
    <row r="775" spans="1:9" customFormat="1" ht="20.100000000000001" customHeight="1">
      <c r="A775" s="22" t="s">
        <v>1611</v>
      </c>
      <c r="B775" s="22" t="s">
        <v>240</v>
      </c>
      <c r="C775" s="46">
        <v>42599</v>
      </c>
      <c r="D775" s="47">
        <v>38</v>
      </c>
      <c r="E775" s="32" t="s">
        <v>1612</v>
      </c>
      <c r="F775" s="32" t="s">
        <v>298</v>
      </c>
      <c r="G775" s="32"/>
      <c r="H775" s="32" t="s">
        <v>443</v>
      </c>
      <c r="I775" s="47">
        <v>130</v>
      </c>
    </row>
    <row r="776" spans="1:9" customFormat="1" ht="20.100000000000001" customHeight="1">
      <c r="A776" s="22" t="s">
        <v>1628</v>
      </c>
      <c r="B776" s="22" t="s">
        <v>747</v>
      </c>
      <c r="C776" s="46">
        <v>42597</v>
      </c>
      <c r="D776" s="47">
        <v>1000</v>
      </c>
      <c r="E776" s="32" t="s">
        <v>911</v>
      </c>
      <c r="F776" s="32" t="s">
        <v>912</v>
      </c>
      <c r="G776" s="32"/>
      <c r="H776" s="32" t="s">
        <v>328</v>
      </c>
      <c r="I776" s="47"/>
    </row>
    <row r="777" spans="1:9" customFormat="1" ht="20.100000000000001" customHeight="1">
      <c r="A777" s="22" t="s">
        <v>2371</v>
      </c>
      <c r="B777" s="22" t="s">
        <v>747</v>
      </c>
      <c r="C777" s="46">
        <v>42584</v>
      </c>
      <c r="D777" s="47">
        <v>1000</v>
      </c>
      <c r="E777" s="32" t="s">
        <v>775</v>
      </c>
      <c r="F777" s="32" t="s">
        <v>743</v>
      </c>
      <c r="G777" s="32"/>
      <c r="H777" s="32" t="s">
        <v>329</v>
      </c>
      <c r="I777" s="47"/>
    </row>
    <row r="778" spans="1:9" ht="20.100000000000001" customHeight="1">
      <c r="A778" s="151" t="s">
        <v>1641</v>
      </c>
      <c r="B778" s="151" t="s">
        <v>60</v>
      </c>
      <c r="C778" s="46">
        <v>42599</v>
      </c>
      <c r="D778" s="47">
        <v>40</v>
      </c>
      <c r="E778" s="32" t="s">
        <v>181</v>
      </c>
      <c r="F778" s="32" t="s">
        <v>70</v>
      </c>
      <c r="G778" s="32" t="s">
        <v>1701</v>
      </c>
      <c r="H778" s="32" t="s">
        <v>329</v>
      </c>
      <c r="I778" s="47"/>
    </row>
    <row r="779" spans="1:9" customFormat="1" ht="20.100000000000001" customHeight="1">
      <c r="A779" s="22" t="s">
        <v>1498</v>
      </c>
      <c r="B779" s="22" t="s">
        <v>82</v>
      </c>
      <c r="C779" s="46">
        <v>42600</v>
      </c>
      <c r="D779" s="47">
        <v>28</v>
      </c>
      <c r="E779" s="32" t="s">
        <v>165</v>
      </c>
      <c r="F779" s="32" t="s">
        <v>63</v>
      </c>
      <c r="G779" s="32" t="s">
        <v>564</v>
      </c>
      <c r="H779" s="32" t="s">
        <v>328</v>
      </c>
      <c r="I779" s="47"/>
    </row>
    <row r="780" spans="1:9" customFormat="1" ht="20.100000000000001" customHeight="1">
      <c r="A780" s="22" t="s">
        <v>1498</v>
      </c>
      <c r="B780" s="22" t="s">
        <v>82</v>
      </c>
      <c r="C780" s="46">
        <v>42600</v>
      </c>
      <c r="D780" s="47">
        <v>28</v>
      </c>
      <c r="E780" s="32" t="s">
        <v>165</v>
      </c>
      <c r="F780" s="32" t="s">
        <v>63</v>
      </c>
      <c r="G780" s="32" t="s">
        <v>1630</v>
      </c>
      <c r="H780" s="32" t="s">
        <v>328</v>
      </c>
      <c r="I780" s="47"/>
    </row>
    <row r="781" spans="1:9" customFormat="1" ht="20.100000000000001" customHeight="1">
      <c r="A781" s="22" t="s">
        <v>1572</v>
      </c>
      <c r="B781" s="22" t="s">
        <v>1380</v>
      </c>
      <c r="C781" s="46">
        <v>42600</v>
      </c>
      <c r="D781" s="47">
        <v>3100</v>
      </c>
      <c r="E781" s="32" t="s">
        <v>1000</v>
      </c>
      <c r="F781" s="32" t="s">
        <v>63</v>
      </c>
      <c r="G781" s="32"/>
      <c r="H781" s="32" t="s">
        <v>329</v>
      </c>
      <c r="I781" s="47"/>
    </row>
    <row r="782" spans="1:9" customFormat="1" ht="20.100000000000001" customHeight="1">
      <c r="A782" s="22" t="s">
        <v>1596</v>
      </c>
      <c r="B782" s="22" t="s">
        <v>1380</v>
      </c>
      <c r="C782" s="46">
        <v>42600</v>
      </c>
      <c r="D782" s="47">
        <v>3100</v>
      </c>
      <c r="E782" s="32" t="s">
        <v>1000</v>
      </c>
      <c r="F782" s="32" t="s">
        <v>63</v>
      </c>
      <c r="G782" s="32"/>
      <c r="H782" s="32" t="s">
        <v>328</v>
      </c>
      <c r="I782" s="47"/>
    </row>
    <row r="783" spans="1:9" ht="20.100000000000001" customHeight="1">
      <c r="A783" s="151" t="s">
        <v>1696</v>
      </c>
      <c r="B783" s="151" t="s">
        <v>60</v>
      </c>
      <c r="C783" s="46">
        <v>42600</v>
      </c>
      <c r="D783" s="47">
        <v>50</v>
      </c>
      <c r="E783" s="32" t="s">
        <v>181</v>
      </c>
      <c r="F783" s="32" t="s">
        <v>70</v>
      </c>
      <c r="G783" s="32" t="s">
        <v>1702</v>
      </c>
      <c r="H783" s="32" t="s">
        <v>329</v>
      </c>
      <c r="I783" s="47"/>
    </row>
    <row r="784" spans="1:9" ht="20.100000000000001" customHeight="1">
      <c r="A784" s="151" t="s">
        <v>1696</v>
      </c>
      <c r="B784" s="151" t="s">
        <v>60</v>
      </c>
      <c r="C784" s="46">
        <v>42600</v>
      </c>
      <c r="D784" s="47">
        <v>50</v>
      </c>
      <c r="E784" s="32" t="s">
        <v>181</v>
      </c>
      <c r="F784" s="32" t="s">
        <v>70</v>
      </c>
      <c r="G784" s="32" t="s">
        <v>1703</v>
      </c>
      <c r="H784" s="32" t="s">
        <v>329</v>
      </c>
      <c r="I784" s="47"/>
    </row>
    <row r="785" spans="1:15" customFormat="1" ht="20.100000000000001" customHeight="1">
      <c r="A785" s="22" t="s">
        <v>1597</v>
      </c>
      <c r="B785" s="22" t="s">
        <v>93</v>
      </c>
      <c r="C785" s="46">
        <v>42600</v>
      </c>
      <c r="D785" s="47">
        <v>2950</v>
      </c>
      <c r="E785" s="32" t="s">
        <v>1479</v>
      </c>
      <c r="F785" s="32" t="s">
        <v>63</v>
      </c>
      <c r="G785" s="32"/>
      <c r="H785" s="32" t="s">
        <v>329</v>
      </c>
      <c r="I785" s="47"/>
    </row>
    <row r="786" spans="1:15" customFormat="1" ht="20.100000000000001" customHeight="1">
      <c r="A786" s="22" t="s">
        <v>1399</v>
      </c>
      <c r="B786" s="22" t="s">
        <v>93</v>
      </c>
      <c r="C786" s="46">
        <v>42600</v>
      </c>
      <c r="D786" s="47">
        <v>2950</v>
      </c>
      <c r="E786" s="32" t="s">
        <v>1479</v>
      </c>
      <c r="F786" s="32" t="s">
        <v>63</v>
      </c>
      <c r="G786" s="32"/>
      <c r="H786" s="32" t="s">
        <v>328</v>
      </c>
      <c r="I786" s="47"/>
    </row>
    <row r="787" spans="1:15" customFormat="1" ht="20.100000000000001" customHeight="1">
      <c r="A787" s="22" t="s">
        <v>1889</v>
      </c>
      <c r="B787" s="22" t="s">
        <v>1380</v>
      </c>
      <c r="C787" s="46">
        <v>42600</v>
      </c>
      <c r="D787" s="47">
        <v>1500</v>
      </c>
      <c r="E787" s="32" t="s">
        <v>1479</v>
      </c>
      <c r="F787" s="32" t="s">
        <v>63</v>
      </c>
      <c r="G787" s="32"/>
      <c r="H787" s="32" t="s">
        <v>329</v>
      </c>
      <c r="I787" s="47"/>
    </row>
    <row r="788" spans="1:15" customFormat="1" ht="20.100000000000001" customHeight="1">
      <c r="A788" s="22" t="s">
        <v>1596</v>
      </c>
      <c r="B788" s="22" t="s">
        <v>1380</v>
      </c>
      <c r="C788" s="46">
        <v>42600</v>
      </c>
      <c r="D788" s="47">
        <v>1500</v>
      </c>
      <c r="E788" s="32" t="s">
        <v>1479</v>
      </c>
      <c r="F788" s="32" t="s">
        <v>63</v>
      </c>
      <c r="G788" s="32"/>
      <c r="H788" s="32" t="s">
        <v>328</v>
      </c>
      <c r="I788" s="47"/>
    </row>
    <row r="789" spans="1:15" ht="20.100000000000001" customHeight="1">
      <c r="A789" s="157" t="s">
        <v>1695</v>
      </c>
      <c r="B789" s="151" t="s">
        <v>60</v>
      </c>
      <c r="C789" s="46">
        <v>42602</v>
      </c>
      <c r="D789" s="47">
        <v>40</v>
      </c>
      <c r="E789" s="32" t="s">
        <v>181</v>
      </c>
      <c r="F789" s="32" t="s">
        <v>70</v>
      </c>
      <c r="G789" s="32" t="s">
        <v>1701</v>
      </c>
      <c r="H789" s="32" t="s">
        <v>328</v>
      </c>
      <c r="I789" s="47"/>
    </row>
    <row r="790" spans="1:15" customFormat="1" ht="20.100000000000001" customHeight="1">
      <c r="A790" s="22" t="s">
        <v>1572</v>
      </c>
      <c r="B790" s="22" t="s">
        <v>1380</v>
      </c>
      <c r="C790" s="46">
        <v>42601</v>
      </c>
      <c r="D790" s="47">
        <v>3000</v>
      </c>
      <c r="E790" s="32" t="s">
        <v>1000</v>
      </c>
      <c r="F790" s="32" t="s">
        <v>63</v>
      </c>
      <c r="G790" s="32"/>
      <c r="H790" s="32" t="s">
        <v>329</v>
      </c>
      <c r="I790" s="47"/>
    </row>
    <row r="791" spans="1:15" customFormat="1" ht="20.100000000000001" customHeight="1">
      <c r="A791" s="145" t="s">
        <v>1596</v>
      </c>
      <c r="B791" s="22" t="s">
        <v>1380</v>
      </c>
      <c r="C791" s="46">
        <v>42601</v>
      </c>
      <c r="D791" s="47">
        <v>3000</v>
      </c>
      <c r="E791" s="32" t="s">
        <v>1000</v>
      </c>
      <c r="F791" s="32" t="s">
        <v>63</v>
      </c>
      <c r="G791" s="32"/>
      <c r="H791" s="32" t="s">
        <v>328</v>
      </c>
      <c r="I791" s="47"/>
    </row>
    <row r="792" spans="1:15" s="150" customFormat="1" ht="20.100000000000001" customHeight="1">
      <c r="A792" s="42" t="s">
        <v>1704</v>
      </c>
      <c r="B792" s="151" t="s">
        <v>60</v>
      </c>
      <c r="C792" s="46">
        <v>42601</v>
      </c>
      <c r="D792" s="47">
        <v>52</v>
      </c>
      <c r="E792" s="32" t="s">
        <v>181</v>
      </c>
      <c r="F792" s="32" t="s">
        <v>70</v>
      </c>
      <c r="G792" s="32" t="s">
        <v>1705</v>
      </c>
      <c r="H792" s="32" t="s">
        <v>329</v>
      </c>
      <c r="I792" s="47"/>
    </row>
    <row r="793" spans="1:15" s="150" customFormat="1" ht="20.100000000000001" customHeight="1">
      <c r="A793" s="42" t="s">
        <v>1704</v>
      </c>
      <c r="B793" s="151" t="s">
        <v>60</v>
      </c>
      <c r="C793" s="46">
        <v>42601</v>
      </c>
      <c r="D793" s="47">
        <v>50</v>
      </c>
      <c r="E793" s="32" t="s">
        <v>181</v>
      </c>
      <c r="F793" s="32" t="s">
        <v>70</v>
      </c>
      <c r="G793" s="32" t="s">
        <v>1706</v>
      </c>
      <c r="H793" s="32" t="s">
        <v>329</v>
      </c>
      <c r="I793" s="47"/>
    </row>
    <row r="794" spans="1:15" s="150" customFormat="1" ht="20.100000000000001" customHeight="1">
      <c r="A794" s="157" t="s">
        <v>1641</v>
      </c>
      <c r="B794" s="151" t="s">
        <v>60</v>
      </c>
      <c r="C794" s="46">
        <v>42602</v>
      </c>
      <c r="D794" s="47">
        <v>40</v>
      </c>
      <c r="E794" s="32" t="s">
        <v>181</v>
      </c>
      <c r="F794" s="32" t="s">
        <v>63</v>
      </c>
      <c r="G794" s="32" t="s">
        <v>1707</v>
      </c>
      <c r="H794" s="32" t="s">
        <v>329</v>
      </c>
      <c r="I794" s="47"/>
    </row>
    <row r="795" spans="1:15" ht="20.100000000000001" customHeight="1">
      <c r="A795" s="151" t="s">
        <v>1708</v>
      </c>
      <c r="B795" s="151" t="s">
        <v>60</v>
      </c>
      <c r="C795" s="46">
        <v>42602</v>
      </c>
      <c r="D795" s="47">
        <v>37</v>
      </c>
      <c r="E795" s="32" t="s">
        <v>181</v>
      </c>
      <c r="F795" s="32" t="s">
        <v>63</v>
      </c>
      <c r="G795" s="32" t="s">
        <v>1709</v>
      </c>
      <c r="H795" s="32" t="s">
        <v>329</v>
      </c>
      <c r="I795" s="47"/>
      <c r="J795" s="150"/>
      <c r="K795" s="150"/>
      <c r="L795" s="150"/>
      <c r="M795" s="150"/>
      <c r="N795" s="150"/>
      <c r="O795" s="150"/>
    </row>
    <row r="796" spans="1:15" ht="20.100000000000001" customHeight="1">
      <c r="A796" s="151" t="s">
        <v>1708</v>
      </c>
      <c r="B796" s="151" t="s">
        <v>1642</v>
      </c>
      <c r="C796" s="46">
        <v>42602</v>
      </c>
      <c r="D796" s="47">
        <v>38</v>
      </c>
      <c r="E796" s="32" t="s">
        <v>1643</v>
      </c>
      <c r="F796" s="32" t="s">
        <v>1654</v>
      </c>
      <c r="G796" s="32" t="s">
        <v>1710</v>
      </c>
      <c r="H796" s="32" t="s">
        <v>1646</v>
      </c>
      <c r="I796" s="47"/>
      <c r="J796" s="150"/>
      <c r="K796" s="150"/>
      <c r="L796" s="150"/>
      <c r="M796" s="150"/>
      <c r="N796" s="150"/>
      <c r="O796" s="150"/>
    </row>
    <row r="797" spans="1:15" ht="20.100000000000001" customHeight="1">
      <c r="A797" s="151" t="s">
        <v>1632</v>
      </c>
      <c r="B797" s="151" t="s">
        <v>60</v>
      </c>
      <c r="C797" s="46">
        <v>42602</v>
      </c>
      <c r="D797" s="47">
        <v>39</v>
      </c>
      <c r="E797" s="32" t="s">
        <v>181</v>
      </c>
      <c r="F797" s="32" t="s">
        <v>63</v>
      </c>
      <c r="G797" s="32" t="s">
        <v>1633</v>
      </c>
      <c r="H797" s="32" t="s">
        <v>329</v>
      </c>
      <c r="I797" s="47"/>
      <c r="J797" s="150"/>
      <c r="K797" s="150"/>
      <c r="L797" s="150"/>
      <c r="M797" s="150"/>
      <c r="N797" s="150"/>
      <c r="O797" s="150"/>
    </row>
    <row r="798" spans="1:15" ht="20.100000000000001" customHeight="1">
      <c r="A798" s="22" t="s">
        <v>1737</v>
      </c>
      <c r="B798" s="151" t="s">
        <v>1642</v>
      </c>
      <c r="C798" s="46">
        <v>42602</v>
      </c>
      <c r="D798" s="47">
        <v>60</v>
      </c>
      <c r="E798" s="32" t="s">
        <v>1643</v>
      </c>
      <c r="F798" s="32" t="s">
        <v>1654</v>
      </c>
      <c r="G798" s="147" t="s">
        <v>1739</v>
      </c>
      <c r="H798" s="32" t="s">
        <v>1646</v>
      </c>
      <c r="I798" s="47"/>
    </row>
    <row r="799" spans="1:15" s="150" customFormat="1" ht="20.100000000000001" customHeight="1">
      <c r="A799" s="151" t="s">
        <v>1708</v>
      </c>
      <c r="B799" s="151" t="s">
        <v>1642</v>
      </c>
      <c r="C799" s="46">
        <v>42603</v>
      </c>
      <c r="D799" s="47">
        <v>38</v>
      </c>
      <c r="E799" s="32" t="s">
        <v>1643</v>
      </c>
      <c r="F799" s="32" t="s">
        <v>1654</v>
      </c>
      <c r="G799" s="32" t="s">
        <v>1711</v>
      </c>
      <c r="H799" s="32" t="s">
        <v>1646</v>
      </c>
      <c r="I799" s="47"/>
    </row>
    <row r="800" spans="1:15" s="150" customFormat="1" ht="20.100000000000001" customHeight="1">
      <c r="A800" s="151" t="s">
        <v>1708</v>
      </c>
      <c r="B800" s="151" t="s">
        <v>1642</v>
      </c>
      <c r="C800" s="46">
        <v>42603</v>
      </c>
      <c r="D800" s="47">
        <v>40</v>
      </c>
      <c r="E800" s="32" t="s">
        <v>1643</v>
      </c>
      <c r="F800" s="32" t="s">
        <v>1654</v>
      </c>
      <c r="G800" s="32" t="s">
        <v>1712</v>
      </c>
      <c r="H800" s="32" t="s">
        <v>1646</v>
      </c>
      <c r="I800" s="47"/>
    </row>
    <row r="801" spans="1:9" customFormat="1" ht="20.100000000000001" customHeight="1">
      <c r="A801" s="22" t="s">
        <v>1543</v>
      </c>
      <c r="B801" s="22" t="s">
        <v>85</v>
      </c>
      <c r="C801" s="46">
        <v>42603</v>
      </c>
      <c r="D801" s="47">
        <v>28</v>
      </c>
      <c r="E801" s="32" t="s">
        <v>165</v>
      </c>
      <c r="F801" s="32" t="s">
        <v>63</v>
      </c>
      <c r="G801" s="32" t="s">
        <v>594</v>
      </c>
      <c r="H801" s="32" t="s">
        <v>328</v>
      </c>
      <c r="I801" s="47"/>
    </row>
    <row r="802" spans="1:9" s="56" customFormat="1" ht="20.100000000000001" customHeight="1">
      <c r="A802" s="22" t="s">
        <v>1540</v>
      </c>
      <c r="B802" s="22" t="s">
        <v>60</v>
      </c>
      <c r="C802" s="46">
        <v>42603</v>
      </c>
      <c r="D802" s="47">
        <v>90</v>
      </c>
      <c r="E802" s="32" t="s">
        <v>663</v>
      </c>
      <c r="F802" s="32" t="s">
        <v>70</v>
      </c>
      <c r="G802" s="32" t="s">
        <v>1634</v>
      </c>
      <c r="H802" s="32" t="s">
        <v>329</v>
      </c>
      <c r="I802" s="47"/>
    </row>
    <row r="803" spans="1:9" s="56" customFormat="1" ht="20.100000000000001" customHeight="1">
      <c r="A803" s="22" t="s">
        <v>1540</v>
      </c>
      <c r="B803" s="22" t="s">
        <v>60</v>
      </c>
      <c r="C803" s="46">
        <v>42603</v>
      </c>
      <c r="D803" s="47">
        <v>98</v>
      </c>
      <c r="E803" s="32" t="s">
        <v>663</v>
      </c>
      <c r="F803" s="32" t="s">
        <v>70</v>
      </c>
      <c r="G803" s="32" t="s">
        <v>1635</v>
      </c>
      <c r="H803" s="32" t="s">
        <v>329</v>
      </c>
      <c r="I803" s="47"/>
    </row>
    <row r="804" spans="1:9" ht="20.100000000000001" customHeight="1">
      <c r="A804" s="151" t="s">
        <v>1699</v>
      </c>
      <c r="B804" s="151" t="s">
        <v>1642</v>
      </c>
      <c r="C804" s="46">
        <v>42602</v>
      </c>
      <c r="D804" s="47">
        <v>50</v>
      </c>
      <c r="E804" s="32" t="s">
        <v>1643</v>
      </c>
      <c r="F804" s="32" t="s">
        <v>1644</v>
      </c>
      <c r="G804" s="32" t="s">
        <v>1702</v>
      </c>
      <c r="H804" s="32" t="s">
        <v>1663</v>
      </c>
      <c r="I804" s="47"/>
    </row>
    <row r="805" spans="1:9" s="56" customFormat="1" ht="20.100000000000001" customHeight="1">
      <c r="A805" s="22" t="s">
        <v>1497</v>
      </c>
      <c r="B805" s="22" t="s">
        <v>60</v>
      </c>
      <c r="C805" s="46">
        <v>42602</v>
      </c>
      <c r="D805" s="47">
        <v>50</v>
      </c>
      <c r="E805" s="32" t="s">
        <v>181</v>
      </c>
      <c r="F805" s="32" t="s">
        <v>70</v>
      </c>
      <c r="G805" s="147" t="s">
        <v>1703</v>
      </c>
      <c r="H805" s="32" t="s">
        <v>328</v>
      </c>
      <c r="I805" s="47"/>
    </row>
    <row r="806" spans="1:9" s="56" customFormat="1" ht="20.100000000000001" customHeight="1">
      <c r="A806" s="22" t="s">
        <v>1496</v>
      </c>
      <c r="B806" s="22" t="s">
        <v>60</v>
      </c>
      <c r="C806" s="46">
        <v>42604</v>
      </c>
      <c r="D806" s="47">
        <v>37</v>
      </c>
      <c r="E806" s="32" t="s">
        <v>181</v>
      </c>
      <c r="F806" s="32" t="s">
        <v>63</v>
      </c>
      <c r="G806" s="147" t="s">
        <v>1709</v>
      </c>
      <c r="H806" s="32" t="s">
        <v>328</v>
      </c>
      <c r="I806" s="47"/>
    </row>
    <row r="807" spans="1:9" s="56" customFormat="1" ht="20.100000000000001" customHeight="1">
      <c r="A807" s="22" t="s">
        <v>1496</v>
      </c>
      <c r="B807" s="22" t="s">
        <v>60</v>
      </c>
      <c r="C807" s="46">
        <v>42604</v>
      </c>
      <c r="D807" s="47">
        <v>38</v>
      </c>
      <c r="E807" s="32" t="s">
        <v>181</v>
      </c>
      <c r="F807" s="32" t="s">
        <v>63</v>
      </c>
      <c r="G807" s="147" t="s">
        <v>1710</v>
      </c>
      <c r="H807" s="32" t="s">
        <v>328</v>
      </c>
      <c r="I807" s="47"/>
    </row>
    <row r="808" spans="1:9" s="56" customFormat="1" ht="20.100000000000001" customHeight="1">
      <c r="A808" s="22" t="s">
        <v>1220</v>
      </c>
      <c r="B808" s="22" t="s">
        <v>60</v>
      </c>
      <c r="C808" s="46">
        <v>42603</v>
      </c>
      <c r="D808" s="47">
        <v>50</v>
      </c>
      <c r="E808" s="32" t="s">
        <v>181</v>
      </c>
      <c r="F808" s="32" t="s">
        <v>70</v>
      </c>
      <c r="G808" s="147" t="s">
        <v>1706</v>
      </c>
      <c r="H808" s="32" t="s">
        <v>328</v>
      </c>
      <c r="I808" s="47"/>
    </row>
    <row r="809" spans="1:9" s="56" customFormat="1" ht="20.100000000000001" customHeight="1">
      <c r="A809" s="22" t="s">
        <v>1220</v>
      </c>
      <c r="B809" s="22" t="s">
        <v>60</v>
      </c>
      <c r="C809" s="46">
        <v>42603</v>
      </c>
      <c r="D809" s="47">
        <v>52</v>
      </c>
      <c r="E809" s="32" t="s">
        <v>181</v>
      </c>
      <c r="F809" s="32" t="s">
        <v>70</v>
      </c>
      <c r="G809" s="147" t="s">
        <v>1705</v>
      </c>
      <c r="H809" s="32" t="s">
        <v>328</v>
      </c>
      <c r="I809" s="47"/>
    </row>
    <row r="810" spans="1:9" s="56" customFormat="1" ht="20.100000000000001" customHeight="1">
      <c r="A810" s="22" t="s">
        <v>1219</v>
      </c>
      <c r="B810" s="22" t="s">
        <v>60</v>
      </c>
      <c r="C810" s="46">
        <v>42605</v>
      </c>
      <c r="D810" s="47">
        <v>40</v>
      </c>
      <c r="E810" s="32" t="s">
        <v>181</v>
      </c>
      <c r="F810" s="32" t="s">
        <v>63</v>
      </c>
      <c r="G810" s="147" t="s">
        <v>1707</v>
      </c>
      <c r="H810" s="32" t="s">
        <v>328</v>
      </c>
      <c r="I810" s="47"/>
    </row>
    <row r="811" spans="1:9" s="56" customFormat="1" ht="20.100000000000001" customHeight="1">
      <c r="A811" s="22" t="s">
        <v>1496</v>
      </c>
      <c r="B811" s="22" t="s">
        <v>60</v>
      </c>
      <c r="C811" s="46">
        <v>42604</v>
      </c>
      <c r="D811" s="47">
        <v>39</v>
      </c>
      <c r="E811" s="32" t="s">
        <v>181</v>
      </c>
      <c r="F811" s="32" t="s">
        <v>63</v>
      </c>
      <c r="G811" s="147" t="s">
        <v>1633</v>
      </c>
      <c r="H811" s="32" t="s">
        <v>328</v>
      </c>
      <c r="I811" s="47"/>
    </row>
    <row r="812" spans="1:9" s="56" customFormat="1" ht="20.100000000000001" customHeight="1">
      <c r="A812" s="22" t="s">
        <v>1219</v>
      </c>
      <c r="B812" s="22" t="s">
        <v>402</v>
      </c>
      <c r="C812" s="46">
        <v>42601</v>
      </c>
      <c r="D812" s="47">
        <v>70</v>
      </c>
      <c r="E812" s="32" t="s">
        <v>62</v>
      </c>
      <c r="F812" s="32" t="s">
        <v>63</v>
      </c>
      <c r="G812" s="147">
        <v>3813538</v>
      </c>
      <c r="H812" s="32" t="s">
        <v>328</v>
      </c>
      <c r="I812" s="47"/>
    </row>
    <row r="813" spans="1:9" s="56" customFormat="1" ht="20.100000000000001" customHeight="1">
      <c r="A813" s="22" t="s">
        <v>1220</v>
      </c>
      <c r="B813" s="22" t="s">
        <v>60</v>
      </c>
      <c r="C813" s="46">
        <v>42597</v>
      </c>
      <c r="D813" s="47">
        <v>37</v>
      </c>
      <c r="E813" s="32" t="s">
        <v>181</v>
      </c>
      <c r="F813" s="32" t="s">
        <v>70</v>
      </c>
      <c r="G813" s="147" t="s">
        <v>1639</v>
      </c>
      <c r="H813" s="32" t="s">
        <v>328</v>
      </c>
      <c r="I813" s="47"/>
    </row>
    <row r="814" spans="1:9" s="56" customFormat="1" ht="20.100000000000001" customHeight="1">
      <c r="A814" s="22" t="s">
        <v>1389</v>
      </c>
      <c r="B814" s="22" t="s">
        <v>60</v>
      </c>
      <c r="C814" s="46">
        <v>42597</v>
      </c>
      <c r="D814" s="47">
        <v>37</v>
      </c>
      <c r="E814" s="32" t="s">
        <v>181</v>
      </c>
      <c r="F814" s="32" t="s">
        <v>70</v>
      </c>
      <c r="G814" s="147" t="s">
        <v>1639</v>
      </c>
      <c r="H814" s="32" t="s">
        <v>329</v>
      </c>
      <c r="I814" s="47"/>
    </row>
    <row r="815" spans="1:9" s="56" customFormat="1" ht="20.100000000000001" customHeight="1">
      <c r="A815" s="22" t="s">
        <v>1389</v>
      </c>
      <c r="B815" s="22" t="s">
        <v>60</v>
      </c>
      <c r="C815" s="46">
        <v>42583</v>
      </c>
      <c r="D815" s="47">
        <v>45.21</v>
      </c>
      <c r="E815" s="32" t="s">
        <v>181</v>
      </c>
      <c r="F815" s="32" t="s">
        <v>70</v>
      </c>
      <c r="G815" s="147" t="s">
        <v>1645</v>
      </c>
      <c r="H815" s="32" t="s">
        <v>329</v>
      </c>
      <c r="I815" s="47"/>
    </row>
    <row r="816" spans="1:9" s="56" customFormat="1" ht="20.100000000000001" customHeight="1">
      <c r="A816" s="22" t="s">
        <v>1220</v>
      </c>
      <c r="B816" s="22" t="s">
        <v>60</v>
      </c>
      <c r="C816" s="46">
        <v>42583</v>
      </c>
      <c r="D816" s="47">
        <v>45.21</v>
      </c>
      <c r="E816" s="32" t="s">
        <v>181</v>
      </c>
      <c r="F816" s="32" t="s">
        <v>70</v>
      </c>
      <c r="G816" s="147" t="s">
        <v>1645</v>
      </c>
      <c r="H816" s="32" t="s">
        <v>328</v>
      </c>
      <c r="I816" s="47"/>
    </row>
    <row r="817" spans="1:12" s="56" customFormat="1" ht="20.100000000000001" customHeight="1">
      <c r="A817" s="22" t="s">
        <v>1389</v>
      </c>
      <c r="B817" s="22" t="s">
        <v>60</v>
      </c>
      <c r="C817" s="46">
        <v>42583</v>
      </c>
      <c r="D817" s="47">
        <v>40.090000000000003</v>
      </c>
      <c r="E817" s="32" t="s">
        <v>181</v>
      </c>
      <c r="F817" s="32" t="s">
        <v>70</v>
      </c>
      <c r="G817" s="147" t="s">
        <v>1701</v>
      </c>
      <c r="H817" s="32" t="s">
        <v>329</v>
      </c>
      <c r="I817" s="47"/>
    </row>
    <row r="818" spans="1:12" s="56" customFormat="1" ht="20.100000000000001" customHeight="1">
      <c r="A818" s="22" t="s">
        <v>1220</v>
      </c>
      <c r="B818" s="22" t="s">
        <v>60</v>
      </c>
      <c r="C818" s="46">
        <v>42583</v>
      </c>
      <c r="D818" s="47">
        <v>40.090000000000003</v>
      </c>
      <c r="E818" s="32" t="s">
        <v>181</v>
      </c>
      <c r="F818" s="32" t="s">
        <v>70</v>
      </c>
      <c r="G818" s="147" t="s">
        <v>1701</v>
      </c>
      <c r="H818" s="32" t="s">
        <v>328</v>
      </c>
      <c r="I818" s="47"/>
    </row>
    <row r="819" spans="1:12" s="56" customFormat="1" ht="20.100000000000001" customHeight="1">
      <c r="A819" s="22" t="s">
        <v>1389</v>
      </c>
      <c r="B819" s="22" t="s">
        <v>60</v>
      </c>
      <c r="C819" s="46">
        <v>42592</v>
      </c>
      <c r="D819" s="47">
        <v>45</v>
      </c>
      <c r="E819" s="32" t="s">
        <v>181</v>
      </c>
      <c r="F819" s="32" t="s">
        <v>70</v>
      </c>
      <c r="G819" s="147" t="s">
        <v>1640</v>
      </c>
      <c r="H819" s="32" t="s">
        <v>329</v>
      </c>
      <c r="I819" s="47"/>
    </row>
    <row r="820" spans="1:12" s="56" customFormat="1" ht="20.100000000000001" customHeight="1">
      <c r="A820" s="22" t="s">
        <v>1220</v>
      </c>
      <c r="B820" s="22" t="s">
        <v>60</v>
      </c>
      <c r="C820" s="46">
        <v>42592</v>
      </c>
      <c r="D820" s="47">
        <v>45</v>
      </c>
      <c r="E820" s="32" t="s">
        <v>181</v>
      </c>
      <c r="F820" s="32" t="s">
        <v>70</v>
      </c>
      <c r="G820" s="147" t="s">
        <v>1640</v>
      </c>
      <c r="H820" s="32" t="s">
        <v>328</v>
      </c>
      <c r="I820" s="47"/>
    </row>
    <row r="821" spans="1:12" s="56" customFormat="1" ht="20.100000000000001" customHeight="1">
      <c r="A821" s="22" t="s">
        <v>1496</v>
      </c>
      <c r="B821" s="22" t="s">
        <v>60</v>
      </c>
      <c r="C821" s="46">
        <v>42603</v>
      </c>
      <c r="D821" s="47">
        <v>38</v>
      </c>
      <c r="E821" s="32" t="s">
        <v>181</v>
      </c>
      <c r="F821" s="32" t="s">
        <v>63</v>
      </c>
      <c r="G821" s="147" t="s">
        <v>1711</v>
      </c>
      <c r="H821" s="32" t="s">
        <v>328</v>
      </c>
      <c r="I821" s="47"/>
    </row>
    <row r="822" spans="1:12" s="56" customFormat="1" ht="20.100000000000001" customHeight="1">
      <c r="A822" s="22" t="s">
        <v>1496</v>
      </c>
      <c r="B822" s="22" t="s">
        <v>430</v>
      </c>
      <c r="C822" s="46">
        <v>42603</v>
      </c>
      <c r="D822" s="47">
        <v>40</v>
      </c>
      <c r="E822" s="32" t="s">
        <v>181</v>
      </c>
      <c r="F822" s="32" t="s">
        <v>166</v>
      </c>
      <c r="G822" s="147" t="s">
        <v>1712</v>
      </c>
      <c r="H822" s="32" t="s">
        <v>328</v>
      </c>
      <c r="I822" s="47"/>
    </row>
    <row r="823" spans="1:12" s="56" customFormat="1" ht="20.100000000000001" customHeight="1">
      <c r="A823" s="22" t="s">
        <v>1543</v>
      </c>
      <c r="B823" s="22" t="s">
        <v>148</v>
      </c>
      <c r="C823" s="46">
        <v>42605</v>
      </c>
      <c r="D823" s="47">
        <v>26.54</v>
      </c>
      <c r="E823" s="32" t="s">
        <v>165</v>
      </c>
      <c r="F823" s="32" t="s">
        <v>166</v>
      </c>
      <c r="G823" s="147" t="s">
        <v>594</v>
      </c>
      <c r="H823" s="32" t="s">
        <v>328</v>
      </c>
      <c r="I823" s="47"/>
    </row>
    <row r="824" spans="1:12" s="56" customFormat="1" ht="20.100000000000001" customHeight="1">
      <c r="A824" s="22" t="s">
        <v>1498</v>
      </c>
      <c r="B824" s="22" t="s">
        <v>175</v>
      </c>
      <c r="C824" s="46">
        <v>42605</v>
      </c>
      <c r="D824" s="47">
        <v>28</v>
      </c>
      <c r="E824" s="32" t="s">
        <v>165</v>
      </c>
      <c r="F824" s="32" t="s">
        <v>166</v>
      </c>
      <c r="G824" s="147" t="s">
        <v>564</v>
      </c>
      <c r="H824" s="32" t="s">
        <v>328</v>
      </c>
      <c r="I824" s="47"/>
    </row>
    <row r="825" spans="1:12" s="56" customFormat="1" ht="20.100000000000001" customHeight="1">
      <c r="A825" s="22" t="s">
        <v>1498</v>
      </c>
      <c r="B825" s="22" t="s">
        <v>175</v>
      </c>
      <c r="C825" s="46">
        <v>42605</v>
      </c>
      <c r="D825" s="47">
        <v>38</v>
      </c>
      <c r="E825" s="32" t="s">
        <v>165</v>
      </c>
      <c r="F825" s="32" t="s">
        <v>166</v>
      </c>
      <c r="G825" s="147" t="s">
        <v>1183</v>
      </c>
      <c r="H825" s="32" t="s">
        <v>328</v>
      </c>
      <c r="I825" s="47"/>
    </row>
    <row r="826" spans="1:12" ht="20.100000000000001" customHeight="1">
      <c r="A826" s="22" t="s">
        <v>1737</v>
      </c>
      <c r="B826" s="151" t="s">
        <v>445</v>
      </c>
      <c r="C826" s="46">
        <v>42605</v>
      </c>
      <c r="D826" s="47">
        <v>39</v>
      </c>
      <c r="E826" s="32" t="s">
        <v>181</v>
      </c>
      <c r="F826" s="32" t="s">
        <v>166</v>
      </c>
      <c r="G826" s="147" t="s">
        <v>1733</v>
      </c>
      <c r="H826" s="32" t="s">
        <v>1646</v>
      </c>
      <c r="I826" s="47"/>
    </row>
    <row r="827" spans="1:12" ht="20.100000000000001" customHeight="1">
      <c r="A827" s="22" t="s">
        <v>1737</v>
      </c>
      <c r="B827" s="151" t="s">
        <v>445</v>
      </c>
      <c r="C827" s="46">
        <v>42605</v>
      </c>
      <c r="D827" s="47">
        <v>39</v>
      </c>
      <c r="E827" s="32" t="s">
        <v>181</v>
      </c>
      <c r="F827" s="32" t="s">
        <v>166</v>
      </c>
      <c r="G827" s="147" t="s">
        <v>1734</v>
      </c>
      <c r="H827" s="32" t="s">
        <v>1646</v>
      </c>
      <c r="I827" s="47"/>
    </row>
    <row r="828" spans="1:12" ht="20.100000000000001" customHeight="1">
      <c r="A828" s="22" t="s">
        <v>1737</v>
      </c>
      <c r="B828" s="151" t="s">
        <v>445</v>
      </c>
      <c r="C828" s="46">
        <v>42605</v>
      </c>
      <c r="D828" s="47">
        <v>38</v>
      </c>
      <c r="E828" s="32" t="s">
        <v>181</v>
      </c>
      <c r="F828" s="32" t="s">
        <v>166</v>
      </c>
      <c r="G828" s="147" t="s">
        <v>1735</v>
      </c>
      <c r="H828" s="32" t="s">
        <v>1646</v>
      </c>
      <c r="I828" s="47"/>
    </row>
    <row r="829" spans="1:12" ht="20.100000000000001" customHeight="1">
      <c r="A829" s="22" t="s">
        <v>1737</v>
      </c>
      <c r="B829" s="151" t="s">
        <v>445</v>
      </c>
      <c r="C829" s="46">
        <v>42605</v>
      </c>
      <c r="D829" s="47">
        <v>38</v>
      </c>
      <c r="E829" s="32" t="s">
        <v>181</v>
      </c>
      <c r="F829" s="32" t="s">
        <v>166</v>
      </c>
      <c r="G829" s="147" t="s">
        <v>1736</v>
      </c>
      <c r="H829" s="32" t="s">
        <v>1646</v>
      </c>
      <c r="I829" s="47"/>
    </row>
    <row r="830" spans="1:12" customFormat="1" ht="20.100000000000001" customHeight="1">
      <c r="A830" s="22" t="s">
        <v>1743</v>
      </c>
      <c r="B830" s="22" t="s">
        <v>240</v>
      </c>
      <c r="C830" s="46">
        <v>42606</v>
      </c>
      <c r="D830" s="47">
        <v>38</v>
      </c>
      <c r="E830" s="32" t="s">
        <v>1744</v>
      </c>
      <c r="F830" s="32" t="s">
        <v>165</v>
      </c>
      <c r="G830" s="147"/>
      <c r="H830" s="32" t="s">
        <v>329</v>
      </c>
      <c r="I830" s="47">
        <v>0</v>
      </c>
      <c r="L830">
        <v>0</v>
      </c>
    </row>
    <row r="831" spans="1:12" customFormat="1" ht="20.100000000000001" customHeight="1">
      <c r="A831" s="22" t="s">
        <v>1751</v>
      </c>
      <c r="B831" s="22" t="s">
        <v>60</v>
      </c>
      <c r="C831" s="46">
        <v>42606</v>
      </c>
      <c r="D831" s="47">
        <v>38</v>
      </c>
      <c r="E831" s="32" t="s">
        <v>1752</v>
      </c>
      <c r="F831" s="32" t="s">
        <v>63</v>
      </c>
      <c r="G831" s="147" t="s">
        <v>1753</v>
      </c>
      <c r="H831" s="32" t="s">
        <v>329</v>
      </c>
      <c r="I831" s="47"/>
    </row>
    <row r="832" spans="1:12" customFormat="1" ht="20.100000000000001" customHeight="1">
      <c r="A832" s="22" t="s">
        <v>1754</v>
      </c>
      <c r="B832" s="22" t="s">
        <v>1755</v>
      </c>
      <c r="C832" s="46">
        <v>42606</v>
      </c>
      <c r="D832" s="47">
        <v>43.18</v>
      </c>
      <c r="E832" s="32" t="s">
        <v>62</v>
      </c>
      <c r="F832" s="32" t="s">
        <v>63</v>
      </c>
      <c r="G832" s="147" t="s">
        <v>1756</v>
      </c>
      <c r="H832" s="32" t="s">
        <v>329</v>
      </c>
      <c r="I832" s="47"/>
    </row>
    <row r="833" spans="1:9" customFormat="1" ht="20.100000000000001" customHeight="1">
      <c r="A833" s="22" t="s">
        <v>1754</v>
      </c>
      <c r="B833" s="22" t="s">
        <v>1755</v>
      </c>
      <c r="C833" s="46">
        <v>42606</v>
      </c>
      <c r="D833" s="47">
        <v>39.04</v>
      </c>
      <c r="E833" s="32" t="s">
        <v>62</v>
      </c>
      <c r="F833" s="32" t="s">
        <v>63</v>
      </c>
      <c r="G833" s="147" t="s">
        <v>1757</v>
      </c>
      <c r="H833" s="32" t="s">
        <v>329</v>
      </c>
      <c r="I833" s="47"/>
    </row>
    <row r="834" spans="1:9" customFormat="1" ht="20.100000000000001" customHeight="1">
      <c r="A834" s="22" t="s">
        <v>1754</v>
      </c>
      <c r="B834" s="22" t="s">
        <v>1755</v>
      </c>
      <c r="C834" s="46">
        <v>42606</v>
      </c>
      <c r="D834" s="47">
        <v>39.28</v>
      </c>
      <c r="E834" s="32" t="s">
        <v>62</v>
      </c>
      <c r="F834" s="32" t="s">
        <v>63</v>
      </c>
      <c r="G834" s="147" t="s">
        <v>1758</v>
      </c>
      <c r="H834" s="32" t="s">
        <v>329</v>
      </c>
      <c r="I834" s="47"/>
    </row>
    <row r="835" spans="1:9" s="56" customFormat="1" ht="20.100000000000001" customHeight="1">
      <c r="A835" s="22" t="s">
        <v>1632</v>
      </c>
      <c r="B835" s="151" t="s">
        <v>60</v>
      </c>
      <c r="C835" s="46">
        <v>42605</v>
      </c>
      <c r="D835" s="47">
        <v>60</v>
      </c>
      <c r="E835" s="32" t="s">
        <v>181</v>
      </c>
      <c r="F835" s="32" t="s">
        <v>63</v>
      </c>
      <c r="G835" s="147" t="s">
        <v>1761</v>
      </c>
      <c r="H835" s="32" t="s">
        <v>329</v>
      </c>
      <c r="I835" s="47"/>
    </row>
    <row r="836" spans="1:9" s="56" customFormat="1" ht="20.100000000000001" customHeight="1">
      <c r="A836" s="22" t="s">
        <v>1632</v>
      </c>
      <c r="B836" s="151" t="s">
        <v>60</v>
      </c>
      <c r="C836" s="46">
        <v>42605</v>
      </c>
      <c r="D836" s="47">
        <v>60</v>
      </c>
      <c r="E836" s="32" t="s">
        <v>181</v>
      </c>
      <c r="F836" s="32" t="s">
        <v>63</v>
      </c>
      <c r="G836" s="147" t="s">
        <v>1762</v>
      </c>
      <c r="H836" s="32" t="s">
        <v>329</v>
      </c>
      <c r="I836" s="47"/>
    </row>
    <row r="837" spans="1:9" s="150" customFormat="1" ht="20.100000000000001" customHeight="1">
      <c r="A837" s="22" t="s">
        <v>1751</v>
      </c>
      <c r="B837" s="22" t="s">
        <v>60</v>
      </c>
      <c r="C837" s="46">
        <v>42606</v>
      </c>
      <c r="D837" s="47">
        <v>38</v>
      </c>
      <c r="E837" s="32" t="s">
        <v>1384</v>
      </c>
      <c r="F837" s="32" t="s">
        <v>63</v>
      </c>
      <c r="G837" s="147" t="s">
        <v>1763</v>
      </c>
      <c r="H837" s="32" t="s">
        <v>329</v>
      </c>
      <c r="I837" s="47"/>
    </row>
    <row r="838" spans="1:9" s="150" customFormat="1" ht="20.100000000000001" customHeight="1">
      <c r="A838" s="22" t="s">
        <v>1497</v>
      </c>
      <c r="B838" s="151" t="s">
        <v>60</v>
      </c>
      <c r="C838" s="46">
        <v>42607</v>
      </c>
      <c r="D838" s="47">
        <v>90</v>
      </c>
      <c r="E838" s="32" t="s">
        <v>663</v>
      </c>
      <c r="F838" s="32" t="s">
        <v>70</v>
      </c>
      <c r="G838" s="147" t="s">
        <v>1634</v>
      </c>
      <c r="H838" s="32" t="s">
        <v>328</v>
      </c>
      <c r="I838" s="47"/>
    </row>
    <row r="839" spans="1:9" s="150" customFormat="1" ht="20.100000000000001" customHeight="1">
      <c r="A839" s="22" t="s">
        <v>1497</v>
      </c>
      <c r="B839" s="151" t="s">
        <v>60</v>
      </c>
      <c r="C839" s="46">
        <v>42607</v>
      </c>
      <c r="D839" s="47">
        <v>98</v>
      </c>
      <c r="E839" s="32" t="s">
        <v>663</v>
      </c>
      <c r="F839" s="32" t="s">
        <v>70</v>
      </c>
      <c r="G839" s="147" t="s">
        <v>1635</v>
      </c>
      <c r="H839" s="32" t="s">
        <v>328</v>
      </c>
      <c r="I839" s="47"/>
    </row>
    <row r="840" spans="1:9" s="150" customFormat="1" ht="20.100000000000001" customHeight="1">
      <c r="A840" s="145" t="s">
        <v>1496</v>
      </c>
      <c r="B840" s="151" t="s">
        <v>60</v>
      </c>
      <c r="C840" s="46">
        <v>42607</v>
      </c>
      <c r="D840" s="47">
        <v>39</v>
      </c>
      <c r="E840" s="32" t="s">
        <v>181</v>
      </c>
      <c r="F840" s="32" t="s">
        <v>63</v>
      </c>
      <c r="G840" s="147" t="s">
        <v>1733</v>
      </c>
      <c r="H840" s="32" t="s">
        <v>328</v>
      </c>
      <c r="I840" s="47"/>
    </row>
    <row r="841" spans="1:9" s="150" customFormat="1" ht="20.100000000000001" customHeight="1">
      <c r="A841" s="145" t="s">
        <v>1496</v>
      </c>
      <c r="B841" s="151" t="s">
        <v>60</v>
      </c>
      <c r="C841" s="46">
        <v>42607</v>
      </c>
      <c r="D841" s="47">
        <v>39</v>
      </c>
      <c r="E841" s="32" t="s">
        <v>181</v>
      </c>
      <c r="F841" s="32" t="s">
        <v>63</v>
      </c>
      <c r="G841" s="147" t="s">
        <v>1734</v>
      </c>
      <c r="H841" s="32" t="s">
        <v>328</v>
      </c>
      <c r="I841" s="47"/>
    </row>
    <row r="842" spans="1:9" s="150" customFormat="1" ht="20.100000000000001" customHeight="1">
      <c r="A842" s="145" t="s">
        <v>1496</v>
      </c>
      <c r="B842" s="151" t="s">
        <v>60</v>
      </c>
      <c r="C842" s="46">
        <v>42607</v>
      </c>
      <c r="D842" s="47">
        <v>38</v>
      </c>
      <c r="E842" s="32" t="s">
        <v>181</v>
      </c>
      <c r="F842" s="32" t="s">
        <v>63</v>
      </c>
      <c r="G842" s="147" t="s">
        <v>1735</v>
      </c>
      <c r="H842" s="32" t="s">
        <v>328</v>
      </c>
      <c r="I842" s="47"/>
    </row>
    <row r="843" spans="1:9" s="150" customFormat="1" ht="20.100000000000001" customHeight="1">
      <c r="A843" s="145" t="s">
        <v>1496</v>
      </c>
      <c r="B843" s="151" t="s">
        <v>60</v>
      </c>
      <c r="C843" s="46">
        <v>42607</v>
      </c>
      <c r="D843" s="47">
        <v>38</v>
      </c>
      <c r="E843" s="32" t="s">
        <v>181</v>
      </c>
      <c r="F843" s="32" t="s">
        <v>63</v>
      </c>
      <c r="G843" s="147" t="s">
        <v>1736</v>
      </c>
      <c r="H843" s="32" t="s">
        <v>328</v>
      </c>
      <c r="I843" s="47"/>
    </row>
    <row r="844" spans="1:9" s="150" customFormat="1" ht="20.100000000000001" customHeight="1">
      <c r="A844" s="145" t="s">
        <v>1768</v>
      </c>
      <c r="B844" s="151" t="s">
        <v>93</v>
      </c>
      <c r="C844" s="46">
        <v>42604</v>
      </c>
      <c r="D844" s="47">
        <v>2000</v>
      </c>
      <c r="E844" s="32" t="s">
        <v>1479</v>
      </c>
      <c r="F844" s="32" t="s">
        <v>63</v>
      </c>
      <c r="G844" s="147"/>
      <c r="H844" s="32" t="s">
        <v>329</v>
      </c>
      <c r="I844" s="47"/>
    </row>
    <row r="845" spans="1:9" customFormat="1" ht="20.100000000000001" customHeight="1">
      <c r="A845" s="145" t="s">
        <v>1769</v>
      </c>
      <c r="B845" s="151" t="s">
        <v>93</v>
      </c>
      <c r="C845" s="46">
        <v>42604</v>
      </c>
      <c r="D845" s="47">
        <v>2000</v>
      </c>
      <c r="E845" s="32" t="s">
        <v>1479</v>
      </c>
      <c r="F845" s="32" t="s">
        <v>63</v>
      </c>
      <c r="G845" s="32"/>
      <c r="H845" s="32" t="s">
        <v>328</v>
      </c>
      <c r="I845" s="47"/>
    </row>
    <row r="846" spans="1:9" s="150" customFormat="1" ht="20.100000000000001" customHeight="1">
      <c r="A846" s="22" t="s">
        <v>1751</v>
      </c>
      <c r="B846" s="22" t="s">
        <v>60</v>
      </c>
      <c r="C846" s="46">
        <v>42607</v>
      </c>
      <c r="D846" s="47">
        <v>37.08</v>
      </c>
      <c r="E846" s="32" t="s">
        <v>1384</v>
      </c>
      <c r="F846" s="32" t="s">
        <v>63</v>
      </c>
      <c r="G846" s="147" t="s">
        <v>1764</v>
      </c>
      <c r="H846" s="32" t="s">
        <v>329</v>
      </c>
      <c r="I846" s="47"/>
    </row>
    <row r="847" spans="1:9" s="150" customFormat="1" ht="20.100000000000001" customHeight="1">
      <c r="A847" s="22" t="s">
        <v>1751</v>
      </c>
      <c r="B847" s="22" t="s">
        <v>60</v>
      </c>
      <c r="C847" s="46">
        <v>42607</v>
      </c>
      <c r="D847" s="47">
        <v>40.08</v>
      </c>
      <c r="E847" s="32" t="s">
        <v>1384</v>
      </c>
      <c r="F847" s="32" t="s">
        <v>63</v>
      </c>
      <c r="G847" s="147" t="s">
        <v>1765</v>
      </c>
      <c r="H847" s="32" t="s">
        <v>329</v>
      </c>
      <c r="I847" s="47"/>
    </row>
    <row r="848" spans="1:9" s="150" customFormat="1" ht="20.100000000000001" customHeight="1">
      <c r="A848" s="22" t="s">
        <v>1751</v>
      </c>
      <c r="B848" s="22" t="s">
        <v>60</v>
      </c>
      <c r="C848" s="46">
        <v>42607</v>
      </c>
      <c r="D848" s="47">
        <v>40.01</v>
      </c>
      <c r="E848" s="32" t="s">
        <v>1384</v>
      </c>
      <c r="F848" s="32" t="s">
        <v>63</v>
      </c>
      <c r="G848" s="147" t="s">
        <v>1766</v>
      </c>
      <c r="H848" s="32" t="s">
        <v>329</v>
      </c>
      <c r="I848" s="47"/>
    </row>
    <row r="849" spans="1:12" s="150" customFormat="1" ht="20.100000000000001" customHeight="1">
      <c r="A849" s="22" t="s">
        <v>1754</v>
      </c>
      <c r="B849" s="22" t="s">
        <v>402</v>
      </c>
      <c r="C849" s="46">
        <v>42607</v>
      </c>
      <c r="D849" s="47">
        <v>39.380000000000003</v>
      </c>
      <c r="E849" s="32" t="s">
        <v>62</v>
      </c>
      <c r="F849" s="32" t="s">
        <v>63</v>
      </c>
      <c r="G849" s="147" t="s">
        <v>1767</v>
      </c>
      <c r="H849" s="32" t="s">
        <v>329</v>
      </c>
      <c r="I849" s="47"/>
    </row>
    <row r="850" spans="1:12" s="150" customFormat="1" ht="20.100000000000001" customHeight="1">
      <c r="A850" s="22" t="s">
        <v>1540</v>
      </c>
      <c r="B850" s="22" t="s">
        <v>60</v>
      </c>
      <c r="C850" s="46">
        <v>42606</v>
      </c>
      <c r="D850" s="47">
        <v>62</v>
      </c>
      <c r="E850" s="32" t="s">
        <v>663</v>
      </c>
      <c r="F850" s="32" t="s">
        <v>70</v>
      </c>
      <c r="G850" s="147" t="s">
        <v>1770</v>
      </c>
      <c r="H850" s="32" t="s">
        <v>329</v>
      </c>
      <c r="I850" s="47"/>
    </row>
    <row r="851" spans="1:12" s="150" customFormat="1" ht="20.100000000000001" customHeight="1">
      <c r="A851" s="22" t="s">
        <v>1540</v>
      </c>
      <c r="B851" s="22" t="s">
        <v>60</v>
      </c>
      <c r="C851" s="46">
        <v>42606</v>
      </c>
      <c r="D851" s="47">
        <v>55</v>
      </c>
      <c r="E851" s="32" t="s">
        <v>663</v>
      </c>
      <c r="F851" s="32" t="s">
        <v>70</v>
      </c>
      <c r="G851" s="147" t="s">
        <v>1771</v>
      </c>
      <c r="H851" s="32" t="s">
        <v>329</v>
      </c>
      <c r="I851" s="47"/>
    </row>
    <row r="852" spans="1:12" ht="20.100000000000001" customHeight="1">
      <c r="A852" s="151" t="s">
        <v>1696</v>
      </c>
      <c r="B852" s="151" t="s">
        <v>430</v>
      </c>
      <c r="C852" s="46">
        <v>42605</v>
      </c>
      <c r="D852" s="47">
        <v>37</v>
      </c>
      <c r="E852" s="32" t="s">
        <v>181</v>
      </c>
      <c r="F852" s="32" t="s">
        <v>70</v>
      </c>
      <c r="G852" s="147" t="s">
        <v>1639</v>
      </c>
      <c r="H852" s="32" t="s">
        <v>329</v>
      </c>
      <c r="I852" s="47"/>
    </row>
    <row r="853" spans="1:12" ht="20.100000000000001" customHeight="1">
      <c r="A853" s="151" t="s">
        <v>1696</v>
      </c>
      <c r="B853" s="151" t="s">
        <v>430</v>
      </c>
      <c r="C853" s="46">
        <v>42605</v>
      </c>
      <c r="D853" s="47">
        <v>37</v>
      </c>
      <c r="E853" s="32" t="s">
        <v>181</v>
      </c>
      <c r="F853" s="32" t="s">
        <v>70</v>
      </c>
      <c r="G853" s="147" t="s">
        <v>1772</v>
      </c>
      <c r="H853" s="32" t="s">
        <v>329</v>
      </c>
      <c r="I853" s="47"/>
    </row>
    <row r="854" spans="1:12" ht="20.100000000000001" customHeight="1">
      <c r="A854" s="151" t="s">
        <v>1696</v>
      </c>
      <c r="B854" s="151" t="s">
        <v>430</v>
      </c>
      <c r="C854" s="46">
        <v>42608</v>
      </c>
      <c r="D854" s="47">
        <v>40</v>
      </c>
      <c r="E854" s="32" t="s">
        <v>181</v>
      </c>
      <c r="F854" s="32" t="s">
        <v>70</v>
      </c>
      <c r="G854" s="147" t="s">
        <v>1701</v>
      </c>
      <c r="H854" s="32" t="s">
        <v>329</v>
      </c>
      <c r="I854" s="47"/>
    </row>
    <row r="855" spans="1:12" ht="20.100000000000001" customHeight="1">
      <c r="A855" s="151" t="s">
        <v>1696</v>
      </c>
      <c r="B855" s="151" t="s">
        <v>430</v>
      </c>
      <c r="C855" s="46">
        <v>42608</v>
      </c>
      <c r="D855" s="47">
        <v>40</v>
      </c>
      <c r="E855" s="32" t="s">
        <v>181</v>
      </c>
      <c r="F855" s="32" t="s">
        <v>70</v>
      </c>
      <c r="G855" s="147" t="s">
        <v>1775</v>
      </c>
      <c r="H855" s="32" t="s">
        <v>329</v>
      </c>
      <c r="I855" s="47"/>
    </row>
    <row r="856" spans="1:12" ht="20.100000000000001" customHeight="1">
      <c r="A856" s="151" t="s">
        <v>1696</v>
      </c>
      <c r="B856" s="151" t="s">
        <v>430</v>
      </c>
      <c r="C856" s="46">
        <v>42608</v>
      </c>
      <c r="D856" s="47">
        <v>39</v>
      </c>
      <c r="E856" s="32" t="s">
        <v>181</v>
      </c>
      <c r="F856" s="32" t="s">
        <v>70</v>
      </c>
      <c r="G856" s="147" t="s">
        <v>1776</v>
      </c>
      <c r="H856" s="32" t="s">
        <v>329</v>
      </c>
      <c r="I856" s="47"/>
    </row>
    <row r="857" spans="1:12" ht="20.100000000000001" customHeight="1">
      <c r="A857" s="151" t="s">
        <v>1696</v>
      </c>
      <c r="B857" s="151" t="s">
        <v>430</v>
      </c>
      <c r="C857" s="46">
        <v>42608</v>
      </c>
      <c r="D857" s="47">
        <v>40</v>
      </c>
      <c r="E857" s="32" t="s">
        <v>181</v>
      </c>
      <c r="F857" s="32" t="s">
        <v>70</v>
      </c>
      <c r="G857" s="147" t="s">
        <v>1777</v>
      </c>
      <c r="H857" s="32" t="s">
        <v>329</v>
      </c>
      <c r="I857" s="47"/>
    </row>
    <row r="858" spans="1:12" s="150" customFormat="1" ht="20.100000000000001" customHeight="1">
      <c r="A858" s="145" t="s">
        <v>1774</v>
      </c>
      <c r="B858" s="151" t="s">
        <v>240</v>
      </c>
      <c r="C858" s="46">
        <v>42608</v>
      </c>
      <c r="D858" s="47">
        <v>38</v>
      </c>
      <c r="E858" s="32" t="s">
        <v>1744</v>
      </c>
      <c r="F858" s="32" t="s">
        <v>165</v>
      </c>
      <c r="G858" s="147"/>
      <c r="H858" s="32" t="s">
        <v>329</v>
      </c>
      <c r="I858" s="47">
        <v>0</v>
      </c>
      <c r="L858" s="150">
        <v>0</v>
      </c>
    </row>
    <row r="859" spans="1:12" s="150" customFormat="1" ht="20.100000000000001" customHeight="1">
      <c r="A859" s="145" t="s">
        <v>1592</v>
      </c>
      <c r="B859" s="151" t="s">
        <v>402</v>
      </c>
      <c r="C859" s="46">
        <v>42608</v>
      </c>
      <c r="D859" s="47">
        <v>70</v>
      </c>
      <c r="E859" s="32" t="s">
        <v>62</v>
      </c>
      <c r="F859" s="32" t="s">
        <v>63</v>
      </c>
      <c r="G859" s="147" t="s">
        <v>1793</v>
      </c>
      <c r="H859" s="32" t="s">
        <v>329</v>
      </c>
      <c r="I859" s="47"/>
    </row>
    <row r="860" spans="1:12" s="150" customFormat="1" ht="20.100000000000001" customHeight="1">
      <c r="A860" s="145" t="s">
        <v>1778</v>
      </c>
      <c r="B860" s="151" t="s">
        <v>1779</v>
      </c>
      <c r="C860" s="46">
        <v>42608</v>
      </c>
      <c r="D860" s="47">
        <v>70</v>
      </c>
      <c r="E860" s="32" t="s">
        <v>62</v>
      </c>
      <c r="F860" s="32" t="s">
        <v>63</v>
      </c>
      <c r="G860" s="147" t="s">
        <v>1793</v>
      </c>
      <c r="H860" s="32" t="s">
        <v>328</v>
      </c>
      <c r="I860" s="47"/>
    </row>
    <row r="861" spans="1:12" s="150" customFormat="1" ht="20.100000000000001" customHeight="1">
      <c r="A861" s="22" t="s">
        <v>1754</v>
      </c>
      <c r="B861" s="22" t="s">
        <v>402</v>
      </c>
      <c r="C861" s="46">
        <v>42609</v>
      </c>
      <c r="D861" s="47">
        <v>43.24</v>
      </c>
      <c r="E861" s="32" t="s">
        <v>62</v>
      </c>
      <c r="F861" s="32" t="s">
        <v>63</v>
      </c>
      <c r="G861" s="147" t="s">
        <v>1756</v>
      </c>
      <c r="H861" s="32" t="s">
        <v>329</v>
      </c>
      <c r="I861" s="47"/>
    </row>
    <row r="862" spans="1:12" ht="20.100000000000001" customHeight="1">
      <c r="A862" s="151" t="s">
        <v>1696</v>
      </c>
      <c r="B862" s="151" t="s">
        <v>430</v>
      </c>
      <c r="C862" s="46">
        <v>42609</v>
      </c>
      <c r="D862" s="47">
        <v>50</v>
      </c>
      <c r="E862" s="32" t="s">
        <v>181</v>
      </c>
      <c r="F862" s="32" t="s">
        <v>70</v>
      </c>
      <c r="G862" s="147" t="s">
        <v>1705</v>
      </c>
      <c r="H862" s="32" t="s">
        <v>329</v>
      </c>
      <c r="I862" s="47"/>
    </row>
    <row r="863" spans="1:12" ht="20.100000000000001" customHeight="1">
      <c r="A863" s="22" t="s">
        <v>1540</v>
      </c>
      <c r="B863" s="22" t="s">
        <v>60</v>
      </c>
      <c r="C863" s="46">
        <v>42609</v>
      </c>
      <c r="D863" s="47">
        <v>84.24</v>
      </c>
      <c r="E863" s="32" t="s">
        <v>663</v>
      </c>
      <c r="F863" s="32" t="s">
        <v>70</v>
      </c>
      <c r="G863" s="147" t="s">
        <v>1634</v>
      </c>
      <c r="H863" s="32" t="s">
        <v>329</v>
      </c>
      <c r="I863" s="47"/>
    </row>
    <row r="864" spans="1:12" ht="20.100000000000001" customHeight="1">
      <c r="A864" s="22" t="s">
        <v>1540</v>
      </c>
      <c r="B864" s="22" t="s">
        <v>60</v>
      </c>
      <c r="C864" s="46">
        <v>42609</v>
      </c>
      <c r="D864" s="47">
        <v>94.06</v>
      </c>
      <c r="E864" s="32" t="s">
        <v>663</v>
      </c>
      <c r="F864" s="32" t="s">
        <v>70</v>
      </c>
      <c r="G864" s="147" t="s">
        <v>1782</v>
      </c>
      <c r="H864" s="32" t="s">
        <v>329</v>
      </c>
      <c r="I864" s="47"/>
    </row>
    <row r="865" spans="1:9" s="150" customFormat="1" ht="20.100000000000001" customHeight="1">
      <c r="A865" s="145" t="s">
        <v>1780</v>
      </c>
      <c r="B865" s="151" t="s">
        <v>430</v>
      </c>
      <c r="C865" s="46">
        <v>42611</v>
      </c>
      <c r="D865" s="47">
        <v>38</v>
      </c>
      <c r="E865" s="32" t="s">
        <v>1553</v>
      </c>
      <c r="F865" s="32" t="s">
        <v>63</v>
      </c>
      <c r="G865" s="147" t="s">
        <v>1753</v>
      </c>
      <c r="H865" s="32" t="s">
        <v>328</v>
      </c>
      <c r="I865" s="47"/>
    </row>
    <row r="866" spans="1:9" s="150" customFormat="1" ht="20.100000000000001" customHeight="1">
      <c r="A866" s="145" t="s">
        <v>1780</v>
      </c>
      <c r="B866" s="151" t="s">
        <v>1781</v>
      </c>
      <c r="C866" s="46">
        <v>42611</v>
      </c>
      <c r="D866" s="47">
        <v>43.18</v>
      </c>
      <c r="E866" s="32" t="s">
        <v>62</v>
      </c>
      <c r="F866" s="32" t="s">
        <v>63</v>
      </c>
      <c r="G866" s="147" t="s">
        <v>1756</v>
      </c>
      <c r="H866" s="32" t="s">
        <v>328</v>
      </c>
      <c r="I866" s="47"/>
    </row>
    <row r="867" spans="1:9" s="150" customFormat="1" ht="20.100000000000001" customHeight="1">
      <c r="A867" s="145" t="s">
        <v>1780</v>
      </c>
      <c r="B867" s="151" t="s">
        <v>1781</v>
      </c>
      <c r="C867" s="46">
        <v>42611</v>
      </c>
      <c r="D867" s="47">
        <v>39.04</v>
      </c>
      <c r="E867" s="32" t="s">
        <v>62</v>
      </c>
      <c r="F867" s="32" t="s">
        <v>63</v>
      </c>
      <c r="G867" s="147" t="s">
        <v>1757</v>
      </c>
      <c r="H867" s="32" t="s">
        <v>328</v>
      </c>
      <c r="I867" s="47"/>
    </row>
    <row r="868" spans="1:9" s="150" customFormat="1" ht="20.100000000000001" customHeight="1">
      <c r="A868" s="145" t="s">
        <v>1780</v>
      </c>
      <c r="B868" s="151" t="s">
        <v>1781</v>
      </c>
      <c r="C868" s="46">
        <v>42611</v>
      </c>
      <c r="D868" s="47">
        <v>39.28</v>
      </c>
      <c r="E868" s="32" t="s">
        <v>62</v>
      </c>
      <c r="F868" s="32" t="s">
        <v>63</v>
      </c>
      <c r="G868" s="147" t="s">
        <v>1758</v>
      </c>
      <c r="H868" s="32" t="s">
        <v>328</v>
      </c>
      <c r="I868" s="47"/>
    </row>
    <row r="869" spans="1:9" s="150" customFormat="1" ht="20.100000000000001" customHeight="1">
      <c r="A869" s="145" t="s">
        <v>1780</v>
      </c>
      <c r="B869" s="151" t="s">
        <v>430</v>
      </c>
      <c r="C869" s="46">
        <v>42611</v>
      </c>
      <c r="D869" s="47">
        <v>38</v>
      </c>
      <c r="E869" s="32" t="s">
        <v>1553</v>
      </c>
      <c r="F869" s="32" t="s">
        <v>63</v>
      </c>
      <c r="G869" s="147" t="s">
        <v>1763</v>
      </c>
      <c r="H869" s="32" t="s">
        <v>328</v>
      </c>
      <c r="I869" s="47"/>
    </row>
    <row r="870" spans="1:9" s="150" customFormat="1" ht="20.100000000000001" customHeight="1">
      <c r="A870" s="145" t="s">
        <v>1780</v>
      </c>
      <c r="B870" s="151" t="s">
        <v>430</v>
      </c>
      <c r="C870" s="46">
        <v>42611</v>
      </c>
      <c r="D870" s="47">
        <v>37.08</v>
      </c>
      <c r="E870" s="32" t="s">
        <v>1553</v>
      </c>
      <c r="F870" s="32" t="s">
        <v>63</v>
      </c>
      <c r="G870" s="147" t="s">
        <v>1764</v>
      </c>
      <c r="H870" s="32" t="s">
        <v>328</v>
      </c>
      <c r="I870" s="47"/>
    </row>
    <row r="871" spans="1:9" s="150" customFormat="1" ht="20.100000000000001" customHeight="1">
      <c r="A871" s="145" t="s">
        <v>1780</v>
      </c>
      <c r="B871" s="151" t="s">
        <v>430</v>
      </c>
      <c r="C871" s="46">
        <v>42611</v>
      </c>
      <c r="D871" s="47">
        <v>40.08</v>
      </c>
      <c r="E871" s="32" t="s">
        <v>1553</v>
      </c>
      <c r="F871" s="32" t="s">
        <v>63</v>
      </c>
      <c r="G871" s="147" t="s">
        <v>1765</v>
      </c>
      <c r="H871" s="32" t="s">
        <v>328</v>
      </c>
      <c r="I871" s="47"/>
    </row>
    <row r="872" spans="1:9" s="150" customFormat="1" ht="20.100000000000001" customHeight="1">
      <c r="A872" s="145" t="s">
        <v>1780</v>
      </c>
      <c r="B872" s="151" t="s">
        <v>430</v>
      </c>
      <c r="C872" s="46">
        <v>42611</v>
      </c>
      <c r="D872" s="47">
        <v>40.01</v>
      </c>
      <c r="E872" s="32" t="s">
        <v>1553</v>
      </c>
      <c r="F872" s="32" t="s">
        <v>63</v>
      </c>
      <c r="G872" s="147" t="s">
        <v>1766</v>
      </c>
      <c r="H872" s="32" t="s">
        <v>328</v>
      </c>
      <c r="I872" s="47"/>
    </row>
    <row r="873" spans="1:9" s="150" customFormat="1" ht="20.100000000000001" customHeight="1">
      <c r="A873" s="145" t="s">
        <v>1780</v>
      </c>
      <c r="B873" s="151" t="s">
        <v>1781</v>
      </c>
      <c r="C873" s="46">
        <v>42611</v>
      </c>
      <c r="D873" s="47">
        <v>39.380000000000003</v>
      </c>
      <c r="E873" s="32" t="s">
        <v>62</v>
      </c>
      <c r="F873" s="32" t="s">
        <v>63</v>
      </c>
      <c r="G873" s="147" t="s">
        <v>1767</v>
      </c>
      <c r="H873" s="32" t="s">
        <v>328</v>
      </c>
      <c r="I873" s="47"/>
    </row>
    <row r="874" spans="1:9" s="150" customFormat="1" ht="20.100000000000001" customHeight="1">
      <c r="A874" s="145" t="s">
        <v>1794</v>
      </c>
      <c r="B874" s="151" t="s">
        <v>1795</v>
      </c>
      <c r="C874" s="46">
        <v>42611</v>
      </c>
      <c r="D874" s="47">
        <v>43.24</v>
      </c>
      <c r="E874" s="32" t="s">
        <v>62</v>
      </c>
      <c r="F874" s="32" t="s">
        <v>1796</v>
      </c>
      <c r="G874" s="147" t="s">
        <v>1797</v>
      </c>
      <c r="H874" s="32" t="s">
        <v>1798</v>
      </c>
      <c r="I874" s="47"/>
    </row>
    <row r="875" spans="1:9" s="150" customFormat="1" ht="20.100000000000001" customHeight="1">
      <c r="A875" s="22" t="s">
        <v>1799</v>
      </c>
      <c r="B875" s="22" t="s">
        <v>60</v>
      </c>
      <c r="C875" s="46">
        <v>42610</v>
      </c>
      <c r="D875" s="47">
        <v>49.92</v>
      </c>
      <c r="E875" s="32" t="s">
        <v>663</v>
      </c>
      <c r="F875" s="32" t="s">
        <v>70</v>
      </c>
      <c r="G875" s="147" t="s">
        <v>1800</v>
      </c>
      <c r="H875" s="32" t="s">
        <v>329</v>
      </c>
      <c r="I875" s="47"/>
    </row>
    <row r="876" spans="1:9" s="150" customFormat="1" ht="20.100000000000001" customHeight="1">
      <c r="A876" s="22" t="s">
        <v>1799</v>
      </c>
      <c r="B876" s="22" t="s">
        <v>60</v>
      </c>
      <c r="C876" s="46">
        <v>42610</v>
      </c>
      <c r="D876" s="47">
        <v>49.9</v>
      </c>
      <c r="E876" s="32" t="s">
        <v>663</v>
      </c>
      <c r="F876" s="32" t="s">
        <v>70</v>
      </c>
      <c r="G876" s="147" t="s">
        <v>1801</v>
      </c>
      <c r="H876" s="32" t="s">
        <v>329</v>
      </c>
      <c r="I876" s="47"/>
    </row>
    <row r="877" spans="1:9" s="150" customFormat="1" ht="20.100000000000001" customHeight="1">
      <c r="A877" s="22" t="s">
        <v>1799</v>
      </c>
      <c r="B877" s="22" t="s">
        <v>60</v>
      </c>
      <c r="C877" s="46">
        <v>42610</v>
      </c>
      <c r="D877" s="47">
        <v>50.26</v>
      </c>
      <c r="E877" s="32" t="s">
        <v>663</v>
      </c>
      <c r="F877" s="32" t="s">
        <v>70</v>
      </c>
      <c r="G877" s="147" t="s">
        <v>1802</v>
      </c>
      <c r="H877" s="32" t="s">
        <v>329</v>
      </c>
      <c r="I877" s="47"/>
    </row>
    <row r="878" spans="1:9" s="150" customFormat="1" ht="20.100000000000001" customHeight="1">
      <c r="A878" s="22" t="s">
        <v>1799</v>
      </c>
      <c r="B878" s="22" t="s">
        <v>60</v>
      </c>
      <c r="C878" s="46">
        <v>42610</v>
      </c>
      <c r="D878" s="47">
        <v>49.92</v>
      </c>
      <c r="E878" s="32" t="s">
        <v>663</v>
      </c>
      <c r="F878" s="32" t="s">
        <v>70</v>
      </c>
      <c r="G878" s="147" t="s">
        <v>1803</v>
      </c>
      <c r="H878" s="32" t="s">
        <v>329</v>
      </c>
      <c r="I878" s="47"/>
    </row>
    <row r="879" spans="1:9" ht="20.100000000000001" customHeight="1">
      <c r="A879" s="151" t="s">
        <v>1496</v>
      </c>
      <c r="B879" s="151" t="s">
        <v>430</v>
      </c>
      <c r="C879" s="46">
        <v>42611</v>
      </c>
      <c r="D879" s="47">
        <v>60</v>
      </c>
      <c r="E879" s="32" t="s">
        <v>181</v>
      </c>
      <c r="F879" s="32" t="s">
        <v>166</v>
      </c>
      <c r="G879" s="147" t="s">
        <v>1739</v>
      </c>
      <c r="H879" s="32" t="s">
        <v>328</v>
      </c>
      <c r="I879" s="47"/>
    </row>
    <row r="880" spans="1:9" s="150" customFormat="1" ht="20.100000000000001" customHeight="1">
      <c r="A880" s="22" t="s">
        <v>1805</v>
      </c>
      <c r="B880" s="22" t="s">
        <v>60</v>
      </c>
      <c r="C880" s="46">
        <v>42611</v>
      </c>
      <c r="D880" s="47">
        <v>62</v>
      </c>
      <c r="E880" s="32" t="s">
        <v>663</v>
      </c>
      <c r="F880" s="32" t="s">
        <v>70</v>
      </c>
      <c r="G880" s="147" t="s">
        <v>1770</v>
      </c>
      <c r="H880" s="32" t="s">
        <v>328</v>
      </c>
      <c r="I880" s="47"/>
    </row>
    <row r="881" spans="1:9" s="150" customFormat="1" ht="20.100000000000001" customHeight="1">
      <c r="A881" s="22" t="s">
        <v>1805</v>
      </c>
      <c r="B881" s="22" t="s">
        <v>60</v>
      </c>
      <c r="C881" s="46">
        <v>42611</v>
      </c>
      <c r="D881" s="47">
        <v>55</v>
      </c>
      <c r="E881" s="32" t="s">
        <v>663</v>
      </c>
      <c r="F881" s="32" t="s">
        <v>70</v>
      </c>
      <c r="G881" s="147" t="s">
        <v>1771</v>
      </c>
      <c r="H881" s="32" t="s">
        <v>328</v>
      </c>
      <c r="I881" s="47"/>
    </row>
    <row r="882" spans="1:9" ht="20.100000000000001" customHeight="1">
      <c r="A882" s="151" t="s">
        <v>1805</v>
      </c>
      <c r="B882" s="151" t="s">
        <v>430</v>
      </c>
      <c r="C882" s="46">
        <v>42611</v>
      </c>
      <c r="D882" s="47">
        <v>37</v>
      </c>
      <c r="E882" s="32" t="s">
        <v>181</v>
      </c>
      <c r="F882" s="32" t="s">
        <v>70</v>
      </c>
      <c r="G882" s="147" t="s">
        <v>1639</v>
      </c>
      <c r="H882" s="32" t="s">
        <v>328</v>
      </c>
      <c r="I882" s="47"/>
    </row>
    <row r="883" spans="1:9" ht="20.100000000000001" customHeight="1">
      <c r="A883" s="151" t="s">
        <v>1805</v>
      </c>
      <c r="B883" s="151" t="s">
        <v>430</v>
      </c>
      <c r="C883" s="46">
        <v>42611</v>
      </c>
      <c r="D883" s="47">
        <v>37</v>
      </c>
      <c r="E883" s="32" t="s">
        <v>181</v>
      </c>
      <c r="F883" s="32" t="s">
        <v>70</v>
      </c>
      <c r="G883" s="147" t="s">
        <v>1772</v>
      </c>
      <c r="H883" s="32" t="s">
        <v>328</v>
      </c>
      <c r="I883" s="47"/>
    </row>
    <row r="884" spans="1:9" ht="20.100000000000001" customHeight="1">
      <c r="A884" s="151" t="s">
        <v>1805</v>
      </c>
      <c r="B884" s="151" t="s">
        <v>430</v>
      </c>
      <c r="C884" s="46">
        <v>42611</v>
      </c>
      <c r="D884" s="47">
        <v>40</v>
      </c>
      <c r="E884" s="32" t="s">
        <v>181</v>
      </c>
      <c r="F884" s="32" t="s">
        <v>70</v>
      </c>
      <c r="G884" s="147" t="s">
        <v>1701</v>
      </c>
      <c r="H884" s="32" t="s">
        <v>328</v>
      </c>
      <c r="I884" s="47"/>
    </row>
    <row r="885" spans="1:9" ht="20.100000000000001" customHeight="1">
      <c r="A885" s="151" t="s">
        <v>1805</v>
      </c>
      <c r="B885" s="151" t="s">
        <v>430</v>
      </c>
      <c r="C885" s="46">
        <v>42611</v>
      </c>
      <c r="D885" s="47">
        <v>40</v>
      </c>
      <c r="E885" s="32" t="s">
        <v>181</v>
      </c>
      <c r="F885" s="32" t="s">
        <v>70</v>
      </c>
      <c r="G885" s="147" t="s">
        <v>1775</v>
      </c>
      <c r="H885" s="32" t="s">
        <v>328</v>
      </c>
      <c r="I885" s="47"/>
    </row>
    <row r="886" spans="1:9" ht="20.100000000000001" customHeight="1">
      <c r="A886" s="151" t="s">
        <v>1805</v>
      </c>
      <c r="B886" s="151" t="s">
        <v>430</v>
      </c>
      <c r="C886" s="46">
        <v>42611</v>
      </c>
      <c r="D886" s="47">
        <v>39</v>
      </c>
      <c r="E886" s="32" t="s">
        <v>181</v>
      </c>
      <c r="F886" s="32" t="s">
        <v>70</v>
      </c>
      <c r="G886" s="147" t="s">
        <v>1776</v>
      </c>
      <c r="H886" s="32" t="s">
        <v>328</v>
      </c>
      <c r="I886" s="47"/>
    </row>
    <row r="887" spans="1:9" ht="20.100000000000001" customHeight="1">
      <c r="A887" s="151" t="s">
        <v>1805</v>
      </c>
      <c r="B887" s="151" t="s">
        <v>430</v>
      </c>
      <c r="C887" s="46">
        <v>42611</v>
      </c>
      <c r="D887" s="47">
        <v>40</v>
      </c>
      <c r="E887" s="32" t="s">
        <v>181</v>
      </c>
      <c r="F887" s="32" t="s">
        <v>70</v>
      </c>
      <c r="G887" s="147" t="s">
        <v>1777</v>
      </c>
      <c r="H887" s="32" t="s">
        <v>328</v>
      </c>
      <c r="I887" s="47"/>
    </row>
    <row r="888" spans="1:9" ht="20.100000000000001" customHeight="1">
      <c r="A888" s="151" t="s">
        <v>1805</v>
      </c>
      <c r="B888" s="151" t="s">
        <v>430</v>
      </c>
      <c r="C888" s="46">
        <v>42611</v>
      </c>
      <c r="D888" s="47">
        <v>50</v>
      </c>
      <c r="E888" s="32" t="s">
        <v>181</v>
      </c>
      <c r="F888" s="32" t="s">
        <v>70</v>
      </c>
      <c r="G888" s="147" t="s">
        <v>1705</v>
      </c>
      <c r="H888" s="32" t="s">
        <v>328</v>
      </c>
      <c r="I888" s="47"/>
    </row>
    <row r="889" spans="1:9" s="150" customFormat="1" ht="20.100000000000001" customHeight="1">
      <c r="A889" s="22" t="s">
        <v>1807</v>
      </c>
      <c r="B889" s="22" t="s">
        <v>60</v>
      </c>
      <c r="C889" s="46">
        <v>42611</v>
      </c>
      <c r="D889" s="47">
        <v>49.92</v>
      </c>
      <c r="E889" s="32" t="s">
        <v>663</v>
      </c>
      <c r="F889" s="32" t="s">
        <v>70</v>
      </c>
      <c r="G889" s="147" t="s">
        <v>1800</v>
      </c>
      <c r="H889" s="32" t="s">
        <v>329</v>
      </c>
      <c r="I889" s="47"/>
    </row>
    <row r="890" spans="1:9" s="150" customFormat="1" ht="20.100000000000001" customHeight="1">
      <c r="A890" s="22" t="s">
        <v>1807</v>
      </c>
      <c r="B890" s="22" t="s">
        <v>60</v>
      </c>
      <c r="C890" s="46">
        <v>42611</v>
      </c>
      <c r="D890" s="47">
        <v>49.9</v>
      </c>
      <c r="E890" s="32" t="s">
        <v>663</v>
      </c>
      <c r="F890" s="32" t="s">
        <v>70</v>
      </c>
      <c r="G890" s="147" t="s">
        <v>1801</v>
      </c>
      <c r="H890" s="32" t="s">
        <v>329</v>
      </c>
      <c r="I890" s="47"/>
    </row>
    <row r="891" spans="1:9" s="150" customFormat="1" ht="20.100000000000001" customHeight="1">
      <c r="A891" s="22" t="s">
        <v>1807</v>
      </c>
      <c r="B891" s="22" t="s">
        <v>60</v>
      </c>
      <c r="C891" s="46">
        <v>42611</v>
      </c>
      <c r="D891" s="47">
        <v>50.26</v>
      </c>
      <c r="E891" s="32" t="s">
        <v>663</v>
      </c>
      <c r="F891" s="32" t="s">
        <v>70</v>
      </c>
      <c r="G891" s="147" t="s">
        <v>1802</v>
      </c>
      <c r="H891" s="32" t="s">
        <v>329</v>
      </c>
      <c r="I891" s="47"/>
    </row>
    <row r="892" spans="1:9" s="150" customFormat="1" ht="20.100000000000001" customHeight="1">
      <c r="A892" s="22" t="s">
        <v>1807</v>
      </c>
      <c r="B892" s="22" t="s">
        <v>60</v>
      </c>
      <c r="C892" s="46">
        <v>42611</v>
      </c>
      <c r="D892" s="47">
        <v>49.92</v>
      </c>
      <c r="E892" s="32" t="s">
        <v>663</v>
      </c>
      <c r="F892" s="32" t="s">
        <v>70</v>
      </c>
      <c r="G892" s="147" t="s">
        <v>1803</v>
      </c>
      <c r="H892" s="32" t="s">
        <v>329</v>
      </c>
      <c r="I892" s="47"/>
    </row>
    <row r="893" spans="1:9" s="150" customFormat="1" ht="20.100000000000001" customHeight="1">
      <c r="A893" s="22" t="s">
        <v>1498</v>
      </c>
      <c r="B893" s="22" t="s">
        <v>82</v>
      </c>
      <c r="C893" s="46">
        <v>42612</v>
      </c>
      <c r="D893" s="47">
        <v>31</v>
      </c>
      <c r="E893" s="32" t="s">
        <v>165</v>
      </c>
      <c r="F893" s="32" t="s">
        <v>63</v>
      </c>
      <c r="G893" s="147" t="s">
        <v>360</v>
      </c>
      <c r="H893" s="32" t="s">
        <v>328</v>
      </c>
      <c r="I893" s="47"/>
    </row>
    <row r="894" spans="1:9" s="150" customFormat="1" ht="20.100000000000001" customHeight="1">
      <c r="A894" s="22" t="s">
        <v>1498</v>
      </c>
      <c r="B894" s="22" t="s">
        <v>82</v>
      </c>
      <c r="C894" s="46">
        <v>42612</v>
      </c>
      <c r="D894" s="47">
        <v>24</v>
      </c>
      <c r="E894" s="32" t="s">
        <v>165</v>
      </c>
      <c r="F894" s="32" t="s">
        <v>63</v>
      </c>
      <c r="G894" s="147" t="s">
        <v>595</v>
      </c>
      <c r="H894" s="32" t="s">
        <v>328</v>
      </c>
      <c r="I894" s="47"/>
    </row>
    <row r="895" spans="1:9" s="150" customFormat="1" ht="20.100000000000001" customHeight="1">
      <c r="A895" s="22" t="s">
        <v>1498</v>
      </c>
      <c r="B895" s="22" t="s">
        <v>82</v>
      </c>
      <c r="C895" s="46">
        <v>42612</v>
      </c>
      <c r="D895" s="47">
        <v>24</v>
      </c>
      <c r="E895" s="32" t="s">
        <v>165</v>
      </c>
      <c r="F895" s="32" t="s">
        <v>63</v>
      </c>
      <c r="G895" s="147" t="s">
        <v>594</v>
      </c>
      <c r="H895" s="32" t="s">
        <v>328</v>
      </c>
      <c r="I895" s="47"/>
    </row>
    <row r="896" spans="1:9" s="150" customFormat="1" ht="20.100000000000001" customHeight="1">
      <c r="A896" s="22" t="s">
        <v>2372</v>
      </c>
      <c r="B896" s="22" t="s">
        <v>747</v>
      </c>
      <c r="C896" s="46">
        <v>42598</v>
      </c>
      <c r="D896" s="47">
        <v>1000</v>
      </c>
      <c r="E896" s="32" t="s">
        <v>775</v>
      </c>
      <c r="F896" s="32" t="s">
        <v>743</v>
      </c>
      <c r="G896" s="32"/>
      <c r="H896" s="32" t="s">
        <v>329</v>
      </c>
      <c r="I896" s="47"/>
    </row>
    <row r="897" spans="1:10" s="150" customFormat="1" ht="20.100000000000001" customHeight="1">
      <c r="A897" s="22" t="s">
        <v>2373</v>
      </c>
      <c r="B897" s="22" t="s">
        <v>747</v>
      </c>
      <c r="C897" s="46">
        <v>42612</v>
      </c>
      <c r="D897" s="47">
        <v>1000</v>
      </c>
      <c r="E897" s="32" t="s">
        <v>775</v>
      </c>
      <c r="F897" s="32" t="s">
        <v>743</v>
      </c>
      <c r="G897" s="32"/>
      <c r="H897" s="32" t="s">
        <v>329</v>
      </c>
      <c r="I897" s="47"/>
    </row>
    <row r="898" spans="1:10" s="150" customFormat="1" ht="20.100000000000001" customHeight="1">
      <c r="A898" s="22" t="s">
        <v>1811</v>
      </c>
      <c r="B898" s="22" t="s">
        <v>747</v>
      </c>
      <c r="C898" s="46">
        <v>42611</v>
      </c>
      <c r="D898" s="47">
        <v>1000</v>
      </c>
      <c r="E898" s="32" t="s">
        <v>911</v>
      </c>
      <c r="F898" s="32" t="s">
        <v>912</v>
      </c>
      <c r="G898" s="32"/>
      <c r="H898" s="32" t="s">
        <v>328</v>
      </c>
      <c r="I898" s="47"/>
    </row>
    <row r="899" spans="1:10" s="150" customFormat="1" ht="20.100000000000001" customHeight="1">
      <c r="A899" s="22" t="s">
        <v>1812</v>
      </c>
      <c r="B899" s="22" t="s">
        <v>240</v>
      </c>
      <c r="C899" s="46">
        <v>42612</v>
      </c>
      <c r="D899" s="47">
        <v>140</v>
      </c>
      <c r="E899" s="32" t="s">
        <v>968</v>
      </c>
      <c r="F899" s="32" t="s">
        <v>1155</v>
      </c>
      <c r="G899" s="32"/>
      <c r="H899" s="32" t="s">
        <v>329</v>
      </c>
      <c r="I899" s="47"/>
    </row>
    <row r="900" spans="1:10" s="150" customFormat="1" ht="20.100000000000001" customHeight="1">
      <c r="A900" s="22" t="s">
        <v>1813</v>
      </c>
      <c r="B900" s="22" t="s">
        <v>240</v>
      </c>
      <c r="C900" s="46">
        <v>42606</v>
      </c>
      <c r="D900" s="47">
        <v>60</v>
      </c>
      <c r="E900" s="32" t="s">
        <v>968</v>
      </c>
      <c r="F900" s="32" t="s">
        <v>1155</v>
      </c>
      <c r="G900" s="32"/>
      <c r="H900" s="32" t="s">
        <v>329</v>
      </c>
      <c r="I900" s="47"/>
    </row>
    <row r="901" spans="1:10" s="150" customFormat="1" ht="20.100000000000001" customHeight="1">
      <c r="A901" s="22" t="s">
        <v>1749</v>
      </c>
      <c r="B901" s="22" t="s">
        <v>240</v>
      </c>
      <c r="C901" s="46">
        <v>42612</v>
      </c>
      <c r="D901" s="47">
        <v>140</v>
      </c>
      <c r="E901" s="32" t="s">
        <v>968</v>
      </c>
      <c r="F901" s="32" t="s">
        <v>1155</v>
      </c>
      <c r="G901" s="32"/>
      <c r="H901" s="32" t="s">
        <v>328</v>
      </c>
      <c r="I901" s="47"/>
    </row>
    <row r="902" spans="1:10" s="150" customFormat="1" ht="20.100000000000001" customHeight="1">
      <c r="A902" s="22" t="s">
        <v>1750</v>
      </c>
      <c r="B902" s="22" t="s">
        <v>240</v>
      </c>
      <c r="C902" s="46">
        <v>42606</v>
      </c>
      <c r="D902" s="47">
        <v>60</v>
      </c>
      <c r="E902" s="32" t="s">
        <v>968</v>
      </c>
      <c r="F902" s="32" t="s">
        <v>1155</v>
      </c>
      <c r="G902" s="32"/>
      <c r="H902" s="32" t="s">
        <v>328</v>
      </c>
      <c r="I902" s="47"/>
    </row>
    <row r="903" spans="1:10" s="150" customFormat="1" ht="20.100000000000001" customHeight="1">
      <c r="A903" s="22" t="s">
        <v>1497</v>
      </c>
      <c r="B903" s="22" t="s">
        <v>60</v>
      </c>
      <c r="C903" s="46">
        <v>42612</v>
      </c>
      <c r="D903" s="47">
        <v>84.24</v>
      </c>
      <c r="E903" s="32" t="s">
        <v>663</v>
      </c>
      <c r="F903" s="32" t="s">
        <v>70</v>
      </c>
      <c r="G903" s="147" t="s">
        <v>1634</v>
      </c>
      <c r="H903" s="32" t="s">
        <v>328</v>
      </c>
      <c r="I903" s="47"/>
    </row>
    <row r="904" spans="1:10" s="150" customFormat="1" ht="20.100000000000001" customHeight="1">
      <c r="A904" s="22" t="s">
        <v>1497</v>
      </c>
      <c r="B904" s="22" t="s">
        <v>60</v>
      </c>
      <c r="C904" s="46">
        <v>42612</v>
      </c>
      <c r="D904" s="47">
        <v>94.06</v>
      </c>
      <c r="E904" s="32" t="s">
        <v>663</v>
      </c>
      <c r="F904" s="32" t="s">
        <v>70</v>
      </c>
      <c r="G904" s="147" t="s">
        <v>1782</v>
      </c>
      <c r="H904" s="32" t="s">
        <v>328</v>
      </c>
      <c r="I904" s="47"/>
    </row>
    <row r="905" spans="1:10" ht="20.100000000000001" customHeight="1">
      <c r="A905" s="22" t="s">
        <v>1799</v>
      </c>
      <c r="B905" s="22" t="s">
        <v>60</v>
      </c>
      <c r="C905" s="46">
        <v>42612</v>
      </c>
      <c r="D905" s="47">
        <v>60.38</v>
      </c>
      <c r="E905" s="32" t="s">
        <v>663</v>
      </c>
      <c r="F905" s="32" t="s">
        <v>70</v>
      </c>
      <c r="G905" s="147" t="s">
        <v>1803</v>
      </c>
      <c r="H905" s="32" t="s">
        <v>329</v>
      </c>
      <c r="I905" s="47"/>
    </row>
    <row r="906" spans="1:10" ht="20.100000000000001" customHeight="1">
      <c r="A906" s="22" t="s">
        <v>1572</v>
      </c>
      <c r="B906" s="22" t="s">
        <v>1380</v>
      </c>
      <c r="C906" s="46">
        <v>42613</v>
      </c>
      <c r="D906" s="47">
        <v>3000</v>
      </c>
      <c r="E906" s="32" t="s">
        <v>1000</v>
      </c>
      <c r="F906" s="32" t="s">
        <v>63</v>
      </c>
      <c r="G906" s="32"/>
      <c r="H906" s="32" t="s">
        <v>329</v>
      </c>
      <c r="I906" s="47"/>
      <c r="J906" s="150"/>
    </row>
    <row r="907" spans="1:10" ht="20.100000000000001" customHeight="1">
      <c r="A907" s="22" t="s">
        <v>1596</v>
      </c>
      <c r="B907" s="22" t="s">
        <v>1380</v>
      </c>
      <c r="C907" s="46">
        <v>42613</v>
      </c>
      <c r="D907" s="47">
        <v>3000</v>
      </c>
      <c r="E907" s="32" t="s">
        <v>1000</v>
      </c>
      <c r="F907" s="32" t="s">
        <v>63</v>
      </c>
      <c r="G907" s="32"/>
      <c r="H907" s="32" t="s">
        <v>328</v>
      </c>
      <c r="I907" s="47"/>
      <c r="J907" s="150"/>
    </row>
    <row r="908" spans="1:10" ht="16.5" customHeight="1">
      <c r="A908" s="151" t="s">
        <v>1824</v>
      </c>
      <c r="B908" s="151" t="s">
        <v>430</v>
      </c>
      <c r="C908" s="46">
        <v>42612</v>
      </c>
      <c r="D908" s="47">
        <v>53</v>
      </c>
      <c r="E908" s="32" t="s">
        <v>181</v>
      </c>
      <c r="F908" s="32" t="s">
        <v>70</v>
      </c>
      <c r="G908" s="32" t="s">
        <v>1825</v>
      </c>
      <c r="H908" s="32" t="s">
        <v>329</v>
      </c>
      <c r="I908" s="47"/>
      <c r="J908" s="150"/>
    </row>
    <row r="909" spans="1:10" ht="20.100000000000001" customHeight="1">
      <c r="A909" s="151" t="s">
        <v>1824</v>
      </c>
      <c r="B909" s="151" t="s">
        <v>430</v>
      </c>
      <c r="C909" s="46">
        <v>42612</v>
      </c>
      <c r="D909" s="47">
        <v>46</v>
      </c>
      <c r="E909" s="32" t="s">
        <v>181</v>
      </c>
      <c r="F909" s="32" t="s">
        <v>70</v>
      </c>
      <c r="G909" s="32" t="s">
        <v>1826</v>
      </c>
      <c r="H909" s="32" t="s">
        <v>329</v>
      </c>
      <c r="I909" s="47"/>
      <c r="J909" s="150"/>
    </row>
    <row r="910" spans="1:10" ht="20.100000000000001" customHeight="1">
      <c r="A910" s="151" t="s">
        <v>1824</v>
      </c>
      <c r="B910" s="151" t="s">
        <v>430</v>
      </c>
      <c r="C910" s="46">
        <v>42612</v>
      </c>
      <c r="D910" s="47">
        <v>37</v>
      </c>
      <c r="E910" s="32" t="s">
        <v>181</v>
      </c>
      <c r="F910" s="32" t="s">
        <v>70</v>
      </c>
      <c r="G910" s="32" t="s">
        <v>1827</v>
      </c>
      <c r="H910" s="32" t="s">
        <v>329</v>
      </c>
      <c r="I910" s="47"/>
    </row>
    <row r="911" spans="1:10" ht="20.100000000000001" customHeight="1">
      <c r="A911" s="151" t="s">
        <v>1824</v>
      </c>
      <c r="B911" s="151" t="s">
        <v>430</v>
      </c>
      <c r="C911" s="46">
        <v>42612</v>
      </c>
      <c r="D911" s="47">
        <v>38</v>
      </c>
      <c r="E911" s="32" t="s">
        <v>181</v>
      </c>
      <c r="F911" s="32" t="s">
        <v>70</v>
      </c>
      <c r="G911" s="32" t="s">
        <v>1828</v>
      </c>
      <c r="H911" s="32" t="s">
        <v>329</v>
      </c>
      <c r="I911" s="47"/>
    </row>
    <row r="912" spans="1:10" ht="20.100000000000001" customHeight="1">
      <c r="A912" s="151" t="s">
        <v>1824</v>
      </c>
      <c r="B912" s="151" t="s">
        <v>430</v>
      </c>
      <c r="C912" s="46">
        <v>42612</v>
      </c>
      <c r="D912" s="47">
        <v>50</v>
      </c>
      <c r="E912" s="32" t="s">
        <v>181</v>
      </c>
      <c r="F912" s="32" t="s">
        <v>70</v>
      </c>
      <c r="G912" s="32" t="s">
        <v>1829</v>
      </c>
      <c r="H912" s="32" t="s">
        <v>329</v>
      </c>
      <c r="I912" s="47"/>
    </row>
    <row r="913" spans="1:9" ht="20.100000000000001" customHeight="1">
      <c r="A913" s="151" t="s">
        <v>1830</v>
      </c>
      <c r="B913" s="151" t="s">
        <v>430</v>
      </c>
      <c r="C913" s="46">
        <v>42613</v>
      </c>
      <c r="D913" s="47">
        <v>38</v>
      </c>
      <c r="E913" s="32" t="s">
        <v>181</v>
      </c>
      <c r="F913" s="32" t="s">
        <v>166</v>
      </c>
      <c r="G913" s="32" t="s">
        <v>1684</v>
      </c>
      <c r="H913" s="32" t="s">
        <v>329</v>
      </c>
      <c r="I913" s="47"/>
    </row>
    <row r="914" spans="1:9" ht="20.100000000000001" customHeight="1">
      <c r="A914" s="151" t="s">
        <v>1830</v>
      </c>
      <c r="B914" s="151" t="s">
        <v>430</v>
      </c>
      <c r="C914" s="46">
        <v>42613</v>
      </c>
      <c r="D914" s="47">
        <v>38</v>
      </c>
      <c r="E914" s="32" t="s">
        <v>181</v>
      </c>
      <c r="F914" s="32" t="s">
        <v>166</v>
      </c>
      <c r="G914" s="32" t="s">
        <v>1831</v>
      </c>
      <c r="H914" s="32" t="s">
        <v>329</v>
      </c>
      <c r="I914" s="47"/>
    </row>
    <row r="915" spans="1:9" ht="20.100000000000001" customHeight="1">
      <c r="A915" s="151" t="s">
        <v>1830</v>
      </c>
      <c r="B915" s="151" t="s">
        <v>430</v>
      </c>
      <c r="C915" s="46">
        <v>42613</v>
      </c>
      <c r="D915" s="47">
        <v>36</v>
      </c>
      <c r="E915" s="32" t="s">
        <v>181</v>
      </c>
      <c r="F915" s="32" t="s">
        <v>166</v>
      </c>
      <c r="G915" s="32" t="s">
        <v>1832</v>
      </c>
      <c r="H915" s="32" t="s">
        <v>329</v>
      </c>
      <c r="I915" s="47"/>
    </row>
    <row r="916" spans="1:9" ht="20.100000000000001" customHeight="1">
      <c r="A916" s="151" t="s">
        <v>1830</v>
      </c>
      <c r="B916" s="151" t="s">
        <v>430</v>
      </c>
      <c r="C916" s="46">
        <v>42613</v>
      </c>
      <c r="D916" s="47">
        <v>40</v>
      </c>
      <c r="E916" s="32" t="s">
        <v>181</v>
      </c>
      <c r="F916" s="32" t="s">
        <v>166</v>
      </c>
      <c r="G916" s="32" t="s">
        <v>1833</v>
      </c>
      <c r="H916" s="32" t="s">
        <v>329</v>
      </c>
      <c r="I916" s="47"/>
    </row>
    <row r="917" spans="1:9" ht="20.100000000000001" customHeight="1">
      <c r="A917" s="151" t="s">
        <v>1496</v>
      </c>
      <c r="B917" s="151" t="s">
        <v>430</v>
      </c>
      <c r="C917" s="46">
        <v>42613</v>
      </c>
      <c r="D917" s="47">
        <v>60</v>
      </c>
      <c r="E917" s="32" t="s">
        <v>181</v>
      </c>
      <c r="F917" s="32" t="s">
        <v>166</v>
      </c>
      <c r="G917" s="147" t="s">
        <v>1761</v>
      </c>
      <c r="H917" s="32" t="s">
        <v>328</v>
      </c>
      <c r="I917" s="47"/>
    </row>
    <row r="918" spans="1:9" ht="20.100000000000001" customHeight="1">
      <c r="A918" s="151" t="s">
        <v>1496</v>
      </c>
      <c r="B918" s="151" t="s">
        <v>430</v>
      </c>
      <c r="C918" s="46">
        <v>42613</v>
      </c>
      <c r="D918" s="47">
        <v>60</v>
      </c>
      <c r="E918" s="32" t="s">
        <v>181</v>
      </c>
      <c r="F918" s="32" t="s">
        <v>166</v>
      </c>
      <c r="G918" s="147" t="s">
        <v>1762</v>
      </c>
      <c r="H918" s="32" t="s">
        <v>328</v>
      </c>
      <c r="I918" s="47"/>
    </row>
    <row r="919" spans="1:9" ht="20.100000000000001" customHeight="1">
      <c r="A919" s="151" t="s">
        <v>1830</v>
      </c>
      <c r="B919" s="151" t="s">
        <v>430</v>
      </c>
      <c r="C919" s="46">
        <v>42614</v>
      </c>
      <c r="D919" s="47">
        <v>40</v>
      </c>
      <c r="E919" s="32" t="s">
        <v>181</v>
      </c>
      <c r="F919" s="32" t="s">
        <v>166</v>
      </c>
      <c r="G919" s="32" t="s">
        <v>1841</v>
      </c>
      <c r="H919" s="32" t="s">
        <v>329</v>
      </c>
      <c r="I919" s="47"/>
    </row>
    <row r="920" spans="1:9" ht="20.100000000000001" customHeight="1">
      <c r="A920" s="145" t="s">
        <v>1863</v>
      </c>
      <c r="B920" s="151" t="s">
        <v>1864</v>
      </c>
      <c r="C920" s="46">
        <v>42614</v>
      </c>
      <c r="D920" s="47">
        <v>3000</v>
      </c>
      <c r="E920" s="32" t="s">
        <v>1479</v>
      </c>
      <c r="F920" s="32" t="s">
        <v>63</v>
      </c>
      <c r="G920" s="147"/>
      <c r="H920" s="32" t="s">
        <v>329</v>
      </c>
      <c r="I920" s="47"/>
    </row>
    <row r="921" spans="1:9" s="150" customFormat="1" ht="20.100000000000001" customHeight="1">
      <c r="A921" s="145" t="s">
        <v>1769</v>
      </c>
      <c r="B921" s="151" t="s">
        <v>93</v>
      </c>
      <c r="C921" s="46">
        <v>42614</v>
      </c>
      <c r="D921" s="47">
        <v>3000</v>
      </c>
      <c r="E921" s="32" t="s">
        <v>1479</v>
      </c>
      <c r="F921" s="32" t="s">
        <v>63</v>
      </c>
      <c r="G921" s="32"/>
      <c r="H921" s="32" t="s">
        <v>328</v>
      </c>
      <c r="I921" s="47"/>
    </row>
    <row r="922" spans="1:9" s="150" customFormat="1" ht="20.100000000000001" customHeight="1">
      <c r="A922" s="22" t="s">
        <v>1572</v>
      </c>
      <c r="B922" s="22" t="s">
        <v>1380</v>
      </c>
      <c r="C922" s="46">
        <v>42615</v>
      </c>
      <c r="D922" s="47">
        <v>2500</v>
      </c>
      <c r="E922" s="32" t="s">
        <v>1000</v>
      </c>
      <c r="F922" s="32" t="s">
        <v>63</v>
      </c>
      <c r="G922" s="32"/>
      <c r="H922" s="32" t="s">
        <v>329</v>
      </c>
      <c r="I922" s="47"/>
    </row>
    <row r="923" spans="1:9" s="150" customFormat="1" ht="20.100000000000001" customHeight="1">
      <c r="A923" s="22" t="s">
        <v>1596</v>
      </c>
      <c r="B923" s="22" t="s">
        <v>1380</v>
      </c>
      <c r="C923" s="46">
        <v>42615</v>
      </c>
      <c r="D923" s="47">
        <v>2500</v>
      </c>
      <c r="E923" s="32" t="s">
        <v>1000</v>
      </c>
      <c r="F923" s="32" t="s">
        <v>63</v>
      </c>
      <c r="G923" s="32"/>
      <c r="H923" s="32" t="s">
        <v>328</v>
      </c>
      <c r="I923" s="47"/>
    </row>
    <row r="924" spans="1:9" ht="20.100000000000001" customHeight="1">
      <c r="A924" s="151" t="s">
        <v>1740</v>
      </c>
      <c r="B924" s="151" t="s">
        <v>430</v>
      </c>
      <c r="C924" s="46">
        <v>42618</v>
      </c>
      <c r="D924" s="47">
        <v>38</v>
      </c>
      <c r="E924" s="32" t="s">
        <v>181</v>
      </c>
      <c r="F924" s="32" t="s">
        <v>166</v>
      </c>
      <c r="G924" s="32" t="s">
        <v>1684</v>
      </c>
      <c r="H924" s="32" t="s">
        <v>328</v>
      </c>
      <c r="I924" s="47"/>
    </row>
    <row r="925" spans="1:9" ht="20.100000000000001" customHeight="1">
      <c r="A925" s="151" t="s">
        <v>1740</v>
      </c>
      <c r="B925" s="151" t="s">
        <v>430</v>
      </c>
      <c r="C925" s="46">
        <v>42618</v>
      </c>
      <c r="D925" s="47">
        <v>38</v>
      </c>
      <c r="E925" s="32" t="s">
        <v>181</v>
      </c>
      <c r="F925" s="32" t="s">
        <v>166</v>
      </c>
      <c r="G925" s="32" t="s">
        <v>1831</v>
      </c>
      <c r="H925" s="32" t="s">
        <v>328</v>
      </c>
      <c r="I925" s="47"/>
    </row>
    <row r="926" spans="1:9" ht="20.100000000000001" customHeight="1">
      <c r="A926" s="151" t="s">
        <v>1740</v>
      </c>
      <c r="B926" s="151" t="s">
        <v>430</v>
      </c>
      <c r="C926" s="46">
        <v>42618</v>
      </c>
      <c r="D926" s="47">
        <v>36</v>
      </c>
      <c r="E926" s="32" t="s">
        <v>181</v>
      </c>
      <c r="F926" s="32" t="s">
        <v>166</v>
      </c>
      <c r="G926" s="32" t="s">
        <v>1832</v>
      </c>
      <c r="H926" s="32" t="s">
        <v>328</v>
      </c>
      <c r="I926" s="47"/>
    </row>
    <row r="927" spans="1:9" ht="20.100000000000001" customHeight="1">
      <c r="A927" s="151" t="s">
        <v>1740</v>
      </c>
      <c r="B927" s="151" t="s">
        <v>430</v>
      </c>
      <c r="C927" s="46">
        <v>42618</v>
      </c>
      <c r="D927" s="47">
        <v>40</v>
      </c>
      <c r="E927" s="32" t="s">
        <v>181</v>
      </c>
      <c r="F927" s="32" t="s">
        <v>166</v>
      </c>
      <c r="G927" s="32" t="s">
        <v>1833</v>
      </c>
      <c r="H927" s="32" t="s">
        <v>328</v>
      </c>
      <c r="I927" s="47"/>
    </row>
    <row r="928" spans="1:9" ht="20.100000000000001" customHeight="1">
      <c r="A928" s="151" t="s">
        <v>1740</v>
      </c>
      <c r="B928" s="151" t="s">
        <v>430</v>
      </c>
      <c r="C928" s="46">
        <v>42618</v>
      </c>
      <c r="D928" s="47">
        <v>40</v>
      </c>
      <c r="E928" s="32" t="s">
        <v>181</v>
      </c>
      <c r="F928" s="32" t="s">
        <v>166</v>
      </c>
      <c r="G928" s="32" t="s">
        <v>1841</v>
      </c>
      <c r="H928" s="32" t="s">
        <v>328</v>
      </c>
      <c r="I928" s="47"/>
    </row>
    <row r="929" spans="1:12" ht="20.100000000000001" customHeight="1">
      <c r="A929" s="151" t="s">
        <v>1806</v>
      </c>
      <c r="B929" s="151" t="s">
        <v>430</v>
      </c>
      <c r="C929" s="46">
        <v>42619</v>
      </c>
      <c r="D929" s="47">
        <v>53</v>
      </c>
      <c r="E929" s="32" t="s">
        <v>181</v>
      </c>
      <c r="F929" s="32" t="s">
        <v>70</v>
      </c>
      <c r="G929" s="32" t="s">
        <v>1825</v>
      </c>
      <c r="H929" s="32" t="s">
        <v>328</v>
      </c>
      <c r="I929" s="47"/>
    </row>
    <row r="930" spans="1:12" ht="20.100000000000001" customHeight="1">
      <c r="A930" s="151" t="s">
        <v>1806</v>
      </c>
      <c r="B930" s="151" t="s">
        <v>430</v>
      </c>
      <c r="C930" s="46">
        <v>42619</v>
      </c>
      <c r="D930" s="47">
        <v>46</v>
      </c>
      <c r="E930" s="32" t="s">
        <v>181</v>
      </c>
      <c r="F930" s="32" t="s">
        <v>70</v>
      </c>
      <c r="G930" s="32" t="s">
        <v>1826</v>
      </c>
      <c r="H930" s="32" t="s">
        <v>328</v>
      </c>
      <c r="I930" s="47"/>
    </row>
    <row r="931" spans="1:12" ht="20.100000000000001" customHeight="1">
      <c r="A931" s="151" t="s">
        <v>1806</v>
      </c>
      <c r="B931" s="151" t="s">
        <v>430</v>
      </c>
      <c r="C931" s="46">
        <v>42619</v>
      </c>
      <c r="D931" s="47">
        <v>37</v>
      </c>
      <c r="E931" s="32" t="s">
        <v>181</v>
      </c>
      <c r="F931" s="32" t="s">
        <v>70</v>
      </c>
      <c r="G931" s="32" t="s">
        <v>1827</v>
      </c>
      <c r="H931" s="32" t="s">
        <v>328</v>
      </c>
      <c r="I931" s="47"/>
      <c r="K931" s="234"/>
    </row>
    <row r="932" spans="1:12" ht="20.100000000000001" customHeight="1">
      <c r="A932" s="151" t="s">
        <v>1806</v>
      </c>
      <c r="B932" s="151" t="s">
        <v>430</v>
      </c>
      <c r="C932" s="46">
        <v>42619</v>
      </c>
      <c r="D932" s="47">
        <v>38</v>
      </c>
      <c r="E932" s="32" t="s">
        <v>181</v>
      </c>
      <c r="F932" s="32" t="s">
        <v>70</v>
      </c>
      <c r="G932" s="32" t="s">
        <v>1828</v>
      </c>
      <c r="H932" s="32" t="s">
        <v>328</v>
      </c>
      <c r="I932" s="47"/>
      <c r="K932" s="234"/>
    </row>
    <row r="933" spans="1:12" ht="20.100000000000001" customHeight="1">
      <c r="A933" s="151" t="s">
        <v>1806</v>
      </c>
      <c r="B933" s="151" t="s">
        <v>430</v>
      </c>
      <c r="C933" s="46">
        <v>42619</v>
      </c>
      <c r="D933" s="47">
        <v>50</v>
      </c>
      <c r="E933" s="32" t="s">
        <v>181</v>
      </c>
      <c r="F933" s="32" t="s">
        <v>70</v>
      </c>
      <c r="G933" s="32" t="s">
        <v>1829</v>
      </c>
      <c r="H933" s="32" t="s">
        <v>328</v>
      </c>
      <c r="I933" s="47"/>
      <c r="K933" s="234"/>
    </row>
    <row r="934" spans="1:12" s="150" customFormat="1" ht="20.100000000000001" customHeight="1">
      <c r="A934" s="22" t="s">
        <v>1875</v>
      </c>
      <c r="B934" s="22" t="s">
        <v>60</v>
      </c>
      <c r="C934" s="46">
        <v>42619</v>
      </c>
      <c r="D934" s="47">
        <v>60.38</v>
      </c>
      <c r="E934" s="32" t="s">
        <v>663</v>
      </c>
      <c r="F934" s="32" t="s">
        <v>70</v>
      </c>
      <c r="G934" s="147" t="s">
        <v>1803</v>
      </c>
      <c r="H934" s="32" t="s">
        <v>328</v>
      </c>
      <c r="I934" s="47"/>
      <c r="J934" s="153"/>
      <c r="K934" s="234"/>
      <c r="L934" s="153"/>
    </row>
    <row r="935" spans="1:12" ht="20.100000000000001" customHeight="1">
      <c r="A935" s="22" t="s">
        <v>1880</v>
      </c>
      <c r="B935" s="22" t="s">
        <v>402</v>
      </c>
      <c r="C935" s="46">
        <v>42600</v>
      </c>
      <c r="D935" s="47">
        <v>70</v>
      </c>
      <c r="E935" s="32" t="s">
        <v>62</v>
      </c>
      <c r="F935" s="32" t="s">
        <v>63</v>
      </c>
      <c r="G935" s="32" t="s">
        <v>1881</v>
      </c>
      <c r="H935" s="32" t="s">
        <v>329</v>
      </c>
      <c r="I935" s="47"/>
      <c r="K935" s="235"/>
    </row>
    <row r="936" spans="1:12" ht="20.100000000000001" customHeight="1">
      <c r="A936" s="22" t="s">
        <v>1880</v>
      </c>
      <c r="B936" s="22" t="s">
        <v>402</v>
      </c>
      <c r="C936" s="46">
        <v>42619</v>
      </c>
      <c r="D936" s="47">
        <v>60</v>
      </c>
      <c r="E936" s="32" t="s">
        <v>62</v>
      </c>
      <c r="F936" s="32" t="s">
        <v>63</v>
      </c>
      <c r="G936" s="176" t="s">
        <v>1903</v>
      </c>
      <c r="H936" s="32" t="s">
        <v>329</v>
      </c>
      <c r="I936" s="47"/>
    </row>
    <row r="937" spans="1:12" ht="20.100000000000001" customHeight="1">
      <c r="A937" s="22" t="s">
        <v>1880</v>
      </c>
      <c r="B937" s="22" t="s">
        <v>402</v>
      </c>
      <c r="C937" s="46">
        <v>42619</v>
      </c>
      <c r="D937" s="47">
        <v>60</v>
      </c>
      <c r="E937" s="32" t="s">
        <v>62</v>
      </c>
      <c r="F937" s="32" t="s">
        <v>63</v>
      </c>
      <c r="G937" s="176" t="s">
        <v>1904</v>
      </c>
      <c r="H937" s="32" t="s">
        <v>329</v>
      </c>
      <c r="I937" s="47"/>
    </row>
    <row r="938" spans="1:12" ht="20.100000000000001" customHeight="1">
      <c r="A938" s="22" t="s">
        <v>1880</v>
      </c>
      <c r="B938" s="22" t="s">
        <v>402</v>
      </c>
      <c r="C938" s="46">
        <v>42619</v>
      </c>
      <c r="D938" s="47">
        <v>60</v>
      </c>
      <c r="E938" s="32" t="s">
        <v>62</v>
      </c>
      <c r="F938" s="32" t="s">
        <v>63</v>
      </c>
      <c r="G938" s="176" t="s">
        <v>1905</v>
      </c>
      <c r="H938" s="32" t="s">
        <v>329</v>
      </c>
      <c r="I938" s="47"/>
    </row>
    <row r="939" spans="1:12" ht="20.100000000000001" customHeight="1">
      <c r="A939" s="22" t="s">
        <v>1917</v>
      </c>
      <c r="B939" s="22" t="s">
        <v>332</v>
      </c>
      <c r="C939" s="46">
        <v>42626</v>
      </c>
      <c r="D939" s="47">
        <v>36</v>
      </c>
      <c r="E939" s="32" t="s">
        <v>298</v>
      </c>
      <c r="F939" s="32" t="s">
        <v>1918</v>
      </c>
      <c r="G939" s="32"/>
      <c r="H939" s="32" t="s">
        <v>551</v>
      </c>
      <c r="I939" s="47"/>
    </row>
    <row r="940" spans="1:12" ht="20.100000000000001" customHeight="1">
      <c r="A940" s="22" t="s">
        <v>2287</v>
      </c>
      <c r="B940" s="22" t="s">
        <v>60</v>
      </c>
      <c r="C940" s="46">
        <v>42624</v>
      </c>
      <c r="D940" s="47">
        <v>38</v>
      </c>
      <c r="E940" s="32" t="s">
        <v>181</v>
      </c>
      <c r="F940" s="32" t="s">
        <v>63</v>
      </c>
      <c r="G940" s="176" t="s">
        <v>1924</v>
      </c>
      <c r="H940" s="32" t="s">
        <v>329</v>
      </c>
      <c r="I940" s="47"/>
    </row>
    <row r="941" spans="1:12" ht="20.100000000000001" customHeight="1">
      <c r="A941" s="22" t="s">
        <v>2287</v>
      </c>
      <c r="B941" s="22" t="s">
        <v>60</v>
      </c>
      <c r="C941" s="46">
        <v>42624</v>
      </c>
      <c r="D941" s="47">
        <v>39</v>
      </c>
      <c r="E941" s="32" t="s">
        <v>181</v>
      </c>
      <c r="F941" s="32" t="s">
        <v>63</v>
      </c>
      <c r="G941" s="176" t="s">
        <v>1925</v>
      </c>
      <c r="H941" s="32" t="s">
        <v>329</v>
      </c>
      <c r="I941" s="47"/>
    </row>
    <row r="942" spans="1:12" ht="20.100000000000001" customHeight="1">
      <c r="A942" s="22" t="s">
        <v>2287</v>
      </c>
      <c r="B942" s="22" t="s">
        <v>60</v>
      </c>
      <c r="C942" s="46">
        <v>42624</v>
      </c>
      <c r="D942" s="47">
        <v>38</v>
      </c>
      <c r="E942" s="32" t="s">
        <v>181</v>
      </c>
      <c r="F942" s="32" t="s">
        <v>63</v>
      </c>
      <c r="G942" s="176" t="s">
        <v>1926</v>
      </c>
      <c r="H942" s="32" t="s">
        <v>329</v>
      </c>
      <c r="I942" s="47"/>
    </row>
    <row r="943" spans="1:12" ht="20.100000000000001" customHeight="1">
      <c r="A943" s="22" t="s">
        <v>2287</v>
      </c>
      <c r="B943" s="22" t="s">
        <v>60</v>
      </c>
      <c r="C943" s="46">
        <v>42624</v>
      </c>
      <c r="D943" s="47">
        <v>40</v>
      </c>
      <c r="E943" s="32" t="s">
        <v>181</v>
      </c>
      <c r="F943" s="32" t="s">
        <v>63</v>
      </c>
      <c r="G943" s="176" t="s">
        <v>1927</v>
      </c>
      <c r="H943" s="32" t="s">
        <v>329</v>
      </c>
      <c r="I943" s="47"/>
    </row>
    <row r="944" spans="1:12" ht="20.100000000000001" customHeight="1">
      <c r="A944" s="22" t="s">
        <v>1940</v>
      </c>
      <c r="B944" s="22" t="s">
        <v>60</v>
      </c>
      <c r="C944" s="46">
        <v>42624</v>
      </c>
      <c r="D944" s="47">
        <v>40.299999999999997</v>
      </c>
      <c r="E944" s="32" t="s">
        <v>362</v>
      </c>
      <c r="F944" s="32" t="s">
        <v>63</v>
      </c>
      <c r="G944" s="176" t="s">
        <v>1954</v>
      </c>
      <c r="H944" s="32" t="s">
        <v>329</v>
      </c>
      <c r="I944" s="47"/>
    </row>
    <row r="945" spans="1:9" ht="20.100000000000001" customHeight="1">
      <c r="A945" s="22" t="s">
        <v>1879</v>
      </c>
      <c r="B945" s="22" t="s">
        <v>60</v>
      </c>
      <c r="C945" s="46">
        <v>42625</v>
      </c>
      <c r="D945" s="47">
        <v>40</v>
      </c>
      <c r="E945" s="32" t="s">
        <v>181</v>
      </c>
      <c r="F945" s="32" t="s">
        <v>63</v>
      </c>
      <c r="G945" s="176" t="s">
        <v>1927</v>
      </c>
      <c r="H945" s="32" t="s">
        <v>328</v>
      </c>
      <c r="I945" s="47"/>
    </row>
    <row r="946" spans="1:9" ht="20.100000000000001" customHeight="1">
      <c r="A946" s="22" t="s">
        <v>1879</v>
      </c>
      <c r="B946" s="22" t="s">
        <v>60</v>
      </c>
      <c r="C946" s="46">
        <v>42625</v>
      </c>
      <c r="D946" s="47">
        <v>40</v>
      </c>
      <c r="E946" s="32" t="s">
        <v>362</v>
      </c>
      <c r="F946" s="32" t="s">
        <v>63</v>
      </c>
      <c r="G946" s="176" t="s">
        <v>1954</v>
      </c>
      <c r="H946" s="32" t="s">
        <v>328</v>
      </c>
      <c r="I946" s="47"/>
    </row>
    <row r="947" spans="1:9" ht="20.100000000000001" customHeight="1">
      <c r="A947" s="22" t="s">
        <v>2287</v>
      </c>
      <c r="B947" s="22" t="s">
        <v>60</v>
      </c>
      <c r="C947" s="46">
        <v>42625</v>
      </c>
      <c r="D947" s="47">
        <v>39</v>
      </c>
      <c r="E947" s="32" t="s">
        <v>181</v>
      </c>
      <c r="F947" s="32" t="s">
        <v>63</v>
      </c>
      <c r="G947" s="176" t="s">
        <v>1943</v>
      </c>
      <c r="H947" s="32" t="s">
        <v>329</v>
      </c>
      <c r="I947" s="47"/>
    </row>
    <row r="948" spans="1:9" ht="20.100000000000001" customHeight="1">
      <c r="A948" s="22" t="s">
        <v>2287</v>
      </c>
      <c r="B948" s="22" t="s">
        <v>60</v>
      </c>
      <c r="C948" s="46">
        <v>42625</v>
      </c>
      <c r="D948" s="47">
        <v>39</v>
      </c>
      <c r="E948" s="32" t="s">
        <v>181</v>
      </c>
      <c r="F948" s="32" t="s">
        <v>63</v>
      </c>
      <c r="G948" s="176" t="s">
        <v>1944</v>
      </c>
      <c r="H948" s="32" t="s">
        <v>329</v>
      </c>
      <c r="I948" s="47"/>
    </row>
    <row r="949" spans="1:9" ht="20.100000000000001" customHeight="1">
      <c r="A949" s="22" t="s">
        <v>2287</v>
      </c>
      <c r="B949" s="22" t="s">
        <v>60</v>
      </c>
      <c r="C949" s="46">
        <v>42625</v>
      </c>
      <c r="D949" s="47">
        <v>38</v>
      </c>
      <c r="E949" s="32" t="s">
        <v>181</v>
      </c>
      <c r="F949" s="32" t="s">
        <v>63</v>
      </c>
      <c r="G949" s="176" t="s">
        <v>1945</v>
      </c>
      <c r="H949" s="32" t="s">
        <v>329</v>
      </c>
      <c r="I949" s="47"/>
    </row>
    <row r="950" spans="1:9" ht="20.100000000000001" customHeight="1">
      <c r="A950" s="22" t="s">
        <v>1572</v>
      </c>
      <c r="B950" s="22" t="s">
        <v>1380</v>
      </c>
      <c r="C950" s="46">
        <v>42619</v>
      </c>
      <c r="D950" s="47">
        <v>2600</v>
      </c>
      <c r="E950" s="32" t="s">
        <v>1000</v>
      </c>
      <c r="F950" s="32" t="s">
        <v>63</v>
      </c>
      <c r="G950" s="176"/>
      <c r="H950" s="32" t="s">
        <v>329</v>
      </c>
      <c r="I950" s="47"/>
    </row>
    <row r="951" spans="1:9" ht="20.100000000000001" customHeight="1">
      <c r="A951" s="22" t="s">
        <v>1596</v>
      </c>
      <c r="B951" s="22" t="s">
        <v>1380</v>
      </c>
      <c r="C951" s="46">
        <v>42619</v>
      </c>
      <c r="D951" s="47">
        <v>2600</v>
      </c>
      <c r="E951" s="32" t="s">
        <v>1000</v>
      </c>
      <c r="F951" s="32" t="s">
        <v>63</v>
      </c>
      <c r="G951" s="176"/>
      <c r="H951" s="32" t="s">
        <v>328</v>
      </c>
      <c r="I951" s="47"/>
    </row>
    <row r="952" spans="1:9" ht="20.100000000000001" customHeight="1">
      <c r="A952" s="22" t="s">
        <v>1879</v>
      </c>
      <c r="B952" s="22" t="s">
        <v>60</v>
      </c>
      <c r="C952" s="46">
        <v>42626</v>
      </c>
      <c r="D952" s="47">
        <v>38</v>
      </c>
      <c r="E952" s="32" t="s">
        <v>181</v>
      </c>
      <c r="F952" s="32" t="s">
        <v>63</v>
      </c>
      <c r="G952" s="176" t="s">
        <v>1924</v>
      </c>
      <c r="H952" s="32" t="s">
        <v>328</v>
      </c>
      <c r="I952" s="47"/>
    </row>
    <row r="953" spans="1:9" ht="20.100000000000001" customHeight="1">
      <c r="A953" s="22" t="s">
        <v>1879</v>
      </c>
      <c r="B953" s="22" t="s">
        <v>60</v>
      </c>
      <c r="C953" s="46">
        <v>42626</v>
      </c>
      <c r="D953" s="47">
        <v>39</v>
      </c>
      <c r="E953" s="32" t="s">
        <v>181</v>
      </c>
      <c r="F953" s="32" t="s">
        <v>63</v>
      </c>
      <c r="G953" s="176" t="s">
        <v>1925</v>
      </c>
      <c r="H953" s="32" t="s">
        <v>328</v>
      </c>
      <c r="I953" s="47"/>
    </row>
    <row r="954" spans="1:9" ht="20.100000000000001" customHeight="1">
      <c r="A954" s="22" t="s">
        <v>1879</v>
      </c>
      <c r="B954" s="22" t="s">
        <v>60</v>
      </c>
      <c r="C954" s="46">
        <v>42626</v>
      </c>
      <c r="D954" s="47">
        <v>38</v>
      </c>
      <c r="E954" s="32" t="s">
        <v>181</v>
      </c>
      <c r="F954" s="32" t="s">
        <v>63</v>
      </c>
      <c r="G954" s="176" t="s">
        <v>1926</v>
      </c>
      <c r="H954" s="32" t="s">
        <v>328</v>
      </c>
      <c r="I954" s="47"/>
    </row>
    <row r="955" spans="1:9" ht="20.100000000000001" customHeight="1">
      <c r="A955" s="22" t="s">
        <v>1879</v>
      </c>
      <c r="B955" s="22" t="s">
        <v>60</v>
      </c>
      <c r="C955" s="46">
        <v>42626</v>
      </c>
      <c r="D955" s="47">
        <v>39</v>
      </c>
      <c r="E955" s="32" t="s">
        <v>181</v>
      </c>
      <c r="F955" s="32" t="s">
        <v>63</v>
      </c>
      <c r="G955" s="176" t="s">
        <v>1943</v>
      </c>
      <c r="H955" s="32" t="s">
        <v>328</v>
      </c>
      <c r="I955" s="47"/>
    </row>
    <row r="956" spans="1:9" ht="20.100000000000001" customHeight="1">
      <c r="A956" s="22" t="s">
        <v>1879</v>
      </c>
      <c r="B956" s="22" t="s">
        <v>60</v>
      </c>
      <c r="C956" s="46">
        <v>42626</v>
      </c>
      <c r="D956" s="47">
        <v>39</v>
      </c>
      <c r="E956" s="32" t="s">
        <v>181</v>
      </c>
      <c r="F956" s="32" t="s">
        <v>63</v>
      </c>
      <c r="G956" s="176" t="s">
        <v>1944</v>
      </c>
      <c r="H956" s="32" t="s">
        <v>328</v>
      </c>
      <c r="I956" s="47"/>
    </row>
    <row r="957" spans="1:9" ht="20.100000000000001" customHeight="1">
      <c r="A957" s="22" t="s">
        <v>1879</v>
      </c>
      <c r="B957" s="22" t="s">
        <v>60</v>
      </c>
      <c r="C957" s="46">
        <v>42626</v>
      </c>
      <c r="D957" s="47">
        <v>38</v>
      </c>
      <c r="E957" s="32" t="s">
        <v>181</v>
      </c>
      <c r="F957" s="32" t="s">
        <v>63</v>
      </c>
      <c r="G957" s="176" t="s">
        <v>1945</v>
      </c>
      <c r="H957" s="32" t="s">
        <v>328</v>
      </c>
      <c r="I957" s="47"/>
    </row>
    <row r="958" spans="1:9" ht="20.100000000000001" customHeight="1">
      <c r="A958" s="22" t="s">
        <v>1940</v>
      </c>
      <c r="B958" s="22" t="s">
        <v>60</v>
      </c>
      <c r="C958" s="46">
        <v>42624</v>
      </c>
      <c r="D958" s="47">
        <v>39.94</v>
      </c>
      <c r="E958" s="32" t="s">
        <v>362</v>
      </c>
      <c r="F958" s="32" t="s">
        <v>63</v>
      </c>
      <c r="G958" s="176" t="s">
        <v>1955</v>
      </c>
      <c r="H958" s="32" t="s">
        <v>329</v>
      </c>
      <c r="I958" s="47"/>
    </row>
    <row r="959" spans="1:9" ht="20.100000000000001" customHeight="1">
      <c r="A959" s="22" t="s">
        <v>1940</v>
      </c>
      <c r="B959" s="22" t="s">
        <v>60</v>
      </c>
      <c r="C959" s="46">
        <v>42624</v>
      </c>
      <c r="D959" s="47">
        <v>39.36</v>
      </c>
      <c r="E959" s="32" t="s">
        <v>362</v>
      </c>
      <c r="F959" s="32" t="s">
        <v>63</v>
      </c>
      <c r="G959" s="176" t="s">
        <v>1953</v>
      </c>
      <c r="H959" s="32" t="s">
        <v>329</v>
      </c>
      <c r="I959" s="47"/>
    </row>
    <row r="960" spans="1:9" ht="20.100000000000001" customHeight="1">
      <c r="A960" s="22" t="s">
        <v>1879</v>
      </c>
      <c r="B960" s="22" t="s">
        <v>60</v>
      </c>
      <c r="C960" s="46">
        <v>42626</v>
      </c>
      <c r="D960" s="47">
        <v>39.94</v>
      </c>
      <c r="E960" s="32" t="s">
        <v>362</v>
      </c>
      <c r="F960" s="32" t="s">
        <v>63</v>
      </c>
      <c r="G960" s="176" t="s">
        <v>1955</v>
      </c>
      <c r="H960" s="32" t="s">
        <v>328</v>
      </c>
      <c r="I960" s="47"/>
    </row>
    <row r="961" spans="1:9" ht="20.100000000000001" customHeight="1">
      <c r="A961" s="22" t="s">
        <v>1879</v>
      </c>
      <c r="B961" s="22" t="s">
        <v>60</v>
      </c>
      <c r="C961" s="46">
        <v>42627</v>
      </c>
      <c r="D961" s="47">
        <v>39.36</v>
      </c>
      <c r="E961" s="32" t="s">
        <v>362</v>
      </c>
      <c r="F961" s="32" t="s">
        <v>63</v>
      </c>
      <c r="G961" s="176" t="s">
        <v>1953</v>
      </c>
      <c r="H961" s="32" t="s">
        <v>328</v>
      </c>
      <c r="I961" s="47"/>
    </row>
    <row r="962" spans="1:9" ht="20.100000000000001" customHeight="1">
      <c r="A962" s="22" t="s">
        <v>1940</v>
      </c>
      <c r="B962" s="22" t="s">
        <v>60</v>
      </c>
      <c r="C962" s="46">
        <v>42631</v>
      </c>
      <c r="D962" s="47">
        <v>37.24</v>
      </c>
      <c r="E962" s="32" t="s">
        <v>362</v>
      </c>
      <c r="F962" s="32" t="s">
        <v>63</v>
      </c>
      <c r="G962" s="176" t="s">
        <v>1963</v>
      </c>
      <c r="H962" s="32" t="s">
        <v>329</v>
      </c>
      <c r="I962" s="47"/>
    </row>
    <row r="963" spans="1:9" ht="20.100000000000001" customHeight="1">
      <c r="A963" s="22" t="s">
        <v>1940</v>
      </c>
      <c r="B963" s="22" t="s">
        <v>60</v>
      </c>
      <c r="C963" s="46">
        <v>42631</v>
      </c>
      <c r="D963" s="47">
        <v>41.24</v>
      </c>
      <c r="E963" s="32" t="s">
        <v>362</v>
      </c>
      <c r="F963" s="32" t="s">
        <v>63</v>
      </c>
      <c r="G963" s="176" t="s">
        <v>1964</v>
      </c>
      <c r="H963" s="32" t="s">
        <v>329</v>
      </c>
      <c r="I963" s="47"/>
    </row>
    <row r="964" spans="1:9" ht="20.100000000000001" customHeight="1">
      <c r="A964" s="22" t="s">
        <v>2287</v>
      </c>
      <c r="B964" s="22" t="s">
        <v>60</v>
      </c>
      <c r="C964" s="46">
        <v>42631</v>
      </c>
      <c r="D964" s="47">
        <v>40</v>
      </c>
      <c r="E964" s="32" t="s">
        <v>181</v>
      </c>
      <c r="F964" s="32" t="s">
        <v>63</v>
      </c>
      <c r="G964" s="176" t="s">
        <v>1924</v>
      </c>
      <c r="H964" s="32" t="s">
        <v>329</v>
      </c>
      <c r="I964" s="47"/>
    </row>
    <row r="965" spans="1:9" ht="20.100000000000001" customHeight="1">
      <c r="A965" s="22" t="s">
        <v>1969</v>
      </c>
      <c r="B965" s="22" t="s">
        <v>1380</v>
      </c>
      <c r="C965" s="46">
        <v>42630</v>
      </c>
      <c r="D965" s="47">
        <v>2800</v>
      </c>
      <c r="E965" s="32" t="s">
        <v>1000</v>
      </c>
      <c r="F965" s="32" t="s">
        <v>63</v>
      </c>
      <c r="G965" s="176"/>
      <c r="H965" s="32" t="s">
        <v>329</v>
      </c>
      <c r="I965" s="47"/>
    </row>
    <row r="966" spans="1:9" ht="20.100000000000001" customHeight="1">
      <c r="A966" s="22" t="s">
        <v>1969</v>
      </c>
      <c r="B966" s="22" t="s">
        <v>1380</v>
      </c>
      <c r="C966" s="46">
        <v>42631</v>
      </c>
      <c r="D966" s="47">
        <v>2500</v>
      </c>
      <c r="E966" s="32" t="s">
        <v>1000</v>
      </c>
      <c r="F966" s="32" t="s">
        <v>63</v>
      </c>
      <c r="G966" s="176"/>
      <c r="H966" s="32" t="s">
        <v>329</v>
      </c>
      <c r="I966" s="47"/>
    </row>
    <row r="967" spans="1:9" ht="20.100000000000001" customHeight="1">
      <c r="A967" s="22" t="s">
        <v>1596</v>
      </c>
      <c r="B967" s="22" t="s">
        <v>1380</v>
      </c>
      <c r="C967" s="46">
        <v>42630</v>
      </c>
      <c r="D967" s="47">
        <v>2800</v>
      </c>
      <c r="E967" s="32" t="s">
        <v>1000</v>
      </c>
      <c r="F967" s="32" t="s">
        <v>63</v>
      </c>
      <c r="G967" s="176"/>
      <c r="H967" s="32" t="s">
        <v>328</v>
      </c>
      <c r="I967" s="47"/>
    </row>
    <row r="968" spans="1:9" ht="20.100000000000001" customHeight="1">
      <c r="A968" s="22" t="s">
        <v>1972</v>
      </c>
      <c r="B968" s="22" t="s">
        <v>1380</v>
      </c>
      <c r="C968" s="46">
        <v>42631</v>
      </c>
      <c r="D968" s="47">
        <v>2500</v>
      </c>
      <c r="E968" s="32" t="s">
        <v>1000</v>
      </c>
      <c r="F968" s="32" t="s">
        <v>63</v>
      </c>
      <c r="G968" s="176"/>
      <c r="H968" s="32" t="s">
        <v>328</v>
      </c>
      <c r="I968" s="47"/>
    </row>
    <row r="969" spans="1:9" ht="20.100000000000001" customHeight="1">
      <c r="A969" s="22" t="s">
        <v>1879</v>
      </c>
      <c r="B969" s="22" t="s">
        <v>60</v>
      </c>
      <c r="C969" s="46">
        <v>42631</v>
      </c>
      <c r="D969" s="47">
        <v>40</v>
      </c>
      <c r="E969" s="32" t="s">
        <v>181</v>
      </c>
      <c r="F969" s="32" t="s">
        <v>63</v>
      </c>
      <c r="G969" s="176" t="s">
        <v>1924</v>
      </c>
      <c r="H969" s="32" t="s">
        <v>328</v>
      </c>
      <c r="I969" s="47"/>
    </row>
    <row r="970" spans="1:9" ht="20.100000000000001" customHeight="1">
      <c r="A970" s="22" t="s">
        <v>1974</v>
      </c>
      <c r="B970" s="22" t="s">
        <v>60</v>
      </c>
      <c r="C970" s="46">
        <v>42625</v>
      </c>
      <c r="D970" s="47">
        <v>51.62</v>
      </c>
      <c r="E970" s="32" t="s">
        <v>663</v>
      </c>
      <c r="F970" s="32" t="s">
        <v>70</v>
      </c>
      <c r="G970" s="176" t="s">
        <v>1771</v>
      </c>
      <c r="H970" s="32" t="s">
        <v>329</v>
      </c>
      <c r="I970" s="47"/>
    </row>
    <row r="971" spans="1:9" ht="20.100000000000001" customHeight="1">
      <c r="A971" s="22" t="s">
        <v>1974</v>
      </c>
      <c r="B971" s="22" t="s">
        <v>60</v>
      </c>
      <c r="C971" s="46">
        <v>42626</v>
      </c>
      <c r="D971" s="47">
        <v>97.3</v>
      </c>
      <c r="E971" s="32" t="s">
        <v>663</v>
      </c>
      <c r="F971" s="32" t="s">
        <v>70</v>
      </c>
      <c r="G971" s="176" t="s">
        <v>1782</v>
      </c>
      <c r="H971" s="32" t="s">
        <v>329</v>
      </c>
      <c r="I971" s="47"/>
    </row>
    <row r="972" spans="1:9" ht="20.100000000000001" customHeight="1">
      <c r="A972" s="22" t="s">
        <v>1892</v>
      </c>
      <c r="B972" s="22" t="s">
        <v>60</v>
      </c>
      <c r="C972" s="46">
        <v>42631</v>
      </c>
      <c r="D972" s="47">
        <v>51.62</v>
      </c>
      <c r="E972" s="32" t="s">
        <v>663</v>
      </c>
      <c r="F972" s="32" t="s">
        <v>70</v>
      </c>
      <c r="G972" s="176" t="s">
        <v>1771</v>
      </c>
      <c r="H972" s="32" t="s">
        <v>328</v>
      </c>
      <c r="I972" s="47"/>
    </row>
    <row r="973" spans="1:9" ht="20.100000000000001" customHeight="1">
      <c r="A973" s="22" t="s">
        <v>1892</v>
      </c>
      <c r="B973" s="22" t="s">
        <v>60</v>
      </c>
      <c r="C973" s="46">
        <v>42631</v>
      </c>
      <c r="D973" s="47">
        <v>97.3</v>
      </c>
      <c r="E973" s="32" t="s">
        <v>663</v>
      </c>
      <c r="F973" s="32" t="s">
        <v>70</v>
      </c>
      <c r="G973" s="176" t="s">
        <v>1782</v>
      </c>
      <c r="H973" s="32" t="s">
        <v>328</v>
      </c>
      <c r="I973" s="47"/>
    </row>
    <row r="974" spans="1:9" ht="20.100000000000001" customHeight="1">
      <c r="A974" s="22" t="s">
        <v>1879</v>
      </c>
      <c r="B974" s="22" t="s">
        <v>60</v>
      </c>
      <c r="C974" s="46">
        <v>42632</v>
      </c>
      <c r="D974" s="47">
        <v>37.24</v>
      </c>
      <c r="E974" s="32" t="s">
        <v>362</v>
      </c>
      <c r="F974" s="32" t="s">
        <v>63</v>
      </c>
      <c r="G974" s="176" t="s">
        <v>1963</v>
      </c>
      <c r="H974" s="32" t="s">
        <v>328</v>
      </c>
      <c r="I974" s="47"/>
    </row>
    <row r="975" spans="1:9" ht="20.100000000000001" customHeight="1">
      <c r="A975" s="22" t="s">
        <v>1879</v>
      </c>
      <c r="B975" s="22" t="s">
        <v>60</v>
      </c>
      <c r="C975" s="46">
        <v>42631</v>
      </c>
      <c r="D975" s="47">
        <v>41.24</v>
      </c>
      <c r="E975" s="32" t="s">
        <v>362</v>
      </c>
      <c r="F975" s="32" t="s">
        <v>63</v>
      </c>
      <c r="G975" s="176" t="s">
        <v>1964</v>
      </c>
      <c r="H975" s="32" t="s">
        <v>328</v>
      </c>
      <c r="I975" s="47"/>
    </row>
    <row r="976" spans="1:9" ht="20.100000000000001" customHeight="1">
      <c r="A976" s="22" t="s">
        <v>1940</v>
      </c>
      <c r="B976" s="22" t="s">
        <v>60</v>
      </c>
      <c r="C976" s="46">
        <v>42631</v>
      </c>
      <c r="D976" s="47">
        <v>41.78</v>
      </c>
      <c r="E976" s="32" t="s">
        <v>362</v>
      </c>
      <c r="F976" s="32" t="s">
        <v>63</v>
      </c>
      <c r="G976" s="176" t="s">
        <v>1984</v>
      </c>
      <c r="H976" s="32" t="s">
        <v>329</v>
      </c>
      <c r="I976" s="47"/>
    </row>
    <row r="977" spans="1:9" ht="20.100000000000001" customHeight="1">
      <c r="A977" s="22" t="s">
        <v>1940</v>
      </c>
      <c r="B977" s="22" t="s">
        <v>60</v>
      </c>
      <c r="C977" s="46">
        <v>42631</v>
      </c>
      <c r="D977" s="47">
        <v>38.200000000000003</v>
      </c>
      <c r="E977" s="32" t="s">
        <v>362</v>
      </c>
      <c r="F977" s="32" t="s">
        <v>63</v>
      </c>
      <c r="G977" s="176" t="s">
        <v>1985</v>
      </c>
      <c r="H977" s="32" t="s">
        <v>329</v>
      </c>
      <c r="I977" s="47"/>
    </row>
    <row r="978" spans="1:9" ht="20.100000000000001" customHeight="1">
      <c r="A978" s="22" t="s">
        <v>1879</v>
      </c>
      <c r="B978" s="22" t="s">
        <v>60</v>
      </c>
      <c r="C978" s="46">
        <v>42631</v>
      </c>
      <c r="D978" s="47">
        <v>41.78</v>
      </c>
      <c r="E978" s="32" t="s">
        <v>362</v>
      </c>
      <c r="F978" s="32" t="s">
        <v>63</v>
      </c>
      <c r="G978" s="176" t="s">
        <v>1984</v>
      </c>
      <c r="H978" s="32" t="s">
        <v>328</v>
      </c>
      <c r="I978" s="47"/>
    </row>
    <row r="979" spans="1:9" ht="20.100000000000001" customHeight="1">
      <c r="A979" s="22" t="s">
        <v>1879</v>
      </c>
      <c r="B979" s="22" t="s">
        <v>402</v>
      </c>
      <c r="C979" s="46">
        <v>42600</v>
      </c>
      <c r="D979" s="47">
        <v>70</v>
      </c>
      <c r="E979" s="32" t="s">
        <v>62</v>
      </c>
      <c r="F979" s="32" t="s">
        <v>63</v>
      </c>
      <c r="G979" s="176" t="s">
        <v>1881</v>
      </c>
      <c r="H979" s="32" t="s">
        <v>328</v>
      </c>
      <c r="I979" s="47"/>
    </row>
    <row r="980" spans="1:9" ht="20.100000000000001" customHeight="1">
      <c r="A980" s="22" t="s">
        <v>1879</v>
      </c>
      <c r="B980" s="22" t="s">
        <v>402</v>
      </c>
      <c r="C980" s="46">
        <v>42619</v>
      </c>
      <c r="D980" s="47">
        <v>60</v>
      </c>
      <c r="E980" s="32" t="s">
        <v>62</v>
      </c>
      <c r="F980" s="32" t="s">
        <v>63</v>
      </c>
      <c r="G980" s="176" t="s">
        <v>1903</v>
      </c>
      <c r="H980" s="32" t="s">
        <v>328</v>
      </c>
      <c r="I980" s="47"/>
    </row>
    <row r="981" spans="1:9" ht="20.100000000000001" customHeight="1">
      <c r="A981" s="22" t="s">
        <v>1879</v>
      </c>
      <c r="B981" s="22" t="s">
        <v>402</v>
      </c>
      <c r="C981" s="46">
        <v>42619</v>
      </c>
      <c r="D981" s="47">
        <v>60</v>
      </c>
      <c r="E981" s="32" t="s">
        <v>62</v>
      </c>
      <c r="F981" s="32" t="s">
        <v>63</v>
      </c>
      <c r="G981" s="176" t="s">
        <v>1904</v>
      </c>
      <c r="H981" s="32" t="s">
        <v>328</v>
      </c>
      <c r="I981" s="47"/>
    </row>
    <row r="982" spans="1:9" ht="20.100000000000001" customHeight="1">
      <c r="A982" s="22" t="s">
        <v>1879</v>
      </c>
      <c r="B982" s="22" t="s">
        <v>402</v>
      </c>
      <c r="C982" s="46">
        <v>42619</v>
      </c>
      <c r="D982" s="47">
        <v>60</v>
      </c>
      <c r="E982" s="32" t="s">
        <v>62</v>
      </c>
      <c r="F982" s="32" t="s">
        <v>63</v>
      </c>
      <c r="G982" s="176" t="s">
        <v>1905</v>
      </c>
      <c r="H982" s="32" t="s">
        <v>328</v>
      </c>
      <c r="I982" s="47"/>
    </row>
    <row r="983" spans="1:9" ht="20.100000000000001" customHeight="1">
      <c r="A983" s="22" t="s">
        <v>1969</v>
      </c>
      <c r="B983" s="22" t="s">
        <v>1380</v>
      </c>
      <c r="C983" s="46">
        <v>42632</v>
      </c>
      <c r="D983" s="47">
        <v>3100</v>
      </c>
      <c r="E983" s="32" t="s">
        <v>1000</v>
      </c>
      <c r="F983" s="32" t="s">
        <v>63</v>
      </c>
      <c r="G983" s="176"/>
      <c r="H983" s="32" t="s">
        <v>329</v>
      </c>
      <c r="I983" s="47"/>
    </row>
    <row r="984" spans="1:9" ht="20.100000000000001" customHeight="1">
      <c r="A984" s="22" t="s">
        <v>1972</v>
      </c>
      <c r="B984" s="22" t="s">
        <v>1380</v>
      </c>
      <c r="C984" s="46">
        <v>42632</v>
      </c>
      <c r="D984" s="47">
        <v>3100</v>
      </c>
      <c r="E984" s="32" t="s">
        <v>1000</v>
      </c>
      <c r="F984" s="32" t="s">
        <v>63</v>
      </c>
      <c r="G984" s="176"/>
      <c r="H984" s="32" t="s">
        <v>328</v>
      </c>
      <c r="I984" s="47"/>
    </row>
    <row r="985" spans="1:9" ht="20.100000000000001" customHeight="1">
      <c r="A985" s="22" t="s">
        <v>2287</v>
      </c>
      <c r="B985" s="22" t="s">
        <v>60</v>
      </c>
      <c r="C985" s="46">
        <v>42632</v>
      </c>
      <c r="D985" s="47">
        <v>60</v>
      </c>
      <c r="E985" s="32" t="s">
        <v>181</v>
      </c>
      <c r="F985" s="32" t="s">
        <v>63</v>
      </c>
      <c r="G985" s="176" t="s">
        <v>1986</v>
      </c>
      <c r="H985" s="32" t="s">
        <v>329</v>
      </c>
      <c r="I985" s="47"/>
    </row>
    <row r="986" spans="1:9" ht="20.100000000000001" customHeight="1">
      <c r="A986" s="22" t="s">
        <v>2287</v>
      </c>
      <c r="B986" s="22" t="s">
        <v>60</v>
      </c>
      <c r="C986" s="46">
        <v>42632</v>
      </c>
      <c r="D986" s="47">
        <v>60</v>
      </c>
      <c r="E986" s="32" t="s">
        <v>181</v>
      </c>
      <c r="F986" s="32" t="s">
        <v>63</v>
      </c>
      <c r="G986" s="176" t="s">
        <v>1987</v>
      </c>
      <c r="H986" s="32" t="s">
        <v>329</v>
      </c>
      <c r="I986" s="47"/>
    </row>
    <row r="987" spans="1:9" ht="20.100000000000001" customHeight="1">
      <c r="A987" s="22" t="s">
        <v>1879</v>
      </c>
      <c r="B987" s="22" t="s">
        <v>60</v>
      </c>
      <c r="C987" s="46">
        <v>42631</v>
      </c>
      <c r="D987" s="47">
        <v>38.200000000000003</v>
      </c>
      <c r="E987" s="32" t="s">
        <v>362</v>
      </c>
      <c r="F987" s="32" t="s">
        <v>63</v>
      </c>
      <c r="G987" s="176" t="s">
        <v>1985</v>
      </c>
      <c r="H987" s="32" t="s">
        <v>328</v>
      </c>
      <c r="I987" s="47"/>
    </row>
    <row r="988" spans="1:9" ht="20.100000000000001" customHeight="1">
      <c r="A988" s="22" t="s">
        <v>1974</v>
      </c>
      <c r="B988" s="22" t="s">
        <v>60</v>
      </c>
      <c r="C988" s="46">
        <v>42633</v>
      </c>
      <c r="D988" s="47">
        <v>95</v>
      </c>
      <c r="E988" s="32" t="s">
        <v>663</v>
      </c>
      <c r="F988" s="32" t="s">
        <v>70</v>
      </c>
      <c r="G988" s="176" t="s">
        <v>1782</v>
      </c>
      <c r="H988" s="32" t="s">
        <v>329</v>
      </c>
      <c r="I988" s="47"/>
    </row>
    <row r="989" spans="1:9" ht="20.100000000000001" customHeight="1">
      <c r="A989" s="22" t="s">
        <v>1969</v>
      </c>
      <c r="B989" s="22" t="s">
        <v>1380</v>
      </c>
      <c r="C989" s="46">
        <v>42634</v>
      </c>
      <c r="D989" s="47">
        <v>3900</v>
      </c>
      <c r="E989" s="32" t="s">
        <v>1000</v>
      </c>
      <c r="F989" s="32" t="s">
        <v>63</v>
      </c>
      <c r="G989" s="176"/>
      <c r="H989" s="32" t="s">
        <v>329</v>
      </c>
      <c r="I989" s="47"/>
    </row>
    <row r="990" spans="1:9" ht="20.100000000000001" customHeight="1">
      <c r="A990" s="22" t="s">
        <v>1972</v>
      </c>
      <c r="B990" s="22" t="s">
        <v>1380</v>
      </c>
      <c r="C990" s="46">
        <v>42634</v>
      </c>
      <c r="D990" s="47">
        <v>3900</v>
      </c>
      <c r="E990" s="32" t="s">
        <v>1000</v>
      </c>
      <c r="F990" s="32" t="s">
        <v>63</v>
      </c>
      <c r="G990" s="176"/>
      <c r="H990" s="32" t="s">
        <v>328</v>
      </c>
      <c r="I990" s="47"/>
    </row>
    <row r="991" spans="1:9" ht="20.100000000000001" customHeight="1">
      <c r="A991" s="22" t="s">
        <v>1940</v>
      </c>
      <c r="B991" s="22" t="s">
        <v>60</v>
      </c>
      <c r="C991" s="46">
        <v>42636</v>
      </c>
      <c r="D991" s="47">
        <v>60</v>
      </c>
      <c r="E991" s="32" t="s">
        <v>362</v>
      </c>
      <c r="F991" s="32" t="s">
        <v>63</v>
      </c>
      <c r="G991" s="176" t="s">
        <v>2016</v>
      </c>
      <c r="H991" s="32" t="s">
        <v>329</v>
      </c>
      <c r="I991" s="47"/>
    </row>
    <row r="992" spans="1:9" ht="20.100000000000001" customHeight="1">
      <c r="A992" s="22" t="s">
        <v>1940</v>
      </c>
      <c r="B992" s="22" t="s">
        <v>60</v>
      </c>
      <c r="C992" s="46">
        <v>42636</v>
      </c>
      <c r="D992" s="47">
        <v>31.88</v>
      </c>
      <c r="E992" s="32" t="s">
        <v>362</v>
      </c>
      <c r="F992" s="32" t="s">
        <v>63</v>
      </c>
      <c r="G992" s="176" t="s">
        <v>2017</v>
      </c>
      <c r="H992" s="32" t="s">
        <v>329</v>
      </c>
      <c r="I992" s="47"/>
    </row>
    <row r="993" spans="1:9" ht="20.100000000000001" customHeight="1">
      <c r="A993" s="22" t="s">
        <v>1940</v>
      </c>
      <c r="B993" s="22" t="s">
        <v>60</v>
      </c>
      <c r="C993" s="46">
        <v>42636</v>
      </c>
      <c r="D993" s="47">
        <v>31.28</v>
      </c>
      <c r="E993" s="32" t="s">
        <v>362</v>
      </c>
      <c r="F993" s="32" t="s">
        <v>63</v>
      </c>
      <c r="G993" s="176" t="s">
        <v>2021</v>
      </c>
      <c r="H993" s="32" t="s">
        <v>329</v>
      </c>
      <c r="I993" s="47"/>
    </row>
    <row r="994" spans="1:9" ht="20.100000000000001" customHeight="1">
      <c r="A994" s="22" t="s">
        <v>1880</v>
      </c>
      <c r="B994" s="22" t="s">
        <v>402</v>
      </c>
      <c r="C994" s="46">
        <v>42635</v>
      </c>
      <c r="D994" s="47">
        <v>60</v>
      </c>
      <c r="E994" s="32" t="s">
        <v>62</v>
      </c>
      <c r="F994" s="32" t="s">
        <v>63</v>
      </c>
      <c r="G994" s="176" t="s">
        <v>2022</v>
      </c>
      <c r="H994" s="32" t="s">
        <v>329</v>
      </c>
      <c r="I994" s="47"/>
    </row>
    <row r="995" spans="1:9" ht="20.100000000000001" customHeight="1">
      <c r="A995" s="22" t="s">
        <v>1880</v>
      </c>
      <c r="B995" s="22" t="s">
        <v>402</v>
      </c>
      <c r="C995" s="46">
        <v>42635</v>
      </c>
      <c r="D995" s="47">
        <v>60</v>
      </c>
      <c r="E995" s="32" t="s">
        <v>62</v>
      </c>
      <c r="F995" s="32" t="s">
        <v>63</v>
      </c>
      <c r="G995" s="176" t="s">
        <v>2023</v>
      </c>
      <c r="H995" s="32" t="s">
        <v>329</v>
      </c>
      <c r="I995" s="47"/>
    </row>
    <row r="996" spans="1:9" ht="20.100000000000001" customHeight="1">
      <c r="A996" s="22" t="s">
        <v>1940</v>
      </c>
      <c r="B996" s="22" t="s">
        <v>60</v>
      </c>
      <c r="C996" s="46">
        <v>42637</v>
      </c>
      <c r="D996" s="47">
        <v>32.200000000000003</v>
      </c>
      <c r="E996" s="32" t="s">
        <v>362</v>
      </c>
      <c r="F996" s="32" t="s">
        <v>63</v>
      </c>
      <c r="G996" s="176" t="s">
        <v>2028</v>
      </c>
      <c r="H996" s="32" t="s">
        <v>329</v>
      </c>
      <c r="I996" s="47"/>
    </row>
    <row r="997" spans="1:9" ht="20.100000000000001" customHeight="1">
      <c r="A997" s="22" t="s">
        <v>1324</v>
      </c>
      <c r="B997" s="22" t="s">
        <v>60</v>
      </c>
      <c r="C997" s="46">
        <v>42638</v>
      </c>
      <c r="D997" s="47">
        <v>32.299999999999997</v>
      </c>
      <c r="E997" s="32" t="s">
        <v>362</v>
      </c>
      <c r="F997" s="32" t="s">
        <v>63</v>
      </c>
      <c r="G997" s="176" t="s">
        <v>2029</v>
      </c>
      <c r="H997" s="32" t="s">
        <v>329</v>
      </c>
      <c r="I997" s="47"/>
    </row>
    <row r="998" spans="1:9" ht="20.100000000000001" customHeight="1">
      <c r="A998" s="22" t="s">
        <v>1940</v>
      </c>
      <c r="B998" s="22" t="s">
        <v>60</v>
      </c>
      <c r="C998" s="46">
        <v>42638</v>
      </c>
      <c r="D998" s="47">
        <v>31.9</v>
      </c>
      <c r="E998" s="32" t="s">
        <v>362</v>
      </c>
      <c r="F998" s="32" t="s">
        <v>63</v>
      </c>
      <c r="G998" s="176" t="s">
        <v>2030</v>
      </c>
      <c r="H998" s="32" t="s">
        <v>329</v>
      </c>
      <c r="I998" s="47"/>
    </row>
    <row r="999" spans="1:9" ht="20.100000000000001" customHeight="1">
      <c r="A999" s="22" t="s">
        <v>1324</v>
      </c>
      <c r="B999" s="22" t="s">
        <v>60</v>
      </c>
      <c r="C999" s="46">
        <v>42639</v>
      </c>
      <c r="D999" s="47">
        <v>47</v>
      </c>
      <c r="E999" s="32" t="s">
        <v>362</v>
      </c>
      <c r="F999" s="32" t="s">
        <v>63</v>
      </c>
      <c r="G999" s="176" t="s">
        <v>2160</v>
      </c>
      <c r="H999" s="32" t="s">
        <v>329</v>
      </c>
      <c r="I999" s="47"/>
    </row>
    <row r="1000" spans="1:9" ht="20.100000000000001" customHeight="1">
      <c r="A1000" s="22" t="s">
        <v>1324</v>
      </c>
      <c r="B1000" s="22" t="s">
        <v>60</v>
      </c>
      <c r="C1000" s="46">
        <v>42639</v>
      </c>
      <c r="D1000" s="47">
        <v>60</v>
      </c>
      <c r="E1000" s="32" t="s">
        <v>362</v>
      </c>
      <c r="F1000" s="32" t="s">
        <v>63</v>
      </c>
      <c r="G1000" s="176" t="s">
        <v>2031</v>
      </c>
      <c r="H1000" s="32" t="s">
        <v>329</v>
      </c>
      <c r="I1000" s="47"/>
    </row>
    <row r="1001" spans="1:9" ht="20.100000000000001" customHeight="1">
      <c r="A1001" s="22" t="s">
        <v>1879</v>
      </c>
      <c r="B1001" s="22" t="s">
        <v>60</v>
      </c>
      <c r="C1001" s="46">
        <v>42639</v>
      </c>
      <c r="D1001" s="47">
        <v>31.88</v>
      </c>
      <c r="E1001" s="32" t="s">
        <v>362</v>
      </c>
      <c r="F1001" s="32" t="s">
        <v>63</v>
      </c>
      <c r="G1001" s="176" t="s">
        <v>2017</v>
      </c>
      <c r="H1001" s="32" t="s">
        <v>328</v>
      </c>
      <c r="I1001" s="47"/>
    </row>
    <row r="1002" spans="1:9" ht="20.100000000000001" customHeight="1">
      <c r="A1002" s="22" t="s">
        <v>1879</v>
      </c>
      <c r="B1002" s="22" t="s">
        <v>60</v>
      </c>
      <c r="C1002" s="46">
        <v>42639</v>
      </c>
      <c r="D1002" s="47">
        <v>31.28</v>
      </c>
      <c r="E1002" s="32" t="s">
        <v>362</v>
      </c>
      <c r="F1002" s="32" t="s">
        <v>63</v>
      </c>
      <c r="G1002" s="176" t="s">
        <v>2021</v>
      </c>
      <c r="H1002" s="32" t="s">
        <v>328</v>
      </c>
      <c r="I1002" s="47"/>
    </row>
    <row r="1003" spans="1:9" ht="20.100000000000001" customHeight="1">
      <c r="A1003" s="22" t="s">
        <v>1879</v>
      </c>
      <c r="B1003" s="22" t="s">
        <v>60</v>
      </c>
      <c r="C1003" s="46">
        <v>42639</v>
      </c>
      <c r="D1003" s="47">
        <v>32.200000000000003</v>
      </c>
      <c r="E1003" s="32" t="s">
        <v>362</v>
      </c>
      <c r="F1003" s="32" t="s">
        <v>63</v>
      </c>
      <c r="G1003" s="176" t="s">
        <v>2028</v>
      </c>
      <c r="H1003" s="32" t="s">
        <v>328</v>
      </c>
      <c r="I1003" s="47"/>
    </row>
    <row r="1004" spans="1:9" ht="20.100000000000001" customHeight="1">
      <c r="A1004" s="22" t="s">
        <v>1219</v>
      </c>
      <c r="B1004" s="22" t="s">
        <v>60</v>
      </c>
      <c r="C1004" s="46">
        <v>42639</v>
      </c>
      <c r="D1004" s="47">
        <v>32.299999999999997</v>
      </c>
      <c r="E1004" s="32" t="s">
        <v>362</v>
      </c>
      <c r="F1004" s="32" t="s">
        <v>63</v>
      </c>
      <c r="G1004" s="176" t="s">
        <v>2029</v>
      </c>
      <c r="H1004" s="32" t="s">
        <v>328</v>
      </c>
      <c r="I1004" s="47"/>
    </row>
    <row r="1005" spans="1:9" ht="20.100000000000001" customHeight="1">
      <c r="A1005" s="22" t="s">
        <v>1879</v>
      </c>
      <c r="B1005" s="22" t="s">
        <v>60</v>
      </c>
      <c r="C1005" s="46">
        <v>42639</v>
      </c>
      <c r="D1005" s="47">
        <v>31.9</v>
      </c>
      <c r="E1005" s="32" t="s">
        <v>362</v>
      </c>
      <c r="F1005" s="32" t="s">
        <v>63</v>
      </c>
      <c r="G1005" s="176" t="s">
        <v>2030</v>
      </c>
      <c r="H1005" s="32" t="s">
        <v>328</v>
      </c>
      <c r="I1005" s="47"/>
    </row>
    <row r="1006" spans="1:9" ht="20.100000000000001" customHeight="1">
      <c r="A1006" s="22" t="s">
        <v>1892</v>
      </c>
      <c r="B1006" s="22" t="s">
        <v>60</v>
      </c>
      <c r="C1006" s="46">
        <v>42640</v>
      </c>
      <c r="D1006" s="47">
        <v>95</v>
      </c>
      <c r="E1006" s="32" t="s">
        <v>663</v>
      </c>
      <c r="F1006" s="32" t="s">
        <v>70</v>
      </c>
      <c r="G1006" s="176" t="s">
        <v>1782</v>
      </c>
      <c r="H1006" s="32" t="s">
        <v>328</v>
      </c>
      <c r="I1006" s="47"/>
    </row>
    <row r="1007" spans="1:9" ht="20.100000000000001" customHeight="1">
      <c r="A1007" s="22" t="s">
        <v>2051</v>
      </c>
      <c r="B1007" s="22" t="s">
        <v>93</v>
      </c>
      <c r="C1007" s="46">
        <v>42640</v>
      </c>
      <c r="D1007" s="47">
        <v>2900</v>
      </c>
      <c r="E1007" s="32" t="s">
        <v>226</v>
      </c>
      <c r="F1007" s="32" t="s">
        <v>63</v>
      </c>
      <c r="G1007" s="176"/>
      <c r="H1007" s="32" t="s">
        <v>329</v>
      </c>
      <c r="I1007" s="47"/>
    </row>
    <row r="1008" spans="1:9" ht="20.100000000000001" customHeight="1">
      <c r="A1008" s="22" t="s">
        <v>2052</v>
      </c>
      <c r="B1008" s="22" t="s">
        <v>93</v>
      </c>
      <c r="C1008" s="46">
        <v>42640</v>
      </c>
      <c r="D1008" s="47">
        <v>2900</v>
      </c>
      <c r="E1008" s="32" t="s">
        <v>226</v>
      </c>
      <c r="F1008" s="32" t="s">
        <v>63</v>
      </c>
      <c r="G1008" s="176"/>
      <c r="H1008" s="32" t="s">
        <v>328</v>
      </c>
      <c r="I1008" s="47"/>
    </row>
    <row r="1009" spans="1:9" ht="20.100000000000001" customHeight="1">
      <c r="A1009" s="22" t="s">
        <v>2051</v>
      </c>
      <c r="B1009" s="22" t="s">
        <v>93</v>
      </c>
      <c r="C1009" s="46">
        <v>42640</v>
      </c>
      <c r="D1009" s="47">
        <v>1600</v>
      </c>
      <c r="E1009" s="32" t="s">
        <v>226</v>
      </c>
      <c r="F1009" s="32" t="s">
        <v>63</v>
      </c>
      <c r="G1009" s="176"/>
      <c r="H1009" s="32" t="s">
        <v>329</v>
      </c>
      <c r="I1009" s="47"/>
    </row>
    <row r="1010" spans="1:9" ht="20.100000000000001" customHeight="1">
      <c r="A1010" s="22" t="s">
        <v>2052</v>
      </c>
      <c r="B1010" s="22" t="s">
        <v>93</v>
      </c>
      <c r="C1010" s="46">
        <v>42640</v>
      </c>
      <c r="D1010" s="47">
        <v>1600</v>
      </c>
      <c r="E1010" s="32" t="s">
        <v>226</v>
      </c>
      <c r="F1010" s="32" t="s">
        <v>63</v>
      </c>
      <c r="G1010" s="176"/>
      <c r="H1010" s="32" t="s">
        <v>328</v>
      </c>
      <c r="I1010" s="47"/>
    </row>
    <row r="1011" spans="1:9" ht="20.100000000000001" customHeight="1">
      <c r="A1011" s="22" t="s">
        <v>1969</v>
      </c>
      <c r="B1011" s="22" t="s">
        <v>1380</v>
      </c>
      <c r="C1011" s="46">
        <v>42641</v>
      </c>
      <c r="D1011" s="47">
        <v>3200</v>
      </c>
      <c r="E1011" s="32" t="s">
        <v>1000</v>
      </c>
      <c r="F1011" s="32" t="s">
        <v>63</v>
      </c>
      <c r="G1011" s="176"/>
      <c r="H1011" s="32" t="s">
        <v>329</v>
      </c>
      <c r="I1011" s="47"/>
    </row>
    <row r="1012" spans="1:9" ht="20.100000000000001" customHeight="1">
      <c r="A1012" s="22" t="s">
        <v>1972</v>
      </c>
      <c r="B1012" s="22" t="s">
        <v>1380</v>
      </c>
      <c r="C1012" s="46">
        <v>42641</v>
      </c>
      <c r="D1012" s="47">
        <v>3200</v>
      </c>
      <c r="E1012" s="32" t="s">
        <v>1000</v>
      </c>
      <c r="F1012" s="32" t="s">
        <v>63</v>
      </c>
      <c r="G1012" s="176"/>
      <c r="H1012" s="32" t="s">
        <v>328</v>
      </c>
      <c r="I1012" s="47"/>
    </row>
    <row r="1013" spans="1:9" ht="20.100000000000001" customHeight="1">
      <c r="A1013" s="22" t="s">
        <v>1923</v>
      </c>
      <c r="B1013" s="22" t="s">
        <v>60</v>
      </c>
      <c r="C1013" s="46">
        <v>42641</v>
      </c>
      <c r="D1013" s="47">
        <v>60</v>
      </c>
      <c r="E1013" s="32" t="s">
        <v>181</v>
      </c>
      <c r="F1013" s="32" t="s">
        <v>70</v>
      </c>
      <c r="G1013" s="176" t="s">
        <v>2066</v>
      </c>
      <c r="H1013" s="32" t="s">
        <v>329</v>
      </c>
      <c r="I1013" s="47"/>
    </row>
    <row r="1014" spans="1:9" ht="20.100000000000001" customHeight="1">
      <c r="A1014" s="22" t="s">
        <v>1923</v>
      </c>
      <c r="B1014" s="22" t="s">
        <v>60</v>
      </c>
      <c r="C1014" s="46">
        <v>42641</v>
      </c>
      <c r="D1014" s="47">
        <v>60</v>
      </c>
      <c r="E1014" s="32" t="s">
        <v>181</v>
      </c>
      <c r="F1014" s="32" t="s">
        <v>70</v>
      </c>
      <c r="G1014" s="176" t="s">
        <v>2067</v>
      </c>
      <c r="H1014" s="32" t="s">
        <v>329</v>
      </c>
      <c r="I1014" s="47"/>
    </row>
    <row r="1015" spans="1:9" ht="20.100000000000001" customHeight="1">
      <c r="A1015" s="22" t="s">
        <v>2068</v>
      </c>
      <c r="B1015" s="22" t="s">
        <v>240</v>
      </c>
      <c r="C1015" s="46">
        <v>42642</v>
      </c>
      <c r="D1015" s="47">
        <v>30</v>
      </c>
      <c r="E1015" s="32" t="s">
        <v>2072</v>
      </c>
      <c r="F1015" s="32" t="s">
        <v>1744</v>
      </c>
      <c r="G1015" s="176" t="s">
        <v>2069</v>
      </c>
      <c r="H1015" s="32" t="s">
        <v>329</v>
      </c>
      <c r="I1015" s="47"/>
    </row>
    <row r="1016" spans="1:9" ht="20.100000000000001" customHeight="1">
      <c r="A1016" s="22" t="s">
        <v>2068</v>
      </c>
      <c r="B1016" s="22" t="s">
        <v>240</v>
      </c>
      <c r="C1016" s="46">
        <v>42642</v>
      </c>
      <c r="D1016" s="47">
        <v>32</v>
      </c>
      <c r="E1016" s="32" t="s">
        <v>2072</v>
      </c>
      <c r="F1016" s="32" t="s">
        <v>1744</v>
      </c>
      <c r="G1016" s="176" t="s">
        <v>2070</v>
      </c>
      <c r="H1016" s="32" t="s">
        <v>329</v>
      </c>
      <c r="I1016" s="47"/>
    </row>
    <row r="1017" spans="1:9" ht="20.100000000000001" customHeight="1">
      <c r="A1017" s="22" t="s">
        <v>2068</v>
      </c>
      <c r="B1017" s="22" t="s">
        <v>240</v>
      </c>
      <c r="C1017" s="46">
        <v>42642</v>
      </c>
      <c r="D1017" s="47">
        <v>32</v>
      </c>
      <c r="E1017" s="32" t="s">
        <v>2072</v>
      </c>
      <c r="F1017" s="32" t="s">
        <v>1744</v>
      </c>
      <c r="G1017" s="176" t="s">
        <v>2071</v>
      </c>
      <c r="H1017" s="32" t="s">
        <v>329</v>
      </c>
      <c r="I1017" s="47"/>
    </row>
    <row r="1018" spans="1:9" ht="20.100000000000001" customHeight="1">
      <c r="A1018" s="22" t="s">
        <v>2068</v>
      </c>
      <c r="B1018" s="22" t="s">
        <v>240</v>
      </c>
      <c r="C1018" s="46">
        <v>42642</v>
      </c>
      <c r="D1018" s="47">
        <v>6</v>
      </c>
      <c r="E1018" s="32" t="s">
        <v>2072</v>
      </c>
      <c r="F1018" s="32" t="s">
        <v>1744</v>
      </c>
      <c r="G1018" s="176" t="s">
        <v>2076</v>
      </c>
      <c r="H1018" s="32" t="s">
        <v>329</v>
      </c>
      <c r="I1018" s="47"/>
    </row>
    <row r="1019" spans="1:9" ht="20.100000000000001" customHeight="1">
      <c r="A1019" s="22" t="s">
        <v>2014</v>
      </c>
      <c r="B1019" s="22" t="s">
        <v>240</v>
      </c>
      <c r="C1019" s="46">
        <v>42642</v>
      </c>
      <c r="D1019" s="47">
        <v>30</v>
      </c>
      <c r="E1019" s="32" t="s">
        <v>2072</v>
      </c>
      <c r="F1019" s="32" t="s">
        <v>1744</v>
      </c>
      <c r="G1019" s="176" t="s">
        <v>2069</v>
      </c>
      <c r="H1019" s="32" t="s">
        <v>328</v>
      </c>
      <c r="I1019" s="47"/>
    </row>
    <row r="1020" spans="1:9" ht="20.100000000000001" customHeight="1">
      <c r="A1020" s="22" t="s">
        <v>2014</v>
      </c>
      <c r="B1020" s="22" t="s">
        <v>240</v>
      </c>
      <c r="C1020" s="46">
        <v>42642</v>
      </c>
      <c r="D1020" s="47">
        <v>32</v>
      </c>
      <c r="E1020" s="32" t="s">
        <v>2072</v>
      </c>
      <c r="F1020" s="32" t="s">
        <v>1744</v>
      </c>
      <c r="G1020" s="176" t="s">
        <v>2070</v>
      </c>
      <c r="H1020" s="32" t="s">
        <v>328</v>
      </c>
      <c r="I1020" s="47"/>
    </row>
    <row r="1021" spans="1:9" ht="20.100000000000001" customHeight="1">
      <c r="A1021" s="22" t="s">
        <v>2014</v>
      </c>
      <c r="B1021" s="22" t="s">
        <v>240</v>
      </c>
      <c r="C1021" s="46">
        <v>42642</v>
      </c>
      <c r="D1021" s="47">
        <v>32</v>
      </c>
      <c r="E1021" s="32" t="s">
        <v>2072</v>
      </c>
      <c r="F1021" s="32" t="s">
        <v>1744</v>
      </c>
      <c r="G1021" s="176" t="s">
        <v>2071</v>
      </c>
      <c r="H1021" s="32" t="s">
        <v>328</v>
      </c>
      <c r="I1021" s="47"/>
    </row>
    <row r="1022" spans="1:9" ht="20.100000000000001" customHeight="1">
      <c r="A1022" s="22" t="s">
        <v>2014</v>
      </c>
      <c r="B1022" s="22" t="s">
        <v>240</v>
      </c>
      <c r="C1022" s="46">
        <v>42642</v>
      </c>
      <c r="D1022" s="47">
        <v>6</v>
      </c>
      <c r="E1022" s="32" t="s">
        <v>2072</v>
      </c>
      <c r="F1022" s="32" t="s">
        <v>1744</v>
      </c>
      <c r="G1022" s="176" t="s">
        <v>2076</v>
      </c>
      <c r="H1022" s="32" t="s">
        <v>328</v>
      </c>
      <c r="I1022" s="47"/>
    </row>
    <row r="1023" spans="1:9" ht="20.100000000000001" customHeight="1">
      <c r="A1023" s="22" t="s">
        <v>1969</v>
      </c>
      <c r="B1023" s="22" t="s">
        <v>1380</v>
      </c>
      <c r="C1023" s="46">
        <v>42643</v>
      </c>
      <c r="D1023" s="47">
        <v>5500</v>
      </c>
      <c r="E1023" s="32" t="s">
        <v>1000</v>
      </c>
      <c r="F1023" s="32" t="s">
        <v>63</v>
      </c>
      <c r="G1023" s="176"/>
      <c r="H1023" s="32" t="s">
        <v>329</v>
      </c>
      <c r="I1023" s="47"/>
    </row>
    <row r="1024" spans="1:9" ht="20.100000000000001" customHeight="1">
      <c r="A1024" s="22" t="s">
        <v>1972</v>
      </c>
      <c r="B1024" s="22" t="s">
        <v>1380</v>
      </c>
      <c r="C1024" s="46">
        <v>42643</v>
      </c>
      <c r="D1024" s="47">
        <v>5500</v>
      </c>
      <c r="E1024" s="32" t="s">
        <v>1000</v>
      </c>
      <c r="F1024" s="32" t="s">
        <v>63</v>
      </c>
      <c r="G1024" s="176"/>
      <c r="H1024" s="32" t="s">
        <v>328</v>
      </c>
      <c r="I1024" s="47"/>
    </row>
    <row r="1025" spans="1:9" ht="20.100000000000001" customHeight="1">
      <c r="A1025" s="22" t="s">
        <v>1923</v>
      </c>
      <c r="B1025" s="22" t="s">
        <v>60</v>
      </c>
      <c r="C1025" s="46">
        <v>42646</v>
      </c>
      <c r="D1025" s="47">
        <v>60</v>
      </c>
      <c r="E1025" s="32" t="s">
        <v>181</v>
      </c>
      <c r="F1025" s="32" t="s">
        <v>70</v>
      </c>
      <c r="G1025" s="176" t="s">
        <v>2077</v>
      </c>
      <c r="H1025" s="32" t="s">
        <v>329</v>
      </c>
      <c r="I1025" s="47"/>
    </row>
    <row r="1026" spans="1:9" ht="20.100000000000001" customHeight="1">
      <c r="A1026" s="22" t="s">
        <v>1923</v>
      </c>
      <c r="B1026" s="22" t="s">
        <v>60</v>
      </c>
      <c r="C1026" s="46">
        <v>42646</v>
      </c>
      <c r="D1026" s="47">
        <v>60</v>
      </c>
      <c r="E1026" s="32" t="s">
        <v>181</v>
      </c>
      <c r="F1026" s="32" t="s">
        <v>70</v>
      </c>
      <c r="G1026" s="176" t="s">
        <v>2078</v>
      </c>
      <c r="H1026" s="32" t="s">
        <v>329</v>
      </c>
      <c r="I1026" s="47"/>
    </row>
    <row r="1027" spans="1:9" ht="20.100000000000001" customHeight="1">
      <c r="A1027" s="22" t="s">
        <v>1923</v>
      </c>
      <c r="B1027" s="22" t="s">
        <v>60</v>
      </c>
      <c r="C1027" s="46">
        <v>42646</v>
      </c>
      <c r="D1027" s="47">
        <v>60</v>
      </c>
      <c r="E1027" s="32" t="s">
        <v>181</v>
      </c>
      <c r="F1027" s="32" t="s">
        <v>70</v>
      </c>
      <c r="G1027" s="176" t="s">
        <v>2079</v>
      </c>
      <c r="H1027" s="32" t="s">
        <v>329</v>
      </c>
      <c r="I1027" s="47"/>
    </row>
    <row r="1028" spans="1:9" ht="22.5" customHeight="1">
      <c r="A1028" s="42" t="s">
        <v>2309</v>
      </c>
      <c r="B1028" s="22" t="s">
        <v>60</v>
      </c>
      <c r="C1028" s="46">
        <v>42650</v>
      </c>
      <c r="D1028" s="47">
        <v>60</v>
      </c>
      <c r="E1028" s="32" t="s">
        <v>181</v>
      </c>
      <c r="F1028" s="32" t="s">
        <v>357</v>
      </c>
      <c r="G1028" s="176" t="s">
        <v>2080</v>
      </c>
      <c r="H1028" s="32" t="s">
        <v>329</v>
      </c>
      <c r="I1028" s="47"/>
    </row>
    <row r="1029" spans="1:9" ht="20.100000000000001" customHeight="1">
      <c r="A1029" s="42" t="s">
        <v>2309</v>
      </c>
      <c r="B1029" s="22" t="s">
        <v>60</v>
      </c>
      <c r="C1029" s="46">
        <v>42650</v>
      </c>
      <c r="D1029" s="47">
        <v>60</v>
      </c>
      <c r="E1029" s="32" t="s">
        <v>181</v>
      </c>
      <c r="F1029" s="32" t="s">
        <v>357</v>
      </c>
      <c r="G1029" s="176" t="s">
        <v>2081</v>
      </c>
      <c r="H1029" s="32" t="s">
        <v>329</v>
      </c>
      <c r="I1029" s="47"/>
    </row>
    <row r="1030" spans="1:9" ht="20.100000000000001" customHeight="1">
      <c r="A1030" s="22" t="s">
        <v>2098</v>
      </c>
      <c r="B1030" s="22" t="s">
        <v>60</v>
      </c>
      <c r="C1030" s="46">
        <v>42649</v>
      </c>
      <c r="D1030" s="47">
        <v>60</v>
      </c>
      <c r="E1030" s="32" t="s">
        <v>362</v>
      </c>
      <c r="F1030" s="32" t="s">
        <v>63</v>
      </c>
      <c r="G1030" s="176" t="s">
        <v>2082</v>
      </c>
      <c r="H1030" s="32" t="s">
        <v>329</v>
      </c>
      <c r="I1030" s="47"/>
    </row>
    <row r="1031" spans="1:9" ht="20.100000000000001" customHeight="1">
      <c r="A1031" s="22" t="s">
        <v>2098</v>
      </c>
      <c r="B1031" s="22" t="s">
        <v>60</v>
      </c>
      <c r="C1031" s="46">
        <v>42649</v>
      </c>
      <c r="D1031" s="47">
        <v>60</v>
      </c>
      <c r="E1031" s="32" t="s">
        <v>362</v>
      </c>
      <c r="F1031" s="32" t="s">
        <v>63</v>
      </c>
      <c r="G1031" s="176" t="s">
        <v>2083</v>
      </c>
      <c r="H1031" s="32" t="s">
        <v>329</v>
      </c>
      <c r="I1031" s="47"/>
    </row>
    <row r="1032" spans="1:9" ht="20.100000000000001" customHeight="1">
      <c r="A1032" s="22" t="s">
        <v>2098</v>
      </c>
      <c r="B1032" s="22" t="s">
        <v>60</v>
      </c>
      <c r="C1032" s="46">
        <v>42650</v>
      </c>
      <c r="D1032" s="47">
        <v>60</v>
      </c>
      <c r="E1032" s="32" t="s">
        <v>362</v>
      </c>
      <c r="F1032" s="32" t="s">
        <v>63</v>
      </c>
      <c r="G1032" s="176" t="s">
        <v>2084</v>
      </c>
      <c r="H1032" s="32" t="s">
        <v>329</v>
      </c>
      <c r="I1032" s="47"/>
    </row>
    <row r="1033" spans="1:9" ht="20.100000000000001" customHeight="1">
      <c r="A1033" s="22" t="s">
        <v>2098</v>
      </c>
      <c r="B1033" s="22" t="s">
        <v>60</v>
      </c>
      <c r="C1033" s="46">
        <v>42650</v>
      </c>
      <c r="D1033" s="47">
        <v>60</v>
      </c>
      <c r="E1033" s="32" t="s">
        <v>362</v>
      </c>
      <c r="F1033" s="32" t="s">
        <v>63</v>
      </c>
      <c r="G1033" s="176" t="s">
        <v>2085</v>
      </c>
      <c r="H1033" s="32" t="s">
        <v>329</v>
      </c>
      <c r="I1033" s="47"/>
    </row>
    <row r="1034" spans="1:9" ht="20.100000000000001" customHeight="1">
      <c r="A1034" s="22" t="s">
        <v>2098</v>
      </c>
      <c r="B1034" s="22" t="s">
        <v>60</v>
      </c>
      <c r="C1034" s="46">
        <v>42650</v>
      </c>
      <c r="D1034" s="47">
        <v>60</v>
      </c>
      <c r="E1034" s="32" t="s">
        <v>362</v>
      </c>
      <c r="F1034" s="32" t="s">
        <v>63</v>
      </c>
      <c r="G1034" s="176" t="s">
        <v>2086</v>
      </c>
      <c r="H1034" s="32" t="s">
        <v>329</v>
      </c>
      <c r="I1034" s="47"/>
    </row>
    <row r="1035" spans="1:9" ht="20.100000000000001" customHeight="1">
      <c r="A1035" s="22" t="s">
        <v>2098</v>
      </c>
      <c r="B1035" s="22" t="s">
        <v>60</v>
      </c>
      <c r="C1035" s="46">
        <v>42650</v>
      </c>
      <c r="D1035" s="47">
        <v>60</v>
      </c>
      <c r="E1035" s="32" t="s">
        <v>362</v>
      </c>
      <c r="F1035" s="32" t="s">
        <v>63</v>
      </c>
      <c r="G1035" s="176" t="s">
        <v>2087</v>
      </c>
      <c r="H1035" s="32" t="s">
        <v>329</v>
      </c>
      <c r="I1035" s="47"/>
    </row>
    <row r="1036" spans="1:9" ht="20.100000000000001" customHeight="1">
      <c r="A1036" s="22" t="s">
        <v>2051</v>
      </c>
      <c r="B1036" s="22" t="s">
        <v>93</v>
      </c>
      <c r="C1036" s="46">
        <v>42650</v>
      </c>
      <c r="D1036" s="47">
        <v>950</v>
      </c>
      <c r="E1036" s="32" t="s">
        <v>226</v>
      </c>
      <c r="F1036" s="32" t="s">
        <v>63</v>
      </c>
      <c r="G1036" s="176"/>
      <c r="H1036" s="32" t="s">
        <v>329</v>
      </c>
      <c r="I1036" s="47"/>
    </row>
    <row r="1037" spans="1:9" ht="20.100000000000001" customHeight="1">
      <c r="A1037" s="22" t="s">
        <v>2052</v>
      </c>
      <c r="B1037" s="22" t="s">
        <v>93</v>
      </c>
      <c r="C1037" s="46">
        <v>42650</v>
      </c>
      <c r="D1037" s="47">
        <v>950</v>
      </c>
      <c r="E1037" s="32" t="s">
        <v>226</v>
      </c>
      <c r="F1037" s="32" t="s">
        <v>63</v>
      </c>
      <c r="G1037" s="176"/>
      <c r="H1037" s="32" t="s">
        <v>328</v>
      </c>
      <c r="I1037" s="47"/>
    </row>
    <row r="1038" spans="1:9" ht="20.100000000000001" customHeight="1">
      <c r="A1038" s="22" t="s">
        <v>1892</v>
      </c>
      <c r="B1038" s="22" t="s">
        <v>60</v>
      </c>
      <c r="C1038" s="46">
        <v>42641</v>
      </c>
      <c r="D1038" s="47">
        <v>60</v>
      </c>
      <c r="E1038" s="32" t="s">
        <v>181</v>
      </c>
      <c r="F1038" s="32" t="s">
        <v>70</v>
      </c>
      <c r="G1038" s="176" t="s">
        <v>2066</v>
      </c>
      <c r="H1038" s="32" t="s">
        <v>328</v>
      </c>
      <c r="I1038" s="47"/>
    </row>
    <row r="1039" spans="1:9" ht="20.100000000000001" customHeight="1">
      <c r="A1039" s="22" t="s">
        <v>1892</v>
      </c>
      <c r="B1039" s="22" t="s">
        <v>60</v>
      </c>
      <c r="C1039" s="46">
        <v>42641</v>
      </c>
      <c r="D1039" s="47">
        <v>60</v>
      </c>
      <c r="E1039" s="32" t="s">
        <v>181</v>
      </c>
      <c r="F1039" s="32" t="s">
        <v>70</v>
      </c>
      <c r="G1039" s="176" t="s">
        <v>2067</v>
      </c>
      <c r="H1039" s="32" t="s">
        <v>328</v>
      </c>
      <c r="I1039" s="47"/>
    </row>
    <row r="1040" spans="1:9" ht="20.100000000000001" customHeight="1">
      <c r="A1040" s="22" t="s">
        <v>1892</v>
      </c>
      <c r="B1040" s="22" t="s">
        <v>60</v>
      </c>
      <c r="C1040" s="46">
        <v>42646</v>
      </c>
      <c r="D1040" s="47">
        <v>60</v>
      </c>
      <c r="E1040" s="32" t="s">
        <v>181</v>
      </c>
      <c r="F1040" s="32" t="s">
        <v>70</v>
      </c>
      <c r="G1040" s="176" t="s">
        <v>2077</v>
      </c>
      <c r="H1040" s="32" t="s">
        <v>328</v>
      </c>
      <c r="I1040" s="47"/>
    </row>
    <row r="1041" spans="1:9" ht="20.100000000000001" customHeight="1">
      <c r="A1041" s="22" t="s">
        <v>1892</v>
      </c>
      <c r="B1041" s="22" t="s">
        <v>60</v>
      </c>
      <c r="C1041" s="46">
        <v>42646</v>
      </c>
      <c r="D1041" s="47">
        <v>60</v>
      </c>
      <c r="E1041" s="32" t="s">
        <v>181</v>
      </c>
      <c r="F1041" s="32" t="s">
        <v>70</v>
      </c>
      <c r="G1041" s="176" t="s">
        <v>2078</v>
      </c>
      <c r="H1041" s="32" t="s">
        <v>328</v>
      </c>
      <c r="I1041" s="47"/>
    </row>
    <row r="1042" spans="1:9" ht="20.100000000000001" customHeight="1">
      <c r="A1042" s="22" t="s">
        <v>1892</v>
      </c>
      <c r="B1042" s="22" t="s">
        <v>60</v>
      </c>
      <c r="C1042" s="46">
        <v>42646</v>
      </c>
      <c r="D1042" s="47">
        <v>60</v>
      </c>
      <c r="E1042" s="32" t="s">
        <v>181</v>
      </c>
      <c r="F1042" s="32" t="s">
        <v>70</v>
      </c>
      <c r="G1042" s="176" t="s">
        <v>2079</v>
      </c>
      <c r="H1042" s="32" t="s">
        <v>328</v>
      </c>
      <c r="I1042" s="47"/>
    </row>
    <row r="1043" spans="1:9" ht="20.100000000000001" customHeight="1">
      <c r="A1043" s="22" t="s">
        <v>2311</v>
      </c>
      <c r="B1043" s="22" t="s">
        <v>60</v>
      </c>
      <c r="C1043" s="46">
        <v>42656</v>
      </c>
      <c r="D1043" s="47">
        <v>60</v>
      </c>
      <c r="E1043" s="32" t="s">
        <v>181</v>
      </c>
      <c r="F1043" s="32" t="s">
        <v>357</v>
      </c>
      <c r="G1043" s="176" t="s">
        <v>2080</v>
      </c>
      <c r="H1043" s="32" t="s">
        <v>328</v>
      </c>
      <c r="I1043" s="47"/>
    </row>
    <row r="1044" spans="1:9" ht="20.100000000000001" customHeight="1">
      <c r="A1044" s="22" t="s">
        <v>2311</v>
      </c>
      <c r="B1044" s="22" t="s">
        <v>60</v>
      </c>
      <c r="C1044" s="46">
        <v>42656</v>
      </c>
      <c r="D1044" s="47">
        <v>60</v>
      </c>
      <c r="E1044" s="32" t="s">
        <v>181</v>
      </c>
      <c r="F1044" s="32" t="s">
        <v>357</v>
      </c>
      <c r="G1044" s="176" t="s">
        <v>2081</v>
      </c>
      <c r="H1044" s="32" t="s">
        <v>328</v>
      </c>
      <c r="I1044" s="47"/>
    </row>
    <row r="1045" spans="1:9" ht="20.100000000000001" customHeight="1">
      <c r="A1045" s="22" t="s">
        <v>2051</v>
      </c>
      <c r="B1045" s="22" t="s">
        <v>93</v>
      </c>
      <c r="C1045" s="46">
        <v>42647</v>
      </c>
      <c r="D1045" s="47">
        <v>1800</v>
      </c>
      <c r="E1045" s="32" t="s">
        <v>226</v>
      </c>
      <c r="F1045" s="32" t="s">
        <v>63</v>
      </c>
      <c r="G1045" s="176"/>
      <c r="H1045" s="32" t="s">
        <v>329</v>
      </c>
      <c r="I1045" s="47"/>
    </row>
    <row r="1046" spans="1:9" ht="20.100000000000001" customHeight="1">
      <c r="A1046" s="22" t="s">
        <v>2052</v>
      </c>
      <c r="B1046" s="22" t="s">
        <v>93</v>
      </c>
      <c r="C1046" s="46">
        <v>42647</v>
      </c>
      <c r="D1046" s="47">
        <v>1800</v>
      </c>
      <c r="E1046" s="32" t="s">
        <v>226</v>
      </c>
      <c r="F1046" s="32" t="s">
        <v>63</v>
      </c>
      <c r="G1046" s="176"/>
      <c r="H1046" s="32" t="s">
        <v>328</v>
      </c>
      <c r="I1046" s="47"/>
    </row>
    <row r="1047" spans="1:9" ht="20.100000000000001" customHeight="1">
      <c r="A1047" s="22" t="s">
        <v>1974</v>
      </c>
      <c r="B1047" s="22" t="s">
        <v>60</v>
      </c>
      <c r="C1047" s="46">
        <v>42636</v>
      </c>
      <c r="D1047" s="47">
        <v>79.14</v>
      </c>
      <c r="E1047" s="32" t="s">
        <v>663</v>
      </c>
      <c r="F1047" s="32" t="s">
        <v>70</v>
      </c>
      <c r="G1047" s="176" t="s">
        <v>2288</v>
      </c>
      <c r="H1047" s="32" t="s">
        <v>329</v>
      </c>
      <c r="I1047" s="47"/>
    </row>
    <row r="1048" spans="1:9" ht="20.100000000000001" customHeight="1">
      <c r="A1048" s="22" t="s">
        <v>1974</v>
      </c>
      <c r="B1048" s="22" t="s">
        <v>60</v>
      </c>
      <c r="C1048" s="46">
        <v>42636</v>
      </c>
      <c r="D1048" s="47">
        <v>87.32</v>
      </c>
      <c r="E1048" s="32" t="s">
        <v>663</v>
      </c>
      <c r="F1048" s="32" t="s">
        <v>70</v>
      </c>
      <c r="G1048" s="176" t="s">
        <v>2289</v>
      </c>
      <c r="H1048" s="32" t="s">
        <v>329</v>
      </c>
      <c r="I1048" s="47"/>
    </row>
    <row r="1049" spans="1:9" s="150" customFormat="1" ht="20.100000000000001" customHeight="1">
      <c r="A1049" s="42" t="s">
        <v>1891</v>
      </c>
      <c r="B1049" s="18" t="s">
        <v>603</v>
      </c>
      <c r="C1049" s="46">
        <v>42636</v>
      </c>
      <c r="D1049" s="47">
        <v>39.76</v>
      </c>
      <c r="E1049" s="32" t="s">
        <v>663</v>
      </c>
      <c r="F1049" s="32" t="s">
        <v>70</v>
      </c>
      <c r="G1049" s="138">
        <v>3405636</v>
      </c>
      <c r="H1049" s="32" t="s">
        <v>329</v>
      </c>
      <c r="I1049" s="47"/>
    </row>
    <row r="1050" spans="1:9" s="150" customFormat="1" ht="20.100000000000001" customHeight="1">
      <c r="A1050" s="42" t="s">
        <v>1891</v>
      </c>
      <c r="B1050" s="18" t="s">
        <v>603</v>
      </c>
      <c r="C1050" s="46">
        <v>42636</v>
      </c>
      <c r="D1050" s="47">
        <v>79.36</v>
      </c>
      <c r="E1050" s="32" t="s">
        <v>663</v>
      </c>
      <c r="F1050" s="32" t="s">
        <v>70</v>
      </c>
      <c r="G1050" s="138">
        <v>3320491</v>
      </c>
      <c r="H1050" s="32" t="s">
        <v>329</v>
      </c>
      <c r="I1050" s="47"/>
    </row>
    <row r="1051" spans="1:9" s="150" customFormat="1" ht="20.100000000000001" customHeight="1">
      <c r="A1051" s="42" t="s">
        <v>1891</v>
      </c>
      <c r="B1051" s="18" t="s">
        <v>603</v>
      </c>
      <c r="C1051" s="46">
        <v>42636</v>
      </c>
      <c r="D1051" s="47">
        <v>39.68</v>
      </c>
      <c r="E1051" s="32" t="s">
        <v>663</v>
      </c>
      <c r="F1051" s="32" t="s">
        <v>70</v>
      </c>
      <c r="G1051" s="138">
        <v>3427436</v>
      </c>
      <c r="H1051" s="32" t="s">
        <v>329</v>
      </c>
      <c r="I1051" s="47"/>
    </row>
    <row r="1052" spans="1:9" s="150" customFormat="1" ht="20.100000000000001" customHeight="1">
      <c r="A1052" s="42" t="s">
        <v>1891</v>
      </c>
      <c r="B1052" s="18" t="s">
        <v>603</v>
      </c>
      <c r="C1052" s="46">
        <v>42636</v>
      </c>
      <c r="D1052" s="47">
        <v>79.06</v>
      </c>
      <c r="E1052" s="32" t="s">
        <v>663</v>
      </c>
      <c r="F1052" s="32" t="s">
        <v>70</v>
      </c>
      <c r="G1052" s="138">
        <v>3314067</v>
      </c>
      <c r="H1052" s="32" t="s">
        <v>329</v>
      </c>
      <c r="I1052" s="47"/>
    </row>
    <row r="1053" spans="1:9" s="150" customFormat="1" ht="20.100000000000001" customHeight="1">
      <c r="A1053" s="42" t="s">
        <v>1891</v>
      </c>
      <c r="B1053" s="18" t="s">
        <v>603</v>
      </c>
      <c r="C1053" s="46">
        <v>42637</v>
      </c>
      <c r="D1053" s="47">
        <v>39.6</v>
      </c>
      <c r="E1053" s="32" t="s">
        <v>663</v>
      </c>
      <c r="F1053" s="32" t="s">
        <v>70</v>
      </c>
      <c r="G1053" s="138">
        <v>3318362</v>
      </c>
      <c r="H1053" s="32" t="s">
        <v>329</v>
      </c>
      <c r="I1053" s="47"/>
    </row>
    <row r="1054" spans="1:9" s="150" customFormat="1" ht="20.100000000000001" customHeight="1">
      <c r="A1054" s="42" t="s">
        <v>1891</v>
      </c>
      <c r="B1054" s="18" t="s">
        <v>603</v>
      </c>
      <c r="C1054" s="46">
        <v>42637</v>
      </c>
      <c r="D1054" s="47">
        <v>79.28</v>
      </c>
      <c r="E1054" s="32" t="s">
        <v>663</v>
      </c>
      <c r="F1054" s="32" t="s">
        <v>70</v>
      </c>
      <c r="G1054" s="138">
        <v>3333568</v>
      </c>
      <c r="H1054" s="32" t="s">
        <v>329</v>
      </c>
      <c r="I1054" s="47"/>
    </row>
    <row r="1055" spans="1:9" s="150" customFormat="1" ht="20.100000000000001" customHeight="1">
      <c r="A1055" s="42" t="s">
        <v>1891</v>
      </c>
      <c r="B1055" s="18" t="s">
        <v>603</v>
      </c>
      <c r="C1055" s="46">
        <v>42637</v>
      </c>
      <c r="D1055" s="47">
        <v>44.54</v>
      </c>
      <c r="E1055" s="32" t="s">
        <v>663</v>
      </c>
      <c r="F1055" s="32" t="s">
        <v>70</v>
      </c>
      <c r="G1055" s="138">
        <v>3401260</v>
      </c>
      <c r="H1055" s="32" t="s">
        <v>329</v>
      </c>
      <c r="I1055" s="47"/>
    </row>
    <row r="1056" spans="1:9" s="150" customFormat="1" ht="20.100000000000001" customHeight="1">
      <c r="A1056" s="42" t="s">
        <v>1891</v>
      </c>
      <c r="B1056" s="18" t="s">
        <v>603</v>
      </c>
      <c r="C1056" s="46">
        <v>42637</v>
      </c>
      <c r="D1056" s="47">
        <v>44.48</v>
      </c>
      <c r="E1056" s="32" t="s">
        <v>663</v>
      </c>
      <c r="F1056" s="32" t="s">
        <v>70</v>
      </c>
      <c r="G1056" s="138">
        <v>3420829</v>
      </c>
      <c r="H1056" s="32" t="s">
        <v>329</v>
      </c>
      <c r="I1056" s="47"/>
    </row>
    <row r="1057" spans="1:9" s="150" customFormat="1" ht="20.100000000000001" customHeight="1">
      <c r="A1057" s="42" t="s">
        <v>1891</v>
      </c>
      <c r="B1057" s="18" t="s">
        <v>603</v>
      </c>
      <c r="C1057" s="46">
        <v>42637</v>
      </c>
      <c r="D1057" s="47">
        <v>43.84</v>
      </c>
      <c r="E1057" s="32" t="s">
        <v>663</v>
      </c>
      <c r="F1057" s="32" t="s">
        <v>70</v>
      </c>
      <c r="G1057" s="138">
        <v>3827407</v>
      </c>
      <c r="H1057" s="32" t="s">
        <v>329</v>
      </c>
      <c r="I1057" s="47"/>
    </row>
    <row r="1058" spans="1:9" s="150" customFormat="1" ht="20.100000000000001" customHeight="1">
      <c r="A1058" s="42" t="s">
        <v>1891</v>
      </c>
      <c r="B1058" s="18" t="s">
        <v>603</v>
      </c>
      <c r="C1058" s="46">
        <v>42637</v>
      </c>
      <c r="D1058" s="47">
        <v>87.22</v>
      </c>
      <c r="E1058" s="32" t="s">
        <v>663</v>
      </c>
      <c r="F1058" s="32" t="s">
        <v>70</v>
      </c>
      <c r="G1058" s="138">
        <v>3828191</v>
      </c>
      <c r="H1058" s="32" t="s">
        <v>329</v>
      </c>
      <c r="I1058" s="47"/>
    </row>
    <row r="1059" spans="1:9" s="150" customFormat="1" ht="20.100000000000001" customHeight="1">
      <c r="A1059" s="42" t="s">
        <v>2099</v>
      </c>
      <c r="B1059" s="18" t="s">
        <v>603</v>
      </c>
      <c r="C1059" s="46">
        <v>42648</v>
      </c>
      <c r="D1059" s="47">
        <v>79.14</v>
      </c>
      <c r="E1059" s="32" t="s">
        <v>663</v>
      </c>
      <c r="F1059" s="32" t="s">
        <v>70</v>
      </c>
      <c r="G1059" s="138">
        <v>3467669</v>
      </c>
      <c r="H1059" s="32" t="s">
        <v>328</v>
      </c>
      <c r="I1059" s="47"/>
    </row>
    <row r="1060" spans="1:9" s="150" customFormat="1" ht="20.100000000000001" customHeight="1">
      <c r="A1060" s="42" t="s">
        <v>2099</v>
      </c>
      <c r="B1060" s="18" t="s">
        <v>603</v>
      </c>
      <c r="C1060" s="46">
        <v>42648</v>
      </c>
      <c r="D1060" s="47">
        <v>87.32</v>
      </c>
      <c r="E1060" s="32" t="s">
        <v>663</v>
      </c>
      <c r="F1060" s="32" t="s">
        <v>70</v>
      </c>
      <c r="G1060" s="138">
        <v>3822758</v>
      </c>
      <c r="H1060" s="32" t="s">
        <v>328</v>
      </c>
      <c r="I1060" s="47"/>
    </row>
    <row r="1061" spans="1:9" s="150" customFormat="1" ht="20.100000000000001" customHeight="1">
      <c r="A1061" s="42" t="s">
        <v>2099</v>
      </c>
      <c r="B1061" s="18" t="s">
        <v>603</v>
      </c>
      <c r="C1061" s="46">
        <v>42648</v>
      </c>
      <c r="D1061" s="47">
        <v>39.76</v>
      </c>
      <c r="E1061" s="32" t="s">
        <v>663</v>
      </c>
      <c r="F1061" s="32" t="s">
        <v>70</v>
      </c>
      <c r="G1061" s="138">
        <v>3405636</v>
      </c>
      <c r="H1061" s="32" t="s">
        <v>328</v>
      </c>
      <c r="I1061" s="47"/>
    </row>
    <row r="1062" spans="1:9" s="150" customFormat="1" ht="20.100000000000001" customHeight="1">
      <c r="A1062" s="42" t="s">
        <v>2099</v>
      </c>
      <c r="B1062" s="18" t="s">
        <v>603</v>
      </c>
      <c r="C1062" s="46">
        <v>42648</v>
      </c>
      <c r="D1062" s="47">
        <v>79.36</v>
      </c>
      <c r="E1062" s="32" t="s">
        <v>663</v>
      </c>
      <c r="F1062" s="32" t="s">
        <v>70</v>
      </c>
      <c r="G1062" s="138">
        <v>3320491</v>
      </c>
      <c r="H1062" s="32" t="s">
        <v>328</v>
      </c>
      <c r="I1062" s="47"/>
    </row>
    <row r="1063" spans="1:9" s="150" customFormat="1" ht="20.100000000000001" customHeight="1">
      <c r="A1063" s="42" t="s">
        <v>2099</v>
      </c>
      <c r="B1063" s="18" t="s">
        <v>603</v>
      </c>
      <c r="C1063" s="46">
        <v>42648</v>
      </c>
      <c r="D1063" s="47">
        <v>39.68</v>
      </c>
      <c r="E1063" s="32" t="s">
        <v>663</v>
      </c>
      <c r="F1063" s="32" t="s">
        <v>70</v>
      </c>
      <c r="G1063" s="138">
        <v>3427436</v>
      </c>
      <c r="H1063" s="32" t="s">
        <v>328</v>
      </c>
      <c r="I1063" s="47"/>
    </row>
    <row r="1064" spans="1:9" s="150" customFormat="1" ht="20.100000000000001" customHeight="1">
      <c r="A1064" s="42" t="s">
        <v>2099</v>
      </c>
      <c r="B1064" s="18" t="s">
        <v>603</v>
      </c>
      <c r="C1064" s="46">
        <v>42648</v>
      </c>
      <c r="D1064" s="47">
        <v>79.06</v>
      </c>
      <c r="E1064" s="32" t="s">
        <v>663</v>
      </c>
      <c r="F1064" s="32" t="s">
        <v>70</v>
      </c>
      <c r="G1064" s="138">
        <v>3314067</v>
      </c>
      <c r="H1064" s="32" t="s">
        <v>328</v>
      </c>
      <c r="I1064" s="47"/>
    </row>
    <row r="1065" spans="1:9" s="150" customFormat="1" ht="20.100000000000001" customHeight="1">
      <c r="A1065" s="42" t="s">
        <v>2099</v>
      </c>
      <c r="B1065" s="18" t="s">
        <v>603</v>
      </c>
      <c r="C1065" s="46">
        <v>42648</v>
      </c>
      <c r="D1065" s="47">
        <v>39.6</v>
      </c>
      <c r="E1065" s="32" t="s">
        <v>663</v>
      </c>
      <c r="F1065" s="32" t="s">
        <v>70</v>
      </c>
      <c r="G1065" s="138">
        <v>3318362</v>
      </c>
      <c r="H1065" s="32" t="s">
        <v>328</v>
      </c>
      <c r="I1065" s="47"/>
    </row>
    <row r="1066" spans="1:9" s="150" customFormat="1" ht="20.100000000000001" customHeight="1">
      <c r="A1066" s="42" t="s">
        <v>2099</v>
      </c>
      <c r="B1066" s="18" t="s">
        <v>603</v>
      </c>
      <c r="C1066" s="46">
        <v>42648</v>
      </c>
      <c r="D1066" s="47">
        <v>79.28</v>
      </c>
      <c r="E1066" s="32" t="s">
        <v>663</v>
      </c>
      <c r="F1066" s="32" t="s">
        <v>70</v>
      </c>
      <c r="G1066" s="138">
        <v>3333568</v>
      </c>
      <c r="H1066" s="32" t="s">
        <v>328</v>
      </c>
      <c r="I1066" s="47"/>
    </row>
    <row r="1067" spans="1:9" s="150" customFormat="1" ht="20.100000000000001" customHeight="1">
      <c r="A1067" s="42" t="s">
        <v>2099</v>
      </c>
      <c r="B1067" s="18" t="s">
        <v>603</v>
      </c>
      <c r="C1067" s="46">
        <v>42648</v>
      </c>
      <c r="D1067" s="47">
        <v>44.54</v>
      </c>
      <c r="E1067" s="32" t="s">
        <v>663</v>
      </c>
      <c r="F1067" s="32" t="s">
        <v>70</v>
      </c>
      <c r="G1067" s="138">
        <v>3401260</v>
      </c>
      <c r="H1067" s="32" t="s">
        <v>328</v>
      </c>
      <c r="I1067" s="47"/>
    </row>
    <row r="1068" spans="1:9" s="150" customFormat="1" ht="20.100000000000001" customHeight="1">
      <c r="A1068" s="42" t="s">
        <v>2099</v>
      </c>
      <c r="B1068" s="18" t="s">
        <v>603</v>
      </c>
      <c r="C1068" s="46">
        <v>42648</v>
      </c>
      <c r="D1068" s="47">
        <v>44.48</v>
      </c>
      <c r="E1068" s="32" t="s">
        <v>663</v>
      </c>
      <c r="F1068" s="32" t="s">
        <v>70</v>
      </c>
      <c r="G1068" s="138">
        <v>3420829</v>
      </c>
      <c r="H1068" s="32" t="s">
        <v>328</v>
      </c>
      <c r="I1068" s="47"/>
    </row>
    <row r="1069" spans="1:9" s="150" customFormat="1" ht="20.100000000000001" customHeight="1">
      <c r="A1069" s="42" t="s">
        <v>2099</v>
      </c>
      <c r="B1069" s="18" t="s">
        <v>603</v>
      </c>
      <c r="C1069" s="46">
        <v>42648</v>
      </c>
      <c r="D1069" s="47">
        <v>43.84</v>
      </c>
      <c r="E1069" s="32" t="s">
        <v>663</v>
      </c>
      <c r="F1069" s="32" t="s">
        <v>70</v>
      </c>
      <c r="G1069" s="138">
        <v>3827407</v>
      </c>
      <c r="H1069" s="32" t="s">
        <v>328</v>
      </c>
      <c r="I1069" s="47"/>
    </row>
    <row r="1070" spans="1:9" s="150" customFormat="1" ht="20.100000000000001" customHeight="1">
      <c r="A1070" s="42" t="s">
        <v>2099</v>
      </c>
      <c r="B1070" s="18" t="s">
        <v>603</v>
      </c>
      <c r="C1070" s="46">
        <v>42648</v>
      </c>
      <c r="D1070" s="47">
        <v>87.22</v>
      </c>
      <c r="E1070" s="32" t="s">
        <v>663</v>
      </c>
      <c r="F1070" s="32" t="s">
        <v>70</v>
      </c>
      <c r="G1070" s="138">
        <v>3828191</v>
      </c>
      <c r="H1070" s="32" t="s">
        <v>328</v>
      </c>
      <c r="I1070" s="47"/>
    </row>
    <row r="1071" spans="1:9" s="150" customFormat="1" ht="20.100000000000001" customHeight="1">
      <c r="A1071" s="42" t="s">
        <v>2018</v>
      </c>
      <c r="B1071" s="18" t="s">
        <v>603</v>
      </c>
      <c r="C1071" s="46">
        <v>42648</v>
      </c>
      <c r="D1071" s="47">
        <v>60</v>
      </c>
      <c r="E1071" s="32" t="s">
        <v>181</v>
      </c>
      <c r="F1071" s="32" t="s">
        <v>63</v>
      </c>
      <c r="G1071" s="32" t="s">
        <v>1986</v>
      </c>
      <c r="H1071" s="32" t="s">
        <v>328</v>
      </c>
      <c r="I1071" s="47"/>
    </row>
    <row r="1072" spans="1:9" s="150" customFormat="1" ht="20.100000000000001" customHeight="1">
      <c r="A1072" s="42" t="s">
        <v>2018</v>
      </c>
      <c r="B1072" s="18" t="s">
        <v>603</v>
      </c>
      <c r="C1072" s="46">
        <v>42648</v>
      </c>
      <c r="D1072" s="47">
        <v>60</v>
      </c>
      <c r="E1072" s="32" t="s">
        <v>181</v>
      </c>
      <c r="F1072" s="32" t="s">
        <v>63</v>
      </c>
      <c r="G1072" s="32" t="s">
        <v>1987</v>
      </c>
      <c r="H1072" s="32" t="s">
        <v>328</v>
      </c>
      <c r="I1072" s="47"/>
    </row>
    <row r="1073" spans="1:9" s="150" customFormat="1" ht="20.100000000000001" customHeight="1">
      <c r="A1073" s="42" t="s">
        <v>2018</v>
      </c>
      <c r="B1073" s="18" t="s">
        <v>603</v>
      </c>
      <c r="C1073" s="46">
        <v>42648</v>
      </c>
      <c r="D1073" s="47">
        <v>60</v>
      </c>
      <c r="E1073" s="32" t="s">
        <v>362</v>
      </c>
      <c r="F1073" s="32" t="s">
        <v>63</v>
      </c>
      <c r="G1073" s="32" t="s">
        <v>2016</v>
      </c>
      <c r="H1073" s="32" t="s">
        <v>328</v>
      </c>
      <c r="I1073" s="47"/>
    </row>
    <row r="1074" spans="1:9" s="150" customFormat="1" ht="20.100000000000001" customHeight="1">
      <c r="A1074" s="42" t="s">
        <v>2018</v>
      </c>
      <c r="B1074" s="18" t="s">
        <v>1106</v>
      </c>
      <c r="C1074" s="46">
        <v>42648</v>
      </c>
      <c r="D1074" s="47">
        <v>60</v>
      </c>
      <c r="E1074" s="32" t="s">
        <v>62</v>
      </c>
      <c r="F1074" s="32" t="s">
        <v>63</v>
      </c>
      <c r="G1074" s="32" t="s">
        <v>2022</v>
      </c>
      <c r="H1074" s="32" t="s">
        <v>328</v>
      </c>
      <c r="I1074" s="47"/>
    </row>
    <row r="1075" spans="1:9" s="150" customFormat="1" ht="20.100000000000001" customHeight="1">
      <c r="A1075" s="42" t="s">
        <v>2018</v>
      </c>
      <c r="B1075" s="18" t="s">
        <v>1106</v>
      </c>
      <c r="C1075" s="46">
        <v>42648</v>
      </c>
      <c r="D1075" s="47">
        <v>60</v>
      </c>
      <c r="E1075" s="32" t="s">
        <v>62</v>
      </c>
      <c r="F1075" s="32" t="s">
        <v>63</v>
      </c>
      <c r="G1075" s="32" t="s">
        <v>2023</v>
      </c>
      <c r="H1075" s="32" t="s">
        <v>328</v>
      </c>
      <c r="I1075" s="47"/>
    </row>
    <row r="1076" spans="1:9" s="150" customFormat="1" ht="20.100000000000001" customHeight="1">
      <c r="A1076" s="42" t="s">
        <v>1513</v>
      </c>
      <c r="B1076" s="18" t="s">
        <v>603</v>
      </c>
      <c r="C1076" s="46">
        <v>42648</v>
      </c>
      <c r="D1076" s="47">
        <v>47</v>
      </c>
      <c r="E1076" s="32" t="s">
        <v>362</v>
      </c>
      <c r="F1076" s="32" t="s">
        <v>891</v>
      </c>
      <c r="G1076" s="32" t="s">
        <v>2160</v>
      </c>
      <c r="H1076" s="32" t="s">
        <v>424</v>
      </c>
      <c r="I1076" s="47"/>
    </row>
    <row r="1077" spans="1:9" s="150" customFormat="1" ht="20.100000000000001" customHeight="1">
      <c r="A1077" s="42" t="s">
        <v>1513</v>
      </c>
      <c r="B1077" s="18" t="s">
        <v>603</v>
      </c>
      <c r="C1077" s="46">
        <v>42655</v>
      </c>
      <c r="D1077" s="47">
        <v>60</v>
      </c>
      <c r="E1077" s="32" t="s">
        <v>362</v>
      </c>
      <c r="F1077" s="32" t="s">
        <v>63</v>
      </c>
      <c r="G1077" s="32" t="s">
        <v>2031</v>
      </c>
      <c r="H1077" s="32" t="s">
        <v>328</v>
      </c>
      <c r="I1077" s="47"/>
    </row>
    <row r="1078" spans="1:9" s="150" customFormat="1" ht="20.100000000000001" customHeight="1">
      <c r="A1078" s="42" t="s">
        <v>2102</v>
      </c>
      <c r="B1078" s="22" t="s">
        <v>60</v>
      </c>
      <c r="C1078" s="46">
        <v>42651</v>
      </c>
      <c r="D1078" s="47">
        <v>60</v>
      </c>
      <c r="E1078" s="32" t="s">
        <v>362</v>
      </c>
      <c r="F1078" s="32" t="s">
        <v>63</v>
      </c>
      <c r="G1078" s="176" t="s">
        <v>2108</v>
      </c>
      <c r="H1078" s="32" t="s">
        <v>329</v>
      </c>
      <c r="I1078" s="47"/>
    </row>
    <row r="1079" spans="1:9" s="150" customFormat="1" ht="20.100000000000001" customHeight="1">
      <c r="A1079" s="42" t="s">
        <v>2102</v>
      </c>
      <c r="B1079" s="22" t="s">
        <v>60</v>
      </c>
      <c r="C1079" s="46">
        <v>42651</v>
      </c>
      <c r="D1079" s="47">
        <v>60</v>
      </c>
      <c r="E1079" s="32" t="s">
        <v>362</v>
      </c>
      <c r="F1079" s="32" t="s">
        <v>63</v>
      </c>
      <c r="G1079" s="176" t="s">
        <v>2109</v>
      </c>
      <c r="H1079" s="32" t="s">
        <v>329</v>
      </c>
      <c r="I1079" s="47"/>
    </row>
    <row r="1080" spans="1:9" s="150" customFormat="1" ht="20.100000000000001" customHeight="1">
      <c r="A1080" s="42" t="s">
        <v>2368</v>
      </c>
      <c r="B1080" s="22" t="s">
        <v>747</v>
      </c>
      <c r="C1080" s="46">
        <v>42626</v>
      </c>
      <c r="D1080" s="47">
        <v>1000</v>
      </c>
      <c r="E1080" s="32" t="s">
        <v>775</v>
      </c>
      <c r="F1080" s="32" t="s">
        <v>743</v>
      </c>
      <c r="G1080" s="32"/>
      <c r="H1080" s="32" t="s">
        <v>329</v>
      </c>
      <c r="I1080" s="47"/>
    </row>
    <row r="1081" spans="1:9" s="150" customFormat="1" ht="20.100000000000001" customHeight="1">
      <c r="A1081" s="42" t="s">
        <v>1809</v>
      </c>
      <c r="B1081" s="22" t="s">
        <v>747</v>
      </c>
      <c r="C1081" s="46">
        <v>42625</v>
      </c>
      <c r="D1081" s="47">
        <v>1000</v>
      </c>
      <c r="E1081" s="32" t="s">
        <v>911</v>
      </c>
      <c r="F1081" s="32" t="s">
        <v>912</v>
      </c>
      <c r="G1081" s="32"/>
      <c r="H1081" s="32" t="s">
        <v>328</v>
      </c>
      <c r="I1081" s="47"/>
    </row>
    <row r="1082" spans="1:9" s="150" customFormat="1" ht="20.100000000000001" customHeight="1">
      <c r="A1082" s="42" t="s">
        <v>1810</v>
      </c>
      <c r="B1082" s="22" t="s">
        <v>747</v>
      </c>
      <c r="C1082" s="46">
        <v>42639</v>
      </c>
      <c r="D1082" s="47">
        <v>1000</v>
      </c>
      <c r="E1082" s="32" t="s">
        <v>911</v>
      </c>
      <c r="F1082" s="32" t="s">
        <v>912</v>
      </c>
      <c r="G1082" s="32"/>
      <c r="H1082" s="32" t="s">
        <v>328</v>
      </c>
      <c r="I1082" s="47"/>
    </row>
    <row r="1083" spans="1:9" s="150" customFormat="1" ht="20.100000000000001" customHeight="1">
      <c r="A1083" s="42" t="s">
        <v>2102</v>
      </c>
      <c r="B1083" s="22" t="s">
        <v>60</v>
      </c>
      <c r="C1083" s="46">
        <v>42651</v>
      </c>
      <c r="D1083" s="47">
        <v>60</v>
      </c>
      <c r="E1083" s="32" t="s">
        <v>362</v>
      </c>
      <c r="F1083" s="32" t="s">
        <v>63</v>
      </c>
      <c r="G1083" s="176" t="s">
        <v>2125</v>
      </c>
      <c r="H1083" s="32" t="s">
        <v>329</v>
      </c>
      <c r="I1083" s="47"/>
    </row>
    <row r="1084" spans="1:9" s="150" customFormat="1" ht="20.100000000000001" customHeight="1">
      <c r="A1084" s="42" t="s">
        <v>2102</v>
      </c>
      <c r="B1084" s="22" t="s">
        <v>60</v>
      </c>
      <c r="C1084" s="46">
        <v>42651</v>
      </c>
      <c r="D1084" s="47">
        <v>60</v>
      </c>
      <c r="E1084" s="32" t="s">
        <v>362</v>
      </c>
      <c r="F1084" s="32" t="s">
        <v>63</v>
      </c>
      <c r="G1084" s="32" t="s">
        <v>2126</v>
      </c>
      <c r="H1084" s="32" t="s">
        <v>329</v>
      </c>
      <c r="I1084" s="47"/>
    </row>
    <row r="1085" spans="1:9" s="150" customFormat="1" ht="20.100000000000001" customHeight="1">
      <c r="A1085" s="42" t="s">
        <v>1973</v>
      </c>
      <c r="B1085" s="22" t="s">
        <v>60</v>
      </c>
      <c r="C1085" s="46">
        <v>42655</v>
      </c>
      <c r="D1085" s="47">
        <v>70</v>
      </c>
      <c r="E1085" s="32" t="s">
        <v>181</v>
      </c>
      <c r="F1085" s="32" t="s">
        <v>70</v>
      </c>
      <c r="G1085" s="32" t="s">
        <v>2128</v>
      </c>
      <c r="H1085" s="32" t="s">
        <v>329</v>
      </c>
      <c r="I1085" s="47"/>
    </row>
    <row r="1086" spans="1:9" s="150" customFormat="1" ht="20.100000000000001" customHeight="1">
      <c r="A1086" s="42" t="s">
        <v>1973</v>
      </c>
      <c r="B1086" s="22" t="s">
        <v>60</v>
      </c>
      <c r="C1086" s="46">
        <v>42655</v>
      </c>
      <c r="D1086" s="47">
        <v>70</v>
      </c>
      <c r="E1086" s="32" t="s">
        <v>181</v>
      </c>
      <c r="F1086" s="32" t="s">
        <v>70</v>
      </c>
      <c r="G1086" s="32" t="s">
        <v>2129</v>
      </c>
      <c r="H1086" s="32" t="s">
        <v>329</v>
      </c>
      <c r="I1086" s="47"/>
    </row>
    <row r="1087" spans="1:9" s="150" customFormat="1" ht="20.100000000000001" customHeight="1">
      <c r="A1087" s="42" t="s">
        <v>2132</v>
      </c>
      <c r="B1087" s="22" t="s">
        <v>60</v>
      </c>
      <c r="C1087" s="46">
        <v>42655</v>
      </c>
      <c r="D1087" s="47">
        <v>60</v>
      </c>
      <c r="E1087" s="32" t="s">
        <v>362</v>
      </c>
      <c r="F1087" s="32" t="s">
        <v>63</v>
      </c>
      <c r="G1087" s="32" t="s">
        <v>2087</v>
      </c>
      <c r="H1087" s="32" t="s">
        <v>328</v>
      </c>
      <c r="I1087" s="47"/>
    </row>
    <row r="1088" spans="1:9" s="150" customFormat="1" ht="20.100000000000001" customHeight="1">
      <c r="A1088" s="42" t="s">
        <v>2132</v>
      </c>
      <c r="B1088" s="22" t="s">
        <v>60</v>
      </c>
      <c r="C1088" s="46">
        <v>42656</v>
      </c>
      <c r="D1088" s="47">
        <v>60</v>
      </c>
      <c r="E1088" s="32" t="s">
        <v>362</v>
      </c>
      <c r="F1088" s="32" t="s">
        <v>63</v>
      </c>
      <c r="G1088" s="32" t="s">
        <v>2083</v>
      </c>
      <c r="H1088" s="32" t="s">
        <v>328</v>
      </c>
      <c r="I1088" s="47"/>
    </row>
    <row r="1089" spans="1:9" s="150" customFormat="1" ht="20.100000000000001" customHeight="1">
      <c r="A1089" s="42" t="s">
        <v>2132</v>
      </c>
      <c r="B1089" s="22" t="s">
        <v>60</v>
      </c>
      <c r="C1089" s="46">
        <v>42656</v>
      </c>
      <c r="D1089" s="47">
        <v>60</v>
      </c>
      <c r="E1089" s="32" t="s">
        <v>362</v>
      </c>
      <c r="F1089" s="32" t="s">
        <v>63</v>
      </c>
      <c r="G1089" s="32" t="s">
        <v>2084</v>
      </c>
      <c r="H1089" s="32" t="s">
        <v>328</v>
      </c>
      <c r="I1089" s="47"/>
    </row>
    <row r="1090" spans="1:9" s="150" customFormat="1" ht="20.100000000000001" customHeight="1">
      <c r="A1090" s="42" t="s">
        <v>2132</v>
      </c>
      <c r="B1090" s="22" t="s">
        <v>60</v>
      </c>
      <c r="C1090" s="46">
        <v>42656</v>
      </c>
      <c r="D1090" s="47">
        <v>60</v>
      </c>
      <c r="E1090" s="32" t="s">
        <v>362</v>
      </c>
      <c r="F1090" s="32" t="s">
        <v>63</v>
      </c>
      <c r="G1090" s="32" t="s">
        <v>2085</v>
      </c>
      <c r="H1090" s="32" t="s">
        <v>328</v>
      </c>
      <c r="I1090" s="47"/>
    </row>
    <row r="1091" spans="1:9" s="150" customFormat="1" ht="20.100000000000001" customHeight="1">
      <c r="A1091" s="42" t="s">
        <v>2132</v>
      </c>
      <c r="B1091" s="22" t="s">
        <v>60</v>
      </c>
      <c r="C1091" s="46">
        <v>42656</v>
      </c>
      <c r="D1091" s="47">
        <v>60</v>
      </c>
      <c r="E1091" s="32" t="s">
        <v>362</v>
      </c>
      <c r="F1091" s="32" t="s">
        <v>63</v>
      </c>
      <c r="G1091" s="32" t="s">
        <v>2086</v>
      </c>
      <c r="H1091" s="32" t="s">
        <v>328</v>
      </c>
      <c r="I1091" s="47"/>
    </row>
    <row r="1092" spans="1:9" s="150" customFormat="1" ht="20.100000000000001" customHeight="1">
      <c r="A1092" s="22" t="s">
        <v>2148</v>
      </c>
      <c r="B1092" s="22" t="s">
        <v>60</v>
      </c>
      <c r="C1092" s="46">
        <v>42656</v>
      </c>
      <c r="D1092" s="47">
        <v>70</v>
      </c>
      <c r="E1092" s="32" t="s">
        <v>663</v>
      </c>
      <c r="F1092" s="32" t="s">
        <v>70</v>
      </c>
      <c r="G1092" s="291" t="s">
        <v>2144</v>
      </c>
      <c r="H1092" s="32" t="s">
        <v>329</v>
      </c>
      <c r="I1092" s="47"/>
    </row>
    <row r="1093" spans="1:9" s="150" customFormat="1" ht="20.100000000000001" customHeight="1">
      <c r="A1093" s="22" t="s">
        <v>2148</v>
      </c>
      <c r="B1093" s="22" t="s">
        <v>60</v>
      </c>
      <c r="C1093" s="46">
        <v>42656</v>
      </c>
      <c r="D1093" s="47">
        <v>70</v>
      </c>
      <c r="E1093" s="32" t="s">
        <v>663</v>
      </c>
      <c r="F1093" s="32" t="s">
        <v>70</v>
      </c>
      <c r="G1093" s="291" t="s">
        <v>2145</v>
      </c>
      <c r="H1093" s="32" t="s">
        <v>329</v>
      </c>
      <c r="I1093" s="47"/>
    </row>
    <row r="1094" spans="1:9" s="150" customFormat="1" ht="20.100000000000001" customHeight="1">
      <c r="A1094" s="22" t="s">
        <v>2148</v>
      </c>
      <c r="B1094" s="22" t="s">
        <v>60</v>
      </c>
      <c r="C1094" s="46">
        <v>42656</v>
      </c>
      <c r="D1094" s="47">
        <v>70</v>
      </c>
      <c r="E1094" s="32" t="s">
        <v>663</v>
      </c>
      <c r="F1094" s="32" t="s">
        <v>70</v>
      </c>
      <c r="G1094" s="291" t="s">
        <v>2146</v>
      </c>
      <c r="H1094" s="32" t="s">
        <v>329</v>
      </c>
      <c r="I1094" s="47"/>
    </row>
    <row r="1095" spans="1:9" s="150" customFormat="1" ht="20.100000000000001" customHeight="1">
      <c r="A1095" s="22" t="s">
        <v>2148</v>
      </c>
      <c r="B1095" s="22" t="s">
        <v>60</v>
      </c>
      <c r="C1095" s="46">
        <v>42656</v>
      </c>
      <c r="D1095" s="47">
        <v>70</v>
      </c>
      <c r="E1095" s="32" t="s">
        <v>663</v>
      </c>
      <c r="F1095" s="32" t="s">
        <v>70</v>
      </c>
      <c r="G1095" s="291" t="s">
        <v>2147</v>
      </c>
      <c r="H1095" s="32" t="s">
        <v>329</v>
      </c>
      <c r="I1095" s="47"/>
    </row>
    <row r="1096" spans="1:9" s="150" customFormat="1" ht="20.100000000000001" customHeight="1">
      <c r="A1096" s="42" t="s">
        <v>2149</v>
      </c>
      <c r="B1096" s="22" t="s">
        <v>291</v>
      </c>
      <c r="C1096" s="46">
        <v>42656</v>
      </c>
      <c r="D1096" s="47">
        <v>3400</v>
      </c>
      <c r="E1096" s="32" t="s">
        <v>226</v>
      </c>
      <c r="F1096" s="32" t="s">
        <v>166</v>
      </c>
      <c r="G1096" s="32"/>
      <c r="H1096" s="32" t="s">
        <v>329</v>
      </c>
      <c r="I1096" s="47"/>
    </row>
    <row r="1097" spans="1:9" s="150" customFormat="1" ht="20.100000000000001" customHeight="1">
      <c r="A1097" s="22" t="s">
        <v>2052</v>
      </c>
      <c r="B1097" s="22" t="s">
        <v>93</v>
      </c>
      <c r="C1097" s="46">
        <v>42656</v>
      </c>
      <c r="D1097" s="47">
        <v>3400</v>
      </c>
      <c r="E1097" s="32" t="s">
        <v>226</v>
      </c>
      <c r="F1097" s="32" t="s">
        <v>63</v>
      </c>
      <c r="G1097" s="32"/>
      <c r="H1097" s="32" t="s">
        <v>328</v>
      </c>
      <c r="I1097" s="47"/>
    </row>
    <row r="1098" spans="1:9" s="150" customFormat="1" ht="20.100000000000001" customHeight="1">
      <c r="A1098" s="22" t="s">
        <v>2151</v>
      </c>
      <c r="B1098" s="22" t="s">
        <v>1380</v>
      </c>
      <c r="C1098" s="46">
        <v>42656</v>
      </c>
      <c r="D1098" s="47">
        <v>3800</v>
      </c>
      <c r="E1098" s="32" t="s">
        <v>1000</v>
      </c>
      <c r="F1098" s="32" t="s">
        <v>166</v>
      </c>
      <c r="G1098" s="32"/>
      <c r="H1098" s="32" t="s">
        <v>329</v>
      </c>
      <c r="I1098" s="47"/>
    </row>
    <row r="1099" spans="1:9" s="150" customFormat="1" ht="20.100000000000001" customHeight="1">
      <c r="A1099" s="22" t="s">
        <v>2152</v>
      </c>
      <c r="B1099" s="22" t="s">
        <v>1380</v>
      </c>
      <c r="C1099" s="46">
        <v>42656</v>
      </c>
      <c r="D1099" s="47">
        <v>3800</v>
      </c>
      <c r="E1099" s="32" t="s">
        <v>1000</v>
      </c>
      <c r="F1099" s="32" t="s">
        <v>166</v>
      </c>
      <c r="G1099" s="32"/>
      <c r="H1099" s="32" t="s">
        <v>328</v>
      </c>
      <c r="I1099" s="47"/>
    </row>
    <row r="1100" spans="1:9" s="150" customFormat="1" ht="20.100000000000001" customHeight="1">
      <c r="A1100" s="22" t="s">
        <v>2153</v>
      </c>
      <c r="B1100" s="22" t="s">
        <v>82</v>
      </c>
      <c r="C1100" s="46">
        <v>42657</v>
      </c>
      <c r="D1100" s="47">
        <v>36</v>
      </c>
      <c r="E1100" s="32" t="s">
        <v>165</v>
      </c>
      <c r="F1100" s="32" t="s">
        <v>63</v>
      </c>
      <c r="G1100" s="147" t="s">
        <v>360</v>
      </c>
      <c r="H1100" s="32" t="s">
        <v>328</v>
      </c>
      <c r="I1100" s="47"/>
    </row>
    <row r="1101" spans="1:9" s="150" customFormat="1" ht="20.100000000000001" customHeight="1">
      <c r="A1101" s="22" t="s">
        <v>2153</v>
      </c>
      <c r="B1101" s="22" t="s">
        <v>175</v>
      </c>
      <c r="C1101" s="46">
        <v>42657</v>
      </c>
      <c r="D1101" s="47">
        <v>27</v>
      </c>
      <c r="E1101" s="32" t="s">
        <v>165</v>
      </c>
      <c r="F1101" s="32" t="s">
        <v>166</v>
      </c>
      <c r="G1101" s="147" t="s">
        <v>2154</v>
      </c>
      <c r="H1101" s="32" t="s">
        <v>328</v>
      </c>
      <c r="I1101" s="47"/>
    </row>
    <row r="1102" spans="1:9" s="150" customFormat="1" ht="20.100000000000001" customHeight="1">
      <c r="A1102" s="22" t="s">
        <v>2158</v>
      </c>
      <c r="B1102" s="22" t="s">
        <v>402</v>
      </c>
      <c r="C1102" s="46">
        <v>42656</v>
      </c>
      <c r="D1102" s="47">
        <v>70</v>
      </c>
      <c r="E1102" s="32" t="s">
        <v>62</v>
      </c>
      <c r="F1102" s="32" t="s">
        <v>891</v>
      </c>
      <c r="G1102" s="291" t="s">
        <v>2157</v>
      </c>
      <c r="H1102" s="32" t="s">
        <v>690</v>
      </c>
      <c r="I1102" s="47"/>
    </row>
    <row r="1103" spans="1:9" s="150" customFormat="1" ht="20.100000000000001" customHeight="1">
      <c r="A1103" s="22" t="s">
        <v>2158</v>
      </c>
      <c r="B1103" s="22" t="s">
        <v>402</v>
      </c>
      <c r="C1103" s="46">
        <v>42656</v>
      </c>
      <c r="D1103" s="47">
        <v>70</v>
      </c>
      <c r="E1103" s="32" t="s">
        <v>62</v>
      </c>
      <c r="F1103" s="32" t="s">
        <v>891</v>
      </c>
      <c r="G1103" s="291" t="s">
        <v>2159</v>
      </c>
      <c r="H1103" s="32" t="s">
        <v>690</v>
      </c>
      <c r="I1103" s="47"/>
    </row>
    <row r="1104" spans="1:9" s="150" customFormat="1" ht="20.100000000000001" customHeight="1">
      <c r="A1104" s="42" t="s">
        <v>2133</v>
      </c>
      <c r="B1104" s="22" t="s">
        <v>430</v>
      </c>
      <c r="C1104" s="46">
        <v>42639</v>
      </c>
      <c r="D1104" s="47">
        <v>13</v>
      </c>
      <c r="E1104" s="32" t="s">
        <v>362</v>
      </c>
      <c r="F1104" s="32" t="s">
        <v>891</v>
      </c>
      <c r="G1104" s="32" t="s">
        <v>564</v>
      </c>
      <c r="H1104" s="32" t="s">
        <v>690</v>
      </c>
      <c r="I1104" s="47"/>
    </row>
    <row r="1105" spans="1:9" s="150" customFormat="1" ht="20.100000000000001" customHeight="1">
      <c r="A1105" s="42" t="s">
        <v>2171</v>
      </c>
      <c r="B1105" s="22" t="s">
        <v>430</v>
      </c>
      <c r="C1105" s="46">
        <v>42648</v>
      </c>
      <c r="D1105" s="47">
        <v>13</v>
      </c>
      <c r="E1105" s="32" t="s">
        <v>362</v>
      </c>
      <c r="F1105" s="32" t="s">
        <v>891</v>
      </c>
      <c r="G1105" s="32" t="s">
        <v>564</v>
      </c>
      <c r="H1105" s="32" t="s">
        <v>424</v>
      </c>
      <c r="I1105" s="47"/>
    </row>
    <row r="1106" spans="1:9" s="150" customFormat="1" ht="20.100000000000001" customHeight="1">
      <c r="A1106" s="22" t="s">
        <v>2165</v>
      </c>
      <c r="B1106" s="22" t="s">
        <v>430</v>
      </c>
      <c r="C1106" s="46">
        <v>42657</v>
      </c>
      <c r="D1106" s="47">
        <v>60</v>
      </c>
      <c r="E1106" s="32" t="s">
        <v>2166</v>
      </c>
      <c r="F1106" s="32" t="s">
        <v>891</v>
      </c>
      <c r="G1106" s="176" t="s">
        <v>2161</v>
      </c>
      <c r="H1106" s="32" t="s">
        <v>690</v>
      </c>
      <c r="I1106" s="47"/>
    </row>
    <row r="1107" spans="1:9" s="150" customFormat="1" ht="20.100000000000001" customHeight="1">
      <c r="A1107" s="22" t="s">
        <v>2165</v>
      </c>
      <c r="B1107" s="22" t="s">
        <v>430</v>
      </c>
      <c r="C1107" s="46">
        <v>42657</v>
      </c>
      <c r="D1107" s="47">
        <v>60</v>
      </c>
      <c r="E1107" s="32" t="s">
        <v>2166</v>
      </c>
      <c r="F1107" s="32" t="s">
        <v>891</v>
      </c>
      <c r="G1107" s="176" t="s">
        <v>2162</v>
      </c>
      <c r="H1107" s="32" t="s">
        <v>690</v>
      </c>
      <c r="I1107" s="47"/>
    </row>
    <row r="1108" spans="1:9" s="150" customFormat="1" ht="20.100000000000001" customHeight="1">
      <c r="A1108" s="22" t="s">
        <v>2165</v>
      </c>
      <c r="B1108" s="22" t="s">
        <v>430</v>
      </c>
      <c r="C1108" s="46">
        <v>42657</v>
      </c>
      <c r="D1108" s="47">
        <v>60</v>
      </c>
      <c r="E1108" s="32" t="s">
        <v>2166</v>
      </c>
      <c r="F1108" s="32" t="s">
        <v>891</v>
      </c>
      <c r="G1108" s="176" t="s">
        <v>2163</v>
      </c>
      <c r="H1108" s="32" t="s">
        <v>690</v>
      </c>
      <c r="I1108" s="47"/>
    </row>
    <row r="1109" spans="1:9" s="150" customFormat="1" ht="20.100000000000001" customHeight="1">
      <c r="A1109" s="22" t="s">
        <v>2165</v>
      </c>
      <c r="B1109" s="22" t="s">
        <v>430</v>
      </c>
      <c r="C1109" s="46">
        <v>42657</v>
      </c>
      <c r="D1109" s="47">
        <v>60</v>
      </c>
      <c r="E1109" s="32" t="s">
        <v>2166</v>
      </c>
      <c r="F1109" s="32" t="s">
        <v>891</v>
      </c>
      <c r="G1109" s="176" t="s">
        <v>2164</v>
      </c>
      <c r="H1109" s="32" t="s">
        <v>690</v>
      </c>
      <c r="I1109" s="47"/>
    </row>
    <row r="1110" spans="1:9" s="150" customFormat="1" ht="20.100000000000001" customHeight="1">
      <c r="A1110" s="22" t="s">
        <v>2165</v>
      </c>
      <c r="B1110" s="151" t="s">
        <v>60</v>
      </c>
      <c r="C1110" s="46">
        <v>42661</v>
      </c>
      <c r="D1110" s="47">
        <v>60</v>
      </c>
      <c r="E1110" s="32" t="s">
        <v>181</v>
      </c>
      <c r="F1110" s="32" t="s">
        <v>63</v>
      </c>
      <c r="G1110" s="176" t="s">
        <v>2169</v>
      </c>
      <c r="H1110" s="32" t="s">
        <v>329</v>
      </c>
      <c r="I1110" s="47"/>
    </row>
    <row r="1111" spans="1:9" s="150" customFormat="1" ht="20.100000000000001" customHeight="1">
      <c r="A1111" s="22" t="s">
        <v>2165</v>
      </c>
      <c r="B1111" s="151" t="s">
        <v>60</v>
      </c>
      <c r="C1111" s="46">
        <v>42661</v>
      </c>
      <c r="D1111" s="47">
        <v>60</v>
      </c>
      <c r="E1111" s="32" t="s">
        <v>181</v>
      </c>
      <c r="F1111" s="32" t="s">
        <v>63</v>
      </c>
      <c r="G1111" s="176" t="s">
        <v>2170</v>
      </c>
      <c r="H1111" s="32" t="s">
        <v>329</v>
      </c>
      <c r="I1111" s="47"/>
    </row>
    <row r="1112" spans="1:9" s="150" customFormat="1" ht="20.100000000000001" customHeight="1">
      <c r="A1112" s="42" t="s">
        <v>2171</v>
      </c>
      <c r="B1112" s="22" t="s">
        <v>60</v>
      </c>
      <c r="C1112" s="46">
        <v>42661</v>
      </c>
      <c r="D1112" s="47">
        <v>60</v>
      </c>
      <c r="E1112" s="32" t="s">
        <v>362</v>
      </c>
      <c r="F1112" s="32" t="s">
        <v>63</v>
      </c>
      <c r="G1112" s="32" t="s">
        <v>2082</v>
      </c>
      <c r="H1112" s="32" t="s">
        <v>328</v>
      </c>
      <c r="I1112" s="47"/>
    </row>
    <row r="1113" spans="1:9" s="150" customFormat="1" ht="20.100000000000001" customHeight="1">
      <c r="A1113" s="42" t="s">
        <v>2171</v>
      </c>
      <c r="B1113" s="22" t="s">
        <v>60</v>
      </c>
      <c r="C1113" s="46">
        <v>42661</v>
      </c>
      <c r="D1113" s="47">
        <v>60</v>
      </c>
      <c r="E1113" s="32" t="s">
        <v>362</v>
      </c>
      <c r="F1113" s="32" t="s">
        <v>63</v>
      </c>
      <c r="G1113" s="176" t="s">
        <v>2108</v>
      </c>
      <c r="H1113" s="32" t="s">
        <v>328</v>
      </c>
      <c r="I1113" s="47"/>
    </row>
    <row r="1114" spans="1:9" s="150" customFormat="1" ht="20.100000000000001" customHeight="1">
      <c r="A1114" s="42" t="s">
        <v>2171</v>
      </c>
      <c r="B1114" s="22" t="s">
        <v>60</v>
      </c>
      <c r="C1114" s="46">
        <v>42661</v>
      </c>
      <c r="D1114" s="47">
        <v>60</v>
      </c>
      <c r="E1114" s="32" t="s">
        <v>362</v>
      </c>
      <c r="F1114" s="32" t="s">
        <v>63</v>
      </c>
      <c r="G1114" s="176" t="s">
        <v>2109</v>
      </c>
      <c r="H1114" s="32" t="s">
        <v>328</v>
      </c>
      <c r="I1114" s="47"/>
    </row>
    <row r="1115" spans="1:9" s="150" customFormat="1" ht="20.100000000000001" customHeight="1">
      <c r="A1115" s="42" t="s">
        <v>2171</v>
      </c>
      <c r="B1115" s="22" t="s">
        <v>60</v>
      </c>
      <c r="C1115" s="46">
        <v>42661</v>
      </c>
      <c r="D1115" s="47">
        <v>60</v>
      </c>
      <c r="E1115" s="32" t="s">
        <v>362</v>
      </c>
      <c r="F1115" s="32" t="s">
        <v>63</v>
      </c>
      <c r="G1115" s="176" t="s">
        <v>2125</v>
      </c>
      <c r="H1115" s="32" t="s">
        <v>328</v>
      </c>
      <c r="I1115" s="47"/>
    </row>
    <row r="1116" spans="1:9" s="150" customFormat="1" ht="20.100000000000001" customHeight="1">
      <c r="A1116" s="42" t="s">
        <v>2132</v>
      </c>
      <c r="B1116" s="22" t="s">
        <v>60</v>
      </c>
      <c r="C1116" s="46">
        <v>42661</v>
      </c>
      <c r="D1116" s="47">
        <v>60</v>
      </c>
      <c r="E1116" s="32" t="s">
        <v>362</v>
      </c>
      <c r="F1116" s="32" t="s">
        <v>63</v>
      </c>
      <c r="G1116" s="176" t="s">
        <v>2126</v>
      </c>
      <c r="H1116" s="32" t="s">
        <v>328</v>
      </c>
      <c r="I1116" s="47"/>
    </row>
    <row r="1117" spans="1:9" ht="20.100000000000001" customHeight="1">
      <c r="A1117" s="145" t="s">
        <v>1892</v>
      </c>
      <c r="B1117" s="151" t="s">
        <v>60</v>
      </c>
      <c r="C1117" s="46">
        <v>42661</v>
      </c>
      <c r="D1117" s="47">
        <v>70</v>
      </c>
      <c r="E1117" s="32" t="s">
        <v>181</v>
      </c>
      <c r="F1117" s="32" t="s">
        <v>70</v>
      </c>
      <c r="G1117" s="176" t="s">
        <v>2128</v>
      </c>
      <c r="H1117" s="32" t="s">
        <v>328</v>
      </c>
      <c r="I1117" s="47"/>
    </row>
    <row r="1118" spans="1:9" ht="20.100000000000001" customHeight="1">
      <c r="A1118" s="145" t="s">
        <v>1892</v>
      </c>
      <c r="B1118" s="151" t="s">
        <v>60</v>
      </c>
      <c r="C1118" s="46">
        <v>42661</v>
      </c>
      <c r="D1118" s="47">
        <v>70</v>
      </c>
      <c r="E1118" s="32" t="s">
        <v>181</v>
      </c>
      <c r="F1118" s="32" t="s">
        <v>70</v>
      </c>
      <c r="G1118" s="176" t="s">
        <v>2129</v>
      </c>
      <c r="H1118" s="32" t="s">
        <v>328</v>
      </c>
      <c r="I1118" s="47"/>
    </row>
    <row r="1119" spans="1:9" s="150" customFormat="1" ht="20.100000000000001" customHeight="1">
      <c r="A1119" s="42" t="s">
        <v>2172</v>
      </c>
      <c r="B1119" s="22" t="s">
        <v>60</v>
      </c>
      <c r="C1119" s="46">
        <v>42661</v>
      </c>
      <c r="D1119" s="47">
        <v>70</v>
      </c>
      <c r="E1119" s="32" t="s">
        <v>663</v>
      </c>
      <c r="F1119" s="32" t="s">
        <v>70</v>
      </c>
      <c r="G1119" s="176" t="s">
        <v>2144</v>
      </c>
      <c r="H1119" s="32" t="s">
        <v>328</v>
      </c>
      <c r="I1119" s="47"/>
    </row>
    <row r="1120" spans="1:9" s="150" customFormat="1" ht="20.100000000000001" customHeight="1">
      <c r="A1120" s="42" t="s">
        <v>2172</v>
      </c>
      <c r="B1120" s="22" t="s">
        <v>60</v>
      </c>
      <c r="C1120" s="46">
        <v>42661</v>
      </c>
      <c r="D1120" s="47">
        <v>70</v>
      </c>
      <c r="E1120" s="32" t="s">
        <v>663</v>
      </c>
      <c r="F1120" s="32" t="s">
        <v>70</v>
      </c>
      <c r="G1120" s="176" t="s">
        <v>2145</v>
      </c>
      <c r="H1120" s="32" t="s">
        <v>328</v>
      </c>
      <c r="I1120" s="47"/>
    </row>
    <row r="1121" spans="1:9" s="150" customFormat="1" ht="20.100000000000001" customHeight="1">
      <c r="A1121" s="42" t="s">
        <v>2172</v>
      </c>
      <c r="B1121" s="22" t="s">
        <v>60</v>
      </c>
      <c r="C1121" s="46">
        <v>42661</v>
      </c>
      <c r="D1121" s="47">
        <v>70</v>
      </c>
      <c r="E1121" s="32" t="s">
        <v>663</v>
      </c>
      <c r="F1121" s="32" t="s">
        <v>70</v>
      </c>
      <c r="G1121" s="176" t="s">
        <v>2146</v>
      </c>
      <c r="H1121" s="32" t="s">
        <v>328</v>
      </c>
      <c r="I1121" s="47"/>
    </row>
    <row r="1122" spans="1:9" s="150" customFormat="1" ht="20.100000000000001" customHeight="1">
      <c r="A1122" s="42" t="s">
        <v>2172</v>
      </c>
      <c r="B1122" s="22" t="s">
        <v>60</v>
      </c>
      <c r="C1122" s="46">
        <v>42661</v>
      </c>
      <c r="D1122" s="47">
        <v>70</v>
      </c>
      <c r="E1122" s="32" t="s">
        <v>663</v>
      </c>
      <c r="F1122" s="32" t="s">
        <v>70</v>
      </c>
      <c r="G1122" s="176" t="s">
        <v>2147</v>
      </c>
      <c r="H1122" s="32" t="s">
        <v>328</v>
      </c>
      <c r="I1122" s="47"/>
    </row>
    <row r="1123" spans="1:9" s="150" customFormat="1" ht="20.100000000000001" customHeight="1">
      <c r="A1123" s="22" t="s">
        <v>2158</v>
      </c>
      <c r="B1123" s="22" t="s">
        <v>402</v>
      </c>
      <c r="C1123" s="46">
        <v>42661</v>
      </c>
      <c r="D1123" s="47">
        <v>70</v>
      </c>
      <c r="E1123" s="32" t="s">
        <v>62</v>
      </c>
      <c r="F1123" s="32" t="s">
        <v>63</v>
      </c>
      <c r="G1123" s="291" t="s">
        <v>2173</v>
      </c>
      <c r="H1123" s="32" t="s">
        <v>329</v>
      </c>
      <c r="I1123" s="47"/>
    </row>
    <row r="1124" spans="1:9" s="150" customFormat="1" ht="20.100000000000001" customHeight="1">
      <c r="A1124" s="42" t="s">
        <v>2171</v>
      </c>
      <c r="B1124" s="151" t="s">
        <v>60</v>
      </c>
      <c r="C1124" s="46">
        <v>42661</v>
      </c>
      <c r="D1124" s="47">
        <v>60</v>
      </c>
      <c r="E1124" s="32" t="s">
        <v>181</v>
      </c>
      <c r="F1124" s="32" t="s">
        <v>63</v>
      </c>
      <c r="G1124" s="176" t="s">
        <v>2161</v>
      </c>
      <c r="H1124" s="32" t="s">
        <v>328</v>
      </c>
      <c r="I1124" s="47"/>
    </row>
    <row r="1125" spans="1:9" s="150" customFormat="1" ht="20.100000000000001" customHeight="1">
      <c r="A1125" s="42" t="s">
        <v>2171</v>
      </c>
      <c r="B1125" s="151" t="s">
        <v>60</v>
      </c>
      <c r="C1125" s="46">
        <v>42661</v>
      </c>
      <c r="D1125" s="47">
        <v>60</v>
      </c>
      <c r="E1125" s="32" t="s">
        <v>181</v>
      </c>
      <c r="F1125" s="32" t="s">
        <v>63</v>
      </c>
      <c r="G1125" s="176" t="s">
        <v>2162</v>
      </c>
      <c r="H1125" s="32" t="s">
        <v>328</v>
      </c>
      <c r="I1125" s="47"/>
    </row>
    <row r="1126" spans="1:9" s="150" customFormat="1" ht="20.100000000000001" customHeight="1">
      <c r="A1126" s="42" t="s">
        <v>2171</v>
      </c>
      <c r="B1126" s="151" t="s">
        <v>60</v>
      </c>
      <c r="C1126" s="46">
        <v>42661</v>
      </c>
      <c r="D1126" s="47">
        <v>60</v>
      </c>
      <c r="E1126" s="32" t="s">
        <v>181</v>
      </c>
      <c r="F1126" s="32" t="s">
        <v>63</v>
      </c>
      <c r="G1126" s="176" t="s">
        <v>2163</v>
      </c>
      <c r="H1126" s="32" t="s">
        <v>328</v>
      </c>
      <c r="I1126" s="47"/>
    </row>
    <row r="1127" spans="1:9" s="150" customFormat="1" ht="20.100000000000001" customHeight="1">
      <c r="A1127" s="42" t="s">
        <v>2171</v>
      </c>
      <c r="B1127" s="151" t="s">
        <v>60</v>
      </c>
      <c r="C1127" s="46">
        <v>42661</v>
      </c>
      <c r="D1127" s="47">
        <v>60</v>
      </c>
      <c r="E1127" s="32" t="s">
        <v>181</v>
      </c>
      <c r="F1127" s="32" t="s">
        <v>63</v>
      </c>
      <c r="G1127" s="176" t="s">
        <v>2164</v>
      </c>
      <c r="H1127" s="32" t="s">
        <v>328</v>
      </c>
      <c r="I1127" s="47"/>
    </row>
    <row r="1128" spans="1:9" s="150" customFormat="1" ht="20.100000000000001" customHeight="1">
      <c r="A1128" s="42" t="s">
        <v>2088</v>
      </c>
      <c r="B1128" s="22" t="s">
        <v>60</v>
      </c>
      <c r="C1128" s="46">
        <v>42656</v>
      </c>
      <c r="D1128" s="47">
        <v>60</v>
      </c>
      <c r="E1128" s="32" t="s">
        <v>1110</v>
      </c>
      <c r="F1128" s="32" t="s">
        <v>70</v>
      </c>
      <c r="G1128" s="291" t="s">
        <v>2178</v>
      </c>
      <c r="H1128" s="32" t="s">
        <v>329</v>
      </c>
      <c r="I1128" s="47"/>
    </row>
    <row r="1129" spans="1:9" s="150" customFormat="1" ht="20.100000000000001" customHeight="1">
      <c r="A1129" s="42" t="s">
        <v>2088</v>
      </c>
      <c r="B1129" s="22" t="s">
        <v>60</v>
      </c>
      <c r="C1129" s="46">
        <v>42656</v>
      </c>
      <c r="D1129" s="47">
        <v>60</v>
      </c>
      <c r="E1129" s="32" t="s">
        <v>1110</v>
      </c>
      <c r="F1129" s="32" t="s">
        <v>70</v>
      </c>
      <c r="G1129" s="291" t="s">
        <v>2179</v>
      </c>
      <c r="H1129" s="32" t="s">
        <v>329</v>
      </c>
      <c r="I1129" s="47"/>
    </row>
    <row r="1130" spans="1:9" s="150" customFormat="1" ht="20.100000000000001" customHeight="1">
      <c r="A1130" s="42" t="s">
        <v>2088</v>
      </c>
      <c r="B1130" s="22" t="s">
        <v>60</v>
      </c>
      <c r="C1130" s="46">
        <v>42659</v>
      </c>
      <c r="D1130" s="47">
        <v>70</v>
      </c>
      <c r="E1130" s="32" t="s">
        <v>1110</v>
      </c>
      <c r="F1130" s="32" t="s">
        <v>70</v>
      </c>
      <c r="G1130" s="291" t="s">
        <v>2180</v>
      </c>
      <c r="H1130" s="32" t="s">
        <v>329</v>
      </c>
      <c r="I1130" s="47"/>
    </row>
    <row r="1131" spans="1:9" s="150" customFormat="1" ht="20.100000000000001" customHeight="1">
      <c r="A1131" s="42" t="s">
        <v>2088</v>
      </c>
      <c r="B1131" s="22" t="s">
        <v>60</v>
      </c>
      <c r="C1131" s="46">
        <v>42659</v>
      </c>
      <c r="D1131" s="47">
        <v>70</v>
      </c>
      <c r="E1131" s="32" t="s">
        <v>1110</v>
      </c>
      <c r="F1131" s="32" t="s">
        <v>70</v>
      </c>
      <c r="G1131" s="291" t="s">
        <v>2181</v>
      </c>
      <c r="H1131" s="32" t="s">
        <v>329</v>
      </c>
      <c r="I1131" s="47"/>
    </row>
    <row r="1132" spans="1:9" s="150" customFormat="1" ht="20.100000000000001" customHeight="1">
      <c r="A1132" s="42" t="s">
        <v>2088</v>
      </c>
      <c r="B1132" s="22" t="s">
        <v>60</v>
      </c>
      <c r="C1132" s="46">
        <v>42659</v>
      </c>
      <c r="D1132" s="47">
        <v>70</v>
      </c>
      <c r="E1132" s="32" t="s">
        <v>1110</v>
      </c>
      <c r="F1132" s="32" t="s">
        <v>70</v>
      </c>
      <c r="G1132" s="291" t="s">
        <v>2182</v>
      </c>
      <c r="H1132" s="32" t="s">
        <v>329</v>
      </c>
      <c r="I1132" s="47"/>
    </row>
    <row r="1133" spans="1:9" s="150" customFormat="1" ht="20.100000000000001" customHeight="1">
      <c r="A1133" s="42" t="s">
        <v>2088</v>
      </c>
      <c r="B1133" s="22" t="s">
        <v>60</v>
      </c>
      <c r="C1133" s="46">
        <v>42659</v>
      </c>
      <c r="D1133" s="47">
        <v>70</v>
      </c>
      <c r="E1133" s="32" t="s">
        <v>1110</v>
      </c>
      <c r="F1133" s="32" t="s">
        <v>70</v>
      </c>
      <c r="G1133" s="291" t="s">
        <v>2183</v>
      </c>
      <c r="H1133" s="32" t="s">
        <v>329</v>
      </c>
      <c r="I1133" s="47"/>
    </row>
    <row r="1134" spans="1:9" s="150" customFormat="1" ht="20.100000000000001" customHeight="1">
      <c r="A1134" s="22" t="s">
        <v>2184</v>
      </c>
      <c r="B1134" s="22" t="s">
        <v>2185</v>
      </c>
      <c r="C1134" s="46">
        <v>42653</v>
      </c>
      <c r="D1134" s="47">
        <v>60</v>
      </c>
      <c r="E1134" s="32" t="s">
        <v>2188</v>
      </c>
      <c r="F1134" s="32" t="s">
        <v>63</v>
      </c>
      <c r="G1134" s="176" t="s">
        <v>2186</v>
      </c>
      <c r="H1134" s="32" t="s">
        <v>2187</v>
      </c>
      <c r="I1134" s="47"/>
    </row>
    <row r="1135" spans="1:9" s="150" customFormat="1" ht="20.100000000000001" customHeight="1">
      <c r="A1135" s="22" t="s">
        <v>2184</v>
      </c>
      <c r="B1135" s="22" t="s">
        <v>2185</v>
      </c>
      <c r="C1135" s="46">
        <v>42653</v>
      </c>
      <c r="D1135" s="47">
        <v>60</v>
      </c>
      <c r="E1135" s="32" t="s">
        <v>2188</v>
      </c>
      <c r="F1135" s="32" t="s">
        <v>63</v>
      </c>
      <c r="G1135" s="176" t="s">
        <v>2189</v>
      </c>
      <c r="H1135" s="32" t="s">
        <v>2187</v>
      </c>
      <c r="I1135" s="47"/>
    </row>
    <row r="1136" spans="1:9" s="150" customFormat="1" ht="20.100000000000001" customHeight="1">
      <c r="A1136" s="22" t="s">
        <v>2184</v>
      </c>
      <c r="B1136" s="22" t="s">
        <v>2185</v>
      </c>
      <c r="C1136" s="46">
        <v>42656</v>
      </c>
      <c r="D1136" s="47">
        <v>70</v>
      </c>
      <c r="E1136" s="32" t="s">
        <v>2188</v>
      </c>
      <c r="F1136" s="32" t="s">
        <v>63</v>
      </c>
      <c r="G1136" s="176" t="s">
        <v>2223</v>
      </c>
      <c r="H1136" s="32" t="s">
        <v>2187</v>
      </c>
      <c r="I1136" s="47"/>
    </row>
    <row r="1137" spans="1:9" s="150" customFormat="1" ht="20.100000000000001" customHeight="1">
      <c r="A1137" s="22" t="s">
        <v>2158</v>
      </c>
      <c r="B1137" s="22" t="s">
        <v>402</v>
      </c>
      <c r="C1137" s="46">
        <v>42662</v>
      </c>
      <c r="D1137" s="47">
        <v>70</v>
      </c>
      <c r="E1137" s="32" t="s">
        <v>62</v>
      </c>
      <c r="F1137" s="32" t="s">
        <v>63</v>
      </c>
      <c r="G1137" s="291" t="s">
        <v>2200</v>
      </c>
      <c r="H1137" s="32" t="s">
        <v>329</v>
      </c>
      <c r="I1137" s="47"/>
    </row>
    <row r="1138" spans="1:9" s="150" customFormat="1" ht="20.100000000000001" customHeight="1">
      <c r="A1138" s="42" t="s">
        <v>2202</v>
      </c>
      <c r="B1138" s="22" t="s">
        <v>2206</v>
      </c>
      <c r="C1138" s="46">
        <v>42663</v>
      </c>
      <c r="D1138" s="47">
        <v>5160.3</v>
      </c>
      <c r="E1138" s="32" t="s">
        <v>2207</v>
      </c>
      <c r="F1138" s="32" t="s">
        <v>63</v>
      </c>
      <c r="G1138" s="176"/>
      <c r="H1138" s="32" t="s">
        <v>329</v>
      </c>
      <c r="I1138" s="47"/>
    </row>
    <row r="1139" spans="1:9" s="150" customFormat="1" ht="20.100000000000001" customHeight="1">
      <c r="A1139" s="42" t="s">
        <v>2205</v>
      </c>
      <c r="B1139" s="22" t="s">
        <v>2206</v>
      </c>
      <c r="C1139" s="46">
        <v>42664</v>
      </c>
      <c r="D1139" s="47">
        <v>5160.3</v>
      </c>
      <c r="E1139" s="32" t="s">
        <v>2207</v>
      </c>
      <c r="F1139" s="32" t="s">
        <v>63</v>
      </c>
      <c r="G1139" s="176"/>
      <c r="H1139" s="32" t="s">
        <v>328</v>
      </c>
      <c r="I1139" s="47"/>
    </row>
    <row r="1140" spans="1:9" s="150" customFormat="1" ht="20.100000000000001" customHeight="1">
      <c r="A1140" s="42" t="s">
        <v>2215</v>
      </c>
      <c r="B1140" s="22" t="s">
        <v>85</v>
      </c>
      <c r="C1140" s="46">
        <v>42667</v>
      </c>
      <c r="D1140" s="47">
        <v>27</v>
      </c>
      <c r="E1140" s="32" t="s">
        <v>298</v>
      </c>
      <c r="F1140" s="32" t="s">
        <v>63</v>
      </c>
      <c r="G1140" s="176" t="s">
        <v>2214</v>
      </c>
      <c r="H1140" s="32" t="s">
        <v>328</v>
      </c>
      <c r="I1140" s="47"/>
    </row>
    <row r="1141" spans="1:9" s="150" customFormat="1" ht="20.100000000000001" customHeight="1">
      <c r="A1141" s="42" t="s">
        <v>2216</v>
      </c>
      <c r="B1141" s="22" t="s">
        <v>60</v>
      </c>
      <c r="C1141" s="46">
        <v>42656</v>
      </c>
      <c r="D1141" s="47">
        <v>60</v>
      </c>
      <c r="E1141" s="32" t="s">
        <v>1110</v>
      </c>
      <c r="F1141" s="32" t="s">
        <v>70</v>
      </c>
      <c r="G1141" s="176" t="s">
        <v>2217</v>
      </c>
      <c r="H1141" s="32" t="s">
        <v>328</v>
      </c>
      <c r="I1141" s="47"/>
    </row>
    <row r="1142" spans="1:9" s="150" customFormat="1" ht="20.100000000000001" customHeight="1">
      <c r="A1142" s="42" t="s">
        <v>2216</v>
      </c>
      <c r="B1142" s="22" t="s">
        <v>60</v>
      </c>
      <c r="C1142" s="46">
        <v>42656</v>
      </c>
      <c r="D1142" s="47">
        <v>60</v>
      </c>
      <c r="E1142" s="32" t="s">
        <v>1110</v>
      </c>
      <c r="F1142" s="32" t="s">
        <v>70</v>
      </c>
      <c r="G1142" s="176" t="s">
        <v>2218</v>
      </c>
      <c r="H1142" s="32" t="s">
        <v>328</v>
      </c>
      <c r="I1142" s="47"/>
    </row>
    <row r="1143" spans="1:9" s="150" customFormat="1" ht="20.100000000000001" customHeight="1">
      <c r="A1143" s="42" t="s">
        <v>2216</v>
      </c>
      <c r="B1143" s="22" t="s">
        <v>60</v>
      </c>
      <c r="C1143" s="46">
        <v>42659</v>
      </c>
      <c r="D1143" s="47">
        <v>70</v>
      </c>
      <c r="E1143" s="32" t="s">
        <v>1110</v>
      </c>
      <c r="F1143" s="32" t="s">
        <v>70</v>
      </c>
      <c r="G1143" s="176" t="s">
        <v>2219</v>
      </c>
      <c r="H1143" s="32" t="s">
        <v>328</v>
      </c>
      <c r="I1143" s="47"/>
    </row>
    <row r="1144" spans="1:9" s="150" customFormat="1" ht="20.100000000000001" customHeight="1">
      <c r="A1144" s="42" t="s">
        <v>2216</v>
      </c>
      <c r="B1144" s="22" t="s">
        <v>60</v>
      </c>
      <c r="C1144" s="46">
        <v>42659</v>
      </c>
      <c r="D1144" s="47">
        <v>70</v>
      </c>
      <c r="E1144" s="32" t="s">
        <v>1110</v>
      </c>
      <c r="F1144" s="32" t="s">
        <v>70</v>
      </c>
      <c r="G1144" s="176" t="s">
        <v>2220</v>
      </c>
      <c r="H1144" s="32" t="s">
        <v>328</v>
      </c>
      <c r="I1144" s="47"/>
    </row>
    <row r="1145" spans="1:9" s="150" customFormat="1" ht="20.100000000000001" customHeight="1">
      <c r="A1145" s="42" t="s">
        <v>2216</v>
      </c>
      <c r="B1145" s="22" t="s">
        <v>60</v>
      </c>
      <c r="C1145" s="46">
        <v>42659</v>
      </c>
      <c r="D1145" s="47">
        <v>70</v>
      </c>
      <c r="E1145" s="32" t="s">
        <v>1110</v>
      </c>
      <c r="F1145" s="32" t="s">
        <v>70</v>
      </c>
      <c r="G1145" s="176" t="s">
        <v>2221</v>
      </c>
      <c r="H1145" s="32" t="s">
        <v>328</v>
      </c>
      <c r="I1145" s="47"/>
    </row>
    <row r="1146" spans="1:9" s="150" customFormat="1" ht="20.100000000000001" customHeight="1">
      <c r="A1146" s="42" t="s">
        <v>2216</v>
      </c>
      <c r="B1146" s="22" t="s">
        <v>60</v>
      </c>
      <c r="C1146" s="46">
        <v>42659</v>
      </c>
      <c r="D1146" s="47">
        <v>70</v>
      </c>
      <c r="E1146" s="32" t="s">
        <v>1110</v>
      </c>
      <c r="F1146" s="32" t="s">
        <v>70</v>
      </c>
      <c r="G1146" s="176" t="s">
        <v>2222</v>
      </c>
      <c r="H1146" s="32" t="s">
        <v>328</v>
      </c>
      <c r="I1146" s="47"/>
    </row>
    <row r="1147" spans="1:9" s="150" customFormat="1" ht="20.100000000000001" customHeight="1">
      <c r="A1147" s="42" t="s">
        <v>2171</v>
      </c>
      <c r="B1147" s="22" t="s">
        <v>60</v>
      </c>
      <c r="C1147" s="46">
        <v>42653</v>
      </c>
      <c r="D1147" s="47">
        <v>60</v>
      </c>
      <c r="E1147" s="32" t="s">
        <v>1384</v>
      </c>
      <c r="F1147" s="32" t="s">
        <v>63</v>
      </c>
      <c r="G1147" s="176" t="s">
        <v>2186</v>
      </c>
      <c r="H1147" s="32" t="s">
        <v>328</v>
      </c>
      <c r="I1147" s="47"/>
    </row>
    <row r="1148" spans="1:9" s="150" customFormat="1" ht="20.100000000000001" customHeight="1">
      <c r="A1148" s="42" t="s">
        <v>2171</v>
      </c>
      <c r="B1148" s="22" t="s">
        <v>60</v>
      </c>
      <c r="C1148" s="46">
        <v>42653</v>
      </c>
      <c r="D1148" s="47">
        <v>60</v>
      </c>
      <c r="E1148" s="32" t="s">
        <v>1384</v>
      </c>
      <c r="F1148" s="32" t="s">
        <v>63</v>
      </c>
      <c r="G1148" s="176" t="s">
        <v>2189</v>
      </c>
      <c r="H1148" s="32" t="s">
        <v>328</v>
      </c>
      <c r="I1148" s="47"/>
    </row>
    <row r="1149" spans="1:9" s="150" customFormat="1" ht="20.100000000000001" customHeight="1">
      <c r="A1149" s="22" t="s">
        <v>2165</v>
      </c>
      <c r="B1149" s="151" t="s">
        <v>60</v>
      </c>
      <c r="C1149" s="46">
        <v>42666</v>
      </c>
      <c r="D1149" s="47">
        <v>60</v>
      </c>
      <c r="E1149" s="32" t="s">
        <v>181</v>
      </c>
      <c r="F1149" s="32" t="s">
        <v>63</v>
      </c>
      <c r="G1149" s="176" t="s">
        <v>2225</v>
      </c>
      <c r="H1149" s="32" t="s">
        <v>329</v>
      </c>
      <c r="I1149" s="47"/>
    </row>
    <row r="1150" spans="1:9" s="150" customFormat="1" ht="20.100000000000001" customHeight="1">
      <c r="A1150" s="22" t="s">
        <v>2165</v>
      </c>
      <c r="B1150" s="151" t="s">
        <v>60</v>
      </c>
      <c r="C1150" s="46">
        <v>42666</v>
      </c>
      <c r="D1150" s="47">
        <v>60</v>
      </c>
      <c r="E1150" s="32" t="s">
        <v>181</v>
      </c>
      <c r="F1150" s="32" t="s">
        <v>63</v>
      </c>
      <c r="G1150" s="176" t="s">
        <v>2226</v>
      </c>
      <c r="H1150" s="32" t="s">
        <v>329</v>
      </c>
      <c r="I1150" s="47"/>
    </row>
    <row r="1151" spans="1:9" s="150" customFormat="1" ht="20.100000000000001" customHeight="1">
      <c r="A1151" s="42" t="s">
        <v>2193</v>
      </c>
      <c r="B1151" s="22" t="s">
        <v>2227</v>
      </c>
      <c r="C1151" s="46">
        <v>42664</v>
      </c>
      <c r="D1151" s="47">
        <v>60</v>
      </c>
      <c r="E1151" s="32" t="s">
        <v>1071</v>
      </c>
      <c r="F1151" s="32" t="s">
        <v>2229</v>
      </c>
      <c r="G1151" s="176"/>
      <c r="H1151" s="32" t="s">
        <v>329</v>
      </c>
      <c r="I1151" s="47"/>
    </row>
    <row r="1152" spans="1:9" s="150" customFormat="1" ht="20.100000000000001" customHeight="1">
      <c r="A1152" s="42" t="s">
        <v>2228</v>
      </c>
      <c r="B1152" s="22" t="s">
        <v>2227</v>
      </c>
      <c r="C1152" s="46">
        <v>42664</v>
      </c>
      <c r="D1152" s="47">
        <v>60</v>
      </c>
      <c r="E1152" s="32" t="s">
        <v>1071</v>
      </c>
      <c r="F1152" s="32" t="s">
        <v>2229</v>
      </c>
      <c r="G1152" s="176"/>
      <c r="H1152" s="32" t="s">
        <v>328</v>
      </c>
      <c r="I1152" s="47"/>
    </row>
    <row r="1153" spans="1:11" s="150" customFormat="1" ht="20.100000000000001" customHeight="1">
      <c r="A1153" s="42" t="s">
        <v>2215</v>
      </c>
      <c r="B1153" s="22" t="s">
        <v>85</v>
      </c>
      <c r="C1153" s="46">
        <v>42667</v>
      </c>
      <c r="D1153" s="47">
        <v>26</v>
      </c>
      <c r="E1153" s="32" t="s">
        <v>298</v>
      </c>
      <c r="F1153" s="32" t="s">
        <v>63</v>
      </c>
      <c r="G1153" s="176" t="s">
        <v>352</v>
      </c>
      <c r="H1153" s="32" t="s">
        <v>328</v>
      </c>
      <c r="I1153" s="47"/>
    </row>
    <row r="1154" spans="1:11" s="150" customFormat="1" ht="20.100000000000001" customHeight="1">
      <c r="A1154" s="42" t="s">
        <v>2215</v>
      </c>
      <c r="B1154" s="22" t="s">
        <v>85</v>
      </c>
      <c r="C1154" s="46">
        <v>42669</v>
      </c>
      <c r="D1154" s="47">
        <v>23.82</v>
      </c>
      <c r="E1154" s="32" t="s">
        <v>165</v>
      </c>
      <c r="F1154" s="32" t="s">
        <v>63</v>
      </c>
      <c r="G1154" s="176" t="s">
        <v>2247</v>
      </c>
      <c r="H1154" s="32" t="s">
        <v>328</v>
      </c>
      <c r="I1154" s="47"/>
    </row>
    <row r="1155" spans="1:11" s="150" customFormat="1" ht="20.100000000000001" customHeight="1">
      <c r="A1155" s="22" t="s">
        <v>2184</v>
      </c>
      <c r="B1155" s="22" t="s">
        <v>60</v>
      </c>
      <c r="C1155" s="46">
        <v>42669</v>
      </c>
      <c r="D1155" s="47">
        <v>60</v>
      </c>
      <c r="E1155" s="32" t="s">
        <v>1384</v>
      </c>
      <c r="F1155" s="32" t="s">
        <v>63</v>
      </c>
      <c r="G1155" s="176" t="s">
        <v>2262</v>
      </c>
      <c r="H1155" s="32" t="s">
        <v>329</v>
      </c>
      <c r="I1155" s="47"/>
      <c r="K1155" s="153"/>
    </row>
    <row r="1156" spans="1:11" s="150" customFormat="1" ht="20.100000000000001" customHeight="1">
      <c r="A1156" s="22" t="s">
        <v>2184</v>
      </c>
      <c r="B1156" s="22" t="s">
        <v>60</v>
      </c>
      <c r="C1156" s="46">
        <v>42669</v>
      </c>
      <c r="D1156" s="47">
        <v>60</v>
      </c>
      <c r="E1156" s="32" t="s">
        <v>1384</v>
      </c>
      <c r="F1156" s="32" t="s">
        <v>63</v>
      </c>
      <c r="G1156" s="267" t="s">
        <v>2317</v>
      </c>
      <c r="H1156" s="32" t="s">
        <v>329</v>
      </c>
      <c r="I1156" s="47"/>
      <c r="K1156" s="234"/>
    </row>
    <row r="1157" spans="1:11" s="150" customFormat="1" ht="20.100000000000001" customHeight="1">
      <c r="A1157" s="42" t="s">
        <v>2132</v>
      </c>
      <c r="B1157" s="151" t="s">
        <v>60</v>
      </c>
      <c r="C1157" s="46">
        <v>42673</v>
      </c>
      <c r="D1157" s="47">
        <v>60</v>
      </c>
      <c r="E1157" s="32" t="s">
        <v>181</v>
      </c>
      <c r="F1157" s="32" t="s">
        <v>63</v>
      </c>
      <c r="G1157" s="176" t="s">
        <v>2169</v>
      </c>
      <c r="H1157" s="32" t="s">
        <v>328</v>
      </c>
      <c r="I1157" s="47"/>
      <c r="K1157" s="234"/>
    </row>
    <row r="1158" spans="1:11" s="150" customFormat="1" ht="20.100000000000001" customHeight="1">
      <c r="A1158" s="42" t="s">
        <v>2132</v>
      </c>
      <c r="B1158" s="151" t="s">
        <v>60</v>
      </c>
      <c r="C1158" s="46">
        <v>42673</v>
      </c>
      <c r="D1158" s="47">
        <v>60</v>
      </c>
      <c r="E1158" s="32" t="s">
        <v>181</v>
      </c>
      <c r="F1158" s="32" t="s">
        <v>63</v>
      </c>
      <c r="G1158" s="176" t="s">
        <v>2170</v>
      </c>
      <c r="H1158" s="32" t="s">
        <v>328</v>
      </c>
      <c r="I1158" s="47"/>
      <c r="K1158" s="234"/>
    </row>
    <row r="1159" spans="1:11" s="150" customFormat="1" ht="20.100000000000001" customHeight="1">
      <c r="A1159" s="22" t="s">
        <v>2165</v>
      </c>
      <c r="B1159" s="22" t="s">
        <v>60</v>
      </c>
      <c r="C1159" s="46">
        <v>42673</v>
      </c>
      <c r="D1159" s="47">
        <v>60</v>
      </c>
      <c r="E1159" s="32" t="s">
        <v>181</v>
      </c>
      <c r="F1159" s="32" t="s">
        <v>63</v>
      </c>
      <c r="G1159" s="176" t="s">
        <v>2282</v>
      </c>
      <c r="H1159" s="32" t="s">
        <v>329</v>
      </c>
      <c r="I1159" s="47"/>
      <c r="K1159" s="153"/>
    </row>
    <row r="1160" spans="1:11" s="150" customFormat="1" ht="20.100000000000001" customHeight="1">
      <c r="A1160" s="22" t="s">
        <v>2097</v>
      </c>
      <c r="B1160" s="22" t="s">
        <v>402</v>
      </c>
      <c r="C1160" s="46">
        <v>42673</v>
      </c>
      <c r="D1160" s="47">
        <v>70</v>
      </c>
      <c r="E1160" s="32" t="s">
        <v>62</v>
      </c>
      <c r="F1160" s="32" t="s">
        <v>63</v>
      </c>
      <c r="G1160" s="176" t="s">
        <v>2157</v>
      </c>
      <c r="H1160" s="32" t="s">
        <v>328</v>
      </c>
      <c r="I1160" s="47"/>
      <c r="K1160" s="235"/>
    </row>
    <row r="1161" spans="1:11" s="150" customFormat="1" ht="20.100000000000001" customHeight="1">
      <c r="A1161" s="22" t="s">
        <v>2097</v>
      </c>
      <c r="B1161" s="22" t="s">
        <v>402</v>
      </c>
      <c r="C1161" s="46">
        <v>42673</v>
      </c>
      <c r="D1161" s="47">
        <v>70</v>
      </c>
      <c r="E1161" s="32" t="s">
        <v>62</v>
      </c>
      <c r="F1161" s="32" t="s">
        <v>63</v>
      </c>
      <c r="G1161" s="176" t="s">
        <v>2173</v>
      </c>
      <c r="H1161" s="32" t="s">
        <v>328</v>
      </c>
      <c r="I1161" s="47"/>
      <c r="K1161" s="234"/>
    </row>
    <row r="1162" spans="1:11" s="150" customFormat="1" ht="20.100000000000001" customHeight="1">
      <c r="A1162" s="22" t="s">
        <v>2097</v>
      </c>
      <c r="B1162" s="22" t="s">
        <v>402</v>
      </c>
      <c r="C1162" s="46">
        <v>42673</v>
      </c>
      <c r="D1162" s="47">
        <v>70</v>
      </c>
      <c r="E1162" s="32" t="s">
        <v>62</v>
      </c>
      <c r="F1162" s="32" t="s">
        <v>63</v>
      </c>
      <c r="G1162" s="176" t="s">
        <v>2200</v>
      </c>
      <c r="H1162" s="32" t="s">
        <v>328</v>
      </c>
      <c r="I1162" s="47"/>
      <c r="K1162" s="234"/>
    </row>
    <row r="1163" spans="1:11" s="150" customFormat="1" ht="20.100000000000001" customHeight="1">
      <c r="A1163" s="22" t="s">
        <v>2165</v>
      </c>
      <c r="B1163" s="22" t="s">
        <v>60</v>
      </c>
      <c r="C1163" s="46">
        <v>42673</v>
      </c>
      <c r="D1163" s="47">
        <v>70</v>
      </c>
      <c r="E1163" s="32" t="s">
        <v>181</v>
      </c>
      <c r="F1163" s="32" t="s">
        <v>63</v>
      </c>
      <c r="G1163" s="176" t="s">
        <v>2302</v>
      </c>
      <c r="H1163" s="32" t="s">
        <v>329</v>
      </c>
      <c r="I1163" s="47"/>
      <c r="K1163" s="153"/>
    </row>
    <row r="1164" spans="1:11" s="150" customFormat="1" ht="20.100000000000001" customHeight="1">
      <c r="A1164" s="42" t="s">
        <v>2132</v>
      </c>
      <c r="B1164" s="151" t="s">
        <v>60</v>
      </c>
      <c r="C1164" s="46">
        <v>42666</v>
      </c>
      <c r="D1164" s="47">
        <v>60</v>
      </c>
      <c r="E1164" s="32" t="s">
        <v>181</v>
      </c>
      <c r="F1164" s="32" t="s">
        <v>63</v>
      </c>
      <c r="G1164" s="176" t="s">
        <v>2225</v>
      </c>
      <c r="H1164" s="32" t="s">
        <v>328</v>
      </c>
      <c r="I1164" s="47"/>
    </row>
    <row r="1165" spans="1:11" s="150" customFormat="1" ht="20.100000000000001" customHeight="1">
      <c r="A1165" s="42" t="s">
        <v>2132</v>
      </c>
      <c r="B1165" s="151" t="s">
        <v>60</v>
      </c>
      <c r="C1165" s="46">
        <v>42666</v>
      </c>
      <c r="D1165" s="47">
        <v>60</v>
      </c>
      <c r="E1165" s="32" t="s">
        <v>181</v>
      </c>
      <c r="F1165" s="32" t="s">
        <v>63</v>
      </c>
      <c r="G1165" s="176" t="s">
        <v>2226</v>
      </c>
      <c r="H1165" s="32" t="s">
        <v>328</v>
      </c>
      <c r="I1165" s="47"/>
    </row>
    <row r="1166" spans="1:11" s="150" customFormat="1" ht="20.100000000000001" customHeight="1">
      <c r="A1166" s="42" t="s">
        <v>2132</v>
      </c>
      <c r="B1166" s="22" t="s">
        <v>60</v>
      </c>
      <c r="C1166" s="46">
        <v>42674</v>
      </c>
      <c r="D1166" s="47">
        <v>70</v>
      </c>
      <c r="E1166" s="32" t="s">
        <v>1384</v>
      </c>
      <c r="F1166" s="32" t="s">
        <v>63</v>
      </c>
      <c r="G1166" s="176" t="s">
        <v>2223</v>
      </c>
      <c r="H1166" s="32" t="s">
        <v>328</v>
      </c>
      <c r="I1166" s="47"/>
    </row>
    <row r="1167" spans="1:11" ht="20.100000000000001" customHeight="1">
      <c r="A1167" s="22" t="s">
        <v>2165</v>
      </c>
      <c r="B1167" s="22" t="s">
        <v>60</v>
      </c>
      <c r="C1167" s="46">
        <v>42674</v>
      </c>
      <c r="D1167" s="47">
        <v>70</v>
      </c>
      <c r="E1167" s="32" t="s">
        <v>181</v>
      </c>
      <c r="F1167" s="32" t="s">
        <v>63</v>
      </c>
      <c r="G1167" s="176" t="s">
        <v>2293</v>
      </c>
      <c r="H1167" s="32" t="s">
        <v>329</v>
      </c>
      <c r="I1167" s="47"/>
    </row>
    <row r="1168" spans="1:11" s="150" customFormat="1" ht="20.100000000000001" customHeight="1">
      <c r="A1168" s="42" t="s">
        <v>2132</v>
      </c>
      <c r="B1168" s="22" t="s">
        <v>402</v>
      </c>
      <c r="C1168" s="46">
        <v>42674</v>
      </c>
      <c r="D1168" s="47">
        <v>70</v>
      </c>
      <c r="E1168" s="32" t="s">
        <v>62</v>
      </c>
      <c r="F1168" s="32" t="s">
        <v>63</v>
      </c>
      <c r="G1168" s="176" t="s">
        <v>2159</v>
      </c>
      <c r="H1168" s="32" t="s">
        <v>328</v>
      </c>
      <c r="I1168" s="47"/>
    </row>
    <row r="1169" spans="1:11" s="150" customFormat="1" ht="20.100000000000001" customHeight="1">
      <c r="A1169" s="42" t="s">
        <v>2088</v>
      </c>
      <c r="B1169" s="22" t="s">
        <v>60</v>
      </c>
      <c r="C1169" s="46">
        <v>42666</v>
      </c>
      <c r="D1169" s="47">
        <v>60</v>
      </c>
      <c r="E1169" s="32" t="s">
        <v>663</v>
      </c>
      <c r="F1169" s="32" t="s">
        <v>70</v>
      </c>
      <c r="G1169" s="291" t="s">
        <v>2299</v>
      </c>
      <c r="H1169" s="32" t="s">
        <v>329</v>
      </c>
      <c r="I1169" s="47"/>
    </row>
    <row r="1170" spans="1:11" s="150" customFormat="1" ht="20.100000000000001" customHeight="1">
      <c r="A1170" s="42" t="s">
        <v>2088</v>
      </c>
      <c r="B1170" s="22" t="s">
        <v>60</v>
      </c>
      <c r="C1170" s="46">
        <v>42666</v>
      </c>
      <c r="D1170" s="47">
        <v>60</v>
      </c>
      <c r="E1170" s="32" t="s">
        <v>663</v>
      </c>
      <c r="F1170" s="32" t="s">
        <v>70</v>
      </c>
      <c r="G1170" s="291" t="s">
        <v>2300</v>
      </c>
      <c r="H1170" s="32" t="s">
        <v>329</v>
      </c>
      <c r="I1170" s="47"/>
    </row>
    <row r="1171" spans="1:11" s="150" customFormat="1" ht="20.100000000000001" customHeight="1">
      <c r="A1171" s="42" t="s">
        <v>2172</v>
      </c>
      <c r="B1171" s="22" t="s">
        <v>60</v>
      </c>
      <c r="C1171" s="46">
        <v>42666</v>
      </c>
      <c r="D1171" s="47">
        <v>60</v>
      </c>
      <c r="E1171" s="32" t="s">
        <v>663</v>
      </c>
      <c r="F1171" s="32" t="s">
        <v>70</v>
      </c>
      <c r="G1171" s="176" t="s">
        <v>2299</v>
      </c>
      <c r="H1171" s="32" t="s">
        <v>328</v>
      </c>
      <c r="I1171" s="47"/>
    </row>
    <row r="1172" spans="1:11" ht="20.100000000000001" customHeight="1">
      <c r="A1172" s="42" t="s">
        <v>2172</v>
      </c>
      <c r="B1172" s="22" t="s">
        <v>60</v>
      </c>
      <c r="C1172" s="46">
        <v>42666</v>
      </c>
      <c r="D1172" s="47">
        <v>60</v>
      </c>
      <c r="E1172" s="32" t="s">
        <v>663</v>
      </c>
      <c r="F1172" s="32" t="s">
        <v>70</v>
      </c>
      <c r="G1172" s="176" t="s">
        <v>2300</v>
      </c>
      <c r="H1172" s="32" t="s">
        <v>328</v>
      </c>
      <c r="I1172" s="47"/>
    </row>
    <row r="1173" spans="1:11" ht="20.100000000000001" customHeight="1">
      <c r="A1173" s="22" t="s">
        <v>2286</v>
      </c>
      <c r="B1173" s="22" t="s">
        <v>60</v>
      </c>
      <c r="C1173" s="46">
        <v>42676</v>
      </c>
      <c r="D1173" s="47">
        <v>60</v>
      </c>
      <c r="E1173" s="32" t="s">
        <v>181</v>
      </c>
      <c r="F1173" s="32" t="s">
        <v>63</v>
      </c>
      <c r="G1173" s="176" t="s">
        <v>2318</v>
      </c>
      <c r="H1173" s="32" t="s">
        <v>329</v>
      </c>
      <c r="I1173" s="47"/>
    </row>
    <row r="1174" spans="1:11" ht="20.100000000000001" customHeight="1">
      <c r="A1174" s="39" t="s">
        <v>2184</v>
      </c>
      <c r="B1174" s="39" t="s">
        <v>60</v>
      </c>
      <c r="C1174" s="292">
        <v>42678</v>
      </c>
      <c r="D1174" s="293">
        <v>60</v>
      </c>
      <c r="E1174" s="294" t="s">
        <v>1384</v>
      </c>
      <c r="F1174" s="294" t="s">
        <v>63</v>
      </c>
      <c r="G1174" s="295" t="s">
        <v>2319</v>
      </c>
      <c r="H1174" s="294" t="s">
        <v>329</v>
      </c>
      <c r="I1174" s="293"/>
    </row>
    <row r="1175" spans="1:11" s="150" customFormat="1" ht="20.100000000000001" customHeight="1">
      <c r="A1175" s="22" t="s">
        <v>2286</v>
      </c>
      <c r="B1175" s="22" t="s">
        <v>60</v>
      </c>
      <c r="C1175" s="46">
        <v>42680</v>
      </c>
      <c r="D1175" s="47">
        <v>33</v>
      </c>
      <c r="E1175" s="32" t="s">
        <v>181</v>
      </c>
      <c r="F1175" s="32" t="s">
        <v>63</v>
      </c>
      <c r="G1175" s="32" t="s">
        <v>2396</v>
      </c>
      <c r="H1175" s="32" t="s">
        <v>329</v>
      </c>
      <c r="I1175" s="47"/>
      <c r="K1175" s="234"/>
    </row>
    <row r="1176" spans="1:11" ht="20.100000000000001" customHeight="1">
      <c r="A1176" s="22" t="s">
        <v>2286</v>
      </c>
      <c r="B1176" s="22" t="s">
        <v>60</v>
      </c>
      <c r="C1176" s="46">
        <v>42680</v>
      </c>
      <c r="D1176" s="47">
        <v>33</v>
      </c>
      <c r="E1176" s="32" t="s">
        <v>181</v>
      </c>
      <c r="F1176" s="32" t="s">
        <v>63</v>
      </c>
      <c r="G1176" s="32" t="s">
        <v>2397</v>
      </c>
      <c r="H1176" s="32" t="s">
        <v>329</v>
      </c>
      <c r="I1176" s="47"/>
    </row>
    <row r="1177" spans="1:11" ht="20.100000000000001" customHeight="1">
      <c r="A1177" s="22" t="s">
        <v>2286</v>
      </c>
      <c r="B1177" s="22" t="s">
        <v>60</v>
      </c>
      <c r="C1177" s="46">
        <v>42680</v>
      </c>
      <c r="D1177" s="47">
        <v>33</v>
      </c>
      <c r="E1177" s="32" t="s">
        <v>181</v>
      </c>
      <c r="F1177" s="32" t="s">
        <v>63</v>
      </c>
      <c r="G1177" s="32" t="s">
        <v>2340</v>
      </c>
      <c r="H1177" s="32" t="s">
        <v>329</v>
      </c>
      <c r="I1177" s="47"/>
    </row>
    <row r="1178" spans="1:11" ht="20.100000000000001" customHeight="1">
      <c r="A1178" s="42" t="s">
        <v>2354</v>
      </c>
      <c r="B1178" s="22" t="s">
        <v>240</v>
      </c>
      <c r="C1178" s="46">
        <v>42656</v>
      </c>
      <c r="D1178" s="47">
        <v>120</v>
      </c>
      <c r="E1178" s="32" t="s">
        <v>968</v>
      </c>
      <c r="F1178" s="32" t="s">
        <v>1155</v>
      </c>
      <c r="G1178" s="176"/>
      <c r="H1178" s="32" t="s">
        <v>329</v>
      </c>
      <c r="I1178" s="47"/>
    </row>
    <row r="1179" spans="1:11" ht="20.100000000000001" customHeight="1">
      <c r="A1179" s="42" t="s">
        <v>2355</v>
      </c>
      <c r="B1179" s="22" t="s">
        <v>240</v>
      </c>
      <c r="C1179" s="46">
        <v>42674</v>
      </c>
      <c r="D1179" s="47">
        <v>200</v>
      </c>
      <c r="E1179" s="32" t="s">
        <v>968</v>
      </c>
      <c r="F1179" s="32" t="s">
        <v>1155</v>
      </c>
      <c r="G1179" s="176"/>
      <c r="H1179" s="32" t="s">
        <v>329</v>
      </c>
      <c r="I1179" s="47"/>
    </row>
    <row r="1180" spans="1:11" ht="20.100000000000001" customHeight="1">
      <c r="A1180" s="42" t="s">
        <v>2356</v>
      </c>
      <c r="B1180" s="22" t="s">
        <v>240</v>
      </c>
      <c r="C1180" s="46">
        <v>42671</v>
      </c>
      <c r="D1180" s="47">
        <v>200</v>
      </c>
      <c r="E1180" s="32" t="s">
        <v>968</v>
      </c>
      <c r="F1180" s="32" t="s">
        <v>1155</v>
      </c>
      <c r="G1180" s="176"/>
      <c r="H1180" s="32" t="s">
        <v>329</v>
      </c>
      <c r="I1180" s="47"/>
    </row>
    <row r="1181" spans="1:11" ht="20.100000000000001" customHeight="1">
      <c r="A1181" s="42" t="s">
        <v>2357</v>
      </c>
      <c r="B1181" s="22" t="s">
        <v>240</v>
      </c>
      <c r="C1181" s="46">
        <v>42656</v>
      </c>
      <c r="D1181" s="47">
        <v>120</v>
      </c>
      <c r="E1181" s="32" t="s">
        <v>968</v>
      </c>
      <c r="F1181" s="32" t="s">
        <v>1155</v>
      </c>
      <c r="G1181" s="176"/>
      <c r="H1181" s="32" t="s">
        <v>328</v>
      </c>
      <c r="I1181" s="47"/>
    </row>
    <row r="1182" spans="1:11" ht="20.100000000000001" customHeight="1">
      <c r="A1182" s="42" t="s">
        <v>2358</v>
      </c>
      <c r="B1182" s="22" t="s">
        <v>240</v>
      </c>
      <c r="C1182" s="46">
        <v>42674</v>
      </c>
      <c r="D1182" s="47">
        <v>200</v>
      </c>
      <c r="E1182" s="32" t="s">
        <v>968</v>
      </c>
      <c r="F1182" s="32" t="s">
        <v>1155</v>
      </c>
      <c r="G1182" s="176"/>
      <c r="H1182" s="32" t="s">
        <v>328</v>
      </c>
      <c r="I1182" s="47"/>
    </row>
    <row r="1183" spans="1:11" ht="20.100000000000001" customHeight="1">
      <c r="A1183" s="42" t="s">
        <v>2359</v>
      </c>
      <c r="B1183" s="22" t="s">
        <v>240</v>
      </c>
      <c r="C1183" s="46">
        <v>42671</v>
      </c>
      <c r="D1183" s="47">
        <v>200</v>
      </c>
      <c r="E1183" s="32" t="s">
        <v>968</v>
      </c>
      <c r="F1183" s="32" t="s">
        <v>1155</v>
      </c>
      <c r="G1183" s="176"/>
      <c r="H1183" s="32" t="s">
        <v>328</v>
      </c>
      <c r="I1183" s="47"/>
    </row>
    <row r="1184" spans="1:11" ht="20.100000000000001" customHeight="1">
      <c r="A1184" s="22" t="s">
        <v>1464</v>
      </c>
      <c r="B1184" s="22" t="s">
        <v>747</v>
      </c>
      <c r="C1184" s="46">
        <v>42571</v>
      </c>
      <c r="D1184" s="50">
        <v>-2000</v>
      </c>
      <c r="E1184" s="32" t="s">
        <v>775</v>
      </c>
      <c r="F1184" s="32" t="s">
        <v>743</v>
      </c>
      <c r="G1184" s="56"/>
      <c r="H1184" s="32" t="s">
        <v>329</v>
      </c>
      <c r="I1184" s="50"/>
    </row>
    <row r="1185" spans="1:9" ht="20.100000000000001" customHeight="1">
      <c r="A1185" s="22" t="s">
        <v>2369</v>
      </c>
      <c r="B1185" s="22" t="s">
        <v>747</v>
      </c>
      <c r="C1185" s="46">
        <v>42564</v>
      </c>
      <c r="D1185" s="50">
        <v>1000</v>
      </c>
      <c r="E1185" s="32" t="s">
        <v>775</v>
      </c>
      <c r="F1185" s="32" t="s">
        <v>743</v>
      </c>
      <c r="G1185" s="56"/>
      <c r="H1185" s="32" t="s">
        <v>329</v>
      </c>
      <c r="I1185" s="50"/>
    </row>
    <row r="1186" spans="1:9" ht="20.100000000000001" customHeight="1">
      <c r="A1186" s="22" t="s">
        <v>2370</v>
      </c>
      <c r="B1186" s="22" t="s">
        <v>747</v>
      </c>
      <c r="C1186" s="46">
        <v>42571</v>
      </c>
      <c r="D1186" s="50">
        <v>1000</v>
      </c>
      <c r="E1186" s="32" t="s">
        <v>775</v>
      </c>
      <c r="F1186" s="32" t="s">
        <v>743</v>
      </c>
      <c r="G1186" s="56"/>
      <c r="H1186" s="32" t="s">
        <v>329</v>
      </c>
      <c r="I1186" s="50"/>
    </row>
    <row r="1187" spans="1:9" ht="20.100000000000001" customHeight="1">
      <c r="A1187" s="42" t="s">
        <v>2132</v>
      </c>
      <c r="B1187" s="22" t="s">
        <v>60</v>
      </c>
      <c r="C1187" s="46">
        <v>42669</v>
      </c>
      <c r="D1187" s="47">
        <v>60</v>
      </c>
      <c r="E1187" s="32" t="s">
        <v>1384</v>
      </c>
      <c r="F1187" s="32" t="s">
        <v>63</v>
      </c>
      <c r="G1187" s="176" t="s">
        <v>2262</v>
      </c>
      <c r="H1187" s="32" t="s">
        <v>328</v>
      </c>
      <c r="I1187" s="47"/>
    </row>
    <row r="1188" spans="1:9" ht="20.100000000000001" customHeight="1">
      <c r="A1188" s="42" t="s">
        <v>2132</v>
      </c>
      <c r="B1188" s="22" t="s">
        <v>60</v>
      </c>
      <c r="C1188" s="46">
        <v>42669</v>
      </c>
      <c r="D1188" s="47">
        <v>60</v>
      </c>
      <c r="E1188" s="32" t="s">
        <v>1384</v>
      </c>
      <c r="F1188" s="32" t="s">
        <v>63</v>
      </c>
      <c r="G1188" s="267" t="s">
        <v>2404</v>
      </c>
      <c r="H1188" s="32" t="s">
        <v>328</v>
      </c>
      <c r="I1188" s="47"/>
    </row>
    <row r="1189" spans="1:9" ht="20.100000000000001" customHeight="1">
      <c r="A1189" s="285" t="s">
        <v>2132</v>
      </c>
      <c r="B1189" s="286" t="s">
        <v>60</v>
      </c>
      <c r="C1189" s="287">
        <v>42696</v>
      </c>
      <c r="D1189" s="288">
        <v>60</v>
      </c>
      <c r="E1189" s="289" t="s">
        <v>1384</v>
      </c>
      <c r="F1189" s="289" t="s">
        <v>63</v>
      </c>
      <c r="G1189" s="290" t="s">
        <v>2319</v>
      </c>
      <c r="H1189" s="289" t="s">
        <v>328</v>
      </c>
      <c r="I1189" s="288"/>
    </row>
    <row r="1190" spans="1:9" ht="20.100000000000001" customHeight="1">
      <c r="A1190" s="42" t="s">
        <v>2335</v>
      </c>
      <c r="B1190" s="22" t="s">
        <v>93</v>
      </c>
      <c r="C1190" s="46">
        <v>42678</v>
      </c>
      <c r="D1190" s="47">
        <v>4000</v>
      </c>
      <c r="E1190" s="32" t="s">
        <v>1479</v>
      </c>
      <c r="F1190" s="32" t="s">
        <v>63</v>
      </c>
      <c r="G1190" s="267"/>
      <c r="H1190" s="32" t="s">
        <v>329</v>
      </c>
      <c r="I1190" s="47"/>
    </row>
    <row r="1191" spans="1:9" ht="20.100000000000001" customHeight="1">
      <c r="A1191" s="42" t="s">
        <v>2391</v>
      </c>
      <c r="B1191" s="22" t="s">
        <v>93</v>
      </c>
      <c r="C1191" s="46">
        <v>42678</v>
      </c>
      <c r="D1191" s="47">
        <v>4000</v>
      </c>
      <c r="E1191" s="32" t="s">
        <v>1479</v>
      </c>
      <c r="F1191" s="32" t="s">
        <v>63</v>
      </c>
      <c r="G1191" s="267"/>
      <c r="H1191" s="32" t="s">
        <v>328</v>
      </c>
      <c r="I1191" s="47"/>
    </row>
    <row r="1192" spans="1:9" ht="20.100000000000001" customHeight="1">
      <c r="A1192" s="22" t="s">
        <v>2338</v>
      </c>
      <c r="B1192" s="22" t="s">
        <v>60</v>
      </c>
      <c r="C1192" s="46">
        <v>42680</v>
      </c>
      <c r="D1192" s="47">
        <v>33</v>
      </c>
      <c r="E1192" s="32" t="s">
        <v>181</v>
      </c>
      <c r="F1192" s="32" t="s">
        <v>63</v>
      </c>
      <c r="G1192" s="32" t="s">
        <v>2396</v>
      </c>
      <c r="H1192" s="32" t="s">
        <v>328</v>
      </c>
      <c r="I1192" s="47"/>
    </row>
    <row r="1193" spans="1:9" ht="20.100000000000001" customHeight="1">
      <c r="A1193" s="22" t="s">
        <v>2338</v>
      </c>
      <c r="B1193" s="22" t="s">
        <v>60</v>
      </c>
      <c r="C1193" s="46">
        <v>42680</v>
      </c>
      <c r="D1193" s="47">
        <v>33</v>
      </c>
      <c r="E1193" s="32" t="s">
        <v>181</v>
      </c>
      <c r="F1193" s="32" t="s">
        <v>63</v>
      </c>
      <c r="G1193" s="32" t="s">
        <v>2397</v>
      </c>
      <c r="H1193" s="32" t="s">
        <v>328</v>
      </c>
      <c r="I1193" s="47"/>
    </row>
    <row r="1194" spans="1:9" ht="20.100000000000001" customHeight="1">
      <c r="A1194" s="22" t="s">
        <v>2338</v>
      </c>
      <c r="B1194" s="22" t="s">
        <v>60</v>
      </c>
      <c r="C1194" s="46">
        <v>42680</v>
      </c>
      <c r="D1194" s="47">
        <v>33</v>
      </c>
      <c r="E1194" s="32" t="s">
        <v>181</v>
      </c>
      <c r="F1194" s="32" t="s">
        <v>63</v>
      </c>
      <c r="G1194" s="32" t="s">
        <v>2340</v>
      </c>
      <c r="H1194" s="32" t="s">
        <v>328</v>
      </c>
      <c r="I1194" s="47"/>
    </row>
    <row r="1195" spans="1:9" ht="20.100000000000001" customHeight="1">
      <c r="A1195" s="22" t="s">
        <v>2286</v>
      </c>
      <c r="B1195" s="22" t="s">
        <v>60</v>
      </c>
      <c r="C1195" s="46">
        <v>42688</v>
      </c>
      <c r="D1195" s="47">
        <v>70</v>
      </c>
      <c r="E1195" s="32" t="s">
        <v>181</v>
      </c>
      <c r="F1195" s="32" t="s">
        <v>63</v>
      </c>
      <c r="G1195" s="32" t="s">
        <v>2410</v>
      </c>
      <c r="H1195" s="32" t="s">
        <v>329</v>
      </c>
      <c r="I1195" s="47"/>
    </row>
    <row r="1196" spans="1:9" ht="20.100000000000001" customHeight="1">
      <c r="A1196" s="22" t="s">
        <v>2400</v>
      </c>
      <c r="B1196" s="22" t="s">
        <v>2401</v>
      </c>
      <c r="C1196" s="46">
        <v>42688</v>
      </c>
      <c r="D1196" s="47">
        <v>60</v>
      </c>
      <c r="E1196" s="32" t="s">
        <v>362</v>
      </c>
      <c r="F1196" s="32" t="s">
        <v>2402</v>
      </c>
      <c r="G1196" s="32" t="s">
        <v>2399</v>
      </c>
      <c r="H1196" s="32" t="s">
        <v>2403</v>
      </c>
      <c r="I1196" s="47"/>
    </row>
    <row r="1197" spans="1:9" ht="20.100000000000001" customHeight="1">
      <c r="A1197" s="22" t="s">
        <v>2400</v>
      </c>
      <c r="B1197" s="22" t="s">
        <v>2401</v>
      </c>
      <c r="C1197" s="46">
        <v>42688</v>
      </c>
      <c r="D1197" s="47">
        <v>60</v>
      </c>
      <c r="E1197" s="32" t="s">
        <v>362</v>
      </c>
      <c r="F1197" s="32" t="s">
        <v>2402</v>
      </c>
      <c r="G1197" s="176" t="s">
        <v>2405</v>
      </c>
      <c r="H1197" s="32" t="s">
        <v>2403</v>
      </c>
      <c r="I1197" s="47"/>
    </row>
    <row r="1198" spans="1:9" ht="20.100000000000001" customHeight="1">
      <c r="A1198" s="22" t="s">
        <v>2400</v>
      </c>
      <c r="B1198" s="22" t="s">
        <v>2401</v>
      </c>
      <c r="C1198" s="46">
        <v>42688</v>
      </c>
      <c r="D1198" s="47">
        <v>60</v>
      </c>
      <c r="E1198" s="32" t="s">
        <v>362</v>
      </c>
      <c r="F1198" s="32" t="s">
        <v>2402</v>
      </c>
      <c r="G1198" s="176" t="s">
        <v>2406</v>
      </c>
      <c r="H1198" s="32" t="s">
        <v>2403</v>
      </c>
      <c r="I1198" s="47"/>
    </row>
    <row r="1199" spans="1:9" ht="20.100000000000001" customHeight="1">
      <c r="A1199" s="22" t="s">
        <v>2388</v>
      </c>
      <c r="B1199" s="22" t="s">
        <v>240</v>
      </c>
      <c r="C1199" s="46">
        <v>42688</v>
      </c>
      <c r="D1199" s="47">
        <v>30</v>
      </c>
      <c r="E1199" s="32" t="s">
        <v>2407</v>
      </c>
      <c r="F1199" s="32" t="s">
        <v>165</v>
      </c>
      <c r="G1199" s="32"/>
      <c r="H1199" s="32" t="s">
        <v>329</v>
      </c>
      <c r="I1199" s="47"/>
    </row>
    <row r="1200" spans="1:9" ht="20.100000000000001" customHeight="1">
      <c r="A1200" s="22" t="s">
        <v>2341</v>
      </c>
      <c r="B1200" s="22" t="s">
        <v>240</v>
      </c>
      <c r="C1200" s="46">
        <v>42688</v>
      </c>
      <c r="D1200" s="47">
        <v>30</v>
      </c>
      <c r="E1200" s="32" t="s">
        <v>165</v>
      </c>
      <c r="F1200" s="32" t="s">
        <v>2408</v>
      </c>
      <c r="G1200" s="32"/>
      <c r="H1200" s="32" t="s">
        <v>328</v>
      </c>
      <c r="I1200" s="47"/>
    </row>
    <row r="1201" spans="1:9" ht="20.100000000000001" customHeight="1">
      <c r="A1201" s="22" t="s">
        <v>2353</v>
      </c>
      <c r="B1201" s="22" t="s">
        <v>240</v>
      </c>
      <c r="C1201" s="46">
        <v>42686</v>
      </c>
      <c r="D1201" s="47">
        <v>30</v>
      </c>
      <c r="E1201" s="32" t="s">
        <v>165</v>
      </c>
      <c r="F1201" s="32" t="s">
        <v>2409</v>
      </c>
      <c r="G1201" s="32"/>
      <c r="H1201" s="32" t="s">
        <v>328</v>
      </c>
      <c r="I1201" s="47"/>
    </row>
    <row r="1202" spans="1:9" ht="20.100000000000001" customHeight="1">
      <c r="A1202" s="22" t="s">
        <v>2411</v>
      </c>
      <c r="B1202" s="22" t="s">
        <v>2412</v>
      </c>
      <c r="C1202" s="46">
        <v>42689</v>
      </c>
      <c r="D1202" s="47">
        <v>33.119999999999997</v>
      </c>
      <c r="E1202" s="32" t="s">
        <v>1384</v>
      </c>
      <c r="F1202" s="32" t="s">
        <v>63</v>
      </c>
      <c r="G1202" s="32" t="s">
        <v>1573</v>
      </c>
      <c r="H1202" s="32" t="s">
        <v>329</v>
      </c>
      <c r="I1202" s="47"/>
    </row>
    <row r="1203" spans="1:9" ht="20.100000000000001" customHeight="1">
      <c r="A1203" s="22" t="s">
        <v>2411</v>
      </c>
      <c r="B1203" s="22" t="s">
        <v>2412</v>
      </c>
      <c r="C1203" s="46">
        <v>42689</v>
      </c>
      <c r="D1203" s="47">
        <v>32.08</v>
      </c>
      <c r="E1203" s="32" t="s">
        <v>1384</v>
      </c>
      <c r="F1203" s="32" t="s">
        <v>63</v>
      </c>
      <c r="G1203" s="32" t="s">
        <v>2413</v>
      </c>
      <c r="H1203" s="32" t="s">
        <v>329</v>
      </c>
      <c r="I1203" s="47"/>
    </row>
    <row r="1204" spans="1:9" ht="20.100000000000001" customHeight="1">
      <c r="A1204" s="22" t="s">
        <v>2411</v>
      </c>
      <c r="B1204" s="22" t="s">
        <v>2412</v>
      </c>
      <c r="C1204" s="46">
        <v>42689</v>
      </c>
      <c r="D1204" s="47">
        <v>32.119999999999997</v>
      </c>
      <c r="E1204" s="32" t="s">
        <v>1384</v>
      </c>
      <c r="F1204" s="32" t="s">
        <v>63</v>
      </c>
      <c r="G1204" s="32" t="s">
        <v>1552</v>
      </c>
      <c r="H1204" s="32" t="s">
        <v>329</v>
      </c>
      <c r="I1204" s="47"/>
    </row>
    <row r="1205" spans="1:9" ht="20.100000000000001" customHeight="1">
      <c r="A1205" s="42" t="s">
        <v>2132</v>
      </c>
      <c r="B1205" s="22" t="s">
        <v>60</v>
      </c>
      <c r="C1205" s="46">
        <v>42690</v>
      </c>
      <c r="D1205" s="47">
        <v>60</v>
      </c>
      <c r="E1205" s="32" t="s">
        <v>181</v>
      </c>
      <c r="F1205" s="32" t="s">
        <v>63</v>
      </c>
      <c r="G1205" s="176" t="s">
        <v>2282</v>
      </c>
      <c r="H1205" s="32" t="s">
        <v>328</v>
      </c>
      <c r="I1205" s="47"/>
    </row>
    <row r="1206" spans="1:9" ht="20.100000000000001" customHeight="1">
      <c r="A1206" s="42" t="s">
        <v>2132</v>
      </c>
      <c r="B1206" s="22" t="s">
        <v>60</v>
      </c>
      <c r="C1206" s="46">
        <v>42690</v>
      </c>
      <c r="D1206" s="47">
        <v>70</v>
      </c>
      <c r="E1206" s="32" t="s">
        <v>181</v>
      </c>
      <c r="F1206" s="32" t="s">
        <v>63</v>
      </c>
      <c r="G1206" s="176" t="s">
        <v>2302</v>
      </c>
      <c r="H1206" s="32" t="s">
        <v>328</v>
      </c>
      <c r="I1206" s="47"/>
    </row>
    <row r="1207" spans="1:9" ht="20.100000000000001" customHeight="1">
      <c r="A1207" s="42" t="s">
        <v>2414</v>
      </c>
      <c r="B1207" s="22" t="s">
        <v>60</v>
      </c>
      <c r="C1207" s="46">
        <v>42690</v>
      </c>
      <c r="D1207" s="47">
        <v>60</v>
      </c>
      <c r="E1207" s="32" t="s">
        <v>181</v>
      </c>
      <c r="F1207" s="32" t="s">
        <v>63</v>
      </c>
      <c r="G1207" s="176" t="s">
        <v>2318</v>
      </c>
      <c r="H1207" s="32" t="s">
        <v>328</v>
      </c>
      <c r="I1207" s="47"/>
    </row>
    <row r="1208" spans="1:9" ht="20.100000000000001" customHeight="1">
      <c r="A1208" s="42" t="s">
        <v>2414</v>
      </c>
      <c r="B1208" s="22" t="s">
        <v>60</v>
      </c>
      <c r="C1208" s="46">
        <v>42690</v>
      </c>
      <c r="D1208" s="47">
        <v>33.119999999999997</v>
      </c>
      <c r="E1208" s="32" t="s">
        <v>1384</v>
      </c>
      <c r="F1208" s="32" t="s">
        <v>63</v>
      </c>
      <c r="G1208" s="32" t="s">
        <v>1573</v>
      </c>
      <c r="H1208" s="32" t="s">
        <v>328</v>
      </c>
      <c r="I1208" s="47"/>
    </row>
    <row r="1209" spans="1:9" ht="20.100000000000001" customHeight="1">
      <c r="A1209" s="42" t="s">
        <v>2414</v>
      </c>
      <c r="B1209" s="22" t="s">
        <v>60</v>
      </c>
      <c r="C1209" s="46">
        <v>42690</v>
      </c>
      <c r="D1209" s="47">
        <v>32.08</v>
      </c>
      <c r="E1209" s="32" t="s">
        <v>1384</v>
      </c>
      <c r="F1209" s="32" t="s">
        <v>63</v>
      </c>
      <c r="G1209" s="32" t="s">
        <v>2413</v>
      </c>
      <c r="H1209" s="32" t="s">
        <v>328</v>
      </c>
      <c r="I1209" s="47"/>
    </row>
    <row r="1210" spans="1:9" ht="20.100000000000001" customHeight="1">
      <c r="A1210" s="42" t="s">
        <v>2414</v>
      </c>
      <c r="B1210" s="22" t="s">
        <v>60</v>
      </c>
      <c r="C1210" s="46">
        <v>42690</v>
      </c>
      <c r="D1210" s="47">
        <v>32.119999999999997</v>
      </c>
      <c r="E1210" s="32" t="s">
        <v>1384</v>
      </c>
      <c r="F1210" s="32" t="s">
        <v>63</v>
      </c>
      <c r="G1210" s="32" t="s">
        <v>1552</v>
      </c>
      <c r="H1210" s="32" t="s">
        <v>328</v>
      </c>
      <c r="I1210" s="47"/>
    </row>
    <row r="1211" spans="1:9" ht="20.100000000000001" customHeight="1">
      <c r="A1211" s="42" t="s">
        <v>2415</v>
      </c>
      <c r="B1211" s="22" t="s">
        <v>93</v>
      </c>
      <c r="C1211" s="46">
        <v>42690</v>
      </c>
      <c r="D1211" s="47">
        <v>4000</v>
      </c>
      <c r="E1211" s="32" t="s">
        <v>1479</v>
      </c>
      <c r="F1211" s="32" t="s">
        <v>63</v>
      </c>
      <c r="G1211" s="267"/>
      <c r="H1211" s="32" t="s">
        <v>329</v>
      </c>
      <c r="I1211" s="47"/>
    </row>
    <row r="1212" spans="1:9" ht="20.100000000000001" customHeight="1">
      <c r="A1212" s="42" t="s">
        <v>2419</v>
      </c>
      <c r="B1212" s="22" t="s">
        <v>93</v>
      </c>
      <c r="C1212" s="46">
        <v>42690</v>
      </c>
      <c r="D1212" s="47">
        <v>4000</v>
      </c>
      <c r="E1212" s="32" t="s">
        <v>1479</v>
      </c>
      <c r="F1212" s="32" t="s">
        <v>63</v>
      </c>
      <c r="G1212" s="267"/>
      <c r="H1212" s="32" t="s">
        <v>328</v>
      </c>
      <c r="I1212" s="47"/>
    </row>
    <row r="1213" spans="1:9" ht="20.100000000000001" customHeight="1">
      <c r="A1213" s="22" t="s">
        <v>2411</v>
      </c>
      <c r="B1213" s="22" t="s">
        <v>60</v>
      </c>
      <c r="C1213" s="46">
        <v>42691</v>
      </c>
      <c r="D1213" s="47">
        <v>60</v>
      </c>
      <c r="E1213" s="32" t="s">
        <v>1384</v>
      </c>
      <c r="F1213" s="32" t="s">
        <v>63</v>
      </c>
      <c r="G1213" s="176" t="s">
        <v>2422</v>
      </c>
      <c r="H1213" s="32" t="s">
        <v>329</v>
      </c>
      <c r="I1213" s="47"/>
    </row>
    <row r="1214" spans="1:9" ht="20.100000000000001" customHeight="1">
      <c r="A1214" s="22" t="s">
        <v>2286</v>
      </c>
      <c r="B1214" s="22" t="s">
        <v>60</v>
      </c>
      <c r="C1214" s="46">
        <v>42691</v>
      </c>
      <c r="D1214" s="47">
        <v>60</v>
      </c>
      <c r="E1214" s="32" t="s">
        <v>181</v>
      </c>
      <c r="F1214" s="32" t="s">
        <v>63</v>
      </c>
      <c r="G1214" s="32" t="s">
        <v>2427</v>
      </c>
      <c r="H1214" s="32" t="s">
        <v>329</v>
      </c>
      <c r="I1214" s="47"/>
    </row>
    <row r="1215" spans="1:9" ht="20.100000000000001" customHeight="1">
      <c r="A1215" s="22" t="s">
        <v>2286</v>
      </c>
      <c r="B1215" s="22" t="s">
        <v>60</v>
      </c>
      <c r="C1215" s="46">
        <v>42691</v>
      </c>
      <c r="D1215" s="47">
        <v>60</v>
      </c>
      <c r="E1215" s="32" t="s">
        <v>181</v>
      </c>
      <c r="F1215" s="32" t="s">
        <v>63</v>
      </c>
      <c r="G1215" s="32" t="s">
        <v>2428</v>
      </c>
      <c r="H1215" s="32" t="s">
        <v>329</v>
      </c>
      <c r="I1215" s="47"/>
    </row>
    <row r="1216" spans="1:9" ht="20.100000000000001" customHeight="1">
      <c r="A1216" s="22" t="s">
        <v>2286</v>
      </c>
      <c r="B1216" s="22" t="s">
        <v>60</v>
      </c>
      <c r="C1216" s="46">
        <v>42691</v>
      </c>
      <c r="D1216" s="47">
        <v>60</v>
      </c>
      <c r="E1216" s="32" t="s">
        <v>181</v>
      </c>
      <c r="F1216" s="32" t="s">
        <v>63</v>
      </c>
      <c r="G1216" s="32" t="s">
        <v>2429</v>
      </c>
      <c r="H1216" s="32" t="s">
        <v>329</v>
      </c>
      <c r="I1216" s="47"/>
    </row>
    <row r="1217" spans="1:9" ht="20.100000000000001" customHeight="1">
      <c r="A1217" s="22" t="s">
        <v>2411</v>
      </c>
      <c r="B1217" s="22" t="s">
        <v>60</v>
      </c>
      <c r="C1217" s="46">
        <v>42691</v>
      </c>
      <c r="D1217" s="47">
        <v>31.08</v>
      </c>
      <c r="E1217" s="32" t="s">
        <v>1384</v>
      </c>
      <c r="F1217" s="32" t="s">
        <v>63</v>
      </c>
      <c r="G1217" s="32" t="s">
        <v>2430</v>
      </c>
      <c r="H1217" s="32" t="s">
        <v>329</v>
      </c>
      <c r="I1217" s="47"/>
    </row>
    <row r="1218" spans="1:9" ht="20.100000000000001" customHeight="1">
      <c r="A1218" s="22" t="s">
        <v>2411</v>
      </c>
      <c r="B1218" s="22" t="s">
        <v>60</v>
      </c>
      <c r="C1218" s="46">
        <v>42691</v>
      </c>
      <c r="D1218" s="47">
        <v>32.08</v>
      </c>
      <c r="E1218" s="32" t="s">
        <v>1384</v>
      </c>
      <c r="F1218" s="32" t="s">
        <v>63</v>
      </c>
      <c r="G1218" s="32" t="s">
        <v>2431</v>
      </c>
      <c r="H1218" s="32" t="s">
        <v>329</v>
      </c>
      <c r="I1218" s="47"/>
    </row>
    <row r="1219" spans="1:9" ht="20.100000000000001" customHeight="1">
      <c r="A1219" s="22" t="s">
        <v>2411</v>
      </c>
      <c r="B1219" s="22" t="s">
        <v>60</v>
      </c>
      <c r="C1219" s="46">
        <v>42691</v>
      </c>
      <c r="D1219" s="47">
        <v>31.12</v>
      </c>
      <c r="E1219" s="32" t="s">
        <v>1384</v>
      </c>
      <c r="F1219" s="32" t="s">
        <v>63</v>
      </c>
      <c r="G1219" s="32" t="s">
        <v>2434</v>
      </c>
      <c r="H1219" s="32" t="s">
        <v>329</v>
      </c>
      <c r="I1219" s="47"/>
    </row>
    <row r="1220" spans="1:9" ht="20.100000000000001" customHeight="1">
      <c r="A1220" s="42" t="s">
        <v>2338</v>
      </c>
      <c r="B1220" s="22" t="s">
        <v>60</v>
      </c>
      <c r="C1220" s="46">
        <v>42692</v>
      </c>
      <c r="D1220" s="47">
        <v>31.08</v>
      </c>
      <c r="E1220" s="32" t="s">
        <v>1384</v>
      </c>
      <c r="F1220" s="32" t="s">
        <v>63</v>
      </c>
      <c r="G1220" s="32" t="s">
        <v>2430</v>
      </c>
      <c r="H1220" s="32" t="s">
        <v>328</v>
      </c>
      <c r="I1220" s="47"/>
    </row>
    <row r="1221" spans="1:9" ht="20.100000000000001" customHeight="1">
      <c r="A1221" s="42" t="s">
        <v>2338</v>
      </c>
      <c r="B1221" s="22" t="s">
        <v>60</v>
      </c>
      <c r="C1221" s="46">
        <v>42692</v>
      </c>
      <c r="D1221" s="47">
        <v>32.08</v>
      </c>
      <c r="E1221" s="32" t="s">
        <v>1384</v>
      </c>
      <c r="F1221" s="32" t="s">
        <v>63</v>
      </c>
      <c r="G1221" s="32" t="s">
        <v>2431</v>
      </c>
      <c r="H1221" s="32" t="s">
        <v>328</v>
      </c>
      <c r="I1221" s="47"/>
    </row>
    <row r="1222" spans="1:9" ht="20.100000000000001" customHeight="1">
      <c r="A1222" s="42" t="s">
        <v>2338</v>
      </c>
      <c r="B1222" s="22" t="s">
        <v>60</v>
      </c>
      <c r="C1222" s="46">
        <v>42692</v>
      </c>
      <c r="D1222" s="47">
        <v>31.12</v>
      </c>
      <c r="E1222" s="32" t="s">
        <v>1384</v>
      </c>
      <c r="F1222" s="32" t="s">
        <v>63</v>
      </c>
      <c r="G1222" s="32" t="s">
        <v>2434</v>
      </c>
      <c r="H1222" s="32" t="s">
        <v>328</v>
      </c>
      <c r="I1222" s="47"/>
    </row>
    <row r="1223" spans="1:9" ht="20.100000000000001" customHeight="1">
      <c r="A1223" s="22" t="s">
        <v>2400</v>
      </c>
      <c r="B1223" s="22" t="s">
        <v>60</v>
      </c>
      <c r="C1223" s="46">
        <v>42688</v>
      </c>
      <c r="D1223" s="47">
        <v>60</v>
      </c>
      <c r="E1223" s="32" t="s">
        <v>362</v>
      </c>
      <c r="F1223" s="32" t="s">
        <v>70</v>
      </c>
      <c r="G1223" s="176" t="s">
        <v>2432</v>
      </c>
      <c r="H1223" s="32" t="s">
        <v>329</v>
      </c>
      <c r="I1223" s="47"/>
    </row>
    <row r="1224" spans="1:9" ht="20.100000000000001" customHeight="1">
      <c r="A1224" s="22" t="s">
        <v>2400</v>
      </c>
      <c r="B1224" s="22" t="s">
        <v>60</v>
      </c>
      <c r="C1224" s="46">
        <v>42688</v>
      </c>
      <c r="D1224" s="47">
        <v>60</v>
      </c>
      <c r="E1224" s="32" t="s">
        <v>362</v>
      </c>
      <c r="F1224" s="32" t="s">
        <v>70</v>
      </c>
      <c r="G1224" s="176" t="s">
        <v>2433</v>
      </c>
      <c r="H1224" s="32" t="s">
        <v>329</v>
      </c>
      <c r="I1224" s="47"/>
    </row>
    <row r="1225" spans="1:9" ht="20.100000000000001" customHeight="1">
      <c r="A1225" s="42" t="s">
        <v>2132</v>
      </c>
      <c r="B1225" s="22" t="s">
        <v>60</v>
      </c>
      <c r="C1225" s="46">
        <v>42692</v>
      </c>
      <c r="D1225" s="47">
        <v>70</v>
      </c>
      <c r="E1225" s="32" t="s">
        <v>181</v>
      </c>
      <c r="F1225" s="32" t="s">
        <v>63</v>
      </c>
      <c r="G1225" s="176" t="s">
        <v>2293</v>
      </c>
      <c r="H1225" s="32" t="s">
        <v>328</v>
      </c>
      <c r="I1225" s="47"/>
    </row>
    <row r="1226" spans="1:9" ht="20.100000000000001" customHeight="1">
      <c r="A1226" s="22" t="s">
        <v>2286</v>
      </c>
      <c r="B1226" s="22" t="s">
        <v>60</v>
      </c>
      <c r="C1226" s="46">
        <v>42692</v>
      </c>
      <c r="D1226" s="47">
        <v>60</v>
      </c>
      <c r="E1226" s="32" t="s">
        <v>181</v>
      </c>
      <c r="F1226" s="32" t="s">
        <v>63</v>
      </c>
      <c r="G1226" s="32" t="s">
        <v>2435</v>
      </c>
      <c r="H1226" s="32" t="s">
        <v>329</v>
      </c>
      <c r="I1226" s="47"/>
    </row>
    <row r="1227" spans="1:9" ht="20.100000000000001" customHeight="1">
      <c r="A1227" s="151" t="s">
        <v>2309</v>
      </c>
      <c r="B1227" s="151" t="s">
        <v>430</v>
      </c>
      <c r="C1227" s="46">
        <v>42692</v>
      </c>
      <c r="D1227" s="47">
        <v>60</v>
      </c>
      <c r="E1227" s="32" t="s">
        <v>2493</v>
      </c>
      <c r="F1227" s="32" t="s">
        <v>310</v>
      </c>
      <c r="G1227" s="32" t="s">
        <v>2436</v>
      </c>
      <c r="H1227" s="32" t="s">
        <v>329</v>
      </c>
      <c r="I1227" s="47"/>
    </row>
    <row r="1228" spans="1:9" ht="20.100000000000001" customHeight="1">
      <c r="A1228" s="22" t="s">
        <v>2439</v>
      </c>
      <c r="B1228" s="22" t="s">
        <v>2440</v>
      </c>
      <c r="C1228" s="46">
        <v>42689</v>
      </c>
      <c r="D1228" s="47">
        <v>60</v>
      </c>
      <c r="E1228" s="32" t="s">
        <v>663</v>
      </c>
      <c r="F1228" s="32" t="s">
        <v>70</v>
      </c>
      <c r="G1228" s="176" t="s">
        <v>2441</v>
      </c>
      <c r="H1228" s="32" t="s">
        <v>329</v>
      </c>
      <c r="I1228" s="47"/>
    </row>
    <row r="1229" spans="1:9" ht="20.100000000000001" customHeight="1">
      <c r="A1229" s="22" t="s">
        <v>2439</v>
      </c>
      <c r="B1229" s="22" t="s">
        <v>2440</v>
      </c>
      <c r="C1229" s="46">
        <v>42689</v>
      </c>
      <c r="D1229" s="47">
        <v>60</v>
      </c>
      <c r="E1229" s="32" t="s">
        <v>663</v>
      </c>
      <c r="F1229" s="32" t="s">
        <v>70</v>
      </c>
      <c r="G1229" s="176" t="s">
        <v>2442</v>
      </c>
      <c r="H1229" s="32" t="s">
        <v>329</v>
      </c>
      <c r="I1229" s="47"/>
    </row>
    <row r="1230" spans="1:9" ht="20.100000000000001" customHeight="1">
      <c r="A1230" s="22" t="s">
        <v>2439</v>
      </c>
      <c r="B1230" s="22" t="s">
        <v>2440</v>
      </c>
      <c r="C1230" s="46">
        <v>42690</v>
      </c>
      <c r="D1230" s="47">
        <v>60</v>
      </c>
      <c r="E1230" s="32" t="s">
        <v>663</v>
      </c>
      <c r="F1230" s="32" t="s">
        <v>70</v>
      </c>
      <c r="G1230" s="176" t="s">
        <v>2443</v>
      </c>
      <c r="H1230" s="32" t="s">
        <v>329</v>
      </c>
      <c r="I1230" s="47"/>
    </row>
    <row r="1231" spans="1:9" ht="20.100000000000001" customHeight="1">
      <c r="A1231" s="22" t="s">
        <v>2439</v>
      </c>
      <c r="B1231" s="22" t="s">
        <v>2440</v>
      </c>
      <c r="C1231" s="46">
        <v>42690</v>
      </c>
      <c r="D1231" s="47">
        <v>60</v>
      </c>
      <c r="E1231" s="32" t="s">
        <v>663</v>
      </c>
      <c r="F1231" s="32" t="s">
        <v>70</v>
      </c>
      <c r="G1231" s="176" t="s">
        <v>2444</v>
      </c>
      <c r="H1231" s="32" t="s">
        <v>329</v>
      </c>
      <c r="I1231" s="47"/>
    </row>
    <row r="1232" spans="1:9" ht="20.100000000000001" customHeight="1">
      <c r="A1232" s="22" t="s">
        <v>2439</v>
      </c>
      <c r="B1232" s="22" t="s">
        <v>2440</v>
      </c>
      <c r="C1232" s="46">
        <v>42690</v>
      </c>
      <c r="D1232" s="47">
        <v>60</v>
      </c>
      <c r="E1232" s="32" t="s">
        <v>663</v>
      </c>
      <c r="F1232" s="32" t="s">
        <v>70</v>
      </c>
      <c r="G1232" s="176" t="s">
        <v>2445</v>
      </c>
      <c r="H1232" s="32" t="s">
        <v>329</v>
      </c>
      <c r="I1232" s="47"/>
    </row>
    <row r="1233" spans="1:9" ht="20.100000000000001" customHeight="1">
      <c r="A1233" s="22" t="s">
        <v>2447</v>
      </c>
      <c r="B1233" s="22" t="s">
        <v>60</v>
      </c>
      <c r="C1233" s="46">
        <v>42694</v>
      </c>
      <c r="D1233" s="47">
        <v>60</v>
      </c>
      <c r="E1233" s="32" t="s">
        <v>362</v>
      </c>
      <c r="F1233" s="32" t="s">
        <v>70</v>
      </c>
      <c r="G1233" s="32" t="s">
        <v>2399</v>
      </c>
      <c r="H1233" s="32" t="s">
        <v>328</v>
      </c>
      <c r="I1233" s="47"/>
    </row>
    <row r="1234" spans="1:9" ht="20.100000000000001" customHeight="1">
      <c r="A1234" s="22" t="s">
        <v>2447</v>
      </c>
      <c r="B1234" s="22" t="s">
        <v>60</v>
      </c>
      <c r="C1234" s="46">
        <v>42694</v>
      </c>
      <c r="D1234" s="47">
        <v>60</v>
      </c>
      <c r="E1234" s="32" t="s">
        <v>362</v>
      </c>
      <c r="F1234" s="32" t="s">
        <v>70</v>
      </c>
      <c r="G1234" s="176" t="s">
        <v>2405</v>
      </c>
      <c r="H1234" s="32" t="s">
        <v>328</v>
      </c>
      <c r="I1234" s="47"/>
    </row>
    <row r="1235" spans="1:9" ht="20.100000000000001" customHeight="1">
      <c r="A1235" s="22" t="s">
        <v>2447</v>
      </c>
      <c r="B1235" s="22" t="s">
        <v>60</v>
      </c>
      <c r="C1235" s="46">
        <v>42694</v>
      </c>
      <c r="D1235" s="47">
        <v>60</v>
      </c>
      <c r="E1235" s="32" t="s">
        <v>362</v>
      </c>
      <c r="F1235" s="32" t="s">
        <v>70</v>
      </c>
      <c r="G1235" s="176" t="s">
        <v>2406</v>
      </c>
      <c r="H1235" s="32" t="s">
        <v>328</v>
      </c>
      <c r="I1235" s="47"/>
    </row>
    <row r="1236" spans="1:9" ht="20.100000000000001" customHeight="1">
      <c r="A1236" s="22" t="s">
        <v>2447</v>
      </c>
      <c r="B1236" s="22" t="s">
        <v>60</v>
      </c>
      <c r="C1236" s="46">
        <v>42694</v>
      </c>
      <c r="D1236" s="47">
        <v>60</v>
      </c>
      <c r="E1236" s="32" t="s">
        <v>362</v>
      </c>
      <c r="F1236" s="32" t="s">
        <v>70</v>
      </c>
      <c r="G1236" s="176" t="s">
        <v>2432</v>
      </c>
      <c r="H1236" s="32" t="s">
        <v>328</v>
      </c>
      <c r="I1236" s="47"/>
    </row>
    <row r="1237" spans="1:9" ht="20.100000000000001" customHeight="1">
      <c r="A1237" s="22" t="s">
        <v>2447</v>
      </c>
      <c r="B1237" s="22" t="s">
        <v>60</v>
      </c>
      <c r="C1237" s="46">
        <v>42694</v>
      </c>
      <c r="D1237" s="47">
        <v>60</v>
      </c>
      <c r="E1237" s="32" t="s">
        <v>362</v>
      </c>
      <c r="F1237" s="32" t="s">
        <v>70</v>
      </c>
      <c r="G1237" s="176" t="s">
        <v>2433</v>
      </c>
      <c r="H1237" s="32" t="s">
        <v>328</v>
      </c>
      <c r="I1237" s="47"/>
    </row>
    <row r="1238" spans="1:9" ht="20.100000000000001" customHeight="1">
      <c r="A1238" s="22" t="s">
        <v>2448</v>
      </c>
      <c r="B1238" s="22" t="s">
        <v>2206</v>
      </c>
      <c r="C1238" s="46">
        <v>42695</v>
      </c>
      <c r="D1238" s="47">
        <v>4997.9399999999996</v>
      </c>
      <c r="E1238" s="32" t="s">
        <v>2207</v>
      </c>
      <c r="F1238" s="32" t="s">
        <v>63</v>
      </c>
      <c r="G1238" s="176"/>
      <c r="H1238" s="32" t="s">
        <v>329</v>
      </c>
      <c r="I1238" s="47"/>
    </row>
    <row r="1239" spans="1:9" ht="20.100000000000001" customHeight="1">
      <c r="A1239" s="22" t="s">
        <v>2449</v>
      </c>
      <c r="B1239" s="22" t="s">
        <v>2206</v>
      </c>
      <c r="C1239" s="46">
        <v>42695</v>
      </c>
      <c r="D1239" s="47">
        <v>4997.9399999999996</v>
      </c>
      <c r="E1239" s="32" t="s">
        <v>2207</v>
      </c>
      <c r="F1239" s="32" t="s">
        <v>63</v>
      </c>
      <c r="G1239" s="176"/>
      <c r="H1239" s="32" t="s">
        <v>328</v>
      </c>
      <c r="I1239" s="47"/>
    </row>
    <row r="1240" spans="1:9" ht="20.100000000000001" customHeight="1">
      <c r="A1240" s="22" t="s">
        <v>2339</v>
      </c>
      <c r="B1240" s="22" t="s">
        <v>60</v>
      </c>
      <c r="C1240" s="46">
        <v>42695</v>
      </c>
      <c r="D1240" s="47">
        <v>60</v>
      </c>
      <c r="E1240" s="32" t="s">
        <v>663</v>
      </c>
      <c r="F1240" s="32" t="s">
        <v>70</v>
      </c>
      <c r="G1240" s="176" t="s">
        <v>2441</v>
      </c>
      <c r="H1240" s="32" t="s">
        <v>328</v>
      </c>
      <c r="I1240" s="47"/>
    </row>
    <row r="1241" spans="1:9" ht="20.100000000000001" customHeight="1">
      <c r="A1241" s="22" t="s">
        <v>2339</v>
      </c>
      <c r="B1241" s="22" t="s">
        <v>60</v>
      </c>
      <c r="C1241" s="46">
        <v>42695</v>
      </c>
      <c r="D1241" s="47">
        <v>60</v>
      </c>
      <c r="E1241" s="32" t="s">
        <v>663</v>
      </c>
      <c r="F1241" s="32" t="s">
        <v>70</v>
      </c>
      <c r="G1241" s="176" t="s">
        <v>2442</v>
      </c>
      <c r="H1241" s="32" t="s">
        <v>328</v>
      </c>
      <c r="I1241" s="47"/>
    </row>
    <row r="1242" spans="1:9" ht="20.100000000000001" customHeight="1">
      <c r="A1242" s="22" t="s">
        <v>2339</v>
      </c>
      <c r="B1242" s="22" t="s">
        <v>60</v>
      </c>
      <c r="C1242" s="46">
        <v>42695</v>
      </c>
      <c r="D1242" s="47">
        <v>60</v>
      </c>
      <c r="E1242" s="32" t="s">
        <v>663</v>
      </c>
      <c r="F1242" s="32" t="s">
        <v>70</v>
      </c>
      <c r="G1242" s="176" t="s">
        <v>2443</v>
      </c>
      <c r="H1242" s="32" t="s">
        <v>328</v>
      </c>
      <c r="I1242" s="47"/>
    </row>
    <row r="1243" spans="1:9" ht="20.100000000000001" customHeight="1">
      <c r="A1243" s="22" t="s">
        <v>2450</v>
      </c>
      <c r="B1243" s="22" t="s">
        <v>2451</v>
      </c>
      <c r="C1243" s="46">
        <v>42696</v>
      </c>
      <c r="D1243" s="47">
        <v>26</v>
      </c>
      <c r="E1243" s="32" t="s">
        <v>165</v>
      </c>
      <c r="F1243" s="32" t="s">
        <v>63</v>
      </c>
      <c r="G1243" s="176" t="s">
        <v>2452</v>
      </c>
      <c r="H1243" s="32" t="s">
        <v>328</v>
      </c>
      <c r="I1243" s="47"/>
    </row>
    <row r="1244" spans="1:9" ht="20.100000000000001" customHeight="1">
      <c r="A1244" s="22" t="s">
        <v>2453</v>
      </c>
      <c r="B1244" s="22" t="s">
        <v>82</v>
      </c>
      <c r="C1244" s="46">
        <v>42693</v>
      </c>
      <c r="D1244" s="47">
        <v>26</v>
      </c>
      <c r="E1244" s="32" t="s">
        <v>165</v>
      </c>
      <c r="F1244" s="32" t="s">
        <v>63</v>
      </c>
      <c r="G1244" s="176" t="s">
        <v>594</v>
      </c>
      <c r="H1244" s="32" t="s">
        <v>328</v>
      </c>
      <c r="I1244" s="47"/>
    </row>
    <row r="1245" spans="1:9" ht="20.100000000000001" customHeight="1">
      <c r="A1245" s="22" t="s">
        <v>2453</v>
      </c>
      <c r="B1245" s="22" t="s">
        <v>82</v>
      </c>
      <c r="C1245" s="46">
        <v>42693</v>
      </c>
      <c r="D1245" s="47">
        <v>32</v>
      </c>
      <c r="E1245" s="32" t="s">
        <v>165</v>
      </c>
      <c r="F1245" s="32" t="s">
        <v>63</v>
      </c>
      <c r="G1245" s="176" t="s">
        <v>2454</v>
      </c>
      <c r="H1245" s="32" t="s">
        <v>328</v>
      </c>
      <c r="I1245" s="47"/>
    </row>
    <row r="1246" spans="1:9" ht="20.100000000000001" customHeight="1">
      <c r="A1246" s="42" t="s">
        <v>2457</v>
      </c>
      <c r="B1246" s="22" t="s">
        <v>60</v>
      </c>
      <c r="C1246" s="46">
        <v>42650</v>
      </c>
      <c r="D1246" s="47">
        <v>60</v>
      </c>
      <c r="E1246" s="32" t="s">
        <v>181</v>
      </c>
      <c r="F1246" s="32" t="s">
        <v>63</v>
      </c>
      <c r="G1246" s="176" t="s">
        <v>2080</v>
      </c>
      <c r="H1246" s="32" t="s">
        <v>328</v>
      </c>
      <c r="I1246" s="47"/>
    </row>
    <row r="1247" spans="1:9" ht="20.100000000000001" customHeight="1">
      <c r="A1247" s="42" t="s">
        <v>2457</v>
      </c>
      <c r="B1247" s="22" t="s">
        <v>60</v>
      </c>
      <c r="C1247" s="46">
        <v>42650</v>
      </c>
      <c r="D1247" s="47">
        <v>60</v>
      </c>
      <c r="E1247" s="32" t="s">
        <v>181</v>
      </c>
      <c r="F1247" s="32" t="s">
        <v>63</v>
      </c>
      <c r="G1247" s="176" t="s">
        <v>2081</v>
      </c>
      <c r="H1247" s="32" t="s">
        <v>328</v>
      </c>
      <c r="I1247" s="47"/>
    </row>
    <row r="1248" spans="1:9" ht="20.100000000000001" customHeight="1">
      <c r="A1248" s="22" t="s">
        <v>2339</v>
      </c>
      <c r="B1248" s="22" t="s">
        <v>60</v>
      </c>
      <c r="C1248" s="46">
        <v>42695</v>
      </c>
      <c r="D1248" s="47">
        <v>60</v>
      </c>
      <c r="E1248" s="32" t="s">
        <v>663</v>
      </c>
      <c r="F1248" s="32" t="s">
        <v>70</v>
      </c>
      <c r="G1248" s="176" t="s">
        <v>2444</v>
      </c>
      <c r="H1248" s="32" t="s">
        <v>328</v>
      </c>
      <c r="I1248" s="47"/>
    </row>
    <row r="1249" spans="1:9" ht="20.100000000000001" customHeight="1">
      <c r="A1249" s="22" t="s">
        <v>2339</v>
      </c>
      <c r="B1249" s="22" t="s">
        <v>60</v>
      </c>
      <c r="C1249" s="46">
        <v>42695</v>
      </c>
      <c r="D1249" s="47">
        <v>60</v>
      </c>
      <c r="E1249" s="32" t="s">
        <v>663</v>
      </c>
      <c r="F1249" s="32" t="s">
        <v>70</v>
      </c>
      <c r="G1249" s="176" t="s">
        <v>2445</v>
      </c>
      <c r="H1249" s="32" t="s">
        <v>328</v>
      </c>
      <c r="I1249" s="47"/>
    </row>
    <row r="1250" spans="1:9" ht="20.100000000000001" customHeight="1">
      <c r="A1250" s="22" t="s">
        <v>2453</v>
      </c>
      <c r="B1250" s="22" t="s">
        <v>82</v>
      </c>
      <c r="C1250" s="46">
        <v>42698</v>
      </c>
      <c r="D1250" s="47">
        <v>33</v>
      </c>
      <c r="E1250" s="32" t="s">
        <v>165</v>
      </c>
      <c r="F1250" s="32" t="s">
        <v>63</v>
      </c>
      <c r="G1250" s="32" t="s">
        <v>360</v>
      </c>
      <c r="H1250" s="32" t="s">
        <v>328</v>
      </c>
      <c r="I1250" s="47"/>
    </row>
    <row r="1251" spans="1:9" ht="20.100000000000001" customHeight="1">
      <c r="A1251" s="22" t="s">
        <v>2453</v>
      </c>
      <c r="B1251" s="22" t="s">
        <v>82</v>
      </c>
      <c r="C1251" s="46">
        <v>42698</v>
      </c>
      <c r="D1251" s="47">
        <v>26</v>
      </c>
      <c r="E1251" s="32" t="s">
        <v>165</v>
      </c>
      <c r="F1251" s="32" t="s">
        <v>63</v>
      </c>
      <c r="G1251" s="32" t="s">
        <v>594</v>
      </c>
      <c r="H1251" s="32" t="s">
        <v>328</v>
      </c>
      <c r="I1251" s="47"/>
    </row>
    <row r="1252" spans="1:9" ht="20.100000000000001" customHeight="1">
      <c r="A1252" s="22" t="s">
        <v>2453</v>
      </c>
      <c r="B1252" s="22" t="s">
        <v>82</v>
      </c>
      <c r="C1252" s="46">
        <v>42698</v>
      </c>
      <c r="D1252" s="47">
        <v>26</v>
      </c>
      <c r="E1252" s="32" t="s">
        <v>165</v>
      </c>
      <c r="F1252" s="32" t="s">
        <v>63</v>
      </c>
      <c r="G1252" s="32" t="s">
        <v>352</v>
      </c>
      <c r="H1252" s="32" t="s">
        <v>328</v>
      </c>
      <c r="I1252" s="47"/>
    </row>
    <row r="1253" spans="1:9" ht="20.100000000000001" customHeight="1">
      <c r="A1253" s="22" t="s">
        <v>2063</v>
      </c>
      <c r="B1253" s="22" t="s">
        <v>82</v>
      </c>
      <c r="C1253" s="46">
        <v>42681</v>
      </c>
      <c r="D1253" s="47">
        <v>26</v>
      </c>
      <c r="E1253" s="32" t="s">
        <v>165</v>
      </c>
      <c r="F1253" s="32" t="s">
        <v>63</v>
      </c>
      <c r="G1253" s="32" t="s">
        <v>564</v>
      </c>
      <c r="H1253" s="32" t="s">
        <v>328</v>
      </c>
      <c r="I1253" s="47"/>
    </row>
    <row r="1254" spans="1:9" ht="20.100000000000001" customHeight="1">
      <c r="A1254" s="22" t="s">
        <v>2063</v>
      </c>
      <c r="B1254" s="22" t="s">
        <v>82</v>
      </c>
      <c r="C1254" s="46">
        <v>42681</v>
      </c>
      <c r="D1254" s="47">
        <v>26</v>
      </c>
      <c r="E1254" s="32" t="s">
        <v>165</v>
      </c>
      <c r="F1254" s="32" t="s">
        <v>63</v>
      </c>
      <c r="G1254" s="176" t="s">
        <v>594</v>
      </c>
      <c r="H1254" s="32" t="s">
        <v>328</v>
      </c>
      <c r="I1254" s="47"/>
    </row>
    <row r="1255" spans="1:9" ht="20.100000000000001" customHeight="1">
      <c r="A1255" s="22" t="s">
        <v>2459</v>
      </c>
      <c r="B1255" s="22" t="s">
        <v>843</v>
      </c>
      <c r="C1255" s="46">
        <v>42698</v>
      </c>
      <c r="D1255" s="47">
        <v>1500</v>
      </c>
      <c r="E1255" s="32" t="s">
        <v>1479</v>
      </c>
      <c r="F1255" s="32" t="s">
        <v>63</v>
      </c>
      <c r="G1255" s="267"/>
      <c r="H1255" s="32" t="s">
        <v>329</v>
      </c>
      <c r="I1255" s="47"/>
    </row>
    <row r="1256" spans="1:9" ht="20.100000000000001" customHeight="1">
      <c r="A1256" s="42" t="s">
        <v>2419</v>
      </c>
      <c r="B1256" s="22" t="s">
        <v>93</v>
      </c>
      <c r="C1256" s="46">
        <v>42698</v>
      </c>
      <c r="D1256" s="47">
        <v>1500</v>
      </c>
      <c r="E1256" s="32" t="s">
        <v>1479</v>
      </c>
      <c r="F1256" s="32" t="s">
        <v>63</v>
      </c>
      <c r="G1256" s="267"/>
      <c r="H1256" s="32" t="s">
        <v>328</v>
      </c>
      <c r="I1256" s="47"/>
    </row>
    <row r="1257" spans="1:9" ht="20.100000000000001" customHeight="1">
      <c r="A1257" s="42" t="s">
        <v>2338</v>
      </c>
      <c r="B1257" s="22" t="s">
        <v>60</v>
      </c>
      <c r="C1257" s="46">
        <v>42688</v>
      </c>
      <c r="D1257" s="47">
        <v>70</v>
      </c>
      <c r="E1257" s="32" t="s">
        <v>181</v>
      </c>
      <c r="F1257" s="32" t="s">
        <v>63</v>
      </c>
      <c r="G1257" s="32" t="s">
        <v>2410</v>
      </c>
      <c r="H1257" s="32" t="s">
        <v>328</v>
      </c>
      <c r="I1257" s="47"/>
    </row>
    <row r="1258" spans="1:9" ht="20.100000000000001" customHeight="1">
      <c r="A1258" s="42" t="s">
        <v>2338</v>
      </c>
      <c r="B1258" s="22" t="s">
        <v>60</v>
      </c>
      <c r="C1258" s="46">
        <v>42691</v>
      </c>
      <c r="D1258" s="47">
        <v>60</v>
      </c>
      <c r="E1258" s="32" t="s">
        <v>1384</v>
      </c>
      <c r="F1258" s="32" t="s">
        <v>63</v>
      </c>
      <c r="G1258" s="176" t="s">
        <v>2422</v>
      </c>
      <c r="H1258" s="32" t="s">
        <v>328</v>
      </c>
      <c r="I1258" s="47"/>
    </row>
    <row r="1259" spans="1:9" ht="20.100000000000001" customHeight="1">
      <c r="A1259" s="42" t="s">
        <v>2338</v>
      </c>
      <c r="B1259" s="22" t="s">
        <v>60</v>
      </c>
      <c r="C1259" s="46">
        <v>42691</v>
      </c>
      <c r="D1259" s="47">
        <v>60</v>
      </c>
      <c r="E1259" s="32" t="s">
        <v>181</v>
      </c>
      <c r="F1259" s="32" t="s">
        <v>63</v>
      </c>
      <c r="G1259" s="32" t="s">
        <v>2427</v>
      </c>
      <c r="H1259" s="32" t="s">
        <v>328</v>
      </c>
      <c r="I1259" s="47"/>
    </row>
    <row r="1260" spans="1:9" ht="20.100000000000001" customHeight="1">
      <c r="A1260" s="42" t="s">
        <v>2338</v>
      </c>
      <c r="B1260" s="22" t="s">
        <v>60</v>
      </c>
      <c r="C1260" s="46">
        <v>42691</v>
      </c>
      <c r="D1260" s="47">
        <v>60</v>
      </c>
      <c r="E1260" s="32" t="s">
        <v>181</v>
      </c>
      <c r="F1260" s="32" t="s">
        <v>63</v>
      </c>
      <c r="G1260" s="32" t="s">
        <v>2428</v>
      </c>
      <c r="H1260" s="32" t="s">
        <v>328</v>
      </c>
      <c r="I1260" s="47"/>
    </row>
    <row r="1261" spans="1:9" ht="20.100000000000001" customHeight="1">
      <c r="A1261" s="42" t="s">
        <v>2338</v>
      </c>
      <c r="B1261" s="22" t="s">
        <v>60</v>
      </c>
      <c r="C1261" s="46">
        <v>42691</v>
      </c>
      <c r="D1261" s="47">
        <v>60</v>
      </c>
      <c r="E1261" s="32" t="s">
        <v>181</v>
      </c>
      <c r="F1261" s="32" t="s">
        <v>63</v>
      </c>
      <c r="G1261" s="32" t="s">
        <v>2429</v>
      </c>
      <c r="H1261" s="32" t="s">
        <v>328</v>
      </c>
      <c r="I1261" s="47"/>
    </row>
    <row r="1262" spans="1:9" ht="20.100000000000001" customHeight="1">
      <c r="A1262" s="42" t="s">
        <v>2338</v>
      </c>
      <c r="B1262" s="22" t="s">
        <v>60</v>
      </c>
      <c r="C1262" s="46">
        <v>42692</v>
      </c>
      <c r="D1262" s="47">
        <v>60</v>
      </c>
      <c r="E1262" s="32" t="s">
        <v>181</v>
      </c>
      <c r="F1262" s="32" t="s">
        <v>63</v>
      </c>
      <c r="G1262" s="32" t="s">
        <v>2435</v>
      </c>
      <c r="H1262" s="32" t="s">
        <v>328</v>
      </c>
      <c r="I1262" s="47"/>
    </row>
    <row r="1263" spans="1:9" ht="20.100000000000001" customHeight="1">
      <c r="A1263" s="42" t="s">
        <v>2439</v>
      </c>
      <c r="B1263" s="22" t="s">
        <v>60</v>
      </c>
      <c r="C1263" s="46">
        <v>42694</v>
      </c>
      <c r="D1263" s="47">
        <v>60</v>
      </c>
      <c r="E1263" s="32" t="s">
        <v>663</v>
      </c>
      <c r="F1263" s="32" t="s">
        <v>70</v>
      </c>
      <c r="G1263" s="32" t="s">
        <v>2477</v>
      </c>
      <c r="H1263" s="32" t="s">
        <v>329</v>
      </c>
      <c r="I1263" s="47"/>
    </row>
    <row r="1264" spans="1:9" ht="20.100000000000001" customHeight="1">
      <c r="A1264" s="42" t="s">
        <v>2439</v>
      </c>
      <c r="B1264" s="22" t="s">
        <v>60</v>
      </c>
      <c r="C1264" s="46">
        <v>42694</v>
      </c>
      <c r="D1264" s="47">
        <v>100</v>
      </c>
      <c r="E1264" s="32" t="s">
        <v>663</v>
      </c>
      <c r="F1264" s="32" t="s">
        <v>70</v>
      </c>
      <c r="G1264" s="32" t="s">
        <v>2478</v>
      </c>
      <c r="H1264" s="32" t="s">
        <v>329</v>
      </c>
      <c r="I1264" s="47"/>
    </row>
    <row r="1265" spans="1:9" ht="20.100000000000001" customHeight="1">
      <c r="A1265" s="42" t="s">
        <v>2439</v>
      </c>
      <c r="B1265" s="22" t="s">
        <v>60</v>
      </c>
      <c r="C1265" s="46">
        <v>42694</v>
      </c>
      <c r="D1265" s="47">
        <v>47</v>
      </c>
      <c r="E1265" s="32" t="s">
        <v>663</v>
      </c>
      <c r="F1265" s="32" t="s">
        <v>70</v>
      </c>
      <c r="G1265" s="32" t="s">
        <v>2479</v>
      </c>
      <c r="H1265" s="32" t="s">
        <v>329</v>
      </c>
      <c r="I1265" s="47"/>
    </row>
    <row r="1266" spans="1:9" ht="20.100000000000001" customHeight="1">
      <c r="A1266" s="42" t="s">
        <v>2439</v>
      </c>
      <c r="B1266" s="22" t="s">
        <v>60</v>
      </c>
      <c r="C1266" s="46">
        <v>42694</v>
      </c>
      <c r="D1266" s="47">
        <v>47</v>
      </c>
      <c r="E1266" s="32" t="s">
        <v>663</v>
      </c>
      <c r="F1266" s="32" t="s">
        <v>70</v>
      </c>
      <c r="G1266" s="32" t="s">
        <v>2480</v>
      </c>
      <c r="H1266" s="32" t="s">
        <v>329</v>
      </c>
      <c r="I1266" s="47"/>
    </row>
    <row r="1267" spans="1:9" ht="20.100000000000001" customHeight="1">
      <c r="A1267" s="42" t="s">
        <v>2439</v>
      </c>
      <c r="B1267" s="22" t="s">
        <v>60</v>
      </c>
      <c r="C1267" s="46">
        <v>42694</v>
      </c>
      <c r="D1267" s="47">
        <v>46</v>
      </c>
      <c r="E1267" s="32" t="s">
        <v>663</v>
      </c>
      <c r="F1267" s="32" t="s">
        <v>70</v>
      </c>
      <c r="G1267" s="32" t="s">
        <v>2481</v>
      </c>
      <c r="H1267" s="32" t="s">
        <v>329</v>
      </c>
      <c r="I1267" s="47"/>
    </row>
    <row r="1268" spans="1:9" ht="20.25" customHeight="1">
      <c r="A1268" s="22" t="s">
        <v>2284</v>
      </c>
      <c r="B1268" s="22" t="s">
        <v>85</v>
      </c>
      <c r="C1268" s="46">
        <v>42704</v>
      </c>
      <c r="D1268" s="47">
        <v>31.88</v>
      </c>
      <c r="E1268" s="32" t="s">
        <v>165</v>
      </c>
      <c r="F1268" s="32" t="s">
        <v>63</v>
      </c>
      <c r="G1268" s="176" t="s">
        <v>2454</v>
      </c>
      <c r="H1268" s="32" t="s">
        <v>328</v>
      </c>
      <c r="I1268" s="47"/>
    </row>
    <row r="1269" spans="1:9" ht="20.100000000000001" customHeight="1">
      <c r="A1269" s="22" t="s">
        <v>2485</v>
      </c>
      <c r="B1269" s="22" t="s">
        <v>2486</v>
      </c>
      <c r="C1269" s="46">
        <v>42705</v>
      </c>
      <c r="D1269" s="47">
        <v>64</v>
      </c>
      <c r="E1269" s="32" t="s">
        <v>935</v>
      </c>
      <c r="F1269" s="32" t="s">
        <v>165</v>
      </c>
      <c r="G1269" s="176"/>
      <c r="H1269" s="32" t="s">
        <v>329</v>
      </c>
      <c r="I1269" s="47">
        <v>130</v>
      </c>
    </row>
    <row r="1270" spans="1:9" ht="20.100000000000001" customHeight="1">
      <c r="A1270" s="22" t="s">
        <v>2491</v>
      </c>
      <c r="B1270" s="22" t="s">
        <v>2206</v>
      </c>
      <c r="C1270" s="46">
        <v>42709</v>
      </c>
      <c r="D1270" s="47">
        <v>5003.68</v>
      </c>
      <c r="E1270" s="32" t="s">
        <v>2207</v>
      </c>
      <c r="F1270" s="32" t="s">
        <v>63</v>
      </c>
      <c r="G1270" s="176"/>
      <c r="H1270" s="32" t="s">
        <v>329</v>
      </c>
      <c r="I1270" s="47"/>
    </row>
    <row r="1271" spans="1:9" ht="20.100000000000001" customHeight="1">
      <c r="A1271" s="22" t="s">
        <v>2492</v>
      </c>
      <c r="B1271" s="22" t="s">
        <v>2206</v>
      </c>
      <c r="C1271" s="46">
        <v>42709</v>
      </c>
      <c r="D1271" s="47">
        <v>5003.68</v>
      </c>
      <c r="E1271" s="32" t="s">
        <v>2207</v>
      </c>
      <c r="F1271" s="32" t="s">
        <v>63</v>
      </c>
      <c r="G1271" s="176"/>
      <c r="H1271" s="32" t="s">
        <v>328</v>
      </c>
      <c r="I1271" s="47"/>
    </row>
    <row r="1272" spans="1:9" ht="20.100000000000001" customHeight="1">
      <c r="A1272" s="22" t="s">
        <v>2097</v>
      </c>
      <c r="B1272" s="151" t="s">
        <v>430</v>
      </c>
      <c r="C1272" s="46">
        <v>42692</v>
      </c>
      <c r="D1272" s="47">
        <v>60</v>
      </c>
      <c r="E1272" s="32" t="s">
        <v>2493</v>
      </c>
      <c r="F1272" s="32" t="s">
        <v>310</v>
      </c>
      <c r="G1272" s="32" t="s">
        <v>2436</v>
      </c>
      <c r="H1272" s="32" t="s">
        <v>328</v>
      </c>
      <c r="I1272" s="47"/>
    </row>
    <row r="1273" spans="1:9" ht="20.100000000000001" customHeight="1">
      <c r="A1273" s="22" t="s">
        <v>2496</v>
      </c>
      <c r="B1273" s="22" t="s">
        <v>82</v>
      </c>
      <c r="C1273" s="46">
        <v>42710</v>
      </c>
      <c r="D1273" s="47">
        <v>35</v>
      </c>
      <c r="E1273" s="32" t="s">
        <v>165</v>
      </c>
      <c r="F1273" s="32" t="s">
        <v>63</v>
      </c>
      <c r="G1273" s="32" t="s">
        <v>360</v>
      </c>
      <c r="H1273" s="32" t="s">
        <v>328</v>
      </c>
      <c r="I1273" s="47"/>
    </row>
    <row r="1274" spans="1:9" ht="20.100000000000001" customHeight="1">
      <c r="A1274" s="22" t="s">
        <v>2284</v>
      </c>
      <c r="B1274" s="22" t="s">
        <v>85</v>
      </c>
      <c r="C1274" s="46">
        <v>42701</v>
      </c>
      <c r="D1274" s="47">
        <v>26</v>
      </c>
      <c r="E1274" s="32" t="s">
        <v>165</v>
      </c>
      <c r="F1274" s="32" t="s">
        <v>63</v>
      </c>
      <c r="G1274" s="176" t="s">
        <v>564</v>
      </c>
      <c r="H1274" s="32" t="s">
        <v>328</v>
      </c>
      <c r="I1274" s="47"/>
    </row>
    <row r="1275" spans="1:9" ht="20.100000000000001" customHeight="1">
      <c r="A1275" s="42" t="s">
        <v>2339</v>
      </c>
      <c r="B1275" s="22" t="s">
        <v>60</v>
      </c>
      <c r="C1275" s="46">
        <v>42694</v>
      </c>
      <c r="D1275" s="47">
        <v>60</v>
      </c>
      <c r="E1275" s="32" t="s">
        <v>663</v>
      </c>
      <c r="F1275" s="32" t="s">
        <v>70</v>
      </c>
      <c r="G1275" s="32" t="s">
        <v>2477</v>
      </c>
      <c r="H1275" s="32" t="s">
        <v>328</v>
      </c>
      <c r="I1275" s="47"/>
    </row>
    <row r="1276" spans="1:9" ht="20.100000000000001" customHeight="1">
      <c r="A1276" s="42" t="s">
        <v>2339</v>
      </c>
      <c r="B1276" s="22" t="s">
        <v>60</v>
      </c>
      <c r="C1276" s="46">
        <v>42694</v>
      </c>
      <c r="D1276" s="47">
        <v>100</v>
      </c>
      <c r="E1276" s="32" t="s">
        <v>663</v>
      </c>
      <c r="F1276" s="32" t="s">
        <v>70</v>
      </c>
      <c r="G1276" s="32" t="s">
        <v>2478</v>
      </c>
      <c r="H1276" s="32" t="s">
        <v>328</v>
      </c>
      <c r="I1276" s="47"/>
    </row>
    <row r="1277" spans="1:9" ht="20.100000000000001" customHeight="1">
      <c r="A1277" s="42" t="s">
        <v>2339</v>
      </c>
      <c r="B1277" s="22" t="s">
        <v>60</v>
      </c>
      <c r="C1277" s="46">
        <v>42694</v>
      </c>
      <c r="D1277" s="47">
        <v>47</v>
      </c>
      <c r="E1277" s="32" t="s">
        <v>663</v>
      </c>
      <c r="F1277" s="32" t="s">
        <v>70</v>
      </c>
      <c r="G1277" s="32" t="s">
        <v>2479</v>
      </c>
      <c r="H1277" s="32" t="s">
        <v>328</v>
      </c>
      <c r="I1277" s="47"/>
    </row>
    <row r="1278" spans="1:9" ht="20.100000000000001" customHeight="1">
      <c r="A1278" s="42" t="s">
        <v>2339</v>
      </c>
      <c r="B1278" s="22" t="s">
        <v>60</v>
      </c>
      <c r="C1278" s="46">
        <v>42694</v>
      </c>
      <c r="D1278" s="47">
        <v>47</v>
      </c>
      <c r="E1278" s="32" t="s">
        <v>663</v>
      </c>
      <c r="F1278" s="32" t="s">
        <v>70</v>
      </c>
      <c r="G1278" s="32" t="s">
        <v>2480</v>
      </c>
      <c r="H1278" s="32" t="s">
        <v>328</v>
      </c>
      <c r="I1278" s="47"/>
    </row>
    <row r="1279" spans="1:9" ht="20.100000000000001" customHeight="1">
      <c r="A1279" s="42" t="s">
        <v>2339</v>
      </c>
      <c r="B1279" s="22" t="s">
        <v>60</v>
      </c>
      <c r="C1279" s="46">
        <v>42694</v>
      </c>
      <c r="D1279" s="47">
        <v>46</v>
      </c>
      <c r="E1279" s="32" t="s">
        <v>663</v>
      </c>
      <c r="F1279" s="32" t="s">
        <v>70</v>
      </c>
      <c r="G1279" s="32" t="s">
        <v>2481</v>
      </c>
      <c r="H1279" s="32" t="s">
        <v>328</v>
      </c>
      <c r="I1279" s="47"/>
    </row>
    <row r="1280" spans="1:9" ht="20.100000000000001" customHeight="1">
      <c r="A1280" s="22" t="s">
        <v>2491</v>
      </c>
      <c r="B1280" s="22" t="s">
        <v>2206</v>
      </c>
      <c r="C1280" s="46">
        <v>42716</v>
      </c>
      <c r="D1280" s="47">
        <v>4850</v>
      </c>
      <c r="E1280" s="32" t="s">
        <v>2207</v>
      </c>
      <c r="F1280" s="32" t="s">
        <v>63</v>
      </c>
      <c r="G1280" s="176"/>
      <c r="H1280" s="32" t="s">
        <v>329</v>
      </c>
      <c r="I1280" s="47"/>
    </row>
    <row r="1281" spans="1:9" ht="20.100000000000001" customHeight="1">
      <c r="A1281" s="22" t="s">
        <v>2492</v>
      </c>
      <c r="B1281" s="22" t="s">
        <v>2206</v>
      </c>
      <c r="C1281" s="46">
        <v>42716</v>
      </c>
      <c r="D1281" s="47">
        <v>4850</v>
      </c>
      <c r="E1281" s="32" t="s">
        <v>2207</v>
      </c>
      <c r="F1281" s="32" t="s">
        <v>63</v>
      </c>
      <c r="G1281" s="176"/>
      <c r="H1281" s="32" t="s">
        <v>328</v>
      </c>
      <c r="I1281" s="47"/>
    </row>
    <row r="1282" spans="1:9" ht="20.100000000000001" customHeight="1">
      <c r="A1282" s="22" t="s">
        <v>2196</v>
      </c>
      <c r="B1282" s="22" t="s">
        <v>240</v>
      </c>
      <c r="C1282" s="46">
        <v>42705</v>
      </c>
      <c r="D1282" s="47">
        <v>32</v>
      </c>
      <c r="E1282" s="32" t="s">
        <v>165</v>
      </c>
      <c r="F1282" s="32" t="s">
        <v>2409</v>
      </c>
      <c r="G1282" s="32"/>
      <c r="H1282" s="32" t="s">
        <v>328</v>
      </c>
      <c r="I1282" s="47"/>
    </row>
    <row r="1283" spans="1:9" ht="20.100000000000001" customHeight="1">
      <c r="A1283" s="42" t="s">
        <v>2518</v>
      </c>
      <c r="B1283" s="22" t="s">
        <v>240</v>
      </c>
      <c r="C1283" s="46">
        <v>42724</v>
      </c>
      <c r="D1283" s="47">
        <v>120</v>
      </c>
      <c r="E1283" s="32" t="s">
        <v>968</v>
      </c>
      <c r="F1283" s="32" t="s">
        <v>1155</v>
      </c>
      <c r="G1283" s="176"/>
      <c r="H1283" s="32" t="s">
        <v>329</v>
      </c>
      <c r="I1283" s="47"/>
    </row>
    <row r="1284" spans="1:9" ht="20.100000000000001" customHeight="1">
      <c r="A1284" s="42" t="s">
        <v>2519</v>
      </c>
      <c r="B1284" s="22" t="s">
        <v>240</v>
      </c>
      <c r="C1284" s="46">
        <v>42724</v>
      </c>
      <c r="D1284" s="47">
        <v>120</v>
      </c>
      <c r="E1284" s="32" t="s">
        <v>968</v>
      </c>
      <c r="F1284" s="32" t="s">
        <v>1155</v>
      </c>
      <c r="G1284" s="176"/>
      <c r="H1284" s="32" t="s">
        <v>328</v>
      </c>
      <c r="I1284" s="47"/>
    </row>
    <row r="1285" spans="1:9" ht="20.100000000000001" customHeight="1">
      <c r="A1285" s="22" t="s">
        <v>2496</v>
      </c>
      <c r="B1285" s="22" t="s">
        <v>82</v>
      </c>
      <c r="C1285" s="46">
        <v>42712</v>
      </c>
      <c r="D1285" s="47">
        <v>30</v>
      </c>
      <c r="E1285" s="32" t="s">
        <v>165</v>
      </c>
      <c r="F1285" s="32" t="s">
        <v>63</v>
      </c>
      <c r="G1285" s="32" t="s">
        <v>1183</v>
      </c>
      <c r="H1285" s="32" t="s">
        <v>328</v>
      </c>
      <c r="I1285" s="47"/>
    </row>
    <row r="1286" spans="1:9" ht="20.100000000000001" customHeight="1">
      <c r="A1286" s="42" t="s">
        <v>2561</v>
      </c>
      <c r="B1286" s="22" t="s">
        <v>2559</v>
      </c>
      <c r="C1286" s="46">
        <v>42694</v>
      </c>
      <c r="D1286" s="47">
        <v>4</v>
      </c>
      <c r="E1286" s="32" t="s">
        <v>2556</v>
      </c>
      <c r="F1286" s="32" t="s">
        <v>2557</v>
      </c>
      <c r="G1286" s="176"/>
      <c r="H1286" s="32" t="s">
        <v>328</v>
      </c>
      <c r="I1286" s="47"/>
    </row>
    <row r="1287" spans="1:9" ht="20.100000000000001" customHeight="1">
      <c r="A1287" s="42" t="s">
        <v>2554</v>
      </c>
      <c r="B1287" s="22" t="s">
        <v>2555</v>
      </c>
      <c r="C1287" s="46">
        <v>42694</v>
      </c>
      <c r="D1287" s="47">
        <v>4</v>
      </c>
      <c r="E1287" s="32" t="s">
        <v>2556</v>
      </c>
      <c r="F1287" s="32" t="s">
        <v>2557</v>
      </c>
      <c r="G1287" s="176"/>
      <c r="H1287" s="32" t="s">
        <v>328</v>
      </c>
      <c r="I1287" s="47"/>
    </row>
    <row r="1288" spans="1:9" ht="20.100000000000001" customHeight="1">
      <c r="A1288" s="42" t="s">
        <v>2562</v>
      </c>
      <c r="B1288" s="22" t="s">
        <v>2560</v>
      </c>
      <c r="C1288" s="46">
        <v>42694</v>
      </c>
      <c r="D1288" s="47">
        <v>4</v>
      </c>
      <c r="E1288" s="32" t="s">
        <v>2556</v>
      </c>
      <c r="F1288" s="32" t="s">
        <v>2557</v>
      </c>
      <c r="G1288" s="176"/>
      <c r="H1288" s="32" t="s">
        <v>328</v>
      </c>
      <c r="I1288" s="47"/>
    </row>
    <row r="1289" spans="1:9" ht="20.100000000000001" customHeight="1">
      <c r="A1289" s="42" t="s">
        <v>2566</v>
      </c>
      <c r="B1289" s="22" t="s">
        <v>2567</v>
      </c>
      <c r="C1289" s="46">
        <v>42729</v>
      </c>
      <c r="D1289" s="47">
        <v>60</v>
      </c>
      <c r="E1289" s="32" t="s">
        <v>2568</v>
      </c>
      <c r="F1289" s="32" t="s">
        <v>2569</v>
      </c>
      <c r="G1289" s="176" t="s">
        <v>2565</v>
      </c>
      <c r="H1289" s="32" t="s">
        <v>2570</v>
      </c>
      <c r="I1289" s="47"/>
    </row>
    <row r="1290" spans="1:9" ht="20.100000000000001" customHeight="1">
      <c r="A1290" s="42" t="s">
        <v>2566</v>
      </c>
      <c r="B1290" s="22" t="s">
        <v>2567</v>
      </c>
      <c r="C1290" s="46">
        <v>42729</v>
      </c>
      <c r="D1290" s="47">
        <v>60</v>
      </c>
      <c r="E1290" s="32" t="s">
        <v>2568</v>
      </c>
      <c r="F1290" s="32" t="s">
        <v>2569</v>
      </c>
      <c r="G1290" s="176" t="s">
        <v>2571</v>
      </c>
      <c r="H1290" s="32" t="s">
        <v>2570</v>
      </c>
      <c r="I1290" s="47"/>
    </row>
    <row r="1291" spans="1:9" ht="20.100000000000001" customHeight="1">
      <c r="A1291" s="42" t="s">
        <v>2572</v>
      </c>
      <c r="B1291" s="22" t="s">
        <v>82</v>
      </c>
      <c r="C1291" s="46">
        <v>42730</v>
      </c>
      <c r="D1291" s="47">
        <v>25</v>
      </c>
      <c r="E1291" s="32" t="s">
        <v>165</v>
      </c>
      <c r="F1291" s="32" t="s">
        <v>63</v>
      </c>
      <c r="G1291" s="32" t="s">
        <v>564</v>
      </c>
      <c r="H1291" s="32" t="s">
        <v>328</v>
      </c>
      <c r="I1291" s="47"/>
    </row>
    <row r="1292" spans="1:9" ht="20.100000000000001" customHeight="1">
      <c r="A1292" s="42" t="s">
        <v>2572</v>
      </c>
      <c r="B1292" s="22" t="s">
        <v>82</v>
      </c>
      <c r="C1292" s="46">
        <v>42730</v>
      </c>
      <c r="D1292" s="47">
        <v>25</v>
      </c>
      <c r="E1292" s="32" t="s">
        <v>165</v>
      </c>
      <c r="F1292" s="32" t="s">
        <v>63</v>
      </c>
      <c r="G1292" s="32" t="s">
        <v>352</v>
      </c>
      <c r="H1292" s="32" t="s">
        <v>328</v>
      </c>
      <c r="I1292" s="47"/>
    </row>
    <row r="1293" spans="1:9" ht="20.100000000000001" customHeight="1">
      <c r="A1293" s="42" t="s">
        <v>2474</v>
      </c>
      <c r="B1293" s="22" t="s">
        <v>60</v>
      </c>
      <c r="C1293" s="46">
        <v>42696</v>
      </c>
      <c r="D1293" s="47">
        <v>30.12</v>
      </c>
      <c r="E1293" s="32" t="s">
        <v>1384</v>
      </c>
      <c r="F1293" s="32" t="s">
        <v>63</v>
      </c>
      <c r="G1293" s="32" t="s">
        <v>2573</v>
      </c>
      <c r="H1293" s="32" t="s">
        <v>329</v>
      </c>
      <c r="I1293" s="47"/>
    </row>
    <row r="1294" spans="1:9" ht="20.100000000000001" customHeight="1">
      <c r="A1294" s="42" t="s">
        <v>2458</v>
      </c>
      <c r="B1294" s="22" t="s">
        <v>60</v>
      </c>
      <c r="C1294" s="46">
        <v>42696</v>
      </c>
      <c r="D1294" s="47">
        <v>30.12</v>
      </c>
      <c r="E1294" s="32" t="s">
        <v>1384</v>
      </c>
      <c r="F1294" s="32" t="s">
        <v>63</v>
      </c>
      <c r="G1294" s="32" t="s">
        <v>2573</v>
      </c>
      <c r="H1294" s="32" t="s">
        <v>328</v>
      </c>
      <c r="I1294" s="47"/>
    </row>
    <row r="1295" spans="1:9" ht="20.100000000000001" customHeight="1">
      <c r="A1295" s="42" t="s">
        <v>2618</v>
      </c>
      <c r="B1295" s="22" t="s">
        <v>240</v>
      </c>
      <c r="C1295" s="46">
        <v>42733</v>
      </c>
      <c r="D1295" s="47">
        <v>32</v>
      </c>
      <c r="E1295" s="32" t="s">
        <v>700</v>
      </c>
      <c r="F1295" s="32" t="s">
        <v>2409</v>
      </c>
      <c r="G1295" s="32"/>
      <c r="H1295" s="32" t="s">
        <v>328</v>
      </c>
      <c r="I1295" s="47"/>
    </row>
    <row r="1296" spans="1:9" ht="20.100000000000001" customHeight="1">
      <c r="A1296" s="42" t="s">
        <v>2576</v>
      </c>
      <c r="B1296" s="22" t="s">
        <v>240</v>
      </c>
      <c r="C1296" s="46">
        <v>42733</v>
      </c>
      <c r="D1296" s="47">
        <v>32</v>
      </c>
      <c r="E1296" s="32" t="s">
        <v>700</v>
      </c>
      <c r="F1296" s="32" t="s">
        <v>2409</v>
      </c>
      <c r="G1296" s="32"/>
      <c r="H1296" s="32" t="s">
        <v>329</v>
      </c>
      <c r="I1296" s="47"/>
    </row>
    <row r="1297" spans="1:9" ht="20.100000000000001" customHeight="1">
      <c r="A1297" s="42" t="s">
        <v>2415</v>
      </c>
      <c r="B1297" s="22" t="s">
        <v>93</v>
      </c>
      <c r="C1297" s="46">
        <v>42734</v>
      </c>
      <c r="D1297" s="47">
        <v>5000</v>
      </c>
      <c r="E1297" s="32" t="s">
        <v>1479</v>
      </c>
      <c r="F1297" s="32" t="s">
        <v>63</v>
      </c>
      <c r="G1297" s="267"/>
      <c r="H1297" s="32" t="s">
        <v>329</v>
      </c>
      <c r="I1297" s="47"/>
    </row>
    <row r="1298" spans="1:9" ht="20.100000000000001" customHeight="1">
      <c r="A1298" s="42" t="s">
        <v>2419</v>
      </c>
      <c r="B1298" s="22" t="s">
        <v>93</v>
      </c>
      <c r="C1298" s="46">
        <v>42734</v>
      </c>
      <c r="D1298" s="47">
        <v>5000</v>
      </c>
      <c r="E1298" s="32" t="s">
        <v>1479</v>
      </c>
      <c r="F1298" s="32" t="s">
        <v>63</v>
      </c>
      <c r="G1298" s="267"/>
      <c r="H1298" s="32" t="s">
        <v>328</v>
      </c>
      <c r="I1298" s="47"/>
    </row>
    <row r="1299" spans="1:9" ht="20.100000000000001" customHeight="1">
      <c r="A1299" s="42" t="s">
        <v>2580</v>
      </c>
      <c r="B1299" s="22" t="s">
        <v>268</v>
      </c>
      <c r="C1299" s="46">
        <v>42738</v>
      </c>
      <c r="D1299" s="47">
        <v>128</v>
      </c>
      <c r="E1299" s="32" t="s">
        <v>2581</v>
      </c>
      <c r="F1299" s="32" t="s">
        <v>324</v>
      </c>
      <c r="G1299" s="32"/>
      <c r="H1299" s="32" t="s">
        <v>329</v>
      </c>
      <c r="I1299" s="47">
        <v>135</v>
      </c>
    </row>
    <row r="1300" spans="1:9" ht="20.100000000000001" customHeight="1">
      <c r="A1300" s="42" t="s">
        <v>2660</v>
      </c>
      <c r="B1300" s="22" t="s">
        <v>2582</v>
      </c>
      <c r="C1300" s="46">
        <v>42739</v>
      </c>
      <c r="D1300" s="47">
        <v>27</v>
      </c>
      <c r="E1300" s="32" t="s">
        <v>165</v>
      </c>
      <c r="F1300" s="32" t="s">
        <v>166</v>
      </c>
      <c r="G1300" s="32" t="s">
        <v>896</v>
      </c>
      <c r="H1300" s="32" t="s">
        <v>328</v>
      </c>
      <c r="I1300" s="47"/>
    </row>
    <row r="1301" spans="1:9" ht="20.100000000000001" customHeight="1">
      <c r="A1301" s="42" t="s">
        <v>2660</v>
      </c>
      <c r="B1301" s="22" t="s">
        <v>2582</v>
      </c>
      <c r="C1301" s="46">
        <v>42739</v>
      </c>
      <c r="D1301" s="47">
        <v>27</v>
      </c>
      <c r="E1301" s="32" t="s">
        <v>165</v>
      </c>
      <c r="F1301" s="32" t="s">
        <v>166</v>
      </c>
      <c r="G1301" s="32" t="s">
        <v>2583</v>
      </c>
      <c r="H1301" s="32" t="s">
        <v>328</v>
      </c>
      <c r="I1301" s="47"/>
    </row>
    <row r="1302" spans="1:9" ht="20.100000000000001" customHeight="1">
      <c r="A1302" s="42" t="s">
        <v>2703</v>
      </c>
      <c r="B1302" s="22" t="s">
        <v>445</v>
      </c>
      <c r="C1302" s="46">
        <v>42740</v>
      </c>
      <c r="D1302" s="47">
        <v>60</v>
      </c>
      <c r="E1302" s="32" t="s">
        <v>181</v>
      </c>
      <c r="F1302" s="32" t="s">
        <v>166</v>
      </c>
      <c r="G1302" s="176" t="s">
        <v>2601</v>
      </c>
      <c r="H1302" s="32" t="s">
        <v>329</v>
      </c>
      <c r="I1302" s="47"/>
    </row>
    <row r="1303" spans="1:9" ht="20.100000000000001" customHeight="1">
      <c r="A1303" s="42" t="s">
        <v>2703</v>
      </c>
      <c r="B1303" s="22" t="s">
        <v>445</v>
      </c>
      <c r="C1303" s="46">
        <v>42740</v>
      </c>
      <c r="D1303" s="47">
        <v>60</v>
      </c>
      <c r="E1303" s="32" t="s">
        <v>181</v>
      </c>
      <c r="F1303" s="32" t="s">
        <v>166</v>
      </c>
      <c r="G1303" s="176" t="s">
        <v>2602</v>
      </c>
      <c r="H1303" s="32" t="s">
        <v>329</v>
      </c>
      <c r="I1303" s="47"/>
    </row>
    <row r="1304" spans="1:9" ht="20.100000000000001" customHeight="1">
      <c r="A1304" s="42" t="s">
        <v>2703</v>
      </c>
      <c r="B1304" s="22" t="s">
        <v>445</v>
      </c>
      <c r="C1304" s="46">
        <v>42744</v>
      </c>
      <c r="D1304" s="47">
        <v>60</v>
      </c>
      <c r="E1304" s="32" t="s">
        <v>181</v>
      </c>
      <c r="F1304" s="32" t="s">
        <v>166</v>
      </c>
      <c r="G1304" s="176" t="s">
        <v>2603</v>
      </c>
      <c r="H1304" s="32" t="s">
        <v>329</v>
      </c>
      <c r="I1304" s="47"/>
    </row>
    <row r="1305" spans="1:9" ht="20.100000000000001" customHeight="1">
      <c r="A1305" s="42" t="s">
        <v>2703</v>
      </c>
      <c r="B1305" s="22" t="s">
        <v>445</v>
      </c>
      <c r="C1305" s="46">
        <v>42744</v>
      </c>
      <c r="D1305" s="47">
        <v>60</v>
      </c>
      <c r="E1305" s="32" t="s">
        <v>181</v>
      </c>
      <c r="F1305" s="32" t="s">
        <v>166</v>
      </c>
      <c r="G1305" s="176" t="s">
        <v>2604</v>
      </c>
      <c r="H1305" s="32" t="s">
        <v>329</v>
      </c>
      <c r="I1305" s="47"/>
    </row>
    <row r="1306" spans="1:9" ht="20.100000000000001" customHeight="1">
      <c r="A1306" s="42" t="s">
        <v>2703</v>
      </c>
      <c r="B1306" s="22" t="s">
        <v>445</v>
      </c>
      <c r="C1306" s="46">
        <v>42744</v>
      </c>
      <c r="D1306" s="47">
        <v>60</v>
      </c>
      <c r="E1306" s="32" t="s">
        <v>181</v>
      </c>
      <c r="F1306" s="32" t="s">
        <v>166</v>
      </c>
      <c r="G1306" s="176" t="s">
        <v>2605</v>
      </c>
      <c r="H1306" s="32" t="s">
        <v>329</v>
      </c>
      <c r="I1306" s="47"/>
    </row>
    <row r="1307" spans="1:9" ht="20.100000000000001" customHeight="1">
      <c r="A1307" s="42" t="s">
        <v>2606</v>
      </c>
      <c r="B1307" s="22" t="s">
        <v>2559</v>
      </c>
      <c r="C1307" s="46">
        <v>42694</v>
      </c>
      <c r="D1307" s="47">
        <v>4</v>
      </c>
      <c r="E1307" s="32" t="s">
        <v>2556</v>
      </c>
      <c r="F1307" s="32" t="s">
        <v>2557</v>
      </c>
      <c r="G1307" s="176"/>
      <c r="H1307" s="32" t="s">
        <v>341</v>
      </c>
      <c r="I1307" s="47"/>
    </row>
    <row r="1308" spans="1:9" ht="20.100000000000001" customHeight="1">
      <c r="A1308" s="42" t="s">
        <v>2609</v>
      </c>
      <c r="B1308" s="22" t="s">
        <v>2560</v>
      </c>
      <c r="C1308" s="46">
        <v>42694</v>
      </c>
      <c r="D1308" s="47">
        <v>4</v>
      </c>
      <c r="E1308" s="32" t="s">
        <v>2556</v>
      </c>
      <c r="F1308" s="32" t="s">
        <v>2557</v>
      </c>
      <c r="G1308" s="176"/>
      <c r="H1308" s="32" t="s">
        <v>341</v>
      </c>
      <c r="I1308" s="47"/>
    </row>
    <row r="1309" spans="1:9" ht="22.5" customHeight="1">
      <c r="A1309" s="42" t="s">
        <v>2610</v>
      </c>
      <c r="B1309" s="22" t="s">
        <v>2550</v>
      </c>
      <c r="C1309" s="46">
        <v>42694</v>
      </c>
      <c r="D1309" s="47">
        <v>4</v>
      </c>
      <c r="E1309" s="32" t="s">
        <v>2556</v>
      </c>
      <c r="F1309" s="32" t="s">
        <v>2557</v>
      </c>
      <c r="G1309" s="176"/>
      <c r="H1309" s="32" t="s">
        <v>341</v>
      </c>
      <c r="I1309" s="47"/>
    </row>
    <row r="1310" spans="1:9" ht="20.100000000000001" customHeight="1">
      <c r="A1310" s="42" t="s">
        <v>2458</v>
      </c>
      <c r="B1310" s="22" t="s">
        <v>2620</v>
      </c>
      <c r="C1310" s="46">
        <v>42747</v>
      </c>
      <c r="D1310" s="47">
        <v>60</v>
      </c>
      <c r="E1310" s="32" t="s">
        <v>2628</v>
      </c>
      <c r="F1310" s="32" t="s">
        <v>2629</v>
      </c>
      <c r="G1310" s="176" t="s">
        <v>2601</v>
      </c>
      <c r="H1310" s="32" t="s">
        <v>2630</v>
      </c>
      <c r="I1310" s="47"/>
    </row>
    <row r="1311" spans="1:9" ht="20.100000000000001" customHeight="1">
      <c r="A1311" s="42" t="s">
        <v>2458</v>
      </c>
      <c r="B1311" s="22" t="s">
        <v>2620</v>
      </c>
      <c r="C1311" s="46">
        <v>42747</v>
      </c>
      <c r="D1311" s="47">
        <v>60</v>
      </c>
      <c r="E1311" s="32" t="s">
        <v>2628</v>
      </c>
      <c r="F1311" s="32" t="s">
        <v>2629</v>
      </c>
      <c r="G1311" s="176" t="s">
        <v>2602</v>
      </c>
      <c r="H1311" s="32" t="s">
        <v>2630</v>
      </c>
      <c r="I1311" s="47"/>
    </row>
    <row r="1312" spans="1:9" ht="20.100000000000001" customHeight="1">
      <c r="A1312" s="42" t="s">
        <v>2631</v>
      </c>
      <c r="B1312" s="22" t="s">
        <v>2632</v>
      </c>
      <c r="C1312" s="46">
        <v>42746</v>
      </c>
      <c r="D1312" s="47">
        <v>26</v>
      </c>
      <c r="E1312" s="32"/>
      <c r="F1312" s="32"/>
      <c r="G1312" s="176" t="s">
        <v>2627</v>
      </c>
      <c r="H1312" s="32" t="s">
        <v>2630</v>
      </c>
      <c r="I1312" s="47"/>
    </row>
    <row r="1313" spans="1:9" ht="20.100000000000001" customHeight="1">
      <c r="A1313" s="42" t="s">
        <v>2631</v>
      </c>
      <c r="B1313" s="22" t="s">
        <v>2632</v>
      </c>
      <c r="C1313" s="46">
        <v>42748</v>
      </c>
      <c r="D1313" s="47">
        <v>26</v>
      </c>
      <c r="E1313" s="32"/>
      <c r="F1313" s="32"/>
      <c r="G1313" s="176" t="s">
        <v>2627</v>
      </c>
      <c r="H1313" s="32" t="s">
        <v>2630</v>
      </c>
      <c r="I1313" s="47"/>
    </row>
    <row r="1314" spans="1:9" ht="20.100000000000001" customHeight="1">
      <c r="A1314" s="42" t="s">
        <v>2631</v>
      </c>
      <c r="B1314" s="22" t="s">
        <v>85</v>
      </c>
      <c r="C1314" s="46">
        <v>42750</v>
      </c>
      <c r="D1314" s="47">
        <v>31.92</v>
      </c>
      <c r="E1314" s="32"/>
      <c r="F1314" s="32"/>
      <c r="G1314" s="176" t="s">
        <v>360</v>
      </c>
      <c r="H1314" s="32" t="s">
        <v>328</v>
      </c>
      <c r="I1314" s="47"/>
    </row>
    <row r="1315" spans="1:9" ht="20.100000000000001" customHeight="1">
      <c r="A1315" s="42" t="s">
        <v>2638</v>
      </c>
      <c r="B1315" s="22" t="s">
        <v>82</v>
      </c>
      <c r="C1315" s="46">
        <v>42749</v>
      </c>
      <c r="D1315" s="47">
        <v>128</v>
      </c>
      <c r="E1315" s="32" t="s">
        <v>165</v>
      </c>
      <c r="F1315" s="32" t="s">
        <v>2752</v>
      </c>
      <c r="G1315" s="176"/>
      <c r="H1315" s="32" t="s">
        <v>328</v>
      </c>
      <c r="I1315" s="47">
        <v>185</v>
      </c>
    </row>
    <row r="1316" spans="1:9" ht="20.100000000000001" customHeight="1">
      <c r="A1316" s="42" t="s">
        <v>2639</v>
      </c>
      <c r="B1316" s="22" t="s">
        <v>2206</v>
      </c>
      <c r="C1316" s="46">
        <v>42751</v>
      </c>
      <c r="D1316" s="47">
        <v>4958.24</v>
      </c>
      <c r="E1316" s="32"/>
      <c r="F1316" s="32"/>
      <c r="G1316" s="176"/>
      <c r="H1316" s="32" t="s">
        <v>329</v>
      </c>
      <c r="I1316" s="47"/>
    </row>
    <row r="1317" spans="1:9" ht="20.100000000000001" customHeight="1">
      <c r="A1317" s="42" t="s">
        <v>2651</v>
      </c>
      <c r="B1317" s="22" t="s">
        <v>2206</v>
      </c>
      <c r="C1317" s="46">
        <v>42751</v>
      </c>
      <c r="D1317" s="47">
        <v>4958.24</v>
      </c>
      <c r="E1317" s="32"/>
      <c r="F1317" s="32"/>
      <c r="G1317" s="176"/>
      <c r="H1317" s="32" t="s">
        <v>328</v>
      </c>
      <c r="I1317" s="47"/>
    </row>
    <row r="1318" spans="1:9" ht="20.100000000000001" customHeight="1">
      <c r="A1318" s="42" t="s">
        <v>2458</v>
      </c>
      <c r="B1318" s="22" t="s">
        <v>60</v>
      </c>
      <c r="C1318" s="46">
        <v>42744</v>
      </c>
      <c r="D1318" s="47">
        <v>60</v>
      </c>
      <c r="E1318" s="32" t="s">
        <v>181</v>
      </c>
      <c r="F1318" s="32" t="s">
        <v>63</v>
      </c>
      <c r="G1318" s="176" t="s">
        <v>2603</v>
      </c>
      <c r="H1318" s="32" t="s">
        <v>328</v>
      </c>
      <c r="I1318" s="47"/>
    </row>
    <row r="1319" spans="1:9" ht="20.100000000000001" customHeight="1">
      <c r="A1319" s="42" t="s">
        <v>2458</v>
      </c>
      <c r="B1319" s="22" t="s">
        <v>60</v>
      </c>
      <c r="C1319" s="46">
        <v>42744</v>
      </c>
      <c r="D1319" s="47">
        <v>60</v>
      </c>
      <c r="E1319" s="32" t="s">
        <v>181</v>
      </c>
      <c r="F1319" s="32" t="s">
        <v>63</v>
      </c>
      <c r="G1319" s="176" t="s">
        <v>2604</v>
      </c>
      <c r="H1319" s="32" t="s">
        <v>328</v>
      </c>
      <c r="I1319" s="47"/>
    </row>
    <row r="1320" spans="1:9" ht="20.100000000000001" customHeight="1">
      <c r="A1320" s="42" t="s">
        <v>2458</v>
      </c>
      <c r="B1320" s="22" t="s">
        <v>60</v>
      </c>
      <c r="C1320" s="46">
        <v>42744</v>
      </c>
      <c r="D1320" s="47">
        <v>60</v>
      </c>
      <c r="E1320" s="32" t="s">
        <v>181</v>
      </c>
      <c r="F1320" s="32" t="s">
        <v>63</v>
      </c>
      <c r="G1320" s="176" t="s">
        <v>2605</v>
      </c>
      <c r="H1320" s="32" t="s">
        <v>328</v>
      </c>
      <c r="I1320" s="47"/>
    </row>
    <row r="1321" spans="1:9" ht="20.100000000000001" customHeight="1">
      <c r="A1321" s="42" t="s">
        <v>2660</v>
      </c>
      <c r="B1321" s="22" t="s">
        <v>2661</v>
      </c>
      <c r="C1321" s="46">
        <v>42742</v>
      </c>
      <c r="D1321" s="47">
        <v>71</v>
      </c>
      <c r="E1321" s="32" t="s">
        <v>2662</v>
      </c>
      <c r="F1321" s="32" t="s">
        <v>2663</v>
      </c>
      <c r="G1321" s="176"/>
      <c r="H1321" s="32" t="s">
        <v>2664</v>
      </c>
      <c r="I1321" s="47"/>
    </row>
    <row r="1322" spans="1:9" ht="20.100000000000001" customHeight="1">
      <c r="A1322" s="42" t="s">
        <v>2648</v>
      </c>
      <c r="B1322" s="22" t="s">
        <v>2671</v>
      </c>
      <c r="C1322" s="46">
        <v>42753</v>
      </c>
      <c r="D1322" s="47">
        <v>32</v>
      </c>
      <c r="E1322" s="32" t="s">
        <v>2672</v>
      </c>
      <c r="F1322" s="32" t="s">
        <v>2673</v>
      </c>
      <c r="G1322" s="176" t="s">
        <v>2674</v>
      </c>
      <c r="H1322" s="32" t="s">
        <v>2675</v>
      </c>
      <c r="I1322" s="47">
        <v>160</v>
      </c>
    </row>
    <row r="1323" spans="1:9" ht="20.100000000000001" customHeight="1">
      <c r="A1323" s="42" t="s">
        <v>2655</v>
      </c>
      <c r="B1323" s="22" t="s">
        <v>2676</v>
      </c>
      <c r="C1323" s="46">
        <v>42753</v>
      </c>
      <c r="D1323" s="47">
        <v>120</v>
      </c>
      <c r="E1323" s="32" t="s">
        <v>2677</v>
      </c>
      <c r="F1323" s="32" t="s">
        <v>2678</v>
      </c>
      <c r="G1323" s="176"/>
      <c r="H1323" s="32" t="s">
        <v>2675</v>
      </c>
      <c r="I1323" s="47">
        <v>320</v>
      </c>
    </row>
    <row r="1324" spans="1:9" ht="20.100000000000001" customHeight="1">
      <c r="A1324" s="42" t="s">
        <v>2648</v>
      </c>
      <c r="B1324" s="22" t="s">
        <v>240</v>
      </c>
      <c r="C1324" s="46">
        <v>42753</v>
      </c>
      <c r="D1324" s="47">
        <v>32</v>
      </c>
      <c r="E1324" s="32" t="s">
        <v>935</v>
      </c>
      <c r="F1324" s="32" t="s">
        <v>165</v>
      </c>
      <c r="G1324" s="176" t="s">
        <v>2679</v>
      </c>
      <c r="H1324" s="32" t="s">
        <v>329</v>
      </c>
      <c r="I1324" s="47">
        <v>160</v>
      </c>
    </row>
    <row r="1325" spans="1:9" ht="20.100000000000001" customHeight="1">
      <c r="A1325" s="42" t="s">
        <v>2648</v>
      </c>
      <c r="B1325" s="22" t="s">
        <v>240</v>
      </c>
      <c r="C1325" s="46">
        <v>42753</v>
      </c>
      <c r="D1325" s="47">
        <v>32</v>
      </c>
      <c r="E1325" s="32" t="s">
        <v>935</v>
      </c>
      <c r="F1325" s="32" t="s">
        <v>165</v>
      </c>
      <c r="G1325" s="176" t="s">
        <v>2680</v>
      </c>
      <c r="H1325" s="32" t="s">
        <v>329</v>
      </c>
      <c r="I1325" s="47">
        <v>160</v>
      </c>
    </row>
    <row r="1326" spans="1:9" ht="20.100000000000001" customHeight="1">
      <c r="A1326" s="42" t="s">
        <v>2704</v>
      </c>
      <c r="B1326" s="22" t="s">
        <v>60</v>
      </c>
      <c r="C1326" s="46">
        <v>42753</v>
      </c>
      <c r="D1326" s="47">
        <v>120</v>
      </c>
      <c r="E1326" s="32" t="s">
        <v>362</v>
      </c>
      <c r="F1326" s="32" t="s">
        <v>63</v>
      </c>
      <c r="G1326" s="176"/>
      <c r="H1326" s="32" t="s">
        <v>328</v>
      </c>
      <c r="I1326" s="47"/>
    </row>
    <row r="1327" spans="1:9" ht="20.100000000000001" customHeight="1">
      <c r="A1327" s="42" t="s">
        <v>2685</v>
      </c>
      <c r="B1327" s="22" t="s">
        <v>2559</v>
      </c>
      <c r="C1327" s="46">
        <v>42724</v>
      </c>
      <c r="D1327" s="47">
        <v>20</v>
      </c>
      <c r="E1327" s="32" t="s">
        <v>2556</v>
      </c>
      <c r="F1327" s="32" t="s">
        <v>2557</v>
      </c>
      <c r="G1327" s="176"/>
      <c r="H1327" s="32" t="s">
        <v>328</v>
      </c>
      <c r="I1327" s="47"/>
    </row>
    <row r="1328" spans="1:9" ht="20.100000000000001" customHeight="1">
      <c r="A1328" s="42" t="s">
        <v>2686</v>
      </c>
      <c r="B1328" s="22" t="s">
        <v>2560</v>
      </c>
      <c r="C1328" s="46">
        <v>42724</v>
      </c>
      <c r="D1328" s="47">
        <v>20</v>
      </c>
      <c r="E1328" s="32" t="s">
        <v>2556</v>
      </c>
      <c r="F1328" s="32" t="s">
        <v>2557</v>
      </c>
      <c r="G1328" s="176"/>
      <c r="H1328" s="32" t="s">
        <v>328</v>
      </c>
      <c r="I1328" s="47"/>
    </row>
    <row r="1329" spans="1:9" ht="20.100000000000001" customHeight="1">
      <c r="A1329" s="42" t="s">
        <v>2683</v>
      </c>
      <c r="B1329" s="22" t="s">
        <v>2559</v>
      </c>
      <c r="C1329" s="46">
        <v>42724</v>
      </c>
      <c r="D1329" s="47">
        <v>20</v>
      </c>
      <c r="E1329" s="32" t="s">
        <v>2556</v>
      </c>
      <c r="F1329" s="32" t="s">
        <v>2557</v>
      </c>
      <c r="G1329" s="176"/>
      <c r="H1329" s="32" t="s">
        <v>329</v>
      </c>
      <c r="I1329" s="47"/>
    </row>
    <row r="1330" spans="1:9" ht="20.100000000000001" customHeight="1">
      <c r="A1330" s="42" t="s">
        <v>2684</v>
      </c>
      <c r="B1330" s="22" t="s">
        <v>2560</v>
      </c>
      <c r="C1330" s="46">
        <v>42724</v>
      </c>
      <c r="D1330" s="47">
        <v>20</v>
      </c>
      <c r="E1330" s="32" t="s">
        <v>2556</v>
      </c>
      <c r="F1330" s="32" t="s">
        <v>2557</v>
      </c>
      <c r="G1330" s="176"/>
      <c r="H1330" s="32" t="s">
        <v>329</v>
      </c>
      <c r="I1330" s="47"/>
    </row>
    <row r="1331" spans="1:9" ht="18.75" customHeight="1">
      <c r="A1331" s="42" t="s">
        <v>2711</v>
      </c>
      <c r="B1331" s="22" t="s">
        <v>402</v>
      </c>
      <c r="C1331" s="46">
        <v>42729</v>
      </c>
      <c r="D1331" s="47">
        <v>60</v>
      </c>
      <c r="E1331" s="32" t="s">
        <v>776</v>
      </c>
      <c r="F1331" s="32" t="s">
        <v>63</v>
      </c>
      <c r="G1331" s="176" t="s">
        <v>2565</v>
      </c>
      <c r="H1331" s="32" t="s">
        <v>328</v>
      </c>
      <c r="I1331" s="47"/>
    </row>
    <row r="1332" spans="1:9" ht="20.100000000000001" customHeight="1">
      <c r="A1332" s="42" t="s">
        <v>2711</v>
      </c>
      <c r="B1332" s="22" t="s">
        <v>402</v>
      </c>
      <c r="C1332" s="46">
        <v>42729</v>
      </c>
      <c r="D1332" s="47">
        <v>60</v>
      </c>
      <c r="E1332" s="32" t="s">
        <v>776</v>
      </c>
      <c r="F1332" s="32" t="s">
        <v>63</v>
      </c>
      <c r="G1332" s="176" t="s">
        <v>2571</v>
      </c>
      <c r="H1332" s="32" t="s">
        <v>328</v>
      </c>
      <c r="I1332" s="47"/>
    </row>
    <row r="1333" spans="1:9" ht="20.100000000000001" customHeight="1">
      <c r="A1333" s="42" t="s">
        <v>2655</v>
      </c>
      <c r="B1333" s="22" t="s">
        <v>60</v>
      </c>
      <c r="C1333" s="46">
        <v>42755</v>
      </c>
      <c r="D1333" s="47">
        <v>40</v>
      </c>
      <c r="E1333" s="32" t="s">
        <v>362</v>
      </c>
      <c r="F1333" s="32" t="s">
        <v>63</v>
      </c>
      <c r="G1333" s="176"/>
      <c r="H1333" s="32" t="s">
        <v>329</v>
      </c>
      <c r="I1333" s="47">
        <v>340</v>
      </c>
    </row>
    <row r="1334" spans="1:9" ht="20.100000000000001" customHeight="1">
      <c r="A1334" s="42" t="s">
        <v>2704</v>
      </c>
      <c r="B1334" s="22" t="s">
        <v>60</v>
      </c>
      <c r="C1334" s="46">
        <v>42755</v>
      </c>
      <c r="D1334" s="47">
        <v>40</v>
      </c>
      <c r="E1334" s="32" t="s">
        <v>362</v>
      </c>
      <c r="F1334" s="32" t="s">
        <v>63</v>
      </c>
      <c r="G1334" s="176"/>
      <c r="H1334" s="32" t="s">
        <v>328</v>
      </c>
      <c r="I1334" s="47"/>
    </row>
    <row r="1335" spans="1:9" ht="20.100000000000001" customHeight="1">
      <c r="A1335" s="42" t="s">
        <v>2655</v>
      </c>
      <c r="B1335" s="22" t="s">
        <v>60</v>
      </c>
      <c r="C1335" s="46">
        <v>42762</v>
      </c>
      <c r="D1335" s="47">
        <v>80</v>
      </c>
      <c r="E1335" s="32" t="s">
        <v>362</v>
      </c>
      <c r="F1335" s="32" t="s">
        <v>63</v>
      </c>
      <c r="G1335" s="176"/>
      <c r="H1335" s="32" t="s">
        <v>329</v>
      </c>
      <c r="I1335" s="47">
        <v>560</v>
      </c>
    </row>
    <row r="1336" spans="1:9" ht="20.100000000000001" customHeight="1">
      <c r="A1336" s="42" t="s">
        <v>2713</v>
      </c>
      <c r="B1336" s="22" t="s">
        <v>2714</v>
      </c>
      <c r="C1336" s="46">
        <v>42762</v>
      </c>
      <c r="D1336" s="47">
        <v>80</v>
      </c>
      <c r="E1336" s="32" t="s">
        <v>2715</v>
      </c>
      <c r="F1336" s="32" t="s">
        <v>2569</v>
      </c>
      <c r="G1336" s="176"/>
      <c r="H1336" s="32" t="s">
        <v>2716</v>
      </c>
      <c r="I1336" s="47"/>
    </row>
    <row r="1337" spans="1:9" ht="20.100000000000001" customHeight="1">
      <c r="A1337" s="42" t="s">
        <v>2717</v>
      </c>
      <c r="B1337" s="22" t="s">
        <v>2718</v>
      </c>
      <c r="C1337" s="46">
        <v>42772</v>
      </c>
      <c r="D1337" s="47">
        <v>26</v>
      </c>
      <c r="E1337" s="32" t="s">
        <v>165</v>
      </c>
      <c r="F1337" s="32" t="s">
        <v>63</v>
      </c>
      <c r="G1337" s="176" t="s">
        <v>2712</v>
      </c>
      <c r="H1337" s="32" t="s">
        <v>2716</v>
      </c>
      <c r="I1337" s="47"/>
    </row>
    <row r="1338" spans="1:9" ht="20.100000000000001" customHeight="1">
      <c r="A1338" s="42" t="s">
        <v>2717</v>
      </c>
      <c r="B1338" s="22" t="s">
        <v>2718</v>
      </c>
      <c r="C1338" s="46">
        <v>42772</v>
      </c>
      <c r="D1338" s="47">
        <v>34</v>
      </c>
      <c r="E1338" s="32" t="s">
        <v>165</v>
      </c>
      <c r="F1338" s="32" t="s">
        <v>63</v>
      </c>
      <c r="G1338" s="32" t="s">
        <v>360</v>
      </c>
      <c r="H1338" s="32" t="s">
        <v>2716</v>
      </c>
      <c r="I1338" s="47"/>
    </row>
    <row r="1339" spans="1:9" ht="20.100000000000001" customHeight="1">
      <c r="A1339" s="42" t="s">
        <v>2719</v>
      </c>
      <c r="B1339" s="22" t="s">
        <v>2720</v>
      </c>
      <c r="C1339" s="46">
        <v>42771</v>
      </c>
      <c r="D1339" s="47">
        <v>32</v>
      </c>
      <c r="E1339" s="32" t="s">
        <v>2721</v>
      </c>
      <c r="F1339" s="32" t="s">
        <v>2722</v>
      </c>
      <c r="G1339" s="32" t="s">
        <v>2741</v>
      </c>
      <c r="H1339" s="32" t="s">
        <v>2723</v>
      </c>
      <c r="I1339" s="47"/>
    </row>
    <row r="1340" spans="1:9" ht="20.100000000000001" customHeight="1">
      <c r="A1340" s="42" t="s">
        <v>2719</v>
      </c>
      <c r="B1340" s="22" t="s">
        <v>240</v>
      </c>
      <c r="C1340" s="46">
        <v>42772</v>
      </c>
      <c r="D1340" s="47">
        <v>32</v>
      </c>
      <c r="E1340" s="32" t="s">
        <v>137</v>
      </c>
      <c r="F1340" s="32" t="s">
        <v>165</v>
      </c>
      <c r="G1340" s="32" t="s">
        <v>2742</v>
      </c>
      <c r="H1340" s="32" t="s">
        <v>329</v>
      </c>
      <c r="I1340" s="47"/>
    </row>
    <row r="1341" spans="1:9" ht="20.100000000000001" customHeight="1">
      <c r="A1341" s="42" t="s">
        <v>2717</v>
      </c>
      <c r="B1341" s="22" t="s">
        <v>82</v>
      </c>
      <c r="C1341" s="46">
        <v>42773</v>
      </c>
      <c r="D1341" s="47">
        <v>33</v>
      </c>
      <c r="E1341" s="32" t="s">
        <v>165</v>
      </c>
      <c r="F1341" s="32" t="s">
        <v>63</v>
      </c>
      <c r="G1341" s="32" t="s">
        <v>360</v>
      </c>
      <c r="H1341" s="32" t="s">
        <v>328</v>
      </c>
      <c r="I1341" s="47"/>
    </row>
    <row r="1342" spans="1:9" ht="20.100000000000001" customHeight="1">
      <c r="A1342" s="42" t="s">
        <v>2719</v>
      </c>
      <c r="B1342" s="22" t="s">
        <v>240</v>
      </c>
      <c r="C1342" s="46">
        <v>42773</v>
      </c>
      <c r="D1342" s="47">
        <v>32</v>
      </c>
      <c r="E1342" s="32" t="s">
        <v>137</v>
      </c>
      <c r="F1342" s="32" t="s">
        <v>165</v>
      </c>
      <c r="G1342" s="32" t="s">
        <v>2744</v>
      </c>
      <c r="H1342" s="32" t="s">
        <v>329</v>
      </c>
      <c r="I1342" s="47"/>
    </row>
    <row r="1343" spans="1:9" ht="20.100000000000001" customHeight="1">
      <c r="A1343" s="42" t="s">
        <v>2697</v>
      </c>
      <c r="B1343" s="22" t="s">
        <v>2206</v>
      </c>
      <c r="C1343" s="46">
        <v>42773</v>
      </c>
      <c r="D1343" s="47">
        <v>4534.3599999999997</v>
      </c>
      <c r="E1343" s="32" t="s">
        <v>2207</v>
      </c>
      <c r="F1343" s="32" t="s">
        <v>63</v>
      </c>
      <c r="G1343" s="32"/>
      <c r="H1343" s="32" t="s">
        <v>329</v>
      </c>
      <c r="I1343" s="47"/>
    </row>
    <row r="1344" spans="1:9" ht="20.100000000000001" customHeight="1">
      <c r="A1344" s="42" t="s">
        <v>2746</v>
      </c>
      <c r="B1344" s="22" t="s">
        <v>2206</v>
      </c>
      <c r="C1344" s="46">
        <v>42773</v>
      </c>
      <c r="D1344" s="47">
        <v>4534.3599999999997</v>
      </c>
      <c r="E1344" s="32" t="s">
        <v>2207</v>
      </c>
      <c r="F1344" s="32" t="s">
        <v>63</v>
      </c>
      <c r="G1344" s="32"/>
      <c r="H1344" s="32" t="s">
        <v>328</v>
      </c>
      <c r="I1344" s="47"/>
    </row>
    <row r="1345" spans="1:10" ht="20.100000000000001" customHeight="1">
      <c r="A1345" s="42" t="s">
        <v>2719</v>
      </c>
      <c r="B1345" s="22" t="s">
        <v>240</v>
      </c>
      <c r="C1345" s="46">
        <v>42775</v>
      </c>
      <c r="D1345" s="47">
        <v>32</v>
      </c>
      <c r="E1345" s="32" t="s">
        <v>137</v>
      </c>
      <c r="F1345" s="32" t="s">
        <v>165</v>
      </c>
      <c r="G1345" s="32" t="s">
        <v>2747</v>
      </c>
      <c r="H1345" s="32" t="s">
        <v>329</v>
      </c>
      <c r="I1345" s="47"/>
    </row>
    <row r="1346" spans="1:10" ht="20.100000000000001" customHeight="1">
      <c r="A1346" s="42" t="s">
        <v>2652</v>
      </c>
      <c r="B1346" s="22" t="s">
        <v>240</v>
      </c>
      <c r="C1346" s="46">
        <v>42777</v>
      </c>
      <c r="D1346" s="47">
        <v>32</v>
      </c>
      <c r="E1346" s="32" t="s">
        <v>2754</v>
      </c>
      <c r="F1346" s="32" t="s">
        <v>165</v>
      </c>
      <c r="G1346" s="32" t="s">
        <v>2753</v>
      </c>
      <c r="H1346" s="32" t="s">
        <v>329</v>
      </c>
      <c r="I1346" s="47">
        <v>132</v>
      </c>
      <c r="J1346" s="153" t="s">
        <v>2776</v>
      </c>
    </row>
    <row r="1347" spans="1:10" ht="20.100000000000001" customHeight="1">
      <c r="A1347" s="42" t="s">
        <v>2566</v>
      </c>
      <c r="B1347" s="22" t="s">
        <v>402</v>
      </c>
      <c r="C1347" s="46">
        <v>42779</v>
      </c>
      <c r="D1347" s="47">
        <v>120</v>
      </c>
      <c r="E1347" s="32" t="s">
        <v>776</v>
      </c>
      <c r="F1347" s="32" t="s">
        <v>63</v>
      </c>
      <c r="G1347" s="32"/>
      <c r="H1347" s="32" t="s">
        <v>329</v>
      </c>
      <c r="I1347" s="47"/>
    </row>
    <row r="1348" spans="1:10" ht="20.100000000000001" customHeight="1">
      <c r="A1348" s="42" t="s">
        <v>2717</v>
      </c>
      <c r="B1348" s="22" t="s">
        <v>82</v>
      </c>
      <c r="C1348" s="46">
        <v>42784</v>
      </c>
      <c r="D1348" s="47">
        <v>28</v>
      </c>
      <c r="E1348" s="32" t="s">
        <v>165</v>
      </c>
      <c r="F1348" s="32" t="s">
        <v>63</v>
      </c>
      <c r="G1348" s="32" t="s">
        <v>596</v>
      </c>
      <c r="H1348" s="32" t="s">
        <v>328</v>
      </c>
      <c r="I1348" s="47"/>
    </row>
    <row r="1349" spans="1:10" ht="20.100000000000001" customHeight="1">
      <c r="A1349" s="42" t="s">
        <v>2717</v>
      </c>
      <c r="B1349" s="22" t="s">
        <v>82</v>
      </c>
      <c r="C1349" s="46">
        <v>42784</v>
      </c>
      <c r="D1349" s="47">
        <v>28</v>
      </c>
      <c r="E1349" s="32" t="s">
        <v>165</v>
      </c>
      <c r="F1349" s="32" t="s">
        <v>63</v>
      </c>
      <c r="G1349" s="32" t="s">
        <v>564</v>
      </c>
      <c r="H1349" s="32" t="s">
        <v>328</v>
      </c>
      <c r="I1349" s="47"/>
    </row>
    <row r="1350" spans="1:10" ht="20.100000000000001" customHeight="1">
      <c r="A1350" s="42" t="s">
        <v>2756</v>
      </c>
      <c r="B1350" s="22" t="s">
        <v>60</v>
      </c>
      <c r="C1350" s="46">
        <v>42787</v>
      </c>
      <c r="D1350" s="47">
        <v>37.799999999999997</v>
      </c>
      <c r="E1350" s="32" t="s">
        <v>663</v>
      </c>
      <c r="F1350" s="32" t="s">
        <v>63</v>
      </c>
      <c r="G1350" s="32" t="s">
        <v>2768</v>
      </c>
      <c r="H1350" s="32" t="s">
        <v>329</v>
      </c>
      <c r="I1350" s="47"/>
    </row>
    <row r="1351" spans="1:10" ht="20.100000000000001" customHeight="1">
      <c r="A1351" s="42" t="s">
        <v>2759</v>
      </c>
      <c r="B1351" s="22" t="s">
        <v>402</v>
      </c>
      <c r="C1351" s="46">
        <v>42786</v>
      </c>
      <c r="D1351" s="47">
        <v>120</v>
      </c>
      <c r="E1351" s="32" t="s">
        <v>776</v>
      </c>
      <c r="F1351" s="32" t="s">
        <v>63</v>
      </c>
      <c r="G1351" s="32"/>
      <c r="H1351" s="32" t="s">
        <v>328</v>
      </c>
      <c r="I1351" s="47"/>
    </row>
    <row r="1352" spans="1:10" ht="20.100000000000001" customHeight="1">
      <c r="A1352" s="42" t="s">
        <v>2756</v>
      </c>
      <c r="B1352" s="22" t="s">
        <v>60</v>
      </c>
      <c r="C1352" s="46">
        <v>42787</v>
      </c>
      <c r="D1352" s="47">
        <v>32.96</v>
      </c>
      <c r="E1352" s="32" t="s">
        <v>663</v>
      </c>
      <c r="F1352" s="32" t="s">
        <v>63</v>
      </c>
      <c r="G1352" s="32" t="s">
        <v>2769</v>
      </c>
      <c r="H1352" s="32" t="s">
        <v>329</v>
      </c>
      <c r="I1352" s="47"/>
    </row>
    <row r="1353" spans="1:10" ht="20.100000000000001" customHeight="1">
      <c r="A1353" s="42" t="s">
        <v>2756</v>
      </c>
      <c r="B1353" s="22" t="s">
        <v>60</v>
      </c>
      <c r="C1353" s="46">
        <v>42787</v>
      </c>
      <c r="D1353" s="47">
        <v>38.979999999999997</v>
      </c>
      <c r="E1353" s="32" t="s">
        <v>663</v>
      </c>
      <c r="F1353" s="32" t="s">
        <v>63</v>
      </c>
      <c r="G1353" s="32" t="s">
        <v>2770</v>
      </c>
      <c r="H1353" s="32" t="s">
        <v>329</v>
      </c>
      <c r="I1353" s="47"/>
    </row>
    <row r="1354" spans="1:10" ht="20.100000000000001" customHeight="1">
      <c r="A1354" s="42" t="s">
        <v>2756</v>
      </c>
      <c r="B1354" s="22" t="s">
        <v>60</v>
      </c>
      <c r="C1354" s="46">
        <v>42788</v>
      </c>
      <c r="D1354" s="47">
        <v>36.020000000000003</v>
      </c>
      <c r="E1354" s="32" t="s">
        <v>663</v>
      </c>
      <c r="F1354" s="32" t="s">
        <v>63</v>
      </c>
      <c r="G1354" s="32" t="s">
        <v>2771</v>
      </c>
      <c r="H1354" s="32" t="s">
        <v>329</v>
      </c>
      <c r="I1354" s="47"/>
    </row>
    <row r="1355" spans="1:10" ht="20.100000000000001" customHeight="1">
      <c r="A1355" s="42" t="s">
        <v>2756</v>
      </c>
      <c r="B1355" s="22" t="s">
        <v>60</v>
      </c>
      <c r="C1355" s="46">
        <v>42788</v>
      </c>
      <c r="D1355" s="47">
        <v>37</v>
      </c>
      <c r="E1355" s="32" t="s">
        <v>663</v>
      </c>
      <c r="F1355" s="32" t="s">
        <v>63</v>
      </c>
      <c r="G1355" s="32" t="s">
        <v>2772</v>
      </c>
      <c r="H1355" s="32" t="s">
        <v>329</v>
      </c>
      <c r="I1355" s="47"/>
    </row>
    <row r="1356" spans="1:10" ht="20.100000000000001" customHeight="1">
      <c r="A1356" s="42" t="s">
        <v>2773</v>
      </c>
      <c r="B1356" s="22" t="s">
        <v>2774</v>
      </c>
      <c r="C1356" s="46">
        <v>42790</v>
      </c>
      <c r="D1356" s="47">
        <v>32</v>
      </c>
      <c r="E1356" s="32" t="s">
        <v>2581</v>
      </c>
      <c r="F1356" s="32" t="s">
        <v>165</v>
      </c>
      <c r="G1356" s="32" t="s">
        <v>2775</v>
      </c>
      <c r="H1356" s="32" t="s">
        <v>329</v>
      </c>
      <c r="I1356" s="47">
        <v>132</v>
      </c>
      <c r="J1356" s="153" t="s">
        <v>2776</v>
      </c>
    </row>
    <row r="1357" spans="1:10" ht="20.100000000000001" customHeight="1">
      <c r="A1357" s="42" t="s">
        <v>2773</v>
      </c>
      <c r="B1357" s="22" t="s">
        <v>2774</v>
      </c>
      <c r="C1357" s="46">
        <v>42790</v>
      </c>
      <c r="D1357" s="47">
        <v>32</v>
      </c>
      <c r="E1357" s="32" t="s">
        <v>2581</v>
      </c>
      <c r="F1357" s="32" t="s">
        <v>165</v>
      </c>
      <c r="G1357" s="32" t="s">
        <v>2753</v>
      </c>
      <c r="H1357" s="32" t="s">
        <v>329</v>
      </c>
      <c r="I1357" s="47">
        <v>132</v>
      </c>
      <c r="J1357" s="153" t="s">
        <v>2776</v>
      </c>
    </row>
    <row r="1358" spans="1:10" ht="20.100000000000001" customHeight="1">
      <c r="A1358" s="42" t="s">
        <v>2777</v>
      </c>
      <c r="B1358" s="22" t="s">
        <v>60</v>
      </c>
      <c r="C1358" s="46">
        <v>42793</v>
      </c>
      <c r="D1358" s="47">
        <v>37.799999999999997</v>
      </c>
      <c r="E1358" s="32" t="s">
        <v>663</v>
      </c>
      <c r="F1358" s="32" t="s">
        <v>63</v>
      </c>
      <c r="G1358" s="32" t="s">
        <v>2768</v>
      </c>
      <c r="H1358" s="32" t="s">
        <v>328</v>
      </c>
      <c r="I1358" s="47"/>
    </row>
    <row r="1359" spans="1:10" ht="20.100000000000001" customHeight="1">
      <c r="A1359" s="42" t="s">
        <v>2777</v>
      </c>
      <c r="B1359" s="22" t="s">
        <v>60</v>
      </c>
      <c r="C1359" s="46">
        <v>42793</v>
      </c>
      <c r="D1359" s="47">
        <v>32.96</v>
      </c>
      <c r="E1359" s="32" t="s">
        <v>663</v>
      </c>
      <c r="F1359" s="32" t="s">
        <v>63</v>
      </c>
      <c r="G1359" s="32" t="s">
        <v>2769</v>
      </c>
      <c r="H1359" s="32" t="s">
        <v>328</v>
      </c>
      <c r="I1359" s="47"/>
    </row>
    <row r="1360" spans="1:10" ht="20.100000000000001" customHeight="1">
      <c r="A1360" s="42" t="s">
        <v>2777</v>
      </c>
      <c r="B1360" s="22" t="s">
        <v>60</v>
      </c>
      <c r="C1360" s="46">
        <v>42793</v>
      </c>
      <c r="D1360" s="47">
        <v>38.979999999999997</v>
      </c>
      <c r="E1360" s="32" t="s">
        <v>663</v>
      </c>
      <c r="F1360" s="32" t="s">
        <v>63</v>
      </c>
      <c r="G1360" s="32" t="s">
        <v>2770</v>
      </c>
      <c r="H1360" s="32" t="s">
        <v>328</v>
      </c>
      <c r="I1360" s="47"/>
    </row>
    <row r="1361" spans="1:9" ht="20.100000000000001" customHeight="1">
      <c r="A1361" s="42" t="s">
        <v>2777</v>
      </c>
      <c r="B1361" s="22" t="s">
        <v>60</v>
      </c>
      <c r="C1361" s="46">
        <v>42793</v>
      </c>
      <c r="D1361" s="47">
        <v>36.020000000000003</v>
      </c>
      <c r="E1361" s="32" t="s">
        <v>663</v>
      </c>
      <c r="F1361" s="32" t="s">
        <v>63</v>
      </c>
      <c r="G1361" s="32" t="s">
        <v>2771</v>
      </c>
      <c r="H1361" s="32" t="s">
        <v>328</v>
      </c>
      <c r="I1361" s="47"/>
    </row>
    <row r="1362" spans="1:9" ht="20.100000000000001" customHeight="1">
      <c r="A1362" s="42" t="s">
        <v>2777</v>
      </c>
      <c r="B1362" s="22" t="s">
        <v>60</v>
      </c>
      <c r="C1362" s="46">
        <v>42793</v>
      </c>
      <c r="D1362" s="47">
        <v>37</v>
      </c>
      <c r="E1362" s="32" t="s">
        <v>663</v>
      </c>
      <c r="F1362" s="32" t="s">
        <v>63</v>
      </c>
      <c r="G1362" s="32" t="s">
        <v>2772</v>
      </c>
      <c r="H1362" s="32" t="s">
        <v>328</v>
      </c>
      <c r="I1362" s="47"/>
    </row>
    <row r="1363" spans="1:9" ht="20.100000000000001" customHeight="1">
      <c r="A1363" s="42" t="s">
        <v>2717</v>
      </c>
      <c r="B1363" s="22" t="s">
        <v>82</v>
      </c>
      <c r="C1363" s="46">
        <v>42793</v>
      </c>
      <c r="D1363" s="47">
        <v>32</v>
      </c>
      <c r="E1363" s="32" t="s">
        <v>165</v>
      </c>
      <c r="F1363" s="32" t="s">
        <v>63</v>
      </c>
      <c r="G1363" s="32" t="s">
        <v>360</v>
      </c>
      <c r="H1363" s="32" t="s">
        <v>328</v>
      </c>
      <c r="I1363" s="47"/>
    </row>
    <row r="1364" spans="1:9" ht="20.100000000000001" customHeight="1">
      <c r="A1364" s="42" t="s">
        <v>2717</v>
      </c>
      <c r="B1364" s="22" t="s">
        <v>82</v>
      </c>
      <c r="C1364" s="46">
        <v>42794</v>
      </c>
      <c r="D1364" s="47">
        <v>23</v>
      </c>
      <c r="E1364" s="32" t="s">
        <v>165</v>
      </c>
      <c r="F1364" s="32" t="s">
        <v>63</v>
      </c>
      <c r="G1364" s="32" t="s">
        <v>594</v>
      </c>
      <c r="H1364" s="32" t="s">
        <v>328</v>
      </c>
      <c r="I1364" s="47"/>
    </row>
    <row r="1365" spans="1:9" ht="20.100000000000001" customHeight="1">
      <c r="A1365" s="42" t="s">
        <v>2717</v>
      </c>
      <c r="B1365" s="22" t="s">
        <v>82</v>
      </c>
      <c r="C1365" s="46">
        <v>42794</v>
      </c>
      <c r="D1365" s="47">
        <v>24</v>
      </c>
      <c r="E1365" s="32" t="s">
        <v>165</v>
      </c>
      <c r="F1365" s="32" t="s">
        <v>63</v>
      </c>
      <c r="G1365" s="32" t="s">
        <v>564</v>
      </c>
      <c r="H1365" s="32" t="s">
        <v>328</v>
      </c>
      <c r="I1365" s="47"/>
    </row>
    <row r="1366" spans="1:9" ht="20.100000000000001" customHeight="1">
      <c r="A1366" s="42" t="s">
        <v>2717</v>
      </c>
      <c r="B1366" s="22" t="s">
        <v>82</v>
      </c>
      <c r="C1366" s="46">
        <v>42794</v>
      </c>
      <c r="D1366" s="47">
        <v>23</v>
      </c>
      <c r="E1366" s="32" t="s">
        <v>165</v>
      </c>
      <c r="F1366" s="32" t="s">
        <v>63</v>
      </c>
      <c r="G1366" s="32" t="s">
        <v>352</v>
      </c>
      <c r="H1366" s="32" t="s">
        <v>328</v>
      </c>
      <c r="I1366" s="47"/>
    </row>
    <row r="1367" spans="1:9" ht="20.100000000000001" customHeight="1">
      <c r="A1367" s="42" t="s">
        <v>2786</v>
      </c>
      <c r="B1367" s="22" t="s">
        <v>747</v>
      </c>
      <c r="C1367" s="46">
        <v>42782</v>
      </c>
      <c r="D1367" s="47">
        <v>800</v>
      </c>
      <c r="E1367" s="32" t="s">
        <v>775</v>
      </c>
      <c r="F1367" s="32" t="s">
        <v>743</v>
      </c>
      <c r="G1367" s="32"/>
      <c r="H1367" s="32" t="s">
        <v>329</v>
      </c>
      <c r="I1367" s="47"/>
    </row>
    <row r="1368" spans="1:9" ht="20.100000000000001" customHeight="1">
      <c r="A1368" s="42" t="s">
        <v>2788</v>
      </c>
      <c r="B1368" s="22" t="s">
        <v>747</v>
      </c>
      <c r="C1368" s="46">
        <v>42793</v>
      </c>
      <c r="D1368" s="47">
        <v>800</v>
      </c>
      <c r="E1368" s="32" t="s">
        <v>911</v>
      </c>
      <c r="F1368" s="32" t="s">
        <v>912</v>
      </c>
      <c r="G1368" s="32"/>
      <c r="H1368" s="32" t="s">
        <v>328</v>
      </c>
      <c r="I1368" s="47"/>
    </row>
    <row r="1369" spans="1:9" ht="20.100000000000001" customHeight="1">
      <c r="A1369" s="42" t="s">
        <v>2789</v>
      </c>
      <c r="B1369" s="22" t="s">
        <v>240</v>
      </c>
      <c r="C1369" s="46">
        <v>42751</v>
      </c>
      <c r="D1369" s="47">
        <v>200</v>
      </c>
      <c r="E1369" s="32" t="s">
        <v>968</v>
      </c>
      <c r="F1369" s="32" t="s">
        <v>2790</v>
      </c>
      <c r="G1369" s="32"/>
      <c r="H1369" s="32" t="s">
        <v>329</v>
      </c>
      <c r="I1369" s="47"/>
    </row>
    <row r="1370" spans="1:9" ht="20.100000000000001" customHeight="1">
      <c r="A1370" s="42" t="s">
        <v>2791</v>
      </c>
      <c r="B1370" s="22" t="s">
        <v>240</v>
      </c>
      <c r="C1370" s="46">
        <v>42758</v>
      </c>
      <c r="D1370" s="47">
        <v>200</v>
      </c>
      <c r="E1370" s="32" t="s">
        <v>968</v>
      </c>
      <c r="F1370" s="32" t="s">
        <v>2790</v>
      </c>
      <c r="G1370" s="32"/>
      <c r="H1370" s="32" t="s">
        <v>329</v>
      </c>
      <c r="I1370" s="47"/>
    </row>
    <row r="1371" spans="1:9" ht="20.100000000000001" customHeight="1">
      <c r="A1371" s="42" t="s">
        <v>2792</v>
      </c>
      <c r="B1371" s="22" t="s">
        <v>240</v>
      </c>
      <c r="C1371" s="46">
        <v>42790</v>
      </c>
      <c r="D1371" s="47">
        <v>300</v>
      </c>
      <c r="E1371" s="32" t="s">
        <v>968</v>
      </c>
      <c r="F1371" s="32" t="s">
        <v>2790</v>
      </c>
      <c r="G1371" s="32"/>
      <c r="H1371" s="32" t="s">
        <v>329</v>
      </c>
      <c r="I1371" s="47"/>
    </row>
    <row r="1372" spans="1:9" ht="20.100000000000001" customHeight="1">
      <c r="A1372" s="42" t="s">
        <v>2793</v>
      </c>
      <c r="B1372" s="22" t="s">
        <v>240</v>
      </c>
      <c r="C1372" s="46">
        <v>42751</v>
      </c>
      <c r="D1372" s="47">
        <v>200</v>
      </c>
      <c r="E1372" s="32" t="s">
        <v>968</v>
      </c>
      <c r="F1372" s="32" t="s">
        <v>2790</v>
      </c>
      <c r="G1372" s="32"/>
      <c r="H1372" s="32" t="s">
        <v>328</v>
      </c>
      <c r="I1372" s="47"/>
    </row>
    <row r="1373" spans="1:9" ht="20.100000000000001" customHeight="1">
      <c r="A1373" s="42" t="s">
        <v>2794</v>
      </c>
      <c r="B1373" s="22" t="s">
        <v>240</v>
      </c>
      <c r="C1373" s="46">
        <v>42758</v>
      </c>
      <c r="D1373" s="47">
        <v>200</v>
      </c>
      <c r="E1373" s="32" t="s">
        <v>968</v>
      </c>
      <c r="F1373" s="32" t="s">
        <v>2790</v>
      </c>
      <c r="G1373" s="32"/>
      <c r="H1373" s="32" t="s">
        <v>328</v>
      </c>
      <c r="I1373" s="47"/>
    </row>
    <row r="1374" spans="1:9" ht="20.100000000000001" customHeight="1">
      <c r="A1374" s="42" t="s">
        <v>2795</v>
      </c>
      <c r="B1374" s="22" t="s">
        <v>240</v>
      </c>
      <c r="C1374" s="46">
        <v>42790</v>
      </c>
      <c r="D1374" s="47">
        <v>300</v>
      </c>
      <c r="E1374" s="32" t="s">
        <v>968</v>
      </c>
      <c r="F1374" s="32" t="s">
        <v>2790</v>
      </c>
      <c r="G1374" s="32"/>
      <c r="H1374" s="32" t="s">
        <v>328</v>
      </c>
      <c r="I1374" s="47"/>
    </row>
    <row r="1375" spans="1:9" ht="20.100000000000001" customHeight="1">
      <c r="A1375" s="42" t="s">
        <v>2848</v>
      </c>
      <c r="B1375" s="22" t="s">
        <v>2849</v>
      </c>
      <c r="C1375" s="46">
        <v>42801</v>
      </c>
      <c r="D1375" s="47">
        <v>15000</v>
      </c>
      <c r="E1375" s="32" t="s">
        <v>2850</v>
      </c>
      <c r="F1375" s="32" t="s">
        <v>63</v>
      </c>
      <c r="G1375" s="32"/>
      <c r="H1375" s="32" t="s">
        <v>329</v>
      </c>
      <c r="I1375" s="47"/>
    </row>
    <row r="1376" spans="1:9" ht="20.100000000000001" customHeight="1">
      <c r="A1376" s="42" t="s">
        <v>2875</v>
      </c>
      <c r="B1376" s="22" t="s">
        <v>2876</v>
      </c>
      <c r="C1376" s="46">
        <v>42801</v>
      </c>
      <c r="D1376" s="47">
        <v>15000</v>
      </c>
      <c r="E1376" s="32" t="s">
        <v>2877</v>
      </c>
      <c r="F1376" s="32" t="s">
        <v>2878</v>
      </c>
      <c r="G1376" s="32"/>
      <c r="H1376" s="32" t="s">
        <v>2879</v>
      </c>
      <c r="I1376" s="47"/>
    </row>
    <row r="1377" spans="1:10" ht="20.100000000000001" customHeight="1">
      <c r="A1377" s="42" t="s">
        <v>2880</v>
      </c>
      <c r="B1377" s="22" t="s">
        <v>2881</v>
      </c>
      <c r="C1377" s="46">
        <v>42807</v>
      </c>
      <c r="D1377" s="47">
        <v>4515.41</v>
      </c>
      <c r="E1377" s="32" t="s">
        <v>2882</v>
      </c>
      <c r="F1377" s="32" t="s">
        <v>2878</v>
      </c>
      <c r="G1377" s="32"/>
      <c r="H1377" s="32" t="s">
        <v>2883</v>
      </c>
      <c r="I1377" s="47"/>
    </row>
    <row r="1378" spans="1:10" ht="20.100000000000001" customHeight="1">
      <c r="A1378" s="42" t="s">
        <v>2884</v>
      </c>
      <c r="B1378" s="22" t="s">
        <v>2881</v>
      </c>
      <c r="C1378" s="46">
        <v>42807</v>
      </c>
      <c r="D1378" s="47">
        <v>4515.41</v>
      </c>
      <c r="E1378" s="32" t="s">
        <v>2882</v>
      </c>
      <c r="F1378" s="32" t="s">
        <v>2878</v>
      </c>
      <c r="G1378" s="32"/>
      <c r="H1378" s="32" t="s">
        <v>2879</v>
      </c>
      <c r="I1378" s="47"/>
    </row>
    <row r="1379" spans="1:10" ht="20.100000000000001" customHeight="1">
      <c r="A1379" s="42" t="s">
        <v>2799</v>
      </c>
      <c r="B1379" s="22" t="s">
        <v>2206</v>
      </c>
      <c r="C1379" s="46">
        <v>42814</v>
      </c>
      <c r="D1379" s="47">
        <v>880</v>
      </c>
      <c r="E1379" s="32" t="s">
        <v>2207</v>
      </c>
      <c r="F1379" s="32" t="s">
        <v>63</v>
      </c>
      <c r="G1379" s="32"/>
      <c r="H1379" s="32" t="s">
        <v>329</v>
      </c>
      <c r="I1379" s="47"/>
    </row>
    <row r="1380" spans="1:10" ht="20.100000000000001" customHeight="1">
      <c r="A1380" s="42" t="s">
        <v>2846</v>
      </c>
      <c r="B1380" s="22" t="s">
        <v>2206</v>
      </c>
      <c r="C1380" s="46">
        <v>42814</v>
      </c>
      <c r="D1380" s="47">
        <v>880</v>
      </c>
      <c r="E1380" s="32" t="s">
        <v>2207</v>
      </c>
      <c r="F1380" s="32" t="s">
        <v>63</v>
      </c>
      <c r="G1380" s="32"/>
      <c r="H1380" s="32" t="s">
        <v>328</v>
      </c>
      <c r="I1380" s="47"/>
    </row>
    <row r="1381" spans="1:10" ht="20.100000000000001" customHeight="1">
      <c r="A1381" s="42" t="s">
        <v>2904</v>
      </c>
      <c r="B1381" s="22" t="s">
        <v>240</v>
      </c>
      <c r="C1381" s="46">
        <v>42814</v>
      </c>
      <c r="D1381" s="47">
        <v>32</v>
      </c>
      <c r="E1381" s="32" t="s">
        <v>2072</v>
      </c>
      <c r="F1381" s="32" t="s">
        <v>165</v>
      </c>
      <c r="G1381" s="32" t="s">
        <v>2906</v>
      </c>
      <c r="H1381" s="32" t="s">
        <v>329</v>
      </c>
      <c r="I1381" s="47">
        <v>135</v>
      </c>
      <c r="J1381" s="153" t="s">
        <v>2907</v>
      </c>
    </row>
    <row r="1382" spans="1:10" ht="20.100000000000001" customHeight="1">
      <c r="A1382" s="42" t="s">
        <v>2904</v>
      </c>
      <c r="B1382" s="22" t="s">
        <v>240</v>
      </c>
      <c r="C1382" s="46">
        <v>42816</v>
      </c>
      <c r="D1382" s="47">
        <v>32</v>
      </c>
      <c r="E1382" s="32" t="s">
        <v>2072</v>
      </c>
      <c r="F1382" s="32" t="s">
        <v>165</v>
      </c>
      <c r="G1382" s="32" t="s">
        <v>2905</v>
      </c>
      <c r="H1382" s="32" t="s">
        <v>329</v>
      </c>
      <c r="I1382" s="47">
        <v>135</v>
      </c>
      <c r="J1382" s="153" t="s">
        <v>2907</v>
      </c>
    </row>
    <row r="1383" spans="1:10" ht="20.100000000000001" customHeight="1">
      <c r="A1383" s="42" t="s">
        <v>2891</v>
      </c>
      <c r="B1383" s="22" t="s">
        <v>240</v>
      </c>
      <c r="C1383" s="46">
        <v>42815</v>
      </c>
      <c r="D1383" s="47">
        <v>100</v>
      </c>
      <c r="E1383" s="32" t="s">
        <v>2908</v>
      </c>
      <c r="F1383" s="32" t="s">
        <v>165</v>
      </c>
      <c r="G1383" s="32"/>
      <c r="H1383" s="32" t="s">
        <v>329</v>
      </c>
      <c r="I1383" s="47"/>
    </row>
    <row r="1384" spans="1:10" ht="20.100000000000001" customHeight="1">
      <c r="A1384" s="42" t="s">
        <v>2799</v>
      </c>
      <c r="B1384" s="22" t="s">
        <v>2206</v>
      </c>
      <c r="C1384" s="46">
        <v>42816</v>
      </c>
      <c r="D1384" s="47">
        <v>1200</v>
      </c>
      <c r="E1384" s="32" t="s">
        <v>2207</v>
      </c>
      <c r="F1384" s="32" t="s">
        <v>63</v>
      </c>
      <c r="G1384" s="32"/>
      <c r="H1384" s="32" t="s">
        <v>329</v>
      </c>
      <c r="I1384" s="47"/>
    </row>
    <row r="1385" spans="1:10" ht="20.100000000000001" customHeight="1">
      <c r="A1385" s="42" t="s">
        <v>2846</v>
      </c>
      <c r="B1385" s="22" t="s">
        <v>2206</v>
      </c>
      <c r="C1385" s="46">
        <v>42816</v>
      </c>
      <c r="D1385" s="47">
        <v>1200</v>
      </c>
      <c r="E1385" s="32" t="s">
        <v>2207</v>
      </c>
      <c r="F1385" s="32" t="s">
        <v>63</v>
      </c>
      <c r="G1385" s="32"/>
      <c r="H1385" s="32" t="s">
        <v>328</v>
      </c>
      <c r="I1385" s="47"/>
    </row>
    <row r="1386" spans="1:10" ht="20.100000000000001" customHeight="1">
      <c r="A1386" s="42" t="s">
        <v>2916</v>
      </c>
      <c r="B1386" s="22" t="s">
        <v>2917</v>
      </c>
      <c r="C1386" s="46">
        <v>42818</v>
      </c>
      <c r="D1386" s="47">
        <v>3451</v>
      </c>
      <c r="E1386" s="32" t="s">
        <v>2918</v>
      </c>
      <c r="F1386" s="32" t="s">
        <v>2919</v>
      </c>
      <c r="G1386" s="32"/>
      <c r="H1386" s="32" t="s">
        <v>2920</v>
      </c>
      <c r="I1386" s="47"/>
    </row>
    <row r="1387" spans="1:10" ht="20.100000000000001" customHeight="1">
      <c r="A1387" s="42" t="s">
        <v>2921</v>
      </c>
      <c r="B1387" s="22" t="s">
        <v>2917</v>
      </c>
      <c r="C1387" s="46">
        <v>42818</v>
      </c>
      <c r="D1387" s="47">
        <v>3451</v>
      </c>
      <c r="E1387" s="32" t="s">
        <v>2918</v>
      </c>
      <c r="F1387" s="32" t="s">
        <v>2919</v>
      </c>
      <c r="G1387" s="32"/>
      <c r="H1387" s="32" t="s">
        <v>2922</v>
      </c>
      <c r="I1387" s="47"/>
    </row>
    <row r="1388" spans="1:10" ht="20.100000000000001" customHeight="1">
      <c r="A1388" s="42" t="s">
        <v>2923</v>
      </c>
      <c r="B1388" s="22" t="s">
        <v>2924</v>
      </c>
      <c r="C1388" s="46">
        <v>42818</v>
      </c>
      <c r="D1388" s="47">
        <v>32</v>
      </c>
      <c r="E1388" s="32" t="s">
        <v>165</v>
      </c>
      <c r="F1388" s="32" t="s">
        <v>2925</v>
      </c>
      <c r="G1388" s="32"/>
      <c r="H1388" s="32" t="s">
        <v>2922</v>
      </c>
      <c r="I1388" s="47">
        <v>160</v>
      </c>
      <c r="J1388" s="153" t="s">
        <v>2907</v>
      </c>
    </row>
    <row r="1389" spans="1:10" ht="20.100000000000001" customHeight="1">
      <c r="A1389" s="42" t="s">
        <v>2936</v>
      </c>
      <c r="B1389" s="22" t="s">
        <v>240</v>
      </c>
      <c r="C1389" s="46">
        <v>42822</v>
      </c>
      <c r="D1389" s="47">
        <v>3</v>
      </c>
      <c r="E1389" s="32" t="s">
        <v>165</v>
      </c>
      <c r="F1389" s="32" t="s">
        <v>672</v>
      </c>
      <c r="G1389" s="32"/>
      <c r="H1389" s="32" t="s">
        <v>328</v>
      </c>
      <c r="I1389" s="47"/>
      <c r="J1389" s="153" t="s">
        <v>2937</v>
      </c>
    </row>
    <row r="1390" spans="1:10" ht="20.100000000000001" customHeight="1">
      <c r="A1390" s="42" t="s">
        <v>2778</v>
      </c>
      <c r="B1390" s="22" t="s">
        <v>747</v>
      </c>
      <c r="C1390" s="46">
        <v>42804</v>
      </c>
      <c r="D1390" s="47">
        <v>900</v>
      </c>
      <c r="E1390" s="32" t="s">
        <v>775</v>
      </c>
      <c r="F1390" s="32" t="s">
        <v>743</v>
      </c>
      <c r="G1390" s="32"/>
      <c r="H1390" s="32" t="s">
        <v>329</v>
      </c>
      <c r="I1390" s="47"/>
    </row>
    <row r="1391" spans="1:10" ht="20.100000000000001" customHeight="1">
      <c r="A1391" s="42" t="s">
        <v>2783</v>
      </c>
      <c r="B1391" s="22" t="s">
        <v>747</v>
      </c>
      <c r="C1391" s="46">
        <v>42814</v>
      </c>
      <c r="D1391" s="47">
        <v>900</v>
      </c>
      <c r="E1391" s="32" t="s">
        <v>911</v>
      </c>
      <c r="F1391" s="32" t="s">
        <v>912</v>
      </c>
      <c r="G1391" s="32"/>
      <c r="H1391" s="32" t="s">
        <v>328</v>
      </c>
      <c r="I1391" s="47"/>
    </row>
    <row r="1392" spans="1:10" ht="20.100000000000001" customHeight="1">
      <c r="A1392" s="42" t="s">
        <v>2779</v>
      </c>
      <c r="B1392" s="22" t="s">
        <v>747</v>
      </c>
      <c r="C1392" s="46">
        <v>42818</v>
      </c>
      <c r="D1392" s="47">
        <v>1000</v>
      </c>
      <c r="E1392" s="32" t="s">
        <v>775</v>
      </c>
      <c r="F1392" s="32" t="s">
        <v>743</v>
      </c>
      <c r="G1392" s="32"/>
      <c r="H1392" s="32" t="s">
        <v>329</v>
      </c>
      <c r="I1392" s="47"/>
    </row>
    <row r="1393" spans="1:10" ht="20.100000000000001" customHeight="1">
      <c r="A1393" s="42" t="s">
        <v>2784</v>
      </c>
      <c r="B1393" s="22" t="s">
        <v>747</v>
      </c>
      <c r="C1393" s="46">
        <v>42828</v>
      </c>
      <c r="D1393" s="47">
        <v>1300</v>
      </c>
      <c r="E1393" s="32" t="s">
        <v>911</v>
      </c>
      <c r="F1393" s="32" t="s">
        <v>912</v>
      </c>
      <c r="G1393" s="32"/>
      <c r="H1393" s="32" t="s">
        <v>328</v>
      </c>
      <c r="I1393" s="47"/>
    </row>
    <row r="1394" spans="1:10" ht="20.100000000000001" customHeight="1">
      <c r="A1394" s="42" t="s">
        <v>2780</v>
      </c>
      <c r="B1394" s="22" t="s">
        <v>747</v>
      </c>
      <c r="C1394" s="46">
        <v>42811</v>
      </c>
      <c r="D1394" s="47">
        <v>1300</v>
      </c>
      <c r="E1394" s="32" t="s">
        <v>775</v>
      </c>
      <c r="F1394" s="32" t="s">
        <v>743</v>
      </c>
      <c r="G1394" s="32"/>
      <c r="H1394" s="32" t="s">
        <v>329</v>
      </c>
      <c r="I1394" s="47"/>
    </row>
    <row r="1395" spans="1:10" ht="20.100000000000001" customHeight="1">
      <c r="A1395" s="42" t="s">
        <v>2948</v>
      </c>
      <c r="B1395" s="22" t="s">
        <v>747</v>
      </c>
      <c r="C1395" s="46">
        <v>42821</v>
      </c>
      <c r="D1395" s="47">
        <v>1000</v>
      </c>
      <c r="E1395" s="32" t="s">
        <v>911</v>
      </c>
      <c r="F1395" s="32" t="s">
        <v>912</v>
      </c>
      <c r="G1395" s="32"/>
      <c r="H1395" s="32" t="s">
        <v>328</v>
      </c>
      <c r="I1395" s="47"/>
    </row>
    <row r="1396" spans="1:10" ht="20.100000000000001" customHeight="1">
      <c r="A1396" s="42" t="s">
        <v>2978</v>
      </c>
      <c r="B1396" s="22" t="s">
        <v>747</v>
      </c>
      <c r="C1396" s="46">
        <v>42824</v>
      </c>
      <c r="D1396" s="47">
        <v>1000</v>
      </c>
      <c r="E1396" s="32" t="s">
        <v>775</v>
      </c>
      <c r="F1396" s="32" t="s">
        <v>743</v>
      </c>
      <c r="G1396" s="32"/>
      <c r="H1396" s="32" t="s">
        <v>329</v>
      </c>
      <c r="I1396" s="47"/>
    </row>
    <row r="1397" spans="1:10" ht="20.100000000000001" customHeight="1">
      <c r="A1397" s="42" t="s">
        <v>2979</v>
      </c>
      <c r="B1397" s="22" t="s">
        <v>82</v>
      </c>
      <c r="C1397" s="46">
        <v>42826</v>
      </c>
      <c r="D1397" s="47">
        <v>27</v>
      </c>
      <c r="E1397" s="32" t="s">
        <v>165</v>
      </c>
      <c r="F1397" s="32" t="s">
        <v>63</v>
      </c>
      <c r="G1397" s="32" t="s">
        <v>352</v>
      </c>
      <c r="H1397" s="32" t="s">
        <v>328</v>
      </c>
      <c r="I1397" s="47"/>
    </row>
    <row r="1398" spans="1:10" ht="20.100000000000001" customHeight="1">
      <c r="A1398" s="42" t="s">
        <v>2979</v>
      </c>
      <c r="B1398" s="22" t="s">
        <v>82</v>
      </c>
      <c r="C1398" s="46">
        <v>42826</v>
      </c>
      <c r="D1398" s="47">
        <v>27</v>
      </c>
      <c r="E1398" s="32" t="s">
        <v>165</v>
      </c>
      <c r="F1398" s="32" t="s">
        <v>63</v>
      </c>
      <c r="G1398" s="32" t="s">
        <v>2975</v>
      </c>
      <c r="H1398" s="32" t="s">
        <v>328</v>
      </c>
      <c r="I1398" s="47"/>
    </row>
    <row r="1399" spans="1:10" ht="21.75" customHeight="1">
      <c r="A1399" s="42" t="s">
        <v>2979</v>
      </c>
      <c r="B1399" s="22" t="s">
        <v>82</v>
      </c>
      <c r="C1399" s="46">
        <v>42826</v>
      </c>
      <c r="D1399" s="47">
        <v>27</v>
      </c>
      <c r="E1399" s="32" t="s">
        <v>165</v>
      </c>
      <c r="F1399" s="32" t="s">
        <v>63</v>
      </c>
      <c r="G1399" s="32" t="s">
        <v>2976</v>
      </c>
      <c r="H1399" s="32" t="s">
        <v>328</v>
      </c>
    </row>
    <row r="1400" spans="1:10" ht="20.100000000000001" customHeight="1">
      <c r="A1400" s="42" t="s">
        <v>2979</v>
      </c>
      <c r="B1400" s="22" t="s">
        <v>82</v>
      </c>
      <c r="C1400" s="46">
        <v>42826</v>
      </c>
      <c r="D1400" s="47">
        <v>32</v>
      </c>
      <c r="E1400" s="32" t="s">
        <v>165</v>
      </c>
      <c r="F1400" s="32" t="s">
        <v>63</v>
      </c>
      <c r="G1400" s="32" t="s">
        <v>2977</v>
      </c>
      <c r="H1400" s="32" t="s">
        <v>328</v>
      </c>
    </row>
    <row r="1401" spans="1:10" ht="20.100000000000001" customHeight="1">
      <c r="A1401" s="42" t="s">
        <v>2979</v>
      </c>
      <c r="B1401" s="22" t="s">
        <v>82</v>
      </c>
      <c r="C1401" s="46">
        <v>42827</v>
      </c>
      <c r="D1401" s="47">
        <v>26</v>
      </c>
      <c r="E1401" s="32" t="s">
        <v>165</v>
      </c>
      <c r="F1401" s="32" t="s">
        <v>63</v>
      </c>
      <c r="G1401" s="32" t="s">
        <v>564</v>
      </c>
      <c r="H1401" s="32" t="s">
        <v>328</v>
      </c>
    </row>
    <row r="1402" spans="1:10" ht="20.100000000000001" customHeight="1">
      <c r="A1402" s="42" t="s">
        <v>2991</v>
      </c>
      <c r="B1402" s="22" t="s">
        <v>747</v>
      </c>
      <c r="C1402" s="46">
        <v>42831</v>
      </c>
      <c r="D1402" s="47">
        <v>1000</v>
      </c>
      <c r="E1402" s="32" t="s">
        <v>775</v>
      </c>
      <c r="F1402" s="32" t="s">
        <v>743</v>
      </c>
      <c r="G1402" s="32"/>
      <c r="H1402" s="32" t="s">
        <v>329</v>
      </c>
    </row>
    <row r="1403" spans="1:10" ht="20.100000000000001" customHeight="1">
      <c r="A1403" s="42" t="s">
        <v>3004</v>
      </c>
      <c r="B1403" s="22" t="s">
        <v>240</v>
      </c>
      <c r="C1403" s="46">
        <v>42835</v>
      </c>
      <c r="D1403" s="47">
        <v>98</v>
      </c>
      <c r="E1403" s="32" t="s">
        <v>137</v>
      </c>
      <c r="F1403" s="32" t="s">
        <v>165</v>
      </c>
      <c r="G1403" s="32"/>
      <c r="H1403" s="32" t="s">
        <v>329</v>
      </c>
      <c r="I1403" s="47">
        <v>130</v>
      </c>
      <c r="J1403" s="153" t="s">
        <v>3005</v>
      </c>
    </row>
    <row r="1404" spans="1:10" ht="20.100000000000001" customHeight="1">
      <c r="A1404" s="42" t="s">
        <v>3006</v>
      </c>
      <c r="B1404" s="22" t="s">
        <v>3007</v>
      </c>
      <c r="C1404" s="46">
        <v>42835</v>
      </c>
      <c r="D1404" s="47">
        <v>20</v>
      </c>
      <c r="E1404" s="32" t="s">
        <v>3008</v>
      </c>
      <c r="F1404" s="32" t="s">
        <v>165</v>
      </c>
      <c r="G1404" s="32"/>
      <c r="H1404" s="32" t="s">
        <v>329</v>
      </c>
    </row>
    <row r="1405" spans="1:10" ht="20.100000000000001" customHeight="1">
      <c r="A1405" s="42" t="s">
        <v>2979</v>
      </c>
      <c r="B1405" s="22" t="s">
        <v>82</v>
      </c>
      <c r="C1405" s="46">
        <v>42838</v>
      </c>
      <c r="D1405" s="47">
        <v>26</v>
      </c>
      <c r="E1405" s="32" t="s">
        <v>165</v>
      </c>
      <c r="F1405" s="32" t="s">
        <v>63</v>
      </c>
      <c r="G1405" s="32" t="s">
        <v>564</v>
      </c>
      <c r="H1405" s="32" t="s">
        <v>328</v>
      </c>
      <c r="I1405" s="47"/>
    </row>
    <row r="1406" spans="1:10" ht="20.100000000000001" customHeight="1">
      <c r="A1406" s="42" t="s">
        <v>3015</v>
      </c>
      <c r="B1406" s="22" t="s">
        <v>3016</v>
      </c>
      <c r="C1406" s="46">
        <v>42839</v>
      </c>
      <c r="D1406" s="47">
        <v>32</v>
      </c>
      <c r="E1406" s="32" t="s">
        <v>137</v>
      </c>
      <c r="F1406" s="32" t="s">
        <v>165</v>
      </c>
      <c r="G1406" s="32" t="s">
        <v>3017</v>
      </c>
      <c r="H1406" s="32" t="s">
        <v>3018</v>
      </c>
      <c r="I1406" s="47">
        <v>130</v>
      </c>
    </row>
    <row r="1407" spans="1:10" ht="20.100000000000001" customHeight="1">
      <c r="A1407" s="42" t="s">
        <v>3015</v>
      </c>
      <c r="B1407" s="22" t="s">
        <v>3016</v>
      </c>
      <c r="C1407" s="46">
        <v>42840</v>
      </c>
      <c r="D1407" s="47">
        <v>32</v>
      </c>
      <c r="E1407" s="32" t="s">
        <v>137</v>
      </c>
      <c r="F1407" s="32" t="s">
        <v>165</v>
      </c>
      <c r="G1407" s="32"/>
      <c r="H1407" s="32" t="s">
        <v>3018</v>
      </c>
      <c r="I1407" s="47">
        <v>130</v>
      </c>
    </row>
    <row r="1408" spans="1:10" ht="20.100000000000001" customHeight="1">
      <c r="A1408" s="42" t="s">
        <v>3015</v>
      </c>
      <c r="B1408" s="22" t="s">
        <v>3016</v>
      </c>
      <c r="C1408" s="46">
        <v>42841</v>
      </c>
      <c r="D1408" s="47">
        <v>38</v>
      </c>
      <c r="E1408" s="32" t="s">
        <v>137</v>
      </c>
      <c r="F1408" s="32" t="s">
        <v>165</v>
      </c>
      <c r="G1408" s="32"/>
      <c r="H1408" s="32" t="s">
        <v>3018</v>
      </c>
      <c r="I1408" s="47">
        <v>130</v>
      </c>
    </row>
    <row r="1409" spans="1:10" ht="20.100000000000001" customHeight="1">
      <c r="A1409" s="42" t="s">
        <v>3019</v>
      </c>
      <c r="B1409" s="22" t="s">
        <v>3020</v>
      </c>
      <c r="C1409" s="46">
        <v>42840</v>
      </c>
      <c r="D1409" s="47">
        <v>26</v>
      </c>
      <c r="E1409" s="32" t="s">
        <v>3021</v>
      </c>
      <c r="F1409" s="32" t="s">
        <v>3022</v>
      </c>
      <c r="G1409" s="32" t="s">
        <v>564</v>
      </c>
      <c r="H1409" s="32" t="s">
        <v>3023</v>
      </c>
      <c r="I1409" s="47"/>
    </row>
    <row r="1410" spans="1:10" ht="20.100000000000001" customHeight="1">
      <c r="A1410" s="42" t="s">
        <v>3024</v>
      </c>
      <c r="B1410" s="22" t="s">
        <v>3025</v>
      </c>
      <c r="C1410" s="46">
        <v>42841</v>
      </c>
      <c r="D1410" s="47">
        <v>136.44999999999999</v>
      </c>
      <c r="E1410" s="32" t="s">
        <v>3026</v>
      </c>
      <c r="F1410" s="32" t="s">
        <v>3022</v>
      </c>
      <c r="G1410" s="32"/>
      <c r="H1410" s="32" t="s">
        <v>3027</v>
      </c>
      <c r="I1410" s="47"/>
    </row>
    <row r="1411" spans="1:10" ht="20.100000000000001" customHeight="1">
      <c r="A1411" s="42" t="s">
        <v>3044</v>
      </c>
      <c r="B1411" s="22" t="s">
        <v>3045</v>
      </c>
      <c r="C1411" s="46">
        <v>42841</v>
      </c>
      <c r="D1411" s="47">
        <v>136.44999999999999</v>
      </c>
      <c r="E1411" s="32" t="s">
        <v>3046</v>
      </c>
      <c r="F1411" s="32" t="s">
        <v>3047</v>
      </c>
      <c r="G1411" s="32"/>
      <c r="H1411" s="32" t="s">
        <v>3048</v>
      </c>
      <c r="I1411" s="47"/>
    </row>
    <row r="1412" spans="1:10" ht="20.100000000000001" customHeight="1">
      <c r="A1412" s="42" t="s">
        <v>3051</v>
      </c>
      <c r="B1412" s="22" t="s">
        <v>3052</v>
      </c>
      <c r="C1412" s="46">
        <v>42843</v>
      </c>
      <c r="D1412" s="47">
        <v>32</v>
      </c>
      <c r="E1412" s="32" t="s">
        <v>3053</v>
      </c>
      <c r="F1412" s="32" t="s">
        <v>3054</v>
      </c>
      <c r="G1412" s="32" t="s">
        <v>3049</v>
      </c>
      <c r="H1412" s="32" t="s">
        <v>3055</v>
      </c>
      <c r="I1412" s="47">
        <v>135</v>
      </c>
      <c r="J1412" s="153" t="s">
        <v>3031</v>
      </c>
    </row>
    <row r="1413" spans="1:10" ht="20.100000000000001" customHeight="1">
      <c r="A1413" s="42" t="s">
        <v>3056</v>
      </c>
      <c r="B1413" s="22" t="s">
        <v>3052</v>
      </c>
      <c r="C1413" s="46">
        <v>42844</v>
      </c>
      <c r="D1413" s="47">
        <v>30</v>
      </c>
      <c r="E1413" s="32" t="s">
        <v>3054</v>
      </c>
      <c r="F1413" s="32" t="s">
        <v>3057</v>
      </c>
      <c r="G1413" s="32"/>
      <c r="H1413" s="32" t="s">
        <v>3058</v>
      </c>
      <c r="I1413" s="47"/>
    </row>
    <row r="1414" spans="1:10" ht="20.100000000000001" customHeight="1">
      <c r="A1414" s="42" t="s">
        <v>3059</v>
      </c>
      <c r="B1414" s="22" t="s">
        <v>3052</v>
      </c>
      <c r="C1414" s="46">
        <v>42845</v>
      </c>
      <c r="D1414" s="47">
        <v>96</v>
      </c>
      <c r="E1414" s="32" t="s">
        <v>3054</v>
      </c>
      <c r="F1414" s="32" t="s">
        <v>3060</v>
      </c>
      <c r="G1414" s="32"/>
      <c r="H1414" s="32" t="s">
        <v>3058</v>
      </c>
      <c r="I1414" s="47"/>
    </row>
    <row r="1415" spans="1:10" ht="20.100000000000001" customHeight="1">
      <c r="A1415" s="42" t="s">
        <v>3029</v>
      </c>
      <c r="B1415" s="22" t="s">
        <v>60</v>
      </c>
      <c r="C1415" s="46">
        <v>42845</v>
      </c>
      <c r="D1415" s="47">
        <v>207.08</v>
      </c>
      <c r="E1415" s="32" t="s">
        <v>397</v>
      </c>
      <c r="F1415" s="32" t="s">
        <v>63</v>
      </c>
      <c r="G1415" s="32"/>
      <c r="H1415" s="32" t="s">
        <v>329</v>
      </c>
      <c r="I1415" s="47"/>
    </row>
    <row r="1416" spans="1:10" ht="20.100000000000001" customHeight="1">
      <c r="A1416" s="42" t="s">
        <v>3063</v>
      </c>
      <c r="B1416" s="22" t="s">
        <v>60</v>
      </c>
      <c r="C1416" s="46">
        <v>42845</v>
      </c>
      <c r="D1416" s="47">
        <v>114.53</v>
      </c>
      <c r="E1416" s="32" t="s">
        <v>397</v>
      </c>
      <c r="F1416" s="32" t="s">
        <v>63</v>
      </c>
      <c r="G1416" s="32"/>
      <c r="H1416" s="32" t="s">
        <v>328</v>
      </c>
      <c r="I1416" s="47"/>
    </row>
    <row r="1417" spans="1:10" ht="20.100000000000001" customHeight="1">
      <c r="A1417" s="42" t="s">
        <v>3029</v>
      </c>
      <c r="B1417" s="22" t="s">
        <v>60</v>
      </c>
      <c r="C1417" s="46">
        <v>42846</v>
      </c>
      <c r="D1417" s="47">
        <v>9.11</v>
      </c>
      <c r="E1417" s="32" t="s">
        <v>397</v>
      </c>
      <c r="F1417" s="32" t="s">
        <v>63</v>
      </c>
      <c r="G1417" s="32"/>
      <c r="H1417" s="32" t="s">
        <v>329</v>
      </c>
      <c r="I1417" s="47"/>
    </row>
    <row r="1418" spans="1:10" ht="20.100000000000001" customHeight="1">
      <c r="A1418" s="42" t="s">
        <v>3063</v>
      </c>
      <c r="B1418" s="22" t="s">
        <v>60</v>
      </c>
      <c r="C1418" s="46">
        <v>42846</v>
      </c>
      <c r="D1418" s="47">
        <v>9.11</v>
      </c>
      <c r="E1418" s="32" t="s">
        <v>397</v>
      </c>
      <c r="F1418" s="32" t="s">
        <v>63</v>
      </c>
      <c r="G1418" s="32"/>
      <c r="H1418" s="32" t="s">
        <v>328</v>
      </c>
      <c r="I1418" s="47"/>
    </row>
    <row r="1419" spans="1:10" ht="20.100000000000001" customHeight="1">
      <c r="A1419" s="42" t="s">
        <v>3029</v>
      </c>
      <c r="B1419" s="22" t="s">
        <v>60</v>
      </c>
      <c r="C1419" s="46">
        <v>42846</v>
      </c>
      <c r="D1419" s="47">
        <v>90.78</v>
      </c>
      <c r="E1419" s="32" t="s">
        <v>397</v>
      </c>
      <c r="F1419" s="153" t="s">
        <v>3062</v>
      </c>
      <c r="H1419" s="32" t="s">
        <v>329</v>
      </c>
    </row>
    <row r="1420" spans="1:10" ht="20.100000000000001" customHeight="1">
      <c r="A1420" s="42" t="s">
        <v>3044</v>
      </c>
      <c r="B1420" s="22" t="s">
        <v>60</v>
      </c>
      <c r="C1420" s="46">
        <v>42845</v>
      </c>
      <c r="D1420" s="47">
        <v>92.55</v>
      </c>
      <c r="E1420" s="32" t="s">
        <v>397</v>
      </c>
      <c r="F1420" s="32" t="s">
        <v>63</v>
      </c>
      <c r="G1420" s="32"/>
      <c r="H1420" s="32" t="s">
        <v>328</v>
      </c>
    </row>
    <row r="1421" spans="1:10" ht="20.100000000000001" customHeight="1">
      <c r="A1421" s="42" t="s">
        <v>2867</v>
      </c>
      <c r="B1421" s="22" t="s">
        <v>747</v>
      </c>
      <c r="C1421" s="46">
        <v>42840</v>
      </c>
      <c r="D1421" s="47">
        <v>1000</v>
      </c>
      <c r="E1421" s="32" t="s">
        <v>775</v>
      </c>
      <c r="F1421" s="32" t="s">
        <v>743</v>
      </c>
      <c r="G1421" s="32"/>
      <c r="H1421" s="32" t="s">
        <v>329</v>
      </c>
    </row>
    <row r="1422" spans="1:10" ht="20.100000000000001" customHeight="1">
      <c r="A1422" s="42" t="s">
        <v>2939</v>
      </c>
      <c r="B1422" s="22" t="s">
        <v>747</v>
      </c>
      <c r="C1422" s="46">
        <v>42835</v>
      </c>
      <c r="D1422" s="47">
        <v>1000</v>
      </c>
      <c r="E1422" s="32" t="s">
        <v>911</v>
      </c>
      <c r="F1422" s="32" t="s">
        <v>912</v>
      </c>
      <c r="G1422" s="32"/>
      <c r="H1422" s="32" t="s">
        <v>328</v>
      </c>
    </row>
    <row r="1423" spans="1:10" ht="20.100000000000001" customHeight="1">
      <c r="A1423" s="42" t="s">
        <v>2940</v>
      </c>
      <c r="B1423" s="22" t="s">
        <v>747</v>
      </c>
      <c r="C1423" s="46">
        <v>42842</v>
      </c>
      <c r="D1423" s="47">
        <v>1000</v>
      </c>
      <c r="E1423" s="32" t="s">
        <v>911</v>
      </c>
      <c r="F1423" s="32" t="s">
        <v>912</v>
      </c>
      <c r="G1423" s="32"/>
      <c r="H1423" s="32" t="s">
        <v>328</v>
      </c>
    </row>
    <row r="1424" spans="1:10" ht="20.100000000000001" customHeight="1">
      <c r="A1424" s="42" t="s">
        <v>2941</v>
      </c>
      <c r="B1424" s="22" t="s">
        <v>747</v>
      </c>
      <c r="C1424" s="46">
        <v>42849</v>
      </c>
      <c r="D1424" s="47">
        <v>1000</v>
      </c>
      <c r="E1424" s="32" t="s">
        <v>911</v>
      </c>
      <c r="F1424" s="32" t="s">
        <v>912</v>
      </c>
      <c r="G1424" s="32"/>
      <c r="H1424" s="32" t="s">
        <v>328</v>
      </c>
    </row>
    <row r="1425" spans="1:11" ht="20.100000000000001" customHeight="1">
      <c r="A1425" s="42" t="s">
        <v>3084</v>
      </c>
      <c r="B1425" s="22" t="s">
        <v>240</v>
      </c>
      <c r="C1425" s="46">
        <v>42851</v>
      </c>
      <c r="D1425" s="47">
        <v>128</v>
      </c>
      <c r="E1425" s="32" t="s">
        <v>165</v>
      </c>
      <c r="F1425" s="32" t="s">
        <v>1071</v>
      </c>
      <c r="G1425" s="32"/>
      <c r="H1425" s="32" t="s">
        <v>328</v>
      </c>
    </row>
    <row r="1426" spans="1:11" ht="20.100000000000001" customHeight="1">
      <c r="A1426" s="42" t="s">
        <v>3051</v>
      </c>
      <c r="B1426" s="22" t="s">
        <v>240</v>
      </c>
      <c r="C1426" s="46">
        <v>42845</v>
      </c>
      <c r="D1426" s="47">
        <v>32</v>
      </c>
      <c r="E1426" s="32" t="s">
        <v>2072</v>
      </c>
      <c r="F1426" s="32" t="s">
        <v>165</v>
      </c>
      <c r="G1426" s="32" t="s">
        <v>3049</v>
      </c>
      <c r="H1426" s="32" t="s">
        <v>329</v>
      </c>
      <c r="I1426" s="47">
        <v>135</v>
      </c>
      <c r="J1426" s="153" t="s">
        <v>2907</v>
      </c>
    </row>
    <row r="1427" spans="1:11" ht="20.100000000000001" customHeight="1">
      <c r="A1427" s="42" t="s">
        <v>3098</v>
      </c>
      <c r="B1427" s="22" t="s">
        <v>3099</v>
      </c>
      <c r="C1427" s="46">
        <v>42852</v>
      </c>
      <c r="D1427" s="47">
        <v>32</v>
      </c>
      <c r="E1427" s="32" t="s">
        <v>3100</v>
      </c>
      <c r="F1427" s="32" t="s">
        <v>3101</v>
      </c>
      <c r="G1427" s="32"/>
      <c r="H1427" s="32" t="s">
        <v>3102</v>
      </c>
      <c r="I1427" s="47">
        <v>160</v>
      </c>
      <c r="J1427" s="153" t="s">
        <v>3088</v>
      </c>
    </row>
    <row r="1428" spans="1:11" ht="20.100000000000001" customHeight="1">
      <c r="A1428" s="42" t="s">
        <v>3103</v>
      </c>
      <c r="B1428" s="22" t="s">
        <v>3099</v>
      </c>
      <c r="C1428" s="46">
        <v>42852</v>
      </c>
      <c r="D1428" s="47">
        <v>2</v>
      </c>
      <c r="E1428" s="32" t="s">
        <v>3100</v>
      </c>
      <c r="F1428" s="32" t="s">
        <v>3104</v>
      </c>
      <c r="G1428" s="32"/>
      <c r="H1428" s="32" t="s">
        <v>3102</v>
      </c>
      <c r="I1428" s="47"/>
    </row>
    <row r="1429" spans="1:11" ht="20.100000000000001" customHeight="1">
      <c r="A1429" s="42" t="s">
        <v>3105</v>
      </c>
      <c r="B1429" s="22" t="s">
        <v>3106</v>
      </c>
      <c r="C1429" s="46">
        <v>42856</v>
      </c>
      <c r="D1429" s="47">
        <v>20</v>
      </c>
      <c r="E1429" s="32" t="s">
        <v>165</v>
      </c>
      <c r="F1429" s="32" t="s">
        <v>63</v>
      </c>
      <c r="G1429" s="32" t="s">
        <v>564</v>
      </c>
      <c r="H1429" s="32" t="s">
        <v>3102</v>
      </c>
      <c r="I1429" s="47"/>
    </row>
    <row r="1430" spans="1:11" ht="20.100000000000001" customHeight="1">
      <c r="A1430" s="42" t="s">
        <v>3068</v>
      </c>
      <c r="B1430" s="22" t="s">
        <v>747</v>
      </c>
      <c r="C1430" s="46">
        <v>42858</v>
      </c>
      <c r="D1430" s="47">
        <v>1000</v>
      </c>
      <c r="E1430" s="32" t="s">
        <v>775</v>
      </c>
      <c r="F1430" s="32" t="s">
        <v>743</v>
      </c>
      <c r="G1430" s="32"/>
      <c r="H1430" s="32" t="s">
        <v>329</v>
      </c>
      <c r="I1430" s="47"/>
    </row>
    <row r="1431" spans="1:11" ht="20.100000000000001" customHeight="1">
      <c r="A1431" s="42" t="s">
        <v>3105</v>
      </c>
      <c r="B1431" s="22" t="s">
        <v>82</v>
      </c>
      <c r="C1431" s="46">
        <v>42859</v>
      </c>
      <c r="D1431" s="47">
        <v>26</v>
      </c>
      <c r="E1431" s="32" t="s">
        <v>165</v>
      </c>
      <c r="F1431" s="32" t="s">
        <v>63</v>
      </c>
      <c r="G1431" s="32" t="s">
        <v>564</v>
      </c>
      <c r="H1431" s="32" t="s">
        <v>328</v>
      </c>
      <c r="I1431" s="47"/>
    </row>
    <row r="1432" spans="1:11" ht="20.100000000000001" customHeight="1">
      <c r="A1432" s="42" t="s">
        <v>3105</v>
      </c>
      <c r="B1432" s="22" t="s">
        <v>82</v>
      </c>
      <c r="C1432" s="46">
        <v>42859</v>
      </c>
      <c r="D1432" s="47">
        <v>32</v>
      </c>
      <c r="E1432" s="32" t="s">
        <v>165</v>
      </c>
      <c r="F1432" s="32" t="s">
        <v>63</v>
      </c>
      <c r="G1432" s="32" t="s">
        <v>360</v>
      </c>
      <c r="H1432" s="32" t="s">
        <v>328</v>
      </c>
      <c r="I1432" s="47"/>
    </row>
    <row r="1433" spans="1:11" ht="20.100000000000001" customHeight="1">
      <c r="A1433" s="42" t="s">
        <v>3121</v>
      </c>
      <c r="B1433" s="22" t="s">
        <v>240</v>
      </c>
      <c r="C1433" s="46">
        <v>42859</v>
      </c>
      <c r="D1433" s="47">
        <v>32</v>
      </c>
      <c r="E1433" s="32" t="s">
        <v>2072</v>
      </c>
      <c r="F1433" s="32" t="s">
        <v>165</v>
      </c>
      <c r="G1433" s="32" t="s">
        <v>3122</v>
      </c>
      <c r="H1433" s="32" t="s">
        <v>329</v>
      </c>
      <c r="I1433" s="47">
        <v>135</v>
      </c>
      <c r="J1433" s="153" t="s">
        <v>2907</v>
      </c>
    </row>
    <row r="1434" spans="1:11" ht="20.100000000000001" customHeight="1">
      <c r="A1434" s="42" t="s">
        <v>3123</v>
      </c>
      <c r="B1434" s="22" t="s">
        <v>3001</v>
      </c>
      <c r="C1434" s="46">
        <v>42859</v>
      </c>
      <c r="D1434" s="47">
        <v>40</v>
      </c>
      <c r="E1434" s="32" t="s">
        <v>3008</v>
      </c>
      <c r="F1434" s="32" t="s">
        <v>70</v>
      </c>
      <c r="G1434" s="32"/>
      <c r="H1434" s="32" t="s">
        <v>329</v>
      </c>
      <c r="I1434" s="47"/>
    </row>
    <row r="1435" spans="1:11" ht="20.100000000000001" customHeight="1">
      <c r="A1435" s="42" t="s">
        <v>3124</v>
      </c>
      <c r="B1435" s="22" t="s">
        <v>3001</v>
      </c>
      <c r="C1435" s="46">
        <v>42862</v>
      </c>
      <c r="D1435" s="47">
        <v>40</v>
      </c>
      <c r="E1435" s="32" t="s">
        <v>3008</v>
      </c>
      <c r="F1435" s="32" t="s">
        <v>70</v>
      </c>
      <c r="G1435" s="32"/>
      <c r="H1435" s="32" t="s">
        <v>328</v>
      </c>
      <c r="I1435" s="47"/>
    </row>
    <row r="1436" spans="1:11" ht="20.100000000000001" customHeight="1">
      <c r="A1436" s="42" t="s">
        <v>3124</v>
      </c>
      <c r="B1436" s="22" t="s">
        <v>3001</v>
      </c>
      <c r="C1436" s="46">
        <v>42862</v>
      </c>
      <c r="D1436" s="47">
        <v>20</v>
      </c>
      <c r="E1436" s="32" t="s">
        <v>165</v>
      </c>
      <c r="F1436" s="32" t="s">
        <v>70</v>
      </c>
      <c r="G1436" s="32"/>
      <c r="H1436" s="32" t="s">
        <v>328</v>
      </c>
      <c r="I1436" s="47">
        <v>350</v>
      </c>
      <c r="J1436" s="153" t="s">
        <v>2907</v>
      </c>
      <c r="K1436" s="153" t="s">
        <v>3125</v>
      </c>
    </row>
    <row r="1437" spans="1:11" ht="20.100000000000001" customHeight="1">
      <c r="A1437" s="42" t="s">
        <v>3121</v>
      </c>
      <c r="B1437" s="22" t="s">
        <v>240</v>
      </c>
      <c r="C1437" s="46">
        <v>42861</v>
      </c>
      <c r="D1437" s="47">
        <v>32</v>
      </c>
      <c r="E1437" s="32" t="s">
        <v>2072</v>
      </c>
      <c r="F1437" s="32" t="s">
        <v>165</v>
      </c>
      <c r="G1437" s="32" t="s">
        <v>3126</v>
      </c>
      <c r="H1437" s="32" t="s">
        <v>329</v>
      </c>
      <c r="I1437" s="47">
        <v>135</v>
      </c>
      <c r="J1437" s="153" t="s">
        <v>2907</v>
      </c>
    </row>
    <row r="1438" spans="1:11" ht="20.100000000000001" customHeight="1">
      <c r="A1438" s="42" t="s">
        <v>3105</v>
      </c>
      <c r="B1438" s="22" t="s">
        <v>82</v>
      </c>
      <c r="C1438" s="46">
        <v>42862</v>
      </c>
      <c r="D1438" s="47">
        <v>26</v>
      </c>
      <c r="E1438" s="32" t="s">
        <v>165</v>
      </c>
      <c r="F1438" s="32" t="s">
        <v>63</v>
      </c>
      <c r="G1438" s="32" t="s">
        <v>564</v>
      </c>
      <c r="H1438" s="32" t="s">
        <v>328</v>
      </c>
      <c r="I1438" s="47"/>
    </row>
    <row r="1439" spans="1:11" ht="20.100000000000001" customHeight="1">
      <c r="A1439" s="42" t="s">
        <v>3105</v>
      </c>
      <c r="B1439" s="22" t="s">
        <v>82</v>
      </c>
      <c r="C1439" s="46">
        <v>42862</v>
      </c>
      <c r="D1439" s="47">
        <v>34</v>
      </c>
      <c r="E1439" s="32" t="s">
        <v>165</v>
      </c>
      <c r="F1439" s="32" t="s">
        <v>63</v>
      </c>
      <c r="G1439" s="32" t="s">
        <v>2454</v>
      </c>
      <c r="H1439" s="32" t="s">
        <v>328</v>
      </c>
      <c r="I1439" s="47"/>
    </row>
    <row r="1440" spans="1:11" ht="20.100000000000001" customHeight="1">
      <c r="A1440" s="42" t="s">
        <v>3131</v>
      </c>
      <c r="B1440" s="22" t="s">
        <v>60</v>
      </c>
      <c r="C1440" s="46">
        <v>42861</v>
      </c>
      <c r="D1440" s="47">
        <v>91</v>
      </c>
      <c r="E1440" s="32" t="s">
        <v>165</v>
      </c>
      <c r="F1440" s="32" t="s">
        <v>63</v>
      </c>
      <c r="G1440" s="32"/>
      <c r="H1440" s="32" t="s">
        <v>328</v>
      </c>
      <c r="I1440" s="47">
        <v>20</v>
      </c>
    </row>
    <row r="1441" spans="1:10" ht="20.100000000000001" customHeight="1">
      <c r="A1441" s="42" t="s">
        <v>3105</v>
      </c>
      <c r="B1441" s="22" t="s">
        <v>82</v>
      </c>
      <c r="C1441" s="46">
        <v>42864</v>
      </c>
      <c r="D1441" s="47">
        <v>26</v>
      </c>
      <c r="E1441" s="32" t="s">
        <v>165</v>
      </c>
      <c r="F1441" s="32" t="s">
        <v>63</v>
      </c>
      <c r="G1441" s="32" t="s">
        <v>897</v>
      </c>
      <c r="H1441" s="32" t="s">
        <v>328</v>
      </c>
      <c r="I1441" s="47"/>
    </row>
    <row r="1442" spans="1:10" ht="20.100000000000001" customHeight="1">
      <c r="A1442" s="42" t="s">
        <v>3105</v>
      </c>
      <c r="B1442" s="22" t="s">
        <v>82</v>
      </c>
      <c r="C1442" s="46">
        <v>42864</v>
      </c>
      <c r="D1442" s="47">
        <v>62</v>
      </c>
      <c r="E1442" s="32" t="s">
        <v>165</v>
      </c>
      <c r="F1442" s="32" t="s">
        <v>63</v>
      </c>
      <c r="G1442" s="32" t="s">
        <v>360</v>
      </c>
      <c r="H1442" s="32" t="s">
        <v>328</v>
      </c>
      <c r="I1442" s="47"/>
    </row>
    <row r="1443" spans="1:10" ht="20.100000000000001" customHeight="1">
      <c r="A1443" s="42" t="s">
        <v>3105</v>
      </c>
      <c r="B1443" s="22" t="s">
        <v>82</v>
      </c>
      <c r="C1443" s="46">
        <v>42863</v>
      </c>
      <c r="D1443" s="47">
        <v>26</v>
      </c>
      <c r="E1443" s="32" t="s">
        <v>165</v>
      </c>
      <c r="F1443" s="32" t="s">
        <v>63</v>
      </c>
      <c r="G1443" s="32" t="s">
        <v>897</v>
      </c>
      <c r="H1443" s="32" t="s">
        <v>328</v>
      </c>
      <c r="I1443" s="47"/>
    </row>
    <row r="1444" spans="1:10" ht="20.100000000000001" customHeight="1">
      <c r="A1444" s="42" t="s">
        <v>3105</v>
      </c>
      <c r="B1444" s="22" t="s">
        <v>82</v>
      </c>
      <c r="C1444" s="46">
        <v>42858</v>
      </c>
      <c r="D1444" s="47">
        <v>32</v>
      </c>
      <c r="E1444" s="32" t="s">
        <v>165</v>
      </c>
      <c r="F1444" s="32" t="s">
        <v>63</v>
      </c>
      <c r="G1444" s="32" t="s">
        <v>2454</v>
      </c>
      <c r="H1444" s="32" t="s">
        <v>328</v>
      </c>
      <c r="I1444" s="47"/>
    </row>
    <row r="1445" spans="1:10" ht="20.100000000000001" customHeight="1">
      <c r="A1445" s="42" t="s">
        <v>3137</v>
      </c>
      <c r="B1445" s="22" t="s">
        <v>3138</v>
      </c>
      <c r="C1445" s="46">
        <v>42864</v>
      </c>
      <c r="D1445" s="47">
        <v>32</v>
      </c>
      <c r="E1445" s="32" t="s">
        <v>3139</v>
      </c>
      <c r="F1445" s="32" t="s">
        <v>3140</v>
      </c>
      <c r="G1445" s="32" t="s">
        <v>3141</v>
      </c>
      <c r="H1445" s="32" t="s">
        <v>3142</v>
      </c>
      <c r="I1445" s="47">
        <v>135</v>
      </c>
      <c r="J1445" s="153" t="s">
        <v>2907</v>
      </c>
    </row>
    <row r="1446" spans="1:10" ht="20.100000000000001" customHeight="1">
      <c r="A1446" s="42" t="s">
        <v>3143</v>
      </c>
      <c r="B1446" s="22" t="s">
        <v>3138</v>
      </c>
      <c r="C1446" s="46">
        <v>42865</v>
      </c>
      <c r="D1446" s="47">
        <v>32</v>
      </c>
      <c r="E1446" s="32" t="s">
        <v>3144</v>
      </c>
      <c r="F1446" s="32" t="s">
        <v>165</v>
      </c>
      <c r="G1446" s="32"/>
      <c r="H1446" s="32" t="s">
        <v>3142</v>
      </c>
      <c r="I1446" s="47"/>
    </row>
    <row r="1447" spans="1:10" ht="20.100000000000001" customHeight="1">
      <c r="A1447" s="42" t="s">
        <v>3143</v>
      </c>
      <c r="B1447" s="22" t="s">
        <v>3138</v>
      </c>
      <c r="C1447" s="46">
        <v>42865</v>
      </c>
      <c r="D1447" s="47">
        <v>32</v>
      </c>
      <c r="E1447" s="32" t="s">
        <v>3144</v>
      </c>
      <c r="F1447" s="32" t="s">
        <v>165</v>
      </c>
      <c r="G1447" s="32"/>
      <c r="H1447" s="32" t="s">
        <v>3142</v>
      </c>
      <c r="I1447" s="47"/>
    </row>
    <row r="1448" spans="1:10" ht="20.100000000000001" customHeight="1">
      <c r="A1448" s="42" t="s">
        <v>3105</v>
      </c>
      <c r="B1448" s="22" t="s">
        <v>82</v>
      </c>
      <c r="C1448" s="46">
        <v>42866</v>
      </c>
      <c r="D1448" s="47">
        <v>26</v>
      </c>
      <c r="E1448" s="32" t="s">
        <v>165</v>
      </c>
      <c r="F1448" s="32" t="s">
        <v>63</v>
      </c>
      <c r="G1448" s="32" t="s">
        <v>595</v>
      </c>
      <c r="H1448" s="32" t="s">
        <v>328</v>
      </c>
      <c r="I1448" s="47"/>
    </row>
    <row r="1449" spans="1:10" ht="20.100000000000001" customHeight="1">
      <c r="A1449" s="42" t="s">
        <v>3145</v>
      </c>
      <c r="B1449" s="22" t="s">
        <v>240</v>
      </c>
      <c r="C1449" s="46">
        <v>42866</v>
      </c>
      <c r="D1449" s="47">
        <v>32</v>
      </c>
      <c r="E1449" s="32" t="s">
        <v>3146</v>
      </c>
      <c r="F1449" s="32" t="s">
        <v>165</v>
      </c>
      <c r="G1449" s="32"/>
      <c r="H1449" s="32" t="s">
        <v>328</v>
      </c>
      <c r="I1449" s="47"/>
    </row>
    <row r="1450" spans="1:10" ht="20.100000000000001" customHeight="1">
      <c r="A1450" s="42" t="s">
        <v>3105</v>
      </c>
      <c r="B1450" s="22" t="s">
        <v>82</v>
      </c>
      <c r="C1450" s="46">
        <v>42866</v>
      </c>
      <c r="D1450" s="47">
        <v>25</v>
      </c>
      <c r="E1450" s="32" t="s">
        <v>165</v>
      </c>
      <c r="F1450" s="32" t="s">
        <v>63</v>
      </c>
      <c r="G1450" s="32" t="s">
        <v>3147</v>
      </c>
      <c r="H1450" s="32" t="s">
        <v>328</v>
      </c>
      <c r="I1450" s="47"/>
    </row>
    <row r="1451" spans="1:10" ht="20.100000000000001" customHeight="1">
      <c r="A1451" s="42" t="s">
        <v>3149</v>
      </c>
      <c r="B1451" s="22" t="s">
        <v>82</v>
      </c>
      <c r="C1451" s="46">
        <v>42873</v>
      </c>
      <c r="D1451" s="47">
        <v>32</v>
      </c>
      <c r="E1451" s="32" t="s">
        <v>165</v>
      </c>
      <c r="F1451" s="32" t="s">
        <v>63</v>
      </c>
      <c r="G1451" s="32" t="s">
        <v>360</v>
      </c>
      <c r="H1451" s="32" t="s">
        <v>328</v>
      </c>
      <c r="I1451" s="47"/>
    </row>
    <row r="1452" spans="1:10" ht="20.100000000000001" customHeight="1">
      <c r="A1452" s="42" t="s">
        <v>3149</v>
      </c>
      <c r="B1452" s="22" t="s">
        <v>82</v>
      </c>
      <c r="C1452" s="46">
        <v>42873</v>
      </c>
      <c r="D1452" s="47">
        <v>32</v>
      </c>
      <c r="E1452" s="32" t="s">
        <v>165</v>
      </c>
      <c r="F1452" s="32" t="s">
        <v>63</v>
      </c>
      <c r="G1452" s="32" t="s">
        <v>2454</v>
      </c>
      <c r="H1452" s="32" t="s">
        <v>328</v>
      </c>
    </row>
    <row r="1453" spans="1:10" ht="20.100000000000001" customHeight="1">
      <c r="A1453" s="42" t="s">
        <v>3149</v>
      </c>
      <c r="B1453" s="22" t="s">
        <v>82</v>
      </c>
      <c r="C1453" s="46">
        <v>42874</v>
      </c>
      <c r="D1453" s="47">
        <v>32</v>
      </c>
      <c r="E1453" s="32" t="s">
        <v>165</v>
      </c>
      <c r="F1453" s="32" t="s">
        <v>63</v>
      </c>
      <c r="G1453" s="32" t="s">
        <v>360</v>
      </c>
      <c r="H1453" s="32" t="s">
        <v>328</v>
      </c>
    </row>
    <row r="1454" spans="1:10" ht="20.100000000000001" customHeight="1">
      <c r="A1454" s="42" t="s">
        <v>3149</v>
      </c>
      <c r="B1454" s="22" t="s">
        <v>82</v>
      </c>
      <c r="C1454" s="46">
        <v>42875</v>
      </c>
      <c r="D1454" s="47">
        <v>32</v>
      </c>
      <c r="E1454" s="32" t="s">
        <v>165</v>
      </c>
      <c r="F1454" s="32" t="s">
        <v>63</v>
      </c>
      <c r="G1454" s="32" t="s">
        <v>360</v>
      </c>
      <c r="H1454" s="32" t="s">
        <v>328</v>
      </c>
    </row>
    <row r="1455" spans="1:10" ht="20.100000000000001" customHeight="1">
      <c r="A1455" s="42" t="s">
        <v>3154</v>
      </c>
      <c r="B1455" s="22" t="s">
        <v>240</v>
      </c>
      <c r="C1455" s="46">
        <v>42878</v>
      </c>
      <c r="D1455" s="47">
        <v>64</v>
      </c>
      <c r="E1455" s="32" t="s">
        <v>3144</v>
      </c>
      <c r="F1455" s="32" t="s">
        <v>165</v>
      </c>
      <c r="G1455" s="32"/>
      <c r="H1455" s="32" t="s">
        <v>329</v>
      </c>
    </row>
    <row r="1456" spans="1:10" ht="20.100000000000001" customHeight="1">
      <c r="A1456" s="42" t="s">
        <v>3160</v>
      </c>
      <c r="B1456" s="22" t="s">
        <v>3161</v>
      </c>
      <c r="C1456" s="46">
        <v>42878</v>
      </c>
      <c r="D1456" s="47">
        <v>25</v>
      </c>
      <c r="E1456" s="32" t="s">
        <v>3162</v>
      </c>
      <c r="F1456" s="32" t="s">
        <v>3163</v>
      </c>
      <c r="G1456" s="32" t="s">
        <v>3164</v>
      </c>
      <c r="H1456" s="32" t="s">
        <v>3165</v>
      </c>
    </row>
    <row r="1457" spans="1:8" ht="20.100000000000001" customHeight="1">
      <c r="A1457" s="42" t="s">
        <v>3160</v>
      </c>
      <c r="B1457" s="22" t="s">
        <v>3161</v>
      </c>
      <c r="C1457" s="46">
        <v>42879</v>
      </c>
      <c r="D1457" s="47">
        <v>28</v>
      </c>
      <c r="E1457" s="32" t="s">
        <v>3162</v>
      </c>
      <c r="F1457" s="32" t="s">
        <v>3163</v>
      </c>
      <c r="G1457" s="32" t="s">
        <v>3164</v>
      </c>
      <c r="H1457" s="32" t="s">
        <v>3165</v>
      </c>
    </row>
    <row r="1458" spans="1:8" ht="20.100000000000001" customHeight="1">
      <c r="A1458" s="42" t="s">
        <v>3160</v>
      </c>
      <c r="B1458" s="22" t="s">
        <v>3161</v>
      </c>
      <c r="C1458" s="46">
        <v>42879</v>
      </c>
      <c r="D1458" s="47">
        <v>28</v>
      </c>
      <c r="E1458" s="32" t="s">
        <v>3162</v>
      </c>
      <c r="F1458" s="32" t="s">
        <v>3163</v>
      </c>
      <c r="G1458" s="32" t="s">
        <v>3166</v>
      </c>
      <c r="H1458" s="32" t="s">
        <v>3165</v>
      </c>
    </row>
    <row r="1459" spans="1:8" ht="20.100000000000001" customHeight="1">
      <c r="A1459" s="42" t="s">
        <v>3223</v>
      </c>
      <c r="B1459" s="22" t="s">
        <v>3167</v>
      </c>
      <c r="C1459" s="46">
        <v>42887</v>
      </c>
      <c r="D1459" s="47">
        <v>22</v>
      </c>
      <c r="E1459" s="32" t="s">
        <v>3168</v>
      </c>
      <c r="F1459" s="32" t="s">
        <v>3169</v>
      </c>
      <c r="G1459" s="32" t="s">
        <v>3170</v>
      </c>
      <c r="H1459" s="32" t="s">
        <v>3171</v>
      </c>
    </row>
    <row r="1460" spans="1:8" ht="20.100000000000001" customHeight="1">
      <c r="A1460" s="42" t="s">
        <v>3172</v>
      </c>
      <c r="B1460" s="22" t="s">
        <v>3173</v>
      </c>
      <c r="C1460" s="46">
        <v>42887</v>
      </c>
      <c r="D1460" s="47">
        <v>32</v>
      </c>
      <c r="E1460" s="32" t="s">
        <v>3174</v>
      </c>
      <c r="F1460" s="32" t="s">
        <v>3175</v>
      </c>
      <c r="G1460" s="32" t="s">
        <v>3176</v>
      </c>
      <c r="H1460" s="32" t="s">
        <v>3177</v>
      </c>
    </row>
    <row r="1461" spans="1:8" ht="20.100000000000001" customHeight="1">
      <c r="A1461" s="42" t="s">
        <v>3178</v>
      </c>
      <c r="B1461" s="22" t="s">
        <v>3173</v>
      </c>
      <c r="C1461" s="46">
        <v>42887</v>
      </c>
      <c r="D1461" s="47">
        <v>32</v>
      </c>
      <c r="E1461" s="32" t="s">
        <v>3174</v>
      </c>
      <c r="F1461" s="32" t="s">
        <v>3175</v>
      </c>
      <c r="G1461" s="32" t="s">
        <v>3176</v>
      </c>
      <c r="H1461" s="32" t="s">
        <v>3171</v>
      </c>
    </row>
    <row r="1462" spans="1:8" ht="20.100000000000001" customHeight="1">
      <c r="A1462" s="42" t="s">
        <v>3179</v>
      </c>
      <c r="B1462" s="22" t="s">
        <v>240</v>
      </c>
      <c r="C1462" s="46">
        <v>42881</v>
      </c>
      <c r="D1462" s="47">
        <v>140</v>
      </c>
      <c r="E1462" s="32" t="s">
        <v>968</v>
      </c>
      <c r="F1462" s="32" t="s">
        <v>2790</v>
      </c>
      <c r="G1462" s="32"/>
      <c r="H1462" s="32" t="s">
        <v>329</v>
      </c>
    </row>
    <row r="1463" spans="1:8" ht="20.100000000000001" customHeight="1">
      <c r="A1463" s="42" t="s">
        <v>3180</v>
      </c>
      <c r="B1463" s="22" t="s">
        <v>240</v>
      </c>
      <c r="C1463" s="46">
        <v>42886</v>
      </c>
      <c r="D1463" s="47">
        <v>160</v>
      </c>
      <c r="E1463" s="32" t="s">
        <v>968</v>
      </c>
      <c r="F1463" s="32" t="s">
        <v>2790</v>
      </c>
      <c r="G1463" s="32"/>
      <c r="H1463" s="32" t="s">
        <v>329</v>
      </c>
    </row>
    <row r="1464" spans="1:8" ht="20.100000000000001" customHeight="1">
      <c r="A1464" s="42" t="s">
        <v>3181</v>
      </c>
      <c r="B1464" s="22" t="s">
        <v>240</v>
      </c>
      <c r="C1464" s="46">
        <v>42881</v>
      </c>
      <c r="D1464" s="47">
        <v>140</v>
      </c>
      <c r="E1464" s="32" t="s">
        <v>968</v>
      </c>
      <c r="F1464" s="32" t="s">
        <v>2790</v>
      </c>
      <c r="G1464" s="32"/>
      <c r="H1464" s="32" t="s">
        <v>3171</v>
      </c>
    </row>
    <row r="1465" spans="1:8" ht="20.100000000000001" customHeight="1">
      <c r="A1465" s="42" t="s">
        <v>3182</v>
      </c>
      <c r="B1465" s="22" t="s">
        <v>240</v>
      </c>
      <c r="C1465" s="46">
        <v>42886</v>
      </c>
      <c r="D1465" s="47">
        <v>160</v>
      </c>
      <c r="E1465" s="32" t="s">
        <v>968</v>
      </c>
      <c r="F1465" s="32" t="s">
        <v>2790</v>
      </c>
      <c r="G1465" s="32"/>
      <c r="H1465" s="32" t="s">
        <v>3171</v>
      </c>
    </row>
    <row r="1466" spans="1:8" ht="20.100000000000001" customHeight="1">
      <c r="A1466" s="42" t="s">
        <v>3190</v>
      </c>
      <c r="B1466" s="22" t="s">
        <v>747</v>
      </c>
      <c r="C1466" s="46">
        <v>42870</v>
      </c>
      <c r="D1466" s="47">
        <v>1000</v>
      </c>
      <c r="E1466" s="32" t="s">
        <v>911</v>
      </c>
      <c r="F1466" s="32" t="s">
        <v>912</v>
      </c>
      <c r="G1466" s="32"/>
      <c r="H1466" s="32" t="s">
        <v>328</v>
      </c>
    </row>
    <row r="1467" spans="1:8" ht="20.100000000000001" customHeight="1">
      <c r="A1467" s="42" t="s">
        <v>3196</v>
      </c>
      <c r="B1467" s="22" t="s">
        <v>240</v>
      </c>
      <c r="C1467" s="46">
        <v>42860</v>
      </c>
      <c r="D1467" s="47">
        <v>200</v>
      </c>
      <c r="E1467" s="32" t="s">
        <v>968</v>
      </c>
      <c r="F1467" s="32" t="s">
        <v>2790</v>
      </c>
      <c r="G1467" s="32"/>
      <c r="H1467" s="32" t="s">
        <v>329</v>
      </c>
    </row>
    <row r="1468" spans="1:8" ht="20.100000000000001" customHeight="1">
      <c r="A1468" s="42" t="s">
        <v>3198</v>
      </c>
      <c r="B1468" s="22" t="s">
        <v>240</v>
      </c>
      <c r="C1468" s="46">
        <v>42860</v>
      </c>
      <c r="D1468" s="47">
        <v>200</v>
      </c>
      <c r="E1468" s="32" t="s">
        <v>968</v>
      </c>
      <c r="F1468" s="32" t="s">
        <v>2790</v>
      </c>
      <c r="G1468" s="32"/>
      <c r="H1468" s="32" t="s">
        <v>328</v>
      </c>
    </row>
    <row r="1469" spans="1:8" ht="20.100000000000001" customHeight="1">
      <c r="A1469" s="42" t="s">
        <v>3208</v>
      </c>
      <c r="B1469" s="22" t="s">
        <v>240</v>
      </c>
      <c r="C1469" s="46">
        <v>42893</v>
      </c>
      <c r="D1469" s="47">
        <v>96</v>
      </c>
      <c r="E1469" s="32" t="s">
        <v>700</v>
      </c>
      <c r="F1469" s="32" t="s">
        <v>165</v>
      </c>
      <c r="G1469" s="32"/>
      <c r="H1469" s="32" t="s">
        <v>329</v>
      </c>
    </row>
    <row r="1470" spans="1:8" ht="20.100000000000001" customHeight="1">
      <c r="A1470" s="42" t="s">
        <v>3223</v>
      </c>
      <c r="B1470" s="42" t="s">
        <v>412</v>
      </c>
      <c r="C1470" s="46">
        <v>42894</v>
      </c>
      <c r="D1470" s="47">
        <v>34</v>
      </c>
      <c r="E1470" s="32" t="s">
        <v>3210</v>
      </c>
      <c r="F1470" s="32" t="s">
        <v>3211</v>
      </c>
      <c r="G1470" s="32" t="s">
        <v>3209</v>
      </c>
      <c r="H1470" s="32" t="s">
        <v>328</v>
      </c>
    </row>
    <row r="1471" spans="1:8" ht="20.100000000000001" customHeight="1">
      <c r="A1471" s="42" t="s">
        <v>3223</v>
      </c>
      <c r="B1471" s="42" t="s">
        <v>412</v>
      </c>
      <c r="C1471" s="46">
        <v>42894</v>
      </c>
      <c r="D1471" s="47">
        <v>34</v>
      </c>
      <c r="E1471" s="32" t="s">
        <v>3210</v>
      </c>
      <c r="F1471" s="32" t="s">
        <v>3211</v>
      </c>
      <c r="G1471" s="32" t="s">
        <v>3212</v>
      </c>
      <c r="H1471" s="32" t="s">
        <v>328</v>
      </c>
    </row>
    <row r="1472" spans="1:8" ht="20.100000000000001" customHeight="1">
      <c r="A1472" s="42" t="s">
        <v>3223</v>
      </c>
      <c r="B1472" s="42" t="s">
        <v>412</v>
      </c>
      <c r="C1472" s="46">
        <v>42894</v>
      </c>
      <c r="D1472" s="47">
        <v>28</v>
      </c>
      <c r="E1472" s="32" t="s">
        <v>3210</v>
      </c>
      <c r="F1472" s="32" t="s">
        <v>3211</v>
      </c>
      <c r="G1472" s="32" t="s">
        <v>564</v>
      </c>
      <c r="H1472" s="32" t="s">
        <v>328</v>
      </c>
    </row>
    <row r="1473" spans="1:9" ht="20.100000000000001" customHeight="1">
      <c r="A1473" s="42" t="s">
        <v>3213</v>
      </c>
      <c r="B1473" s="42" t="s">
        <v>194</v>
      </c>
      <c r="C1473" s="46">
        <v>42898</v>
      </c>
      <c r="D1473" s="47">
        <v>64</v>
      </c>
      <c r="E1473" s="32" t="s">
        <v>663</v>
      </c>
      <c r="F1473" s="32" t="s">
        <v>165</v>
      </c>
      <c r="G1473" s="32"/>
      <c r="H1473" s="32" t="s">
        <v>329</v>
      </c>
    </row>
    <row r="1474" spans="1:9" ht="20.100000000000001" customHeight="1">
      <c r="A1474" s="42" t="s">
        <v>3223</v>
      </c>
      <c r="B1474" s="42" t="s">
        <v>412</v>
      </c>
      <c r="C1474" s="46">
        <v>42899</v>
      </c>
      <c r="D1474" s="47">
        <v>32</v>
      </c>
      <c r="E1474" s="32" t="s">
        <v>165</v>
      </c>
      <c r="F1474" s="32" t="s">
        <v>63</v>
      </c>
      <c r="G1474" s="32" t="s">
        <v>3221</v>
      </c>
      <c r="H1474" s="32" t="s">
        <v>328</v>
      </c>
    </row>
    <row r="1475" spans="1:9" ht="20.100000000000001" customHeight="1">
      <c r="A1475" s="42" t="s">
        <v>3215</v>
      </c>
      <c r="B1475" s="42" t="s">
        <v>194</v>
      </c>
      <c r="C1475" s="46">
        <v>42900</v>
      </c>
      <c r="D1475" s="47">
        <v>64</v>
      </c>
      <c r="E1475" s="32" t="s">
        <v>231</v>
      </c>
      <c r="F1475" s="32" t="s">
        <v>165</v>
      </c>
      <c r="G1475" s="32"/>
      <c r="H1475" s="32" t="s">
        <v>329</v>
      </c>
    </row>
    <row r="1476" spans="1:9" ht="20.100000000000001" customHeight="1">
      <c r="A1476" s="42" t="s">
        <v>3223</v>
      </c>
      <c r="B1476" s="42" t="s">
        <v>412</v>
      </c>
      <c r="C1476" s="46">
        <v>42900</v>
      </c>
      <c r="D1476" s="47">
        <v>32</v>
      </c>
      <c r="E1476" s="32" t="s">
        <v>165</v>
      </c>
      <c r="F1476" s="32" t="s">
        <v>63</v>
      </c>
      <c r="G1476" s="32" t="s">
        <v>360</v>
      </c>
      <c r="H1476" s="32" t="s">
        <v>328</v>
      </c>
    </row>
    <row r="1477" spans="1:9" ht="20.100000000000001" customHeight="1">
      <c r="A1477" s="42" t="s">
        <v>3215</v>
      </c>
      <c r="B1477" s="42" t="s">
        <v>194</v>
      </c>
      <c r="C1477" s="46">
        <v>42900</v>
      </c>
      <c r="D1477" s="47">
        <v>32</v>
      </c>
      <c r="E1477" s="32" t="s">
        <v>231</v>
      </c>
      <c r="F1477" s="32" t="s">
        <v>165</v>
      </c>
      <c r="G1477" s="32"/>
      <c r="H1477" s="32" t="s">
        <v>329</v>
      </c>
    </row>
    <row r="1478" spans="1:9" ht="20.100000000000001" customHeight="1">
      <c r="A1478" s="42" t="s">
        <v>3226</v>
      </c>
      <c r="B1478" s="42" t="s">
        <v>194</v>
      </c>
      <c r="C1478" s="46">
        <v>42901</v>
      </c>
      <c r="D1478" s="47">
        <v>32</v>
      </c>
      <c r="E1478" s="32" t="s">
        <v>2072</v>
      </c>
      <c r="F1478" s="32" t="s">
        <v>165</v>
      </c>
      <c r="G1478" s="32"/>
      <c r="H1478" s="32" t="s">
        <v>329</v>
      </c>
      <c r="I1478" s="153">
        <v>135</v>
      </c>
    </row>
    <row r="1479" spans="1:9" ht="20.100000000000001" customHeight="1">
      <c r="A1479" s="42" t="s">
        <v>3223</v>
      </c>
      <c r="B1479" s="42" t="s">
        <v>412</v>
      </c>
      <c r="C1479" s="46">
        <v>42901</v>
      </c>
      <c r="D1479" s="47">
        <v>32</v>
      </c>
      <c r="E1479" s="32" t="s">
        <v>165</v>
      </c>
      <c r="F1479" s="32" t="s">
        <v>63</v>
      </c>
      <c r="G1479" s="32" t="s">
        <v>3225</v>
      </c>
      <c r="H1479" s="32" t="s">
        <v>328</v>
      </c>
    </row>
    <row r="1480" spans="1:9" ht="20.100000000000001" customHeight="1">
      <c r="A1480" s="42" t="s">
        <v>3226</v>
      </c>
      <c r="B1480" s="42" t="s">
        <v>194</v>
      </c>
      <c r="C1480" s="46">
        <v>42902</v>
      </c>
      <c r="D1480" s="47">
        <v>32</v>
      </c>
      <c r="E1480" s="32" t="s">
        <v>2072</v>
      </c>
      <c r="F1480" s="32" t="s">
        <v>165</v>
      </c>
      <c r="G1480" s="32"/>
      <c r="H1480" s="32" t="s">
        <v>329</v>
      </c>
      <c r="I1480" s="153">
        <v>135</v>
      </c>
    </row>
    <row r="1481" spans="1:9" ht="20.100000000000001" customHeight="1">
      <c r="A1481" s="42" t="s">
        <v>3223</v>
      </c>
      <c r="B1481" s="42" t="s">
        <v>412</v>
      </c>
      <c r="C1481" s="46">
        <v>42902</v>
      </c>
      <c r="D1481" s="47">
        <v>32</v>
      </c>
      <c r="E1481" s="32" t="s">
        <v>165</v>
      </c>
      <c r="F1481" s="32" t="s">
        <v>63</v>
      </c>
      <c r="G1481" s="32" t="s">
        <v>3230</v>
      </c>
      <c r="H1481" s="32" t="s">
        <v>328</v>
      </c>
    </row>
    <row r="1482" spans="1:9" ht="20.100000000000001" customHeight="1">
      <c r="A1482" s="42" t="s">
        <v>3227</v>
      </c>
      <c r="B1482" s="42" t="s">
        <v>218</v>
      </c>
      <c r="C1482" s="46">
        <v>42904</v>
      </c>
      <c r="D1482" s="47">
        <v>4300</v>
      </c>
      <c r="E1482" s="32" t="s">
        <v>3232</v>
      </c>
      <c r="F1482" s="32" t="s">
        <v>63</v>
      </c>
      <c r="G1482" s="32"/>
      <c r="H1482" s="32" t="s">
        <v>329</v>
      </c>
    </row>
    <row r="1483" spans="1:9" ht="20.100000000000001" customHeight="1">
      <c r="A1483" s="42" t="s">
        <v>3233</v>
      </c>
      <c r="B1483" s="42" t="s">
        <v>218</v>
      </c>
      <c r="C1483" s="46">
        <v>42904</v>
      </c>
      <c r="D1483" s="47">
        <v>4300</v>
      </c>
      <c r="E1483" s="32" t="s">
        <v>3232</v>
      </c>
      <c r="F1483" s="32" t="s">
        <v>63</v>
      </c>
      <c r="G1483" s="32"/>
      <c r="H1483" s="32" t="s">
        <v>328</v>
      </c>
    </row>
    <row r="1484" spans="1:9" ht="20.100000000000001" customHeight="1">
      <c r="A1484" s="42" t="s">
        <v>3223</v>
      </c>
      <c r="B1484" s="42" t="s">
        <v>412</v>
      </c>
      <c r="C1484" s="46">
        <v>42903</v>
      </c>
      <c r="D1484" s="47">
        <v>32</v>
      </c>
      <c r="E1484" s="32" t="s">
        <v>165</v>
      </c>
      <c r="F1484" s="32" t="s">
        <v>63</v>
      </c>
      <c r="G1484" s="32" t="s">
        <v>360</v>
      </c>
      <c r="H1484" s="32" t="s">
        <v>328</v>
      </c>
    </row>
    <row r="1485" spans="1:9" ht="20.100000000000001" customHeight="1">
      <c r="A1485" s="42" t="s">
        <v>3223</v>
      </c>
      <c r="B1485" s="42" t="s">
        <v>412</v>
      </c>
      <c r="C1485" s="46">
        <v>42903</v>
      </c>
      <c r="D1485" s="47">
        <v>25</v>
      </c>
      <c r="E1485" s="32" t="s">
        <v>165</v>
      </c>
      <c r="F1485" s="32" t="s">
        <v>63</v>
      </c>
      <c r="G1485" s="32" t="s">
        <v>564</v>
      </c>
      <c r="H1485" s="32" t="s">
        <v>328</v>
      </c>
    </row>
    <row r="1486" spans="1:9" ht="20.100000000000001" customHeight="1">
      <c r="A1486" s="42" t="s">
        <v>3223</v>
      </c>
      <c r="B1486" s="42" t="s">
        <v>412</v>
      </c>
      <c r="C1486" s="46">
        <v>42903</v>
      </c>
      <c r="D1486" s="47">
        <v>32</v>
      </c>
      <c r="E1486" s="32" t="s">
        <v>165</v>
      </c>
      <c r="F1486" s="32" t="s">
        <v>63</v>
      </c>
      <c r="G1486" s="32" t="s">
        <v>3221</v>
      </c>
      <c r="H1486" s="32" t="s">
        <v>328</v>
      </c>
    </row>
    <row r="1487" spans="1:9" ht="20.100000000000001" customHeight="1">
      <c r="A1487" s="42" t="s">
        <v>3236</v>
      </c>
      <c r="B1487" s="42" t="s">
        <v>194</v>
      </c>
      <c r="C1487" s="46">
        <v>42907</v>
      </c>
      <c r="D1487" s="47">
        <v>64</v>
      </c>
      <c r="E1487" s="32" t="s">
        <v>3243</v>
      </c>
      <c r="F1487" s="32" t="s">
        <v>165</v>
      </c>
      <c r="G1487" s="32"/>
      <c r="H1487" s="32" t="s">
        <v>329</v>
      </c>
    </row>
    <row r="1488" spans="1:9" ht="20.100000000000001" customHeight="1">
      <c r="A1488" s="42" t="s">
        <v>3227</v>
      </c>
      <c r="B1488" s="42" t="s">
        <v>218</v>
      </c>
      <c r="C1488" s="46">
        <v>42905</v>
      </c>
      <c r="D1488" s="47">
        <v>4000</v>
      </c>
      <c r="E1488" s="32" t="s">
        <v>3232</v>
      </c>
      <c r="F1488" s="32" t="s">
        <v>63</v>
      </c>
      <c r="G1488" s="32"/>
      <c r="H1488" s="32" t="s">
        <v>329</v>
      </c>
    </row>
    <row r="1489" spans="1:8" ht="20.100000000000001" customHeight="1">
      <c r="A1489" s="42" t="s">
        <v>3233</v>
      </c>
      <c r="B1489" s="42" t="s">
        <v>218</v>
      </c>
      <c r="C1489" s="46">
        <v>42905</v>
      </c>
      <c r="D1489" s="47">
        <v>4000</v>
      </c>
      <c r="E1489" s="32" t="s">
        <v>3232</v>
      </c>
      <c r="F1489" s="32" t="s">
        <v>63</v>
      </c>
      <c r="G1489" s="32"/>
      <c r="H1489" s="32" t="s">
        <v>328</v>
      </c>
    </row>
    <row r="1490" spans="1:8" ht="20.100000000000001" customHeight="1">
      <c r="A1490" s="42" t="s">
        <v>3244</v>
      </c>
      <c r="B1490" s="42" t="s">
        <v>412</v>
      </c>
      <c r="C1490" s="46">
        <v>42909</v>
      </c>
      <c r="D1490" s="47">
        <v>30</v>
      </c>
      <c r="E1490" s="32" t="s">
        <v>165</v>
      </c>
      <c r="F1490" s="32" t="s">
        <v>63</v>
      </c>
      <c r="G1490" s="32" t="s">
        <v>360</v>
      </c>
      <c r="H1490" s="32" t="s">
        <v>328</v>
      </c>
    </row>
    <row r="1491" spans="1:8" ht="20.100000000000001" customHeight="1">
      <c r="A1491" s="42" t="s">
        <v>3244</v>
      </c>
      <c r="B1491" s="42" t="s">
        <v>412</v>
      </c>
      <c r="C1491" s="46">
        <v>42909</v>
      </c>
      <c r="D1491" s="47">
        <v>30</v>
      </c>
      <c r="E1491" s="32" t="s">
        <v>165</v>
      </c>
      <c r="F1491" s="32" t="s">
        <v>63</v>
      </c>
      <c r="G1491" s="32" t="s">
        <v>3221</v>
      </c>
      <c r="H1491" s="32" t="s">
        <v>328</v>
      </c>
    </row>
    <row r="1492" spans="1:8" ht="20.100000000000001" customHeight="1">
      <c r="A1492" s="42" t="s">
        <v>3244</v>
      </c>
      <c r="B1492" s="42" t="s">
        <v>412</v>
      </c>
      <c r="C1492" s="46">
        <v>42910</v>
      </c>
      <c r="D1492" s="47">
        <v>23</v>
      </c>
      <c r="E1492" s="32" t="s">
        <v>165</v>
      </c>
      <c r="F1492" s="32" t="s">
        <v>63</v>
      </c>
      <c r="G1492" s="32" t="s">
        <v>564</v>
      </c>
      <c r="H1492" s="32" t="s">
        <v>328</v>
      </c>
    </row>
    <row r="1493" spans="1:8" ht="20.100000000000001" customHeight="1">
      <c r="A1493" s="42" t="s">
        <v>3245</v>
      </c>
      <c r="B1493" s="42" t="s">
        <v>194</v>
      </c>
      <c r="C1493" s="46">
        <v>42913</v>
      </c>
      <c r="D1493" s="47">
        <v>64</v>
      </c>
      <c r="E1493" s="32" t="s">
        <v>3243</v>
      </c>
      <c r="F1493" s="32" t="s">
        <v>165</v>
      </c>
      <c r="G1493" s="32"/>
      <c r="H1493" s="32" t="s">
        <v>329</v>
      </c>
    </row>
    <row r="1494" spans="1:8" ht="20.100000000000001" customHeight="1">
      <c r="A1494" s="42" t="s">
        <v>3244</v>
      </c>
      <c r="B1494" s="42" t="s">
        <v>412</v>
      </c>
      <c r="C1494" s="46">
        <v>42914</v>
      </c>
      <c r="D1494" s="47">
        <v>26</v>
      </c>
      <c r="E1494" s="32" t="s">
        <v>165</v>
      </c>
      <c r="F1494" s="32" t="s">
        <v>63</v>
      </c>
      <c r="G1494" s="32" t="s">
        <v>594</v>
      </c>
      <c r="H1494" s="32" t="s">
        <v>328</v>
      </c>
    </row>
    <row r="1495" spans="1:8" ht="20.100000000000001" customHeight="1">
      <c r="A1495" s="42" t="s">
        <v>3286</v>
      </c>
      <c r="B1495" s="42" t="s">
        <v>3287</v>
      </c>
      <c r="C1495" s="46">
        <v>42916</v>
      </c>
      <c r="D1495" s="47">
        <v>34</v>
      </c>
      <c r="E1495" s="32" t="s">
        <v>3288</v>
      </c>
      <c r="F1495" s="32" t="s">
        <v>3289</v>
      </c>
      <c r="G1495" s="32" t="s">
        <v>3290</v>
      </c>
      <c r="H1495" s="32" t="s">
        <v>3291</v>
      </c>
    </row>
    <row r="1496" spans="1:8" ht="20.100000000000001" customHeight="1">
      <c r="A1496" s="42" t="s">
        <v>3292</v>
      </c>
      <c r="B1496" s="42" t="s">
        <v>3293</v>
      </c>
      <c r="C1496" s="46">
        <v>42921</v>
      </c>
      <c r="D1496" s="47">
        <v>96</v>
      </c>
      <c r="E1496" s="32" t="s">
        <v>3294</v>
      </c>
      <c r="F1496" s="32" t="s">
        <v>3295</v>
      </c>
      <c r="G1496" s="32"/>
      <c r="H1496" s="32" t="s">
        <v>3296</v>
      </c>
    </row>
    <row r="1497" spans="1:8" ht="20.100000000000001" customHeight="1">
      <c r="A1497" s="42" t="s">
        <v>3303</v>
      </c>
      <c r="B1497" s="42" t="s">
        <v>412</v>
      </c>
      <c r="C1497" s="46">
        <v>42921</v>
      </c>
      <c r="D1497" s="47">
        <v>29</v>
      </c>
      <c r="E1497" s="32" t="s">
        <v>165</v>
      </c>
      <c r="F1497" s="32" t="s">
        <v>63</v>
      </c>
      <c r="G1497" s="32" t="s">
        <v>3304</v>
      </c>
      <c r="H1497" s="32" t="s">
        <v>328</v>
      </c>
    </row>
    <row r="1498" spans="1:8" ht="20.100000000000001" customHeight="1">
      <c r="A1498" s="42" t="s">
        <v>3305</v>
      </c>
      <c r="B1498" s="42" t="s">
        <v>3306</v>
      </c>
      <c r="C1498" s="46">
        <v>42921</v>
      </c>
      <c r="D1498" s="47">
        <v>28</v>
      </c>
      <c r="E1498" s="32" t="s">
        <v>3307</v>
      </c>
      <c r="F1498" s="32" t="s">
        <v>3308</v>
      </c>
      <c r="G1498" s="32" t="s">
        <v>3309</v>
      </c>
      <c r="H1498" s="32" t="s">
        <v>3310</v>
      </c>
    </row>
    <row r="1499" spans="1:8" ht="20.100000000000001" customHeight="1">
      <c r="A1499" s="42" t="s">
        <v>3311</v>
      </c>
      <c r="B1499" s="42" t="s">
        <v>3312</v>
      </c>
      <c r="C1499" s="46">
        <v>42922</v>
      </c>
      <c r="D1499" s="47">
        <v>34</v>
      </c>
      <c r="E1499" s="32" t="s">
        <v>3313</v>
      </c>
      <c r="F1499" s="32" t="s">
        <v>3307</v>
      </c>
      <c r="G1499" s="32"/>
      <c r="H1499" s="32" t="s">
        <v>3314</v>
      </c>
    </row>
    <row r="1500" spans="1:8" ht="20.100000000000001" customHeight="1">
      <c r="A1500" s="42" t="s">
        <v>3284</v>
      </c>
      <c r="B1500" s="42" t="s">
        <v>194</v>
      </c>
      <c r="C1500" s="46">
        <v>42923</v>
      </c>
      <c r="D1500" s="47">
        <v>30</v>
      </c>
      <c r="E1500" s="32" t="s">
        <v>700</v>
      </c>
      <c r="F1500" s="32" t="s">
        <v>165</v>
      </c>
      <c r="G1500" s="32"/>
      <c r="H1500" s="32" t="s">
        <v>329</v>
      </c>
    </row>
    <row r="1501" spans="1:8" ht="20.100000000000001" customHeight="1">
      <c r="A1501" s="42" t="s">
        <v>3303</v>
      </c>
      <c r="B1501" s="42" t="s">
        <v>412</v>
      </c>
      <c r="C1501" s="46">
        <v>42924</v>
      </c>
      <c r="D1501" s="47">
        <v>35</v>
      </c>
      <c r="E1501" s="32" t="s">
        <v>165</v>
      </c>
      <c r="F1501" s="32" t="s">
        <v>63</v>
      </c>
      <c r="G1501" s="32" t="s">
        <v>3316</v>
      </c>
      <c r="H1501" s="32" t="s">
        <v>328</v>
      </c>
    </row>
    <row r="1502" spans="1:8" ht="20.100000000000001" customHeight="1">
      <c r="A1502" s="42" t="s">
        <v>3303</v>
      </c>
      <c r="B1502" s="42" t="s">
        <v>412</v>
      </c>
      <c r="C1502" s="46">
        <v>42924</v>
      </c>
      <c r="D1502" s="47">
        <v>35</v>
      </c>
      <c r="E1502" s="32" t="s">
        <v>165</v>
      </c>
      <c r="F1502" s="32" t="s">
        <v>63</v>
      </c>
      <c r="G1502" s="32" t="s">
        <v>3309</v>
      </c>
      <c r="H1502" s="32" t="s">
        <v>328</v>
      </c>
    </row>
    <row r="1503" spans="1:8" ht="20.100000000000001" customHeight="1">
      <c r="A1503" s="42" t="s">
        <v>3303</v>
      </c>
      <c r="B1503" s="42" t="s">
        <v>412</v>
      </c>
      <c r="C1503" s="46">
        <v>42925</v>
      </c>
      <c r="D1503" s="47">
        <v>34</v>
      </c>
      <c r="E1503" s="32" t="s">
        <v>165</v>
      </c>
      <c r="F1503" s="32" t="s">
        <v>63</v>
      </c>
      <c r="G1503" s="32" t="s">
        <v>3225</v>
      </c>
      <c r="H1503" s="32" t="s">
        <v>328</v>
      </c>
    </row>
    <row r="1504" spans="1:8" ht="20.100000000000001" customHeight="1">
      <c r="A1504" s="42" t="s">
        <v>3318</v>
      </c>
      <c r="B1504" s="42" t="s">
        <v>3319</v>
      </c>
      <c r="C1504" s="46">
        <v>42926</v>
      </c>
      <c r="D1504" s="47">
        <v>31</v>
      </c>
      <c r="E1504" s="32" t="s">
        <v>3320</v>
      </c>
      <c r="F1504" s="32" t="s">
        <v>3321</v>
      </c>
      <c r="G1504" s="32" t="s">
        <v>3322</v>
      </c>
      <c r="H1504" s="32" t="s">
        <v>3323</v>
      </c>
    </row>
    <row r="1505" spans="1:8" ht="20.100000000000001" customHeight="1">
      <c r="A1505" s="42" t="s">
        <v>3318</v>
      </c>
      <c r="B1505" s="42" t="s">
        <v>3319</v>
      </c>
      <c r="C1505" s="46">
        <v>42926</v>
      </c>
      <c r="D1505" s="47">
        <v>23</v>
      </c>
      <c r="E1505" s="32" t="s">
        <v>3320</v>
      </c>
      <c r="F1505" s="32" t="s">
        <v>3321</v>
      </c>
      <c r="G1505" s="32" t="s">
        <v>3324</v>
      </c>
      <c r="H1505" s="32" t="s">
        <v>3323</v>
      </c>
    </row>
    <row r="1506" spans="1:8" ht="20.100000000000001" customHeight="1">
      <c r="A1506" s="42" t="s">
        <v>3318</v>
      </c>
      <c r="B1506" s="42" t="s">
        <v>3319</v>
      </c>
      <c r="C1506" s="46">
        <v>42926</v>
      </c>
      <c r="D1506" s="47">
        <v>31</v>
      </c>
      <c r="E1506" s="32" t="s">
        <v>3320</v>
      </c>
      <c r="F1506" s="32" t="s">
        <v>3321</v>
      </c>
      <c r="G1506" s="32" t="s">
        <v>3325</v>
      </c>
      <c r="H1506" s="32" t="s">
        <v>3323</v>
      </c>
    </row>
    <row r="1507" spans="1:8" ht="20.100000000000001" customHeight="1">
      <c r="A1507" s="42" t="s">
        <v>3326</v>
      </c>
      <c r="B1507" s="42" t="s">
        <v>3327</v>
      </c>
      <c r="C1507" s="46">
        <v>42925</v>
      </c>
      <c r="D1507" s="47">
        <v>34</v>
      </c>
      <c r="E1507" s="32" t="s">
        <v>3328</v>
      </c>
      <c r="F1507" s="32" t="s">
        <v>166</v>
      </c>
      <c r="G1507" s="32" t="s">
        <v>3329</v>
      </c>
      <c r="H1507" s="32" t="s">
        <v>329</v>
      </c>
    </row>
    <row r="1508" spans="1:8" ht="20.100000000000001" customHeight="1">
      <c r="A1508" s="42" t="s">
        <v>3326</v>
      </c>
      <c r="B1508" s="42" t="s">
        <v>3327</v>
      </c>
      <c r="C1508" s="46">
        <v>42925</v>
      </c>
      <c r="D1508" s="47">
        <v>34</v>
      </c>
      <c r="E1508" s="32" t="s">
        <v>3328</v>
      </c>
      <c r="F1508" s="32" t="s">
        <v>166</v>
      </c>
      <c r="G1508" s="32" t="s">
        <v>3330</v>
      </c>
      <c r="H1508" s="32" t="s">
        <v>329</v>
      </c>
    </row>
    <row r="1509" spans="1:8" ht="20.100000000000001" customHeight="1">
      <c r="A1509" s="42" t="s">
        <v>3326</v>
      </c>
      <c r="B1509" s="42" t="s">
        <v>3327</v>
      </c>
      <c r="C1509" s="46">
        <v>42925</v>
      </c>
      <c r="D1509" s="47">
        <v>33</v>
      </c>
      <c r="E1509" s="32" t="s">
        <v>3328</v>
      </c>
      <c r="F1509" s="32" t="s">
        <v>166</v>
      </c>
      <c r="G1509" s="32" t="s">
        <v>3331</v>
      </c>
      <c r="H1509" s="32" t="s">
        <v>329</v>
      </c>
    </row>
    <row r="1510" spans="1:8" ht="20.100000000000001" customHeight="1">
      <c r="A1510" s="42" t="s">
        <v>3254</v>
      </c>
      <c r="B1510" s="42" t="s">
        <v>3327</v>
      </c>
      <c r="C1510" s="46">
        <v>42925</v>
      </c>
      <c r="D1510" s="47">
        <v>32</v>
      </c>
      <c r="E1510" s="32" t="s">
        <v>3328</v>
      </c>
      <c r="F1510" s="32" t="s">
        <v>166</v>
      </c>
      <c r="G1510" s="32" t="s">
        <v>3332</v>
      </c>
      <c r="H1510" s="32" t="s">
        <v>329</v>
      </c>
    </row>
    <row r="1511" spans="1:8" ht="20.100000000000001" customHeight="1">
      <c r="A1511" s="42" t="s">
        <v>3131</v>
      </c>
      <c r="B1511" s="42" t="s">
        <v>3327</v>
      </c>
      <c r="C1511" s="46">
        <v>42926</v>
      </c>
      <c r="D1511" s="47">
        <v>34</v>
      </c>
      <c r="E1511" s="32" t="s">
        <v>3328</v>
      </c>
      <c r="F1511" s="32" t="s">
        <v>166</v>
      </c>
      <c r="G1511" s="32" t="s">
        <v>3329</v>
      </c>
      <c r="H1511" s="32" t="s">
        <v>3323</v>
      </c>
    </row>
    <row r="1512" spans="1:8" ht="20.100000000000001" customHeight="1">
      <c r="A1512" s="42" t="s">
        <v>3131</v>
      </c>
      <c r="B1512" s="42" t="s">
        <v>3327</v>
      </c>
      <c r="C1512" s="46">
        <v>42926</v>
      </c>
      <c r="D1512" s="47">
        <v>34</v>
      </c>
      <c r="E1512" s="32" t="s">
        <v>3328</v>
      </c>
      <c r="F1512" s="32" t="s">
        <v>166</v>
      </c>
      <c r="G1512" s="32" t="s">
        <v>3330</v>
      </c>
      <c r="H1512" s="32" t="s">
        <v>3323</v>
      </c>
    </row>
    <row r="1513" spans="1:8" ht="20.100000000000001" customHeight="1">
      <c r="A1513" s="42" t="s">
        <v>3131</v>
      </c>
      <c r="B1513" s="42" t="s">
        <v>3327</v>
      </c>
      <c r="C1513" s="46">
        <v>42928</v>
      </c>
      <c r="D1513" s="47">
        <v>33</v>
      </c>
      <c r="E1513" s="32" t="s">
        <v>3328</v>
      </c>
      <c r="F1513" s="32" t="s">
        <v>166</v>
      </c>
      <c r="G1513" s="32" t="s">
        <v>3331</v>
      </c>
      <c r="H1513" s="32" t="s">
        <v>3323</v>
      </c>
    </row>
    <row r="1514" spans="1:8" ht="20.100000000000001" customHeight="1">
      <c r="A1514" s="42" t="s">
        <v>3131</v>
      </c>
      <c r="B1514" s="42" t="s">
        <v>3327</v>
      </c>
      <c r="C1514" s="46">
        <v>42928</v>
      </c>
      <c r="D1514" s="47">
        <v>32</v>
      </c>
      <c r="E1514" s="32" t="s">
        <v>3328</v>
      </c>
      <c r="F1514" s="32" t="s">
        <v>166</v>
      </c>
      <c r="G1514" s="32" t="s">
        <v>3332</v>
      </c>
      <c r="H1514" s="32" t="s">
        <v>328</v>
      </c>
    </row>
    <row r="1515" spans="1:8" ht="20.100000000000001" customHeight="1">
      <c r="A1515" s="42" t="s">
        <v>3254</v>
      </c>
      <c r="B1515" s="42" t="s">
        <v>3327</v>
      </c>
      <c r="C1515" s="46">
        <v>42926</v>
      </c>
      <c r="D1515" s="47">
        <v>32</v>
      </c>
      <c r="E1515" s="32" t="s">
        <v>3328</v>
      </c>
      <c r="F1515" s="32" t="s">
        <v>166</v>
      </c>
      <c r="G1515" s="32" t="s">
        <v>3333</v>
      </c>
      <c r="H1515" s="32" t="s">
        <v>329</v>
      </c>
    </row>
    <row r="1516" spans="1:8" ht="20.100000000000001" customHeight="1">
      <c r="A1516" s="42" t="s">
        <v>3326</v>
      </c>
      <c r="B1516" s="42" t="s">
        <v>3327</v>
      </c>
      <c r="C1516" s="46">
        <v>42926</v>
      </c>
      <c r="D1516" s="47">
        <v>32</v>
      </c>
      <c r="E1516" s="32" t="s">
        <v>3328</v>
      </c>
      <c r="F1516" s="32" t="s">
        <v>166</v>
      </c>
      <c r="G1516" s="32" t="s">
        <v>3334</v>
      </c>
      <c r="H1516" s="32" t="s">
        <v>329</v>
      </c>
    </row>
    <row r="1517" spans="1:8" ht="20.100000000000001" customHeight="1">
      <c r="A1517" s="42" t="s">
        <v>3131</v>
      </c>
      <c r="B1517" s="42" t="s">
        <v>3327</v>
      </c>
      <c r="C1517" s="46">
        <v>42928</v>
      </c>
      <c r="D1517" s="47">
        <v>32</v>
      </c>
      <c r="E1517" s="32" t="s">
        <v>3328</v>
      </c>
      <c r="F1517" s="32" t="s">
        <v>166</v>
      </c>
      <c r="G1517" s="32" t="s">
        <v>3333</v>
      </c>
      <c r="H1517" s="32" t="s">
        <v>328</v>
      </c>
    </row>
    <row r="1518" spans="1:8" ht="20.100000000000001" customHeight="1">
      <c r="A1518" s="42" t="s">
        <v>3131</v>
      </c>
      <c r="B1518" s="42" t="s">
        <v>3327</v>
      </c>
      <c r="C1518" s="46">
        <v>42928</v>
      </c>
      <c r="D1518" s="47">
        <v>32</v>
      </c>
      <c r="E1518" s="32" t="s">
        <v>3328</v>
      </c>
      <c r="F1518" s="32" t="s">
        <v>166</v>
      </c>
      <c r="G1518" s="32" t="s">
        <v>3334</v>
      </c>
      <c r="H1518" s="32" t="s">
        <v>328</v>
      </c>
    </row>
    <row r="1519" spans="1:8" ht="20.100000000000001" customHeight="1">
      <c r="A1519" s="42" t="s">
        <v>3254</v>
      </c>
      <c r="B1519" s="42" t="s">
        <v>603</v>
      </c>
      <c r="C1519" s="46">
        <v>42927</v>
      </c>
      <c r="D1519" s="47">
        <v>32</v>
      </c>
      <c r="E1519" s="32" t="s">
        <v>3328</v>
      </c>
      <c r="F1519" s="32" t="s">
        <v>166</v>
      </c>
      <c r="G1519" s="32" t="s">
        <v>3340</v>
      </c>
      <c r="H1519" s="32" t="s">
        <v>329</v>
      </c>
    </row>
    <row r="1520" spans="1:8" ht="20.100000000000001" customHeight="1">
      <c r="A1520" s="42" t="s">
        <v>3254</v>
      </c>
      <c r="B1520" s="42" t="s">
        <v>603</v>
      </c>
      <c r="C1520" s="46">
        <v>42927</v>
      </c>
      <c r="D1520" s="47">
        <v>31</v>
      </c>
      <c r="E1520" s="32" t="s">
        <v>3328</v>
      </c>
      <c r="F1520" s="32" t="s">
        <v>166</v>
      </c>
      <c r="G1520" s="32" t="s">
        <v>3341</v>
      </c>
      <c r="H1520" s="32" t="s">
        <v>329</v>
      </c>
    </row>
    <row r="1521" spans="1:10" ht="20.100000000000001" customHeight="1">
      <c r="A1521" s="42" t="s">
        <v>3351</v>
      </c>
      <c r="B1521" s="42" t="s">
        <v>603</v>
      </c>
      <c r="C1521" s="46">
        <v>42927</v>
      </c>
      <c r="D1521" s="47">
        <v>33</v>
      </c>
      <c r="E1521" s="32" t="s">
        <v>3328</v>
      </c>
      <c r="F1521" s="32" t="s">
        <v>166</v>
      </c>
      <c r="G1521" s="32" t="s">
        <v>3342</v>
      </c>
      <c r="H1521" s="32" t="s">
        <v>329</v>
      </c>
    </row>
    <row r="1522" spans="1:10" ht="20.100000000000001" customHeight="1">
      <c r="A1522" s="42" t="s">
        <v>3352</v>
      </c>
      <c r="B1522" s="42" t="s">
        <v>603</v>
      </c>
      <c r="C1522" s="46">
        <v>42929</v>
      </c>
      <c r="D1522" s="47">
        <v>32</v>
      </c>
      <c r="E1522" s="32" t="s">
        <v>3328</v>
      </c>
      <c r="F1522" s="32" t="s">
        <v>166</v>
      </c>
      <c r="G1522" s="32" t="s">
        <v>3340</v>
      </c>
      <c r="H1522" s="32" t="s">
        <v>328</v>
      </c>
    </row>
    <row r="1523" spans="1:10" ht="20.100000000000001" customHeight="1">
      <c r="A1523" s="42" t="s">
        <v>3352</v>
      </c>
      <c r="B1523" s="42" t="s">
        <v>603</v>
      </c>
      <c r="C1523" s="46">
        <v>42929</v>
      </c>
      <c r="D1523" s="47">
        <v>31</v>
      </c>
      <c r="E1523" s="32" t="s">
        <v>3328</v>
      </c>
      <c r="F1523" s="32" t="s">
        <v>166</v>
      </c>
      <c r="G1523" s="32" t="s">
        <v>3341</v>
      </c>
      <c r="H1523" s="32" t="s">
        <v>328</v>
      </c>
    </row>
    <row r="1524" spans="1:10" ht="20.100000000000001" customHeight="1">
      <c r="A1524" s="42" t="s">
        <v>3352</v>
      </c>
      <c r="B1524" s="42" t="s">
        <v>603</v>
      </c>
      <c r="C1524" s="46">
        <v>42929</v>
      </c>
      <c r="D1524" s="47">
        <v>33</v>
      </c>
      <c r="E1524" s="32" t="s">
        <v>3328</v>
      </c>
      <c r="F1524" s="32" t="s">
        <v>166</v>
      </c>
      <c r="G1524" s="32" t="s">
        <v>3342</v>
      </c>
      <c r="H1524" s="32" t="s">
        <v>328</v>
      </c>
    </row>
    <row r="1525" spans="1:10" ht="20.100000000000001" customHeight="1">
      <c r="A1525" s="42" t="s">
        <v>3346</v>
      </c>
      <c r="B1525" s="42" t="s">
        <v>3347</v>
      </c>
      <c r="C1525" s="46">
        <v>42928</v>
      </c>
      <c r="D1525" s="47">
        <v>160</v>
      </c>
      <c r="E1525" s="32" t="s">
        <v>3348</v>
      </c>
      <c r="F1525" s="32" t="s">
        <v>3349</v>
      </c>
      <c r="G1525" s="32"/>
      <c r="H1525" s="32" t="s">
        <v>3350</v>
      </c>
    </row>
    <row r="1526" spans="1:10" ht="20.100000000000001" customHeight="1">
      <c r="A1526" s="42" t="s">
        <v>3353</v>
      </c>
      <c r="B1526" s="42" t="s">
        <v>3347</v>
      </c>
      <c r="C1526" s="46">
        <v>42928</v>
      </c>
      <c r="D1526" s="47">
        <v>32</v>
      </c>
      <c r="E1526" s="32" t="s">
        <v>2072</v>
      </c>
      <c r="F1526" s="32" t="s">
        <v>3349</v>
      </c>
      <c r="G1526" s="32"/>
      <c r="H1526" s="32" t="s">
        <v>3350</v>
      </c>
      <c r="I1526" s="47">
        <v>135</v>
      </c>
      <c r="J1526" s="153" t="s">
        <v>2907</v>
      </c>
    </row>
    <row r="1527" spans="1:10" ht="20.100000000000001" customHeight="1">
      <c r="A1527" s="42" t="s">
        <v>3303</v>
      </c>
      <c r="B1527" s="42" t="s">
        <v>412</v>
      </c>
      <c r="C1527" s="46">
        <v>42929</v>
      </c>
      <c r="D1527" s="47">
        <v>32</v>
      </c>
      <c r="E1527" s="32" t="s">
        <v>165</v>
      </c>
      <c r="F1527" s="32" t="s">
        <v>63</v>
      </c>
      <c r="G1527" s="32" t="s">
        <v>3309</v>
      </c>
      <c r="H1527" s="32" t="s">
        <v>328</v>
      </c>
    </row>
    <row r="1528" spans="1:10" ht="20.100000000000001" customHeight="1">
      <c r="A1528" s="42" t="s">
        <v>3303</v>
      </c>
      <c r="B1528" s="42" t="s">
        <v>412</v>
      </c>
      <c r="C1528" s="46">
        <v>42929</v>
      </c>
      <c r="D1528" s="47">
        <v>32</v>
      </c>
      <c r="E1528" s="32" t="s">
        <v>165</v>
      </c>
      <c r="F1528" s="32" t="s">
        <v>63</v>
      </c>
      <c r="G1528" s="32" t="s">
        <v>2454</v>
      </c>
      <c r="H1528" s="32" t="s">
        <v>328</v>
      </c>
    </row>
    <row r="1529" spans="1:10" ht="20.100000000000001" customHeight="1">
      <c r="A1529" s="42" t="s">
        <v>3303</v>
      </c>
      <c r="B1529" s="42" t="s">
        <v>412</v>
      </c>
      <c r="C1529" s="46">
        <v>42929</v>
      </c>
      <c r="D1529" s="47">
        <v>24</v>
      </c>
      <c r="E1529" s="32" t="s">
        <v>165</v>
      </c>
      <c r="F1529" s="32" t="s">
        <v>63</v>
      </c>
      <c r="G1529" s="32" t="s">
        <v>594</v>
      </c>
      <c r="H1529" s="32" t="s">
        <v>328</v>
      </c>
      <c r="I1529" s="47"/>
    </row>
    <row r="1530" spans="1:10" ht="20.100000000000001" customHeight="1">
      <c r="A1530" s="42" t="s">
        <v>3345</v>
      </c>
      <c r="B1530" s="42" t="s">
        <v>194</v>
      </c>
      <c r="C1530" s="46">
        <v>42929</v>
      </c>
      <c r="D1530" s="47">
        <v>32</v>
      </c>
      <c r="E1530" s="32" t="s">
        <v>2072</v>
      </c>
      <c r="F1530" s="32" t="s">
        <v>165</v>
      </c>
      <c r="G1530" s="32"/>
      <c r="H1530" s="32" t="s">
        <v>329</v>
      </c>
      <c r="I1530" s="47">
        <v>135</v>
      </c>
      <c r="J1530" s="153" t="s">
        <v>2907</v>
      </c>
    </row>
    <row r="1531" spans="1:10" ht="20.100000000000001" customHeight="1">
      <c r="A1531" s="42" t="s">
        <v>3354</v>
      </c>
      <c r="B1531" s="42" t="s">
        <v>194</v>
      </c>
      <c r="C1531" s="46">
        <v>42929</v>
      </c>
      <c r="D1531" s="47">
        <v>64</v>
      </c>
      <c r="E1531" s="32" t="s">
        <v>700</v>
      </c>
      <c r="F1531" s="32" t="s">
        <v>165</v>
      </c>
      <c r="G1531" s="32"/>
      <c r="H1531" s="32" t="s">
        <v>329</v>
      </c>
    </row>
    <row r="1532" spans="1:10" ht="20.100000000000001" customHeight="1">
      <c r="A1532" s="42" t="s">
        <v>3375</v>
      </c>
      <c r="B1532" s="42" t="s">
        <v>3376</v>
      </c>
      <c r="C1532" s="46">
        <v>42931</v>
      </c>
      <c r="D1532" s="47">
        <v>200</v>
      </c>
      <c r="E1532" s="32" t="s">
        <v>3377</v>
      </c>
      <c r="F1532" s="32" t="s">
        <v>3378</v>
      </c>
      <c r="G1532" s="32"/>
      <c r="H1532" s="32" t="s">
        <v>3379</v>
      </c>
      <c r="I1532" s="47"/>
    </row>
    <row r="1533" spans="1:10" ht="20.100000000000001" customHeight="1">
      <c r="A1533" s="42" t="s">
        <v>3380</v>
      </c>
      <c r="B1533" s="42" t="s">
        <v>3376</v>
      </c>
      <c r="C1533" s="46">
        <v>42931</v>
      </c>
      <c r="D1533" s="47">
        <v>100</v>
      </c>
      <c r="E1533" s="32" t="s">
        <v>3377</v>
      </c>
      <c r="F1533" s="32" t="s">
        <v>3378</v>
      </c>
      <c r="G1533" s="32"/>
      <c r="H1533" s="32" t="s">
        <v>3379</v>
      </c>
      <c r="I1533" s="47"/>
    </row>
    <row r="1534" spans="1:10" ht="20.100000000000001" customHeight="1">
      <c r="A1534" s="42" t="s">
        <v>3381</v>
      </c>
      <c r="B1534" s="42" t="s">
        <v>3376</v>
      </c>
      <c r="C1534" s="46">
        <v>42931</v>
      </c>
      <c r="D1534" s="47">
        <v>100</v>
      </c>
      <c r="E1534" s="32" t="s">
        <v>3377</v>
      </c>
      <c r="F1534" s="32" t="s">
        <v>3378</v>
      </c>
      <c r="G1534" s="32"/>
      <c r="H1534" s="32" t="s">
        <v>3379</v>
      </c>
      <c r="I1534" s="47"/>
    </row>
    <row r="1535" spans="1:10" ht="20.100000000000001" customHeight="1">
      <c r="A1535" s="42" t="s">
        <v>3382</v>
      </c>
      <c r="B1535" s="42" t="s">
        <v>3376</v>
      </c>
      <c r="C1535" s="46">
        <v>42931</v>
      </c>
      <c r="D1535" s="47">
        <v>200</v>
      </c>
      <c r="E1535" s="32" t="s">
        <v>3377</v>
      </c>
      <c r="F1535" s="32" t="s">
        <v>3378</v>
      </c>
      <c r="G1535" s="32"/>
      <c r="H1535" s="32" t="s">
        <v>3379</v>
      </c>
      <c r="I1535" s="47"/>
    </row>
    <row r="1536" spans="1:10" ht="20.100000000000001" customHeight="1">
      <c r="A1536" s="42" t="s">
        <v>3383</v>
      </c>
      <c r="B1536" s="42" t="s">
        <v>3376</v>
      </c>
      <c r="C1536" s="46">
        <v>42931</v>
      </c>
      <c r="D1536" s="47">
        <v>200</v>
      </c>
      <c r="E1536" s="32" t="s">
        <v>3377</v>
      </c>
      <c r="F1536" s="32" t="s">
        <v>3378</v>
      </c>
      <c r="G1536" s="32"/>
      <c r="H1536" s="32" t="s">
        <v>3384</v>
      </c>
      <c r="I1536" s="47"/>
    </row>
    <row r="1537" spans="1:9" ht="20.100000000000001" customHeight="1">
      <c r="A1537" s="42" t="s">
        <v>3385</v>
      </c>
      <c r="B1537" s="42" t="s">
        <v>3376</v>
      </c>
      <c r="C1537" s="46">
        <v>42931</v>
      </c>
      <c r="D1537" s="47">
        <v>100</v>
      </c>
      <c r="E1537" s="32" t="s">
        <v>3377</v>
      </c>
      <c r="F1537" s="32" t="s">
        <v>3378</v>
      </c>
      <c r="G1537" s="32"/>
      <c r="H1537" s="32" t="s">
        <v>3384</v>
      </c>
      <c r="I1537" s="47"/>
    </row>
    <row r="1538" spans="1:9" ht="20.100000000000001" customHeight="1">
      <c r="A1538" s="42" t="s">
        <v>3386</v>
      </c>
      <c r="B1538" s="42" t="s">
        <v>3376</v>
      </c>
      <c r="C1538" s="46">
        <v>42931</v>
      </c>
      <c r="D1538" s="47">
        <v>100</v>
      </c>
      <c r="E1538" s="32" t="s">
        <v>3377</v>
      </c>
      <c r="F1538" s="32" t="s">
        <v>3378</v>
      </c>
      <c r="G1538" s="32"/>
      <c r="H1538" s="32" t="s">
        <v>3384</v>
      </c>
      <c r="I1538" s="47"/>
    </row>
    <row r="1539" spans="1:9" ht="20.100000000000001" customHeight="1">
      <c r="A1539" s="42" t="s">
        <v>3387</v>
      </c>
      <c r="B1539" s="42" t="s">
        <v>3376</v>
      </c>
      <c r="C1539" s="46">
        <v>42931</v>
      </c>
      <c r="D1539" s="47">
        <v>200</v>
      </c>
      <c r="E1539" s="32" t="s">
        <v>3377</v>
      </c>
      <c r="F1539" s="32" t="s">
        <v>3378</v>
      </c>
      <c r="G1539" s="32"/>
      <c r="H1539" s="32" t="s">
        <v>3384</v>
      </c>
      <c r="I1539" s="47"/>
    </row>
    <row r="1540" spans="1:9" ht="20.100000000000001" customHeight="1">
      <c r="A1540" s="42" t="s">
        <v>3397</v>
      </c>
      <c r="B1540" s="42" t="s">
        <v>194</v>
      </c>
      <c r="C1540" s="46">
        <v>42898</v>
      </c>
      <c r="D1540" s="47">
        <v>100</v>
      </c>
      <c r="E1540" s="32" t="s">
        <v>968</v>
      </c>
      <c r="F1540" s="32" t="s">
        <v>2790</v>
      </c>
      <c r="G1540" s="32"/>
      <c r="H1540" s="32" t="s">
        <v>329</v>
      </c>
      <c r="I1540" s="47"/>
    </row>
    <row r="1541" spans="1:9" ht="20.100000000000001" customHeight="1">
      <c r="A1541" s="42" t="s">
        <v>3398</v>
      </c>
      <c r="B1541" s="42" t="s">
        <v>194</v>
      </c>
      <c r="C1541" s="46">
        <v>42916</v>
      </c>
      <c r="D1541" s="47">
        <v>100</v>
      </c>
      <c r="E1541" s="32" t="s">
        <v>968</v>
      </c>
      <c r="F1541" s="32" t="s">
        <v>2790</v>
      </c>
      <c r="G1541" s="32"/>
      <c r="H1541" s="32" t="s">
        <v>329</v>
      </c>
      <c r="I1541" s="47"/>
    </row>
    <row r="1542" spans="1:9" ht="20.100000000000001" customHeight="1">
      <c r="A1542" s="42" t="s">
        <v>3399</v>
      </c>
      <c r="B1542" s="42" t="s">
        <v>194</v>
      </c>
      <c r="C1542" s="46">
        <v>42898</v>
      </c>
      <c r="D1542" s="47">
        <v>100</v>
      </c>
      <c r="E1542" s="32" t="s">
        <v>968</v>
      </c>
      <c r="F1542" s="32" t="s">
        <v>2790</v>
      </c>
      <c r="G1542" s="32"/>
      <c r="H1542" s="32" t="s">
        <v>3384</v>
      </c>
      <c r="I1542" s="47"/>
    </row>
    <row r="1543" spans="1:9" ht="20.100000000000001" customHeight="1">
      <c r="A1543" s="42" t="s">
        <v>3400</v>
      </c>
      <c r="B1543" s="42" t="s">
        <v>194</v>
      </c>
      <c r="C1543" s="46">
        <v>42916</v>
      </c>
      <c r="D1543" s="47">
        <v>100</v>
      </c>
      <c r="E1543" s="32" t="s">
        <v>968</v>
      </c>
      <c r="F1543" s="32" t="s">
        <v>2790</v>
      </c>
      <c r="G1543" s="32"/>
      <c r="H1543" s="32" t="s">
        <v>3384</v>
      </c>
      <c r="I1543" s="47"/>
    </row>
    <row r="1544" spans="1:9" ht="20.100000000000001" customHeight="1">
      <c r="A1544" s="42" t="s">
        <v>3303</v>
      </c>
      <c r="B1544" s="42" t="s">
        <v>412</v>
      </c>
      <c r="C1544" s="46">
        <v>42930</v>
      </c>
      <c r="D1544" s="47">
        <v>33</v>
      </c>
      <c r="E1544" s="32" t="s">
        <v>165</v>
      </c>
      <c r="F1544" s="32" t="s">
        <v>63</v>
      </c>
      <c r="G1544" s="32" t="s">
        <v>3225</v>
      </c>
      <c r="H1544" s="32" t="s">
        <v>328</v>
      </c>
    </row>
    <row r="1545" spans="1:9" ht="20.100000000000001" customHeight="1">
      <c r="A1545" s="42" t="s">
        <v>3362</v>
      </c>
      <c r="B1545" s="42" t="s">
        <v>194</v>
      </c>
      <c r="C1545" s="46">
        <v>42930</v>
      </c>
      <c r="D1545" s="47">
        <v>64</v>
      </c>
      <c r="E1545" s="32" t="s">
        <v>3243</v>
      </c>
      <c r="F1545" s="32" t="s">
        <v>165</v>
      </c>
      <c r="G1545" s="32"/>
      <c r="H1545" s="32" t="s">
        <v>329</v>
      </c>
      <c r="I1545" s="47"/>
    </row>
    <row r="1546" spans="1:9" ht="20.100000000000001" customHeight="1">
      <c r="A1546" s="42" t="s">
        <v>3362</v>
      </c>
      <c r="B1546" s="42" t="s">
        <v>194</v>
      </c>
      <c r="C1546" s="46">
        <v>42931</v>
      </c>
      <c r="D1546" s="47">
        <v>64</v>
      </c>
      <c r="E1546" s="32" t="s">
        <v>3243</v>
      </c>
      <c r="F1546" s="32" t="s">
        <v>165</v>
      </c>
      <c r="G1546" s="32"/>
      <c r="H1546" s="32" t="s">
        <v>329</v>
      </c>
      <c r="I1546" s="47"/>
    </row>
    <row r="1547" spans="1:9" ht="20.100000000000001" customHeight="1">
      <c r="A1547" s="42" t="s">
        <v>3409</v>
      </c>
      <c r="B1547" s="42" t="s">
        <v>194</v>
      </c>
      <c r="C1547" s="46">
        <v>42931</v>
      </c>
      <c r="D1547" s="47">
        <v>64</v>
      </c>
      <c r="E1547" s="32" t="s">
        <v>700</v>
      </c>
      <c r="F1547" s="32" t="s">
        <v>165</v>
      </c>
      <c r="G1547" s="32"/>
      <c r="H1547" s="32" t="s">
        <v>329</v>
      </c>
      <c r="I1547" s="47"/>
    </row>
    <row r="1548" spans="1:9" ht="20.100000000000001" customHeight="1">
      <c r="A1548" s="42" t="s">
        <v>3362</v>
      </c>
      <c r="B1548" s="42" t="s">
        <v>194</v>
      </c>
      <c r="C1548" s="46">
        <v>42932</v>
      </c>
      <c r="D1548" s="47">
        <v>128</v>
      </c>
      <c r="E1548" s="32" t="s">
        <v>3243</v>
      </c>
      <c r="F1548" s="32" t="s">
        <v>165</v>
      </c>
      <c r="G1548" s="32"/>
      <c r="H1548" s="32" t="s">
        <v>329</v>
      </c>
      <c r="I1548" s="47"/>
    </row>
    <row r="1549" spans="1:9" ht="20.100000000000001" customHeight="1">
      <c r="A1549" s="42" t="s">
        <v>3303</v>
      </c>
      <c r="B1549" s="42" t="s">
        <v>412</v>
      </c>
      <c r="C1549" s="46">
        <v>42931</v>
      </c>
      <c r="D1549" s="47">
        <v>26</v>
      </c>
      <c r="E1549" s="32" t="s">
        <v>165</v>
      </c>
      <c r="F1549" s="32" t="s">
        <v>63</v>
      </c>
      <c r="G1549" s="32" t="s">
        <v>594</v>
      </c>
      <c r="H1549" s="32" t="s">
        <v>328</v>
      </c>
      <c r="I1549" s="47"/>
    </row>
    <row r="1550" spans="1:9" ht="20.100000000000001" customHeight="1">
      <c r="A1550" s="42" t="s">
        <v>3303</v>
      </c>
      <c r="B1550" s="42" t="s">
        <v>412</v>
      </c>
      <c r="C1550" s="46">
        <v>42931</v>
      </c>
      <c r="D1550" s="47">
        <v>33</v>
      </c>
      <c r="E1550" s="32" t="s">
        <v>165</v>
      </c>
      <c r="F1550" s="32" t="s">
        <v>63</v>
      </c>
      <c r="G1550" s="32" t="s">
        <v>3316</v>
      </c>
      <c r="H1550" s="32" t="s">
        <v>328</v>
      </c>
      <c r="I1550" s="47"/>
    </row>
    <row r="1551" spans="1:9" ht="20.100000000000001" customHeight="1">
      <c r="A1551" s="42" t="s">
        <v>3303</v>
      </c>
      <c r="B1551" s="42" t="s">
        <v>412</v>
      </c>
      <c r="C1551" s="46">
        <v>42931</v>
      </c>
      <c r="D1551" s="47">
        <v>33</v>
      </c>
      <c r="E1551" s="32" t="s">
        <v>165</v>
      </c>
      <c r="F1551" s="32" t="s">
        <v>63</v>
      </c>
      <c r="G1551" s="32" t="s">
        <v>3225</v>
      </c>
      <c r="H1551" s="32" t="s">
        <v>328</v>
      </c>
      <c r="I1551" s="47"/>
    </row>
    <row r="1552" spans="1:9" ht="20.100000000000001" customHeight="1">
      <c r="A1552" s="42" t="s">
        <v>3303</v>
      </c>
      <c r="B1552" s="42" t="s">
        <v>412</v>
      </c>
      <c r="C1552" s="46">
        <v>42931</v>
      </c>
      <c r="D1552" s="47">
        <v>33</v>
      </c>
      <c r="E1552" s="32" t="s">
        <v>165</v>
      </c>
      <c r="F1552" s="32" t="s">
        <v>63</v>
      </c>
      <c r="G1552" s="32" t="s">
        <v>3309</v>
      </c>
      <c r="H1552" s="32" t="s">
        <v>328</v>
      </c>
      <c r="I1552" s="47"/>
    </row>
    <row r="1553" spans="1:9" ht="20.100000000000001" customHeight="1">
      <c r="A1553" s="42" t="s">
        <v>3303</v>
      </c>
      <c r="B1553" s="42" t="s">
        <v>412</v>
      </c>
      <c r="C1553" s="46">
        <v>42933</v>
      </c>
      <c r="D1553" s="47">
        <v>33</v>
      </c>
      <c r="E1553" s="32" t="s">
        <v>165</v>
      </c>
      <c r="F1553" s="32" t="s">
        <v>63</v>
      </c>
      <c r="G1553" s="32"/>
      <c r="H1553" s="32" t="s">
        <v>328</v>
      </c>
      <c r="I1553" s="47"/>
    </row>
    <row r="1554" spans="1:9" ht="20.100000000000001" customHeight="1">
      <c r="A1554" s="42" t="s">
        <v>3338</v>
      </c>
      <c r="B1554" s="42" t="s">
        <v>218</v>
      </c>
      <c r="C1554" s="46">
        <v>42935</v>
      </c>
      <c r="D1554" s="47">
        <v>3172.36</v>
      </c>
      <c r="E1554" s="32" t="s">
        <v>3415</v>
      </c>
      <c r="F1554" s="32" t="s">
        <v>63</v>
      </c>
      <c r="G1554" s="32"/>
      <c r="H1554" s="32" t="s">
        <v>329</v>
      </c>
      <c r="I1554" s="47"/>
    </row>
    <row r="1555" spans="1:9" ht="20.100000000000001" customHeight="1">
      <c r="A1555" s="42" t="s">
        <v>3449</v>
      </c>
      <c r="B1555" s="42" t="s">
        <v>194</v>
      </c>
      <c r="C1555" s="46">
        <v>42935</v>
      </c>
      <c r="D1555" s="47">
        <v>64</v>
      </c>
      <c r="E1555" s="32" t="s">
        <v>3243</v>
      </c>
      <c r="F1555" s="32" t="s">
        <v>165</v>
      </c>
      <c r="G1555" s="32"/>
      <c r="H1555" s="32" t="s">
        <v>329</v>
      </c>
      <c r="I1555" s="47"/>
    </row>
    <row r="1556" spans="1:9" ht="20.100000000000001" customHeight="1">
      <c r="A1556" s="42" t="s">
        <v>3417</v>
      </c>
      <c r="B1556" s="42" t="s">
        <v>218</v>
      </c>
      <c r="C1556" s="46">
        <v>42935</v>
      </c>
      <c r="D1556" s="47">
        <v>3172.36</v>
      </c>
      <c r="E1556" s="32" t="s">
        <v>3415</v>
      </c>
      <c r="F1556" s="32" t="s">
        <v>63</v>
      </c>
      <c r="G1556" s="32"/>
      <c r="H1556" s="32" t="s">
        <v>328</v>
      </c>
      <c r="I1556" s="47"/>
    </row>
    <row r="1557" spans="1:9" ht="20.100000000000001" customHeight="1">
      <c r="A1557" s="42" t="s">
        <v>3277</v>
      </c>
      <c r="B1557" s="42" t="s">
        <v>3263</v>
      </c>
      <c r="C1557" s="46">
        <v>42931</v>
      </c>
      <c r="D1557" s="47">
        <v>200</v>
      </c>
      <c r="E1557" s="32" t="s">
        <v>3377</v>
      </c>
      <c r="F1557" s="32" t="s">
        <v>3434</v>
      </c>
      <c r="G1557" s="32"/>
      <c r="H1557" s="32" t="s">
        <v>329</v>
      </c>
      <c r="I1557" s="47"/>
    </row>
    <row r="1558" spans="1:9" ht="20.100000000000001" customHeight="1">
      <c r="A1558" s="42" t="s">
        <v>3452</v>
      </c>
      <c r="B1558" s="42" t="s">
        <v>3263</v>
      </c>
      <c r="C1558" s="46">
        <v>42931</v>
      </c>
      <c r="D1558" s="47">
        <v>200</v>
      </c>
      <c r="E1558" s="32" t="s">
        <v>3377</v>
      </c>
      <c r="F1558" s="32" t="s">
        <v>3434</v>
      </c>
      <c r="G1558" s="32"/>
      <c r="H1558" s="32" t="s">
        <v>328</v>
      </c>
      <c r="I1558" s="47"/>
    </row>
    <row r="1559" spans="1:9" ht="20.100000000000001" customHeight="1">
      <c r="A1559" s="42" t="s">
        <v>3453</v>
      </c>
      <c r="B1559" s="42" t="s">
        <v>3263</v>
      </c>
      <c r="C1559" s="46">
        <v>42931</v>
      </c>
      <c r="D1559" s="47">
        <v>200</v>
      </c>
      <c r="E1559" s="32" t="s">
        <v>3377</v>
      </c>
      <c r="F1559" s="32" t="s">
        <v>3378</v>
      </c>
      <c r="G1559" s="32"/>
      <c r="H1559" s="32" t="s">
        <v>329</v>
      </c>
      <c r="I1559" s="47"/>
    </row>
    <row r="1560" spans="1:9" ht="20.100000000000001" customHeight="1">
      <c r="A1560" s="42" t="s">
        <v>3435</v>
      </c>
      <c r="B1560" s="42" t="s">
        <v>3263</v>
      </c>
      <c r="C1560" s="46">
        <v>42931</v>
      </c>
      <c r="D1560" s="47">
        <v>200</v>
      </c>
      <c r="E1560" s="32" t="s">
        <v>3377</v>
      </c>
      <c r="F1560" s="32" t="s">
        <v>3378</v>
      </c>
      <c r="G1560" s="32"/>
      <c r="H1560" s="32" t="s">
        <v>328</v>
      </c>
      <c r="I1560" s="47"/>
    </row>
    <row r="1561" spans="1:9" ht="20.100000000000001" customHeight="1">
      <c r="A1561" s="42" t="s">
        <v>3448</v>
      </c>
      <c r="B1561" s="42" t="s">
        <v>412</v>
      </c>
      <c r="C1561" s="46">
        <v>42939</v>
      </c>
      <c r="D1561" s="47">
        <v>33</v>
      </c>
      <c r="E1561" s="32" t="s">
        <v>165</v>
      </c>
      <c r="F1561" s="32" t="s">
        <v>63</v>
      </c>
      <c r="G1561" s="32" t="s">
        <v>3225</v>
      </c>
      <c r="H1561" s="32" t="s">
        <v>328</v>
      </c>
    </row>
    <row r="1562" spans="1:9" ht="20.100000000000001" customHeight="1">
      <c r="A1562" s="42" t="s">
        <v>3338</v>
      </c>
      <c r="B1562" s="42" t="s">
        <v>218</v>
      </c>
      <c r="C1562" s="46">
        <v>42936</v>
      </c>
      <c r="D1562" s="47">
        <v>1912.56</v>
      </c>
      <c r="E1562" s="32" t="s">
        <v>3415</v>
      </c>
      <c r="F1562" s="32" t="s">
        <v>63</v>
      </c>
      <c r="G1562" s="32"/>
      <c r="H1562" s="32" t="s">
        <v>329</v>
      </c>
    </row>
    <row r="1563" spans="1:9" ht="20.100000000000001" customHeight="1">
      <c r="A1563" s="42" t="s">
        <v>3417</v>
      </c>
      <c r="B1563" s="42" t="s">
        <v>218</v>
      </c>
      <c r="C1563" s="46">
        <v>42936</v>
      </c>
      <c r="D1563" s="47">
        <v>1912.56</v>
      </c>
      <c r="E1563" s="32" t="s">
        <v>3415</v>
      </c>
      <c r="F1563" s="32" t="s">
        <v>63</v>
      </c>
      <c r="G1563" s="32"/>
      <c r="H1563" s="32" t="s">
        <v>328</v>
      </c>
    </row>
    <row r="1564" spans="1:9" ht="20.100000000000001" customHeight="1">
      <c r="A1564" s="42" t="s">
        <v>3343</v>
      </c>
      <c r="B1564" s="42" t="s">
        <v>603</v>
      </c>
      <c r="C1564" s="46">
        <v>42941</v>
      </c>
      <c r="D1564" s="47">
        <v>32</v>
      </c>
      <c r="E1564" s="32" t="s">
        <v>1241</v>
      </c>
      <c r="F1564" s="32" t="s">
        <v>63</v>
      </c>
      <c r="G1564" s="32" t="s">
        <v>3463</v>
      </c>
      <c r="H1564" s="32" t="s">
        <v>329</v>
      </c>
    </row>
    <row r="1565" spans="1:9" ht="20.100000000000001" customHeight="1">
      <c r="A1565" s="42" t="s">
        <v>3343</v>
      </c>
      <c r="B1565" s="42" t="s">
        <v>603</v>
      </c>
      <c r="C1565" s="46">
        <v>42941</v>
      </c>
      <c r="D1565" s="47">
        <v>32</v>
      </c>
      <c r="E1565" s="32" t="s">
        <v>1241</v>
      </c>
      <c r="F1565" s="32" t="s">
        <v>63</v>
      </c>
      <c r="G1565" s="32" t="s">
        <v>3464</v>
      </c>
      <c r="H1565" s="32" t="s">
        <v>329</v>
      </c>
    </row>
    <row r="1566" spans="1:9" ht="20.100000000000001" customHeight="1">
      <c r="A1566" s="42" t="s">
        <v>3356</v>
      </c>
      <c r="B1566" s="42" t="s">
        <v>194</v>
      </c>
      <c r="C1566" s="46">
        <v>42941</v>
      </c>
      <c r="D1566" s="47">
        <v>32</v>
      </c>
      <c r="E1566" s="32" t="s">
        <v>3243</v>
      </c>
      <c r="F1566" s="32" t="s">
        <v>165</v>
      </c>
      <c r="G1566" s="32" t="s">
        <v>3466</v>
      </c>
      <c r="H1566" s="32" t="s">
        <v>329</v>
      </c>
    </row>
    <row r="1567" spans="1:9" ht="20.100000000000001" customHeight="1">
      <c r="A1567" s="42" t="s">
        <v>3475</v>
      </c>
      <c r="B1567" s="42" t="s">
        <v>218</v>
      </c>
      <c r="C1567" s="46">
        <v>42943</v>
      </c>
      <c r="D1567" s="47">
        <v>5000</v>
      </c>
      <c r="E1567" s="32" t="s">
        <v>226</v>
      </c>
      <c r="F1567" s="32" t="s">
        <v>63</v>
      </c>
      <c r="G1567" s="32"/>
      <c r="H1567" s="32" t="s">
        <v>329</v>
      </c>
      <c r="I1567" s="47"/>
    </row>
    <row r="1568" spans="1:9" ht="20.100000000000001" customHeight="1">
      <c r="A1568" s="42" t="s">
        <v>3481</v>
      </c>
      <c r="B1568" s="42" t="s">
        <v>3482</v>
      </c>
      <c r="C1568" s="46">
        <v>42943</v>
      </c>
      <c r="D1568" s="47">
        <v>5000</v>
      </c>
      <c r="E1568" s="32" t="s">
        <v>3483</v>
      </c>
      <c r="F1568" s="32" t="s">
        <v>3484</v>
      </c>
      <c r="G1568" s="32"/>
      <c r="H1568" s="32" t="s">
        <v>3485</v>
      </c>
    </row>
    <row r="1569" spans="1:8" ht="20.100000000000001" customHeight="1">
      <c r="A1569" s="42" t="s">
        <v>3486</v>
      </c>
      <c r="B1569" s="42" t="s">
        <v>3487</v>
      </c>
      <c r="C1569" s="46">
        <v>42944</v>
      </c>
      <c r="D1569" s="47">
        <v>34</v>
      </c>
      <c r="E1569" s="32" t="s">
        <v>3488</v>
      </c>
      <c r="F1569" s="32" t="s">
        <v>3484</v>
      </c>
      <c r="G1569" s="32" t="s">
        <v>3489</v>
      </c>
      <c r="H1569" s="32" t="s">
        <v>3485</v>
      </c>
    </row>
    <row r="1570" spans="1:8" ht="20.100000000000001" customHeight="1">
      <c r="A1570" s="42" t="s">
        <v>3486</v>
      </c>
      <c r="B1570" s="42" t="s">
        <v>3487</v>
      </c>
      <c r="C1570" s="46">
        <v>42944</v>
      </c>
      <c r="D1570" s="47">
        <v>34</v>
      </c>
      <c r="E1570" s="32" t="s">
        <v>3488</v>
      </c>
      <c r="F1570" s="32" t="s">
        <v>3484</v>
      </c>
      <c r="G1570" s="32" t="s">
        <v>3490</v>
      </c>
      <c r="H1570" s="32" t="s">
        <v>3485</v>
      </c>
    </row>
    <row r="1571" spans="1:8" ht="20.100000000000001" customHeight="1">
      <c r="A1571" s="42" t="s">
        <v>3486</v>
      </c>
      <c r="B1571" s="42" t="s">
        <v>3487</v>
      </c>
      <c r="C1571" s="46">
        <v>42944</v>
      </c>
      <c r="D1571" s="47">
        <v>34</v>
      </c>
      <c r="E1571" s="32" t="s">
        <v>3488</v>
      </c>
      <c r="F1571" s="32" t="s">
        <v>3484</v>
      </c>
      <c r="G1571" s="32" t="s">
        <v>3491</v>
      </c>
      <c r="H1571" s="32" t="s">
        <v>3485</v>
      </c>
    </row>
    <row r="1572" spans="1:8" ht="20.100000000000001" customHeight="1">
      <c r="A1572" s="42" t="s">
        <v>3343</v>
      </c>
      <c r="B1572" s="42" t="s">
        <v>603</v>
      </c>
      <c r="C1572" s="46">
        <v>42945</v>
      </c>
      <c r="D1572" s="47">
        <v>32</v>
      </c>
      <c r="E1572" s="32" t="s">
        <v>1241</v>
      </c>
      <c r="F1572" s="32" t="s">
        <v>63</v>
      </c>
      <c r="G1572" s="32" t="s">
        <v>3492</v>
      </c>
      <c r="H1572" s="32" t="s">
        <v>329</v>
      </c>
    </row>
    <row r="1573" spans="1:8" ht="20.100000000000001" customHeight="1">
      <c r="A1573" s="42" t="s">
        <v>3343</v>
      </c>
      <c r="B1573" s="42" t="s">
        <v>603</v>
      </c>
      <c r="C1573" s="46">
        <v>42945</v>
      </c>
      <c r="D1573" s="47">
        <v>33</v>
      </c>
      <c r="E1573" s="32" t="s">
        <v>1241</v>
      </c>
      <c r="F1573" s="32" t="s">
        <v>63</v>
      </c>
      <c r="G1573" s="32" t="s">
        <v>3493</v>
      </c>
      <c r="H1573" s="32" t="s">
        <v>329</v>
      </c>
    </row>
    <row r="1574" spans="1:8" ht="20.100000000000001" customHeight="1">
      <c r="A1574" s="42" t="s">
        <v>3343</v>
      </c>
      <c r="B1574" s="42" t="s">
        <v>603</v>
      </c>
      <c r="C1574" s="46">
        <v>42946</v>
      </c>
      <c r="D1574" s="47">
        <v>33</v>
      </c>
      <c r="E1574" s="32" t="s">
        <v>1241</v>
      </c>
      <c r="F1574" s="32" t="s">
        <v>63</v>
      </c>
      <c r="G1574" s="32" t="s">
        <v>3494</v>
      </c>
      <c r="H1574" s="32" t="s">
        <v>329</v>
      </c>
    </row>
    <row r="1575" spans="1:8" ht="20.100000000000001" customHeight="1">
      <c r="A1575" s="42" t="s">
        <v>3343</v>
      </c>
      <c r="B1575" s="42" t="s">
        <v>603</v>
      </c>
      <c r="C1575" s="46">
        <v>42946</v>
      </c>
      <c r="D1575" s="47">
        <v>33</v>
      </c>
      <c r="E1575" s="32" t="s">
        <v>1241</v>
      </c>
      <c r="F1575" s="32" t="s">
        <v>63</v>
      </c>
      <c r="G1575" s="32" t="s">
        <v>3495</v>
      </c>
      <c r="H1575" s="32" t="s">
        <v>329</v>
      </c>
    </row>
    <row r="1576" spans="1:8" ht="20.100000000000001" customHeight="1">
      <c r="A1576" s="42" t="s">
        <v>3448</v>
      </c>
      <c r="B1576" s="42" t="s">
        <v>412</v>
      </c>
      <c r="C1576" s="46">
        <v>42947</v>
      </c>
      <c r="D1576" s="47">
        <v>32</v>
      </c>
      <c r="E1576" s="32" t="s">
        <v>165</v>
      </c>
      <c r="F1576" s="32" t="s">
        <v>63</v>
      </c>
      <c r="G1576" s="32" t="s">
        <v>3309</v>
      </c>
      <c r="H1576" s="32" t="s">
        <v>328</v>
      </c>
    </row>
    <row r="1577" spans="1:8" ht="20.100000000000001" customHeight="1">
      <c r="A1577" s="42" t="s">
        <v>3413</v>
      </c>
      <c r="B1577" s="42" t="s">
        <v>3511</v>
      </c>
      <c r="C1577" s="46">
        <v>42948</v>
      </c>
      <c r="D1577" s="47">
        <v>17369.8</v>
      </c>
      <c r="E1577" s="32" t="s">
        <v>2850</v>
      </c>
      <c r="F1577" s="32" t="s">
        <v>70</v>
      </c>
      <c r="G1577" s="32"/>
      <c r="H1577" s="32" t="s">
        <v>329</v>
      </c>
    </row>
    <row r="1578" spans="1:8" ht="20.100000000000001" customHeight="1">
      <c r="A1578" s="42" t="s">
        <v>3512</v>
      </c>
      <c r="B1578" s="42" t="s">
        <v>2761</v>
      </c>
      <c r="C1578" s="46">
        <v>42955</v>
      </c>
      <c r="D1578" s="47">
        <v>17369.8</v>
      </c>
      <c r="E1578" s="32" t="s">
        <v>2850</v>
      </c>
      <c r="F1578" s="32" t="s">
        <v>70</v>
      </c>
      <c r="G1578" s="32"/>
      <c r="H1578" s="32" t="s">
        <v>328</v>
      </c>
    </row>
    <row r="1579" spans="1:8" ht="20.100000000000001" customHeight="1">
      <c r="A1579" s="42" t="s">
        <v>3352</v>
      </c>
      <c r="B1579" s="42" t="s">
        <v>603</v>
      </c>
      <c r="C1579" s="46">
        <v>42947</v>
      </c>
      <c r="D1579" s="47">
        <v>32</v>
      </c>
      <c r="E1579" s="32" t="s">
        <v>1241</v>
      </c>
      <c r="F1579" s="32" t="s">
        <v>63</v>
      </c>
      <c r="G1579" s="32" t="s">
        <v>3463</v>
      </c>
      <c r="H1579" s="32" t="s">
        <v>328</v>
      </c>
    </row>
    <row r="1580" spans="1:8" ht="20.100000000000001" customHeight="1">
      <c r="A1580" s="42" t="s">
        <v>3352</v>
      </c>
      <c r="B1580" s="42" t="s">
        <v>603</v>
      </c>
      <c r="C1580" s="46">
        <v>42947</v>
      </c>
      <c r="D1580" s="47">
        <v>32</v>
      </c>
      <c r="E1580" s="32" t="s">
        <v>1241</v>
      </c>
      <c r="F1580" s="32" t="s">
        <v>63</v>
      </c>
      <c r="G1580" s="32" t="s">
        <v>3464</v>
      </c>
      <c r="H1580" s="32" t="s">
        <v>328</v>
      </c>
    </row>
    <row r="1581" spans="1:8" ht="20.100000000000001" customHeight="1">
      <c r="A1581" s="42" t="s">
        <v>3352</v>
      </c>
      <c r="B1581" s="42" t="s">
        <v>603</v>
      </c>
      <c r="C1581" s="46">
        <v>42947</v>
      </c>
      <c r="D1581" s="47">
        <v>32</v>
      </c>
      <c r="E1581" s="32" t="s">
        <v>1241</v>
      </c>
      <c r="F1581" s="32" t="s">
        <v>63</v>
      </c>
      <c r="G1581" s="32" t="s">
        <v>3492</v>
      </c>
      <c r="H1581" s="32" t="s">
        <v>328</v>
      </c>
    </row>
    <row r="1582" spans="1:8" ht="20.100000000000001" customHeight="1">
      <c r="A1582" s="42" t="s">
        <v>3352</v>
      </c>
      <c r="B1582" s="42" t="s">
        <v>603</v>
      </c>
      <c r="C1582" s="46">
        <v>42947</v>
      </c>
      <c r="D1582" s="47">
        <v>33</v>
      </c>
      <c r="E1582" s="32" t="s">
        <v>1241</v>
      </c>
      <c r="F1582" s="32" t="s">
        <v>63</v>
      </c>
      <c r="G1582" s="32" t="s">
        <v>3493</v>
      </c>
      <c r="H1582" s="32" t="s">
        <v>328</v>
      </c>
    </row>
    <row r="1583" spans="1:8" ht="20.100000000000001" customHeight="1">
      <c r="A1583" s="42" t="s">
        <v>3352</v>
      </c>
      <c r="B1583" s="42" t="s">
        <v>603</v>
      </c>
      <c r="C1583" s="46">
        <v>42947</v>
      </c>
      <c r="D1583" s="47">
        <v>33</v>
      </c>
      <c r="E1583" s="32" t="s">
        <v>1241</v>
      </c>
      <c r="F1583" s="32" t="s">
        <v>63</v>
      </c>
      <c r="G1583" s="32" t="s">
        <v>3494</v>
      </c>
      <c r="H1583" s="32" t="s">
        <v>328</v>
      </c>
    </row>
    <row r="1584" spans="1:8" ht="20.100000000000001" customHeight="1">
      <c r="A1584" s="42" t="s">
        <v>3352</v>
      </c>
      <c r="B1584" s="42" t="s">
        <v>603</v>
      </c>
      <c r="C1584" s="46">
        <v>42947</v>
      </c>
      <c r="D1584" s="47">
        <v>33</v>
      </c>
      <c r="E1584" s="32" t="s">
        <v>1241</v>
      </c>
      <c r="F1584" s="32" t="s">
        <v>63</v>
      </c>
      <c r="G1584" s="32" t="s">
        <v>3495</v>
      </c>
      <c r="H1584" s="32" t="s">
        <v>328</v>
      </c>
    </row>
    <row r="1585" spans="1:9" ht="20.100000000000001" customHeight="1">
      <c r="A1585" s="42" t="s">
        <v>3513</v>
      </c>
      <c r="B1585" s="42" t="s">
        <v>194</v>
      </c>
      <c r="C1585" s="46">
        <v>42949</v>
      </c>
      <c r="D1585" s="47">
        <v>32</v>
      </c>
      <c r="E1585" s="32" t="s">
        <v>3060</v>
      </c>
      <c r="F1585" s="32" t="s">
        <v>165</v>
      </c>
      <c r="G1585" s="32"/>
      <c r="H1585" s="32" t="s">
        <v>329</v>
      </c>
    </row>
    <row r="1586" spans="1:9" ht="20.100000000000001" customHeight="1">
      <c r="A1586" s="42" t="s">
        <v>3529</v>
      </c>
      <c r="B1586" s="42" t="s">
        <v>2999</v>
      </c>
      <c r="C1586" s="46">
        <v>42950</v>
      </c>
      <c r="D1586" s="47">
        <v>20</v>
      </c>
      <c r="E1586" s="32" t="s">
        <v>3008</v>
      </c>
      <c r="F1586" s="32" t="s">
        <v>63</v>
      </c>
      <c r="G1586" s="32"/>
      <c r="H1586" s="32" t="s">
        <v>329</v>
      </c>
    </row>
    <row r="1587" spans="1:9" ht="20.100000000000001" customHeight="1">
      <c r="A1587" s="42" t="s">
        <v>3513</v>
      </c>
      <c r="B1587" s="42" t="s">
        <v>194</v>
      </c>
      <c r="C1587" s="46">
        <v>42949</v>
      </c>
      <c r="D1587" s="47">
        <v>32</v>
      </c>
      <c r="E1587" s="32" t="s">
        <v>3060</v>
      </c>
      <c r="F1587" s="32" t="s">
        <v>165</v>
      </c>
      <c r="G1587" s="32"/>
      <c r="H1587" s="32" t="s">
        <v>329</v>
      </c>
    </row>
    <row r="1588" spans="1:9" ht="20.100000000000001" customHeight="1">
      <c r="A1588" s="42" t="s">
        <v>3513</v>
      </c>
      <c r="B1588" s="42" t="s">
        <v>194</v>
      </c>
      <c r="C1588" s="46">
        <v>42949</v>
      </c>
      <c r="D1588" s="47">
        <v>32</v>
      </c>
      <c r="E1588" s="32" t="s">
        <v>3060</v>
      </c>
      <c r="F1588" s="32" t="s">
        <v>165</v>
      </c>
      <c r="G1588" s="32"/>
      <c r="H1588" s="32" t="s">
        <v>329</v>
      </c>
    </row>
    <row r="1589" spans="1:9" ht="20.100000000000001" customHeight="1">
      <c r="A1589" s="42" t="s">
        <v>3513</v>
      </c>
      <c r="B1589" s="42" t="s">
        <v>194</v>
      </c>
      <c r="C1589" s="46">
        <v>42950</v>
      </c>
      <c r="D1589" s="47">
        <v>32</v>
      </c>
      <c r="E1589" s="32" t="s">
        <v>3060</v>
      </c>
      <c r="F1589" s="32" t="s">
        <v>165</v>
      </c>
      <c r="G1589" s="32"/>
      <c r="H1589" s="32" t="s">
        <v>329</v>
      </c>
    </row>
    <row r="1590" spans="1:9" ht="20.100000000000001" customHeight="1">
      <c r="A1590" s="42" t="s">
        <v>3513</v>
      </c>
      <c r="B1590" s="42" t="s">
        <v>194</v>
      </c>
      <c r="C1590" s="46">
        <v>42950</v>
      </c>
      <c r="D1590" s="47">
        <v>22</v>
      </c>
      <c r="E1590" s="32" t="s">
        <v>3060</v>
      </c>
      <c r="F1590" s="32" t="s">
        <v>165</v>
      </c>
      <c r="G1590" s="32"/>
      <c r="H1590" s="32" t="s">
        <v>329</v>
      </c>
    </row>
    <row r="1591" spans="1:9" ht="20.100000000000001" customHeight="1">
      <c r="A1591" s="399" t="s">
        <v>3513</v>
      </c>
      <c r="B1591" s="399" t="s">
        <v>194</v>
      </c>
      <c r="C1591" s="400">
        <v>42950</v>
      </c>
      <c r="D1591" s="401">
        <v>10</v>
      </c>
      <c r="E1591" s="402" t="s">
        <v>3060</v>
      </c>
      <c r="F1591" s="402" t="s">
        <v>165</v>
      </c>
      <c r="G1591" s="402"/>
      <c r="H1591" s="402" t="s">
        <v>329</v>
      </c>
      <c r="I1591" s="153" t="s">
        <v>3531</v>
      </c>
    </row>
    <row r="1592" spans="1:9" ht="20.100000000000001" customHeight="1">
      <c r="A1592" s="42" t="s">
        <v>3532</v>
      </c>
      <c r="B1592" s="42" t="s">
        <v>194</v>
      </c>
      <c r="C1592" s="46">
        <v>42950</v>
      </c>
      <c r="D1592" s="47">
        <v>66</v>
      </c>
      <c r="E1592" s="32" t="s">
        <v>2072</v>
      </c>
      <c r="F1592" s="32" t="s">
        <v>165</v>
      </c>
      <c r="G1592" s="32"/>
      <c r="H1592" s="32" t="s">
        <v>329</v>
      </c>
      <c r="I1592" s="153">
        <v>135</v>
      </c>
    </row>
    <row r="1593" spans="1:9" ht="20.100000000000001" customHeight="1">
      <c r="A1593" s="42" t="s">
        <v>3541</v>
      </c>
      <c r="B1593" s="42" t="s">
        <v>194</v>
      </c>
      <c r="C1593" s="46">
        <v>42950</v>
      </c>
      <c r="D1593" s="47">
        <v>96</v>
      </c>
      <c r="E1593" s="32" t="s">
        <v>3542</v>
      </c>
      <c r="F1593" s="32" t="s">
        <v>165</v>
      </c>
      <c r="G1593" s="32"/>
      <c r="H1593" s="32" t="s">
        <v>329</v>
      </c>
    </row>
    <row r="1594" spans="1:9" ht="20.100000000000001" customHeight="1">
      <c r="A1594" s="42" t="s">
        <v>3548</v>
      </c>
      <c r="B1594" s="42" t="s">
        <v>3549</v>
      </c>
      <c r="C1594" s="46">
        <v>42950</v>
      </c>
      <c r="D1594" s="47">
        <v>20</v>
      </c>
      <c r="E1594" s="32" t="s">
        <v>3550</v>
      </c>
      <c r="F1594" s="32" t="s">
        <v>3551</v>
      </c>
      <c r="G1594" s="32"/>
      <c r="H1594" s="32" t="s">
        <v>3552</v>
      </c>
    </row>
    <row r="1595" spans="1:9" ht="20.100000000000001" customHeight="1">
      <c r="A1595" s="42" t="s">
        <v>3544</v>
      </c>
      <c r="B1595" s="42" t="s">
        <v>3554</v>
      </c>
      <c r="C1595" s="46">
        <v>42952</v>
      </c>
      <c r="D1595" s="47">
        <v>31</v>
      </c>
      <c r="E1595" s="32" t="s">
        <v>133</v>
      </c>
      <c r="F1595" s="32" t="s">
        <v>134</v>
      </c>
      <c r="G1595" s="32" t="s">
        <v>3545</v>
      </c>
      <c r="H1595" s="32" t="s">
        <v>329</v>
      </c>
    </row>
    <row r="1596" spans="1:9" ht="20.100000000000001" customHeight="1">
      <c r="A1596" s="42" t="s">
        <v>3544</v>
      </c>
      <c r="B1596" s="42" t="s">
        <v>3554</v>
      </c>
      <c r="C1596" s="46">
        <v>42953</v>
      </c>
      <c r="D1596" s="47">
        <v>31</v>
      </c>
      <c r="E1596" s="32" t="s">
        <v>133</v>
      </c>
      <c r="F1596" s="32" t="s">
        <v>134</v>
      </c>
      <c r="G1596" s="32" t="s">
        <v>3546</v>
      </c>
      <c r="H1596" s="32" t="s">
        <v>329</v>
      </c>
    </row>
    <row r="1597" spans="1:9" ht="20.100000000000001" customHeight="1">
      <c r="A1597" s="42" t="s">
        <v>3544</v>
      </c>
      <c r="B1597" s="42" t="s">
        <v>3554</v>
      </c>
      <c r="C1597" s="46">
        <v>42954</v>
      </c>
      <c r="D1597" s="47">
        <v>31</v>
      </c>
      <c r="E1597" s="32" t="s">
        <v>133</v>
      </c>
      <c r="F1597" s="32" t="s">
        <v>134</v>
      </c>
      <c r="G1597" s="32" t="s">
        <v>3547</v>
      </c>
      <c r="H1597" s="32" t="s">
        <v>329</v>
      </c>
    </row>
    <row r="1598" spans="1:9" ht="20.100000000000001" customHeight="1">
      <c r="A1598" s="42" t="s">
        <v>3553</v>
      </c>
      <c r="B1598" s="42" t="s">
        <v>3554</v>
      </c>
      <c r="C1598" s="46">
        <v>42954</v>
      </c>
      <c r="D1598" s="47">
        <v>31</v>
      </c>
      <c r="E1598" s="32" t="s">
        <v>133</v>
      </c>
      <c r="F1598" s="32" t="s">
        <v>134</v>
      </c>
      <c r="G1598" s="32" t="s">
        <v>3545</v>
      </c>
      <c r="H1598" s="32" t="s">
        <v>328</v>
      </c>
    </row>
    <row r="1599" spans="1:9" ht="20.100000000000001" customHeight="1">
      <c r="A1599" s="42" t="s">
        <v>3553</v>
      </c>
      <c r="B1599" s="42" t="s">
        <v>3554</v>
      </c>
      <c r="C1599" s="46">
        <v>42955</v>
      </c>
      <c r="D1599" s="47">
        <v>31</v>
      </c>
      <c r="E1599" s="32" t="s">
        <v>133</v>
      </c>
      <c r="F1599" s="32" t="s">
        <v>134</v>
      </c>
      <c r="G1599" s="32" t="s">
        <v>3546</v>
      </c>
      <c r="H1599" s="32" t="s">
        <v>328</v>
      </c>
    </row>
    <row r="1600" spans="1:9" ht="20.100000000000001" customHeight="1">
      <c r="A1600" s="42" t="s">
        <v>3553</v>
      </c>
      <c r="B1600" s="42" t="s">
        <v>3554</v>
      </c>
      <c r="C1600" s="46">
        <v>42956</v>
      </c>
      <c r="D1600" s="47">
        <v>31</v>
      </c>
      <c r="E1600" s="32" t="s">
        <v>133</v>
      </c>
      <c r="F1600" s="32" t="s">
        <v>134</v>
      </c>
      <c r="G1600" s="32" t="s">
        <v>3547</v>
      </c>
      <c r="H1600" s="32" t="s">
        <v>328</v>
      </c>
    </row>
    <row r="1601" spans="1:8" ht="20.100000000000001" customHeight="1">
      <c r="A1601" s="42" t="s">
        <v>3543</v>
      </c>
      <c r="B1601" s="42" t="s">
        <v>194</v>
      </c>
      <c r="C1601" s="46">
        <v>42954</v>
      </c>
      <c r="D1601" s="47">
        <v>2</v>
      </c>
      <c r="E1601" s="32" t="s">
        <v>165</v>
      </c>
      <c r="F1601" s="32" t="s">
        <v>672</v>
      </c>
      <c r="G1601" s="32"/>
      <c r="H1601" s="32" t="s">
        <v>328</v>
      </c>
    </row>
    <row r="1602" spans="1:8" ht="20.100000000000001" customHeight="1">
      <c r="A1602" s="42" t="s">
        <v>3544</v>
      </c>
      <c r="B1602" s="42" t="s">
        <v>3554</v>
      </c>
      <c r="C1602" s="46">
        <v>42957</v>
      </c>
      <c r="D1602" s="47">
        <v>31</v>
      </c>
      <c r="E1602" s="32" t="s">
        <v>133</v>
      </c>
      <c r="F1602" s="32" t="s">
        <v>134</v>
      </c>
      <c r="G1602" s="32" t="s">
        <v>3566</v>
      </c>
      <c r="H1602" s="32" t="s">
        <v>329</v>
      </c>
    </row>
    <row r="1603" spans="1:8" ht="20.100000000000001" customHeight="1">
      <c r="A1603" s="42" t="s">
        <v>3544</v>
      </c>
      <c r="B1603" s="42" t="s">
        <v>3554</v>
      </c>
      <c r="C1603" s="46">
        <v>42957</v>
      </c>
      <c r="D1603" s="47">
        <v>31</v>
      </c>
      <c r="E1603" s="32" t="s">
        <v>133</v>
      </c>
      <c r="F1603" s="32" t="s">
        <v>134</v>
      </c>
      <c r="G1603" s="32" t="s">
        <v>3567</v>
      </c>
      <c r="H1603" s="32" t="s">
        <v>329</v>
      </c>
    </row>
    <row r="1604" spans="1:8" ht="20.100000000000001" customHeight="1">
      <c r="A1604" s="42" t="s">
        <v>3553</v>
      </c>
      <c r="B1604" s="42" t="s">
        <v>3554</v>
      </c>
      <c r="C1604" s="46">
        <v>42957</v>
      </c>
      <c r="D1604" s="47">
        <v>31</v>
      </c>
      <c r="E1604" s="32" t="s">
        <v>133</v>
      </c>
      <c r="F1604" s="32" t="s">
        <v>134</v>
      </c>
      <c r="G1604" s="32" t="s">
        <v>3566</v>
      </c>
      <c r="H1604" s="32" t="s">
        <v>328</v>
      </c>
    </row>
    <row r="1605" spans="1:8" ht="20.100000000000001" customHeight="1">
      <c r="A1605" s="42" t="s">
        <v>3553</v>
      </c>
      <c r="B1605" s="42" t="s">
        <v>3554</v>
      </c>
      <c r="C1605" s="46">
        <v>42957</v>
      </c>
      <c r="D1605" s="47">
        <v>31</v>
      </c>
      <c r="E1605" s="32" t="s">
        <v>133</v>
      </c>
      <c r="F1605" s="32" t="s">
        <v>134</v>
      </c>
      <c r="G1605" s="32" t="s">
        <v>3567</v>
      </c>
      <c r="H1605" s="32" t="s">
        <v>328</v>
      </c>
    </row>
    <row r="1606" spans="1:8" ht="20.100000000000001" customHeight="1">
      <c r="A1606" s="42" t="s">
        <v>3576</v>
      </c>
      <c r="B1606" s="42" t="s">
        <v>3577</v>
      </c>
      <c r="C1606" s="46">
        <v>42939</v>
      </c>
      <c r="D1606" s="47">
        <v>100</v>
      </c>
      <c r="E1606" s="32" t="s">
        <v>3377</v>
      </c>
      <c r="F1606" s="32" t="s">
        <v>3434</v>
      </c>
      <c r="G1606" s="32"/>
      <c r="H1606" s="32" t="s">
        <v>329</v>
      </c>
    </row>
    <row r="1607" spans="1:8" ht="20.100000000000001" customHeight="1">
      <c r="A1607" s="42" t="s">
        <v>3578</v>
      </c>
      <c r="B1607" s="42" t="s">
        <v>3577</v>
      </c>
      <c r="C1607" s="46">
        <v>42952</v>
      </c>
      <c r="D1607" s="47">
        <v>200</v>
      </c>
      <c r="E1607" s="32" t="s">
        <v>3377</v>
      </c>
      <c r="F1607" s="32" t="s">
        <v>3434</v>
      </c>
      <c r="G1607" s="32"/>
      <c r="H1607" s="32" t="s">
        <v>329</v>
      </c>
    </row>
    <row r="1608" spans="1:8" ht="20.100000000000001" customHeight="1">
      <c r="A1608" s="42" t="s">
        <v>3581</v>
      </c>
      <c r="B1608" s="42" t="s">
        <v>3577</v>
      </c>
      <c r="C1608" s="46">
        <v>42939</v>
      </c>
      <c r="D1608" s="47">
        <v>200</v>
      </c>
      <c r="E1608" s="32" t="s">
        <v>3377</v>
      </c>
      <c r="F1608" s="32" t="s">
        <v>3434</v>
      </c>
      <c r="G1608" s="32"/>
      <c r="H1608" s="32" t="s">
        <v>329</v>
      </c>
    </row>
    <row r="1609" spans="1:8" ht="20.100000000000001" customHeight="1">
      <c r="A1609" s="42" t="s">
        <v>3579</v>
      </c>
      <c r="B1609" s="42" t="s">
        <v>3577</v>
      </c>
      <c r="C1609" s="46">
        <v>42946</v>
      </c>
      <c r="D1609" s="47">
        <v>100</v>
      </c>
      <c r="E1609" s="32" t="s">
        <v>3377</v>
      </c>
      <c r="F1609" s="32" t="s">
        <v>3378</v>
      </c>
      <c r="G1609" s="32"/>
      <c r="H1609" s="32" t="s">
        <v>329</v>
      </c>
    </row>
    <row r="1610" spans="1:8" ht="20.100000000000001" customHeight="1">
      <c r="A1610" s="42" t="s">
        <v>3580</v>
      </c>
      <c r="B1610" s="42" t="s">
        <v>3577</v>
      </c>
      <c r="C1610" s="46">
        <v>42938</v>
      </c>
      <c r="D1610" s="47">
        <v>200</v>
      </c>
      <c r="E1610" s="32" t="s">
        <v>3377</v>
      </c>
      <c r="F1610" s="32" t="s">
        <v>3378</v>
      </c>
      <c r="G1610" s="32"/>
      <c r="H1610" s="32" t="s">
        <v>329</v>
      </c>
    </row>
    <row r="1611" spans="1:8" ht="20.100000000000001" customHeight="1">
      <c r="A1611" s="42" t="s">
        <v>3578</v>
      </c>
      <c r="B1611" s="42" t="s">
        <v>3577</v>
      </c>
      <c r="C1611" s="46">
        <v>42958</v>
      </c>
      <c r="D1611" s="47">
        <v>100</v>
      </c>
      <c r="E1611" s="32" t="s">
        <v>3377</v>
      </c>
      <c r="F1611" s="32" t="s">
        <v>3434</v>
      </c>
      <c r="G1611" s="32"/>
      <c r="H1611" s="32" t="s">
        <v>329</v>
      </c>
    </row>
    <row r="1612" spans="1:8" ht="20.100000000000001" customHeight="1">
      <c r="A1612" s="42" t="s">
        <v>3581</v>
      </c>
      <c r="B1612" s="42" t="s">
        <v>3577</v>
      </c>
      <c r="C1612" s="46">
        <v>42946</v>
      </c>
      <c r="D1612" s="47">
        <v>100</v>
      </c>
      <c r="E1612" s="32" t="s">
        <v>3377</v>
      </c>
      <c r="F1612" s="32" t="s">
        <v>3434</v>
      </c>
      <c r="G1612" s="32"/>
      <c r="H1612" s="32" t="s">
        <v>329</v>
      </c>
    </row>
    <row r="1613" spans="1:8" ht="20.100000000000001" customHeight="1">
      <c r="A1613" s="42" t="s">
        <v>3381</v>
      </c>
      <c r="B1613" s="42" t="s">
        <v>3577</v>
      </c>
      <c r="C1613" s="46">
        <v>42958</v>
      </c>
      <c r="D1613" s="47">
        <v>200</v>
      </c>
      <c r="E1613" s="32" t="s">
        <v>3377</v>
      </c>
      <c r="F1613" s="32" t="s">
        <v>3378</v>
      </c>
      <c r="G1613" s="32"/>
      <c r="H1613" s="32" t="s">
        <v>329</v>
      </c>
    </row>
    <row r="1614" spans="1:8" ht="20.100000000000001" customHeight="1">
      <c r="A1614" s="42" t="s">
        <v>3583</v>
      </c>
      <c r="B1614" s="42" t="s">
        <v>3577</v>
      </c>
      <c r="C1614" s="46">
        <v>42939</v>
      </c>
      <c r="D1614" s="47">
        <v>100</v>
      </c>
      <c r="E1614" s="32" t="s">
        <v>3377</v>
      </c>
      <c r="F1614" s="32" t="s">
        <v>3434</v>
      </c>
      <c r="G1614" s="32"/>
      <c r="H1614" s="32" t="s">
        <v>328</v>
      </c>
    </row>
    <row r="1615" spans="1:8" ht="20.100000000000001" customHeight="1">
      <c r="A1615" s="42" t="s">
        <v>3584</v>
      </c>
      <c r="B1615" s="42" t="s">
        <v>3263</v>
      </c>
      <c r="C1615" s="46">
        <v>42952</v>
      </c>
      <c r="D1615" s="47">
        <v>200</v>
      </c>
      <c r="E1615" s="32" t="s">
        <v>3377</v>
      </c>
      <c r="F1615" s="32" t="s">
        <v>3434</v>
      </c>
      <c r="G1615" s="32"/>
      <c r="H1615" s="32" t="s">
        <v>424</v>
      </c>
    </row>
    <row r="1616" spans="1:8" ht="20.100000000000001" customHeight="1">
      <c r="A1616" s="42" t="s">
        <v>3585</v>
      </c>
      <c r="B1616" s="42" t="s">
        <v>3263</v>
      </c>
      <c r="C1616" s="46">
        <v>42939</v>
      </c>
      <c r="D1616" s="47">
        <v>200</v>
      </c>
      <c r="E1616" s="32" t="s">
        <v>3377</v>
      </c>
      <c r="F1616" s="32" t="s">
        <v>3434</v>
      </c>
      <c r="G1616" s="32"/>
      <c r="H1616" s="32" t="s">
        <v>424</v>
      </c>
    </row>
    <row r="1617" spans="1:9" ht="20.100000000000001" customHeight="1">
      <c r="A1617" s="42" t="s">
        <v>3386</v>
      </c>
      <c r="B1617" s="42" t="s">
        <v>3263</v>
      </c>
      <c r="C1617" s="46">
        <v>42946</v>
      </c>
      <c r="D1617" s="47">
        <v>100</v>
      </c>
      <c r="E1617" s="32" t="s">
        <v>3377</v>
      </c>
      <c r="F1617" s="32" t="s">
        <v>3378</v>
      </c>
      <c r="G1617" s="32"/>
      <c r="H1617" s="32" t="s">
        <v>424</v>
      </c>
    </row>
    <row r="1618" spans="1:9" ht="20.100000000000001" customHeight="1">
      <c r="A1618" s="42" t="s">
        <v>3586</v>
      </c>
      <c r="B1618" s="42" t="s">
        <v>3263</v>
      </c>
      <c r="C1618" s="46">
        <v>42938</v>
      </c>
      <c r="D1618" s="47">
        <v>200</v>
      </c>
      <c r="E1618" s="32" t="s">
        <v>3377</v>
      </c>
      <c r="F1618" s="32" t="s">
        <v>3378</v>
      </c>
      <c r="G1618" s="32"/>
      <c r="H1618" s="32" t="s">
        <v>424</v>
      </c>
    </row>
    <row r="1619" spans="1:9" ht="20.100000000000001" customHeight="1">
      <c r="A1619" s="42" t="s">
        <v>3584</v>
      </c>
      <c r="B1619" s="42" t="s">
        <v>3263</v>
      </c>
      <c r="C1619" s="46">
        <v>42958</v>
      </c>
      <c r="D1619" s="47">
        <v>100</v>
      </c>
      <c r="E1619" s="32" t="s">
        <v>3377</v>
      </c>
      <c r="F1619" s="32" t="s">
        <v>3434</v>
      </c>
      <c r="G1619" s="32"/>
      <c r="H1619" s="32" t="s">
        <v>424</v>
      </c>
    </row>
    <row r="1620" spans="1:9" ht="20.100000000000001" customHeight="1">
      <c r="A1620" s="42" t="s">
        <v>3585</v>
      </c>
      <c r="B1620" s="42" t="s">
        <v>3263</v>
      </c>
      <c r="C1620" s="46">
        <v>42946</v>
      </c>
      <c r="D1620" s="47">
        <v>100</v>
      </c>
      <c r="E1620" s="32" t="s">
        <v>3377</v>
      </c>
      <c r="F1620" s="32" t="s">
        <v>3434</v>
      </c>
      <c r="G1620" s="32"/>
      <c r="H1620" s="32" t="s">
        <v>424</v>
      </c>
    </row>
    <row r="1621" spans="1:9" ht="20.100000000000001" customHeight="1">
      <c r="A1621" s="42" t="s">
        <v>3386</v>
      </c>
      <c r="B1621" s="42" t="s">
        <v>3263</v>
      </c>
      <c r="C1621" s="46">
        <v>42958</v>
      </c>
      <c r="D1621" s="47">
        <v>200</v>
      </c>
      <c r="E1621" s="32" t="s">
        <v>3377</v>
      </c>
      <c r="F1621" s="32" t="s">
        <v>3378</v>
      </c>
      <c r="G1621" s="32"/>
      <c r="H1621" s="32" t="s">
        <v>424</v>
      </c>
    </row>
    <row r="1622" spans="1:9" ht="20.100000000000001" customHeight="1">
      <c r="A1622" s="42" t="s">
        <v>3622</v>
      </c>
      <c r="B1622" s="42" t="s">
        <v>3623</v>
      </c>
      <c r="C1622" s="46">
        <v>42958</v>
      </c>
      <c r="D1622" s="47">
        <v>2500</v>
      </c>
      <c r="E1622" s="32" t="s">
        <v>3232</v>
      </c>
      <c r="F1622" s="32" t="s">
        <v>63</v>
      </c>
      <c r="G1622" s="32"/>
      <c r="H1622" s="32" t="s">
        <v>329</v>
      </c>
    </row>
    <row r="1623" spans="1:9" ht="20.100000000000001" customHeight="1">
      <c r="A1623" s="42" t="s">
        <v>3624</v>
      </c>
      <c r="B1623" s="42" t="s">
        <v>3623</v>
      </c>
      <c r="C1623" s="46">
        <v>42958</v>
      </c>
      <c r="D1623" s="47">
        <v>4700</v>
      </c>
      <c r="E1623" s="32" t="s">
        <v>2207</v>
      </c>
      <c r="F1623" s="32" t="s">
        <v>63</v>
      </c>
      <c r="G1623" s="32"/>
      <c r="H1623" s="32" t="s">
        <v>329</v>
      </c>
    </row>
    <row r="1624" spans="1:9" ht="20.100000000000001" customHeight="1">
      <c r="A1624" s="42" t="s">
        <v>3626</v>
      </c>
      <c r="B1624" s="42" t="s">
        <v>3623</v>
      </c>
      <c r="C1624" s="46">
        <v>42958</v>
      </c>
      <c r="D1624" s="47">
        <v>2500</v>
      </c>
      <c r="E1624" s="32" t="s">
        <v>3232</v>
      </c>
      <c r="F1624" s="32" t="s">
        <v>63</v>
      </c>
      <c r="G1624" s="32"/>
      <c r="H1624" s="32" t="s">
        <v>328</v>
      </c>
    </row>
    <row r="1625" spans="1:9" ht="20.100000000000001" customHeight="1">
      <c r="A1625" s="42" t="s">
        <v>3626</v>
      </c>
      <c r="B1625" s="42" t="s">
        <v>3623</v>
      </c>
      <c r="C1625" s="46">
        <v>42958</v>
      </c>
      <c r="D1625" s="47">
        <v>4700</v>
      </c>
      <c r="E1625" s="32" t="s">
        <v>2207</v>
      </c>
      <c r="F1625" s="32" t="s">
        <v>63</v>
      </c>
      <c r="H1625" s="32" t="s">
        <v>328</v>
      </c>
    </row>
    <row r="1626" spans="1:9" ht="20.100000000000001" customHeight="1">
      <c r="A1626" s="42" t="s">
        <v>3628</v>
      </c>
      <c r="B1626" s="42" t="s">
        <v>412</v>
      </c>
      <c r="C1626" s="46">
        <v>42962</v>
      </c>
      <c r="D1626" s="47">
        <v>31</v>
      </c>
      <c r="E1626" s="32" t="s">
        <v>165</v>
      </c>
      <c r="F1626" s="32" t="s">
        <v>63</v>
      </c>
      <c r="G1626" s="32" t="s">
        <v>3627</v>
      </c>
      <c r="H1626" s="32" t="s">
        <v>328</v>
      </c>
    </row>
    <row r="1627" spans="1:9" ht="20.100000000000001" customHeight="1">
      <c r="A1627" s="42" t="s">
        <v>3628</v>
      </c>
      <c r="B1627" s="42" t="s">
        <v>412</v>
      </c>
      <c r="C1627" s="46">
        <v>42963</v>
      </c>
      <c r="D1627" s="47">
        <v>31</v>
      </c>
      <c r="E1627" s="32" t="s">
        <v>165</v>
      </c>
      <c r="F1627" s="32" t="s">
        <v>63</v>
      </c>
      <c r="G1627" s="32" t="s">
        <v>3309</v>
      </c>
      <c r="H1627" s="32" t="s">
        <v>328</v>
      </c>
    </row>
    <row r="1628" spans="1:9" ht="20.100000000000001" customHeight="1">
      <c r="A1628" s="42" t="s">
        <v>3628</v>
      </c>
      <c r="B1628" s="42" t="s">
        <v>412</v>
      </c>
      <c r="C1628" s="46">
        <v>42963</v>
      </c>
      <c r="D1628" s="47">
        <v>31</v>
      </c>
      <c r="E1628" s="32" t="s">
        <v>165</v>
      </c>
      <c r="F1628" s="32" t="s">
        <v>63</v>
      </c>
      <c r="G1628" s="32" t="s">
        <v>3642</v>
      </c>
      <c r="H1628" s="32" t="s">
        <v>328</v>
      </c>
    </row>
    <row r="1629" spans="1:9" ht="20.100000000000001" customHeight="1">
      <c r="A1629" s="42" t="s">
        <v>3532</v>
      </c>
      <c r="B1629" s="42" t="s">
        <v>194</v>
      </c>
      <c r="C1629" s="46">
        <v>42962</v>
      </c>
      <c r="D1629" s="47">
        <v>66</v>
      </c>
      <c r="E1629" s="32" t="s">
        <v>2072</v>
      </c>
      <c r="F1629" s="32" t="s">
        <v>165</v>
      </c>
      <c r="G1629" s="32"/>
      <c r="H1629" s="32" t="s">
        <v>329</v>
      </c>
      <c r="I1629" s="153">
        <v>135</v>
      </c>
    </row>
    <row r="1630" spans="1:9" ht="20.100000000000001" customHeight="1">
      <c r="A1630" s="42" t="s">
        <v>3628</v>
      </c>
      <c r="B1630" s="42" t="s">
        <v>412</v>
      </c>
      <c r="C1630" s="46">
        <v>42964</v>
      </c>
      <c r="D1630" s="47">
        <v>31</v>
      </c>
      <c r="E1630" s="32" t="s">
        <v>165</v>
      </c>
      <c r="F1630" s="32" t="s">
        <v>63</v>
      </c>
      <c r="G1630" s="153" t="s">
        <v>3655</v>
      </c>
      <c r="H1630" s="32" t="s">
        <v>328</v>
      </c>
    </row>
    <row r="1631" spans="1:9" ht="20.100000000000001" customHeight="1">
      <c r="A1631" s="42" t="s">
        <v>3532</v>
      </c>
      <c r="B1631" s="42" t="s">
        <v>194</v>
      </c>
      <c r="C1631" s="46">
        <v>42964</v>
      </c>
      <c r="D1631" s="47">
        <v>34</v>
      </c>
      <c r="E1631" s="32" t="s">
        <v>2072</v>
      </c>
      <c r="F1631" s="32" t="s">
        <v>165</v>
      </c>
      <c r="G1631" s="32"/>
      <c r="H1631" s="32" t="s">
        <v>329</v>
      </c>
      <c r="I1631" s="153">
        <v>135</v>
      </c>
    </row>
    <row r="1632" spans="1:9" ht="20.100000000000001" customHeight="1">
      <c r="A1632" s="42" t="s">
        <v>3532</v>
      </c>
      <c r="B1632" s="42" t="s">
        <v>194</v>
      </c>
      <c r="C1632" s="46">
        <v>42973</v>
      </c>
      <c r="D1632" s="47">
        <v>34</v>
      </c>
      <c r="E1632" s="32" t="s">
        <v>2072</v>
      </c>
      <c r="F1632" s="32" t="s">
        <v>165</v>
      </c>
      <c r="H1632" s="32" t="s">
        <v>329</v>
      </c>
      <c r="I1632" s="153">
        <v>135</v>
      </c>
    </row>
    <row r="1633" spans="1:9" ht="20.100000000000001" customHeight="1">
      <c r="A1633" s="42" t="s">
        <v>3526</v>
      </c>
      <c r="B1633" s="42" t="s">
        <v>218</v>
      </c>
      <c r="C1633" s="46">
        <v>42971</v>
      </c>
      <c r="D1633" s="47">
        <v>2100</v>
      </c>
      <c r="E1633" s="32" t="s">
        <v>3232</v>
      </c>
      <c r="F1633" s="32" t="s">
        <v>63</v>
      </c>
      <c r="G1633" s="32"/>
      <c r="H1633" s="32" t="s">
        <v>329</v>
      </c>
    </row>
    <row r="1634" spans="1:9" ht="20.100000000000001" customHeight="1">
      <c r="A1634" s="42" t="s">
        <v>3626</v>
      </c>
      <c r="B1634" s="42" t="s">
        <v>218</v>
      </c>
      <c r="C1634" s="46">
        <v>42971</v>
      </c>
      <c r="D1634" s="47">
        <v>2100</v>
      </c>
      <c r="E1634" s="32" t="s">
        <v>3232</v>
      </c>
      <c r="F1634" s="32" t="s">
        <v>63</v>
      </c>
      <c r="G1634" s="32"/>
      <c r="H1634" s="32" t="s">
        <v>328</v>
      </c>
    </row>
    <row r="1635" spans="1:9" ht="20.100000000000001" customHeight="1">
      <c r="A1635" s="42" t="s">
        <v>3678</v>
      </c>
      <c r="B1635" s="42" t="s">
        <v>3679</v>
      </c>
      <c r="C1635" s="46">
        <v>42975</v>
      </c>
      <c r="D1635" s="47">
        <v>221</v>
      </c>
      <c r="E1635" s="32" t="s">
        <v>3680</v>
      </c>
      <c r="F1635" s="32" t="s">
        <v>3681</v>
      </c>
      <c r="G1635" s="32"/>
      <c r="H1635" s="32" t="s">
        <v>443</v>
      </c>
    </row>
    <row r="1636" spans="1:9" ht="20.100000000000001" customHeight="1">
      <c r="A1636" s="42" t="s">
        <v>3682</v>
      </c>
      <c r="B1636" s="42" t="s">
        <v>3679</v>
      </c>
      <c r="C1636" s="46">
        <v>42975</v>
      </c>
      <c r="D1636" s="47">
        <v>221</v>
      </c>
      <c r="E1636" s="32" t="s">
        <v>3680</v>
      </c>
      <c r="F1636" s="32" t="s">
        <v>3681</v>
      </c>
      <c r="G1636" s="32"/>
      <c r="H1636" s="32" t="s">
        <v>328</v>
      </c>
      <c r="I1636" s="153">
        <v>350</v>
      </c>
    </row>
    <row r="1637" spans="1:9" ht="20.100000000000001" customHeight="1">
      <c r="A1637" s="42" t="s">
        <v>3454</v>
      </c>
      <c r="B1637" s="42" t="s">
        <v>603</v>
      </c>
      <c r="C1637" s="46">
        <v>42975</v>
      </c>
      <c r="D1637" s="47">
        <v>33</v>
      </c>
      <c r="E1637" s="32" t="s">
        <v>3683</v>
      </c>
      <c r="F1637" s="32" t="s">
        <v>63</v>
      </c>
      <c r="G1637" s="32" t="s">
        <v>3695</v>
      </c>
      <c r="H1637" s="32" t="s">
        <v>443</v>
      </c>
    </row>
    <row r="1638" spans="1:9" ht="20.100000000000001" customHeight="1">
      <c r="A1638" s="42" t="s">
        <v>3454</v>
      </c>
      <c r="B1638" s="42" t="s">
        <v>603</v>
      </c>
      <c r="C1638" s="46">
        <v>42975</v>
      </c>
      <c r="D1638" s="47">
        <v>33</v>
      </c>
      <c r="E1638" s="32" t="s">
        <v>3683</v>
      </c>
      <c r="F1638" s="32" t="s">
        <v>63</v>
      </c>
      <c r="G1638" s="32" t="s">
        <v>3696</v>
      </c>
      <c r="H1638" s="32" t="s">
        <v>443</v>
      </c>
    </row>
    <row r="1639" spans="1:9" ht="20.100000000000001" customHeight="1">
      <c r="A1639" s="42" t="s">
        <v>3454</v>
      </c>
      <c r="B1639" s="42" t="s">
        <v>603</v>
      </c>
      <c r="C1639" s="46">
        <v>42975</v>
      </c>
      <c r="D1639" s="47">
        <v>35</v>
      </c>
      <c r="E1639" s="32" t="s">
        <v>3683</v>
      </c>
      <c r="F1639" s="32" t="s">
        <v>63</v>
      </c>
      <c r="G1639" s="32" t="s">
        <v>3684</v>
      </c>
      <c r="H1639" s="32" t="s">
        <v>443</v>
      </c>
    </row>
    <row r="1640" spans="1:9" ht="20.100000000000001" customHeight="1">
      <c r="A1640" s="42" t="s">
        <v>3454</v>
      </c>
      <c r="B1640" s="42" t="s">
        <v>603</v>
      </c>
      <c r="C1640" s="46">
        <v>42975</v>
      </c>
      <c r="D1640" s="47">
        <v>35</v>
      </c>
      <c r="E1640" s="32" t="s">
        <v>3683</v>
      </c>
      <c r="F1640" s="32" t="s">
        <v>63</v>
      </c>
      <c r="G1640" s="32" t="s">
        <v>3697</v>
      </c>
      <c r="H1640" s="32" t="s">
        <v>329</v>
      </c>
    </row>
    <row r="1641" spans="1:9" ht="20.100000000000001" customHeight="1">
      <c r="A1641" s="42" t="s">
        <v>3715</v>
      </c>
      <c r="B1641" s="42" t="s">
        <v>603</v>
      </c>
      <c r="C1641" s="46">
        <v>42975</v>
      </c>
      <c r="D1641" s="47">
        <v>35</v>
      </c>
      <c r="E1641" s="32" t="s">
        <v>3683</v>
      </c>
      <c r="F1641" s="32" t="s">
        <v>63</v>
      </c>
      <c r="G1641" s="32" t="s">
        <v>3698</v>
      </c>
      <c r="H1641" s="32" t="s">
        <v>329</v>
      </c>
    </row>
    <row r="1642" spans="1:9" ht="20.100000000000001" customHeight="1">
      <c r="A1642" s="42" t="s">
        <v>3716</v>
      </c>
      <c r="B1642" s="42" t="s">
        <v>194</v>
      </c>
      <c r="C1642" s="46">
        <v>42976</v>
      </c>
      <c r="D1642" s="47">
        <v>32</v>
      </c>
      <c r="E1642" s="32" t="s">
        <v>3712</v>
      </c>
      <c r="F1642" s="32" t="s">
        <v>165</v>
      </c>
      <c r="G1642" s="32"/>
      <c r="H1642" s="32" t="s">
        <v>329</v>
      </c>
    </row>
    <row r="1643" spans="1:9" ht="20.100000000000001" customHeight="1">
      <c r="A1643" s="42" t="s">
        <v>3717</v>
      </c>
      <c r="B1643" s="42" t="s">
        <v>603</v>
      </c>
      <c r="C1643" s="46">
        <v>42975</v>
      </c>
      <c r="D1643" s="47">
        <v>33</v>
      </c>
      <c r="E1643" s="32" t="s">
        <v>3683</v>
      </c>
      <c r="F1643" s="32" t="s">
        <v>63</v>
      </c>
      <c r="G1643" s="32" t="s">
        <v>3695</v>
      </c>
      <c r="H1643" s="32" t="s">
        <v>328</v>
      </c>
    </row>
    <row r="1644" spans="1:9" ht="20.100000000000001" customHeight="1">
      <c r="A1644" s="42" t="s">
        <v>3717</v>
      </c>
      <c r="B1644" s="42" t="s">
        <v>603</v>
      </c>
      <c r="C1644" s="46">
        <v>42975</v>
      </c>
      <c r="D1644" s="47">
        <v>33</v>
      </c>
      <c r="E1644" s="32" t="s">
        <v>3683</v>
      </c>
      <c r="F1644" s="32" t="s">
        <v>63</v>
      </c>
      <c r="G1644" s="32" t="s">
        <v>3696</v>
      </c>
      <c r="H1644" s="32" t="s">
        <v>328</v>
      </c>
    </row>
    <row r="1645" spans="1:9" ht="20.100000000000001" customHeight="1">
      <c r="A1645" s="42" t="s">
        <v>3717</v>
      </c>
      <c r="B1645" s="42" t="s">
        <v>603</v>
      </c>
      <c r="C1645" s="46">
        <v>42975</v>
      </c>
      <c r="D1645" s="47">
        <v>35</v>
      </c>
      <c r="E1645" s="32" t="s">
        <v>3683</v>
      </c>
      <c r="F1645" s="32" t="s">
        <v>63</v>
      </c>
      <c r="G1645" s="32" t="s">
        <v>3684</v>
      </c>
      <c r="H1645" s="32" t="s">
        <v>328</v>
      </c>
    </row>
    <row r="1646" spans="1:9" ht="20.100000000000001" customHeight="1">
      <c r="A1646" s="42" t="s">
        <v>3717</v>
      </c>
      <c r="B1646" s="42" t="s">
        <v>603</v>
      </c>
      <c r="C1646" s="46">
        <v>42975</v>
      </c>
      <c r="D1646" s="47">
        <v>35</v>
      </c>
      <c r="E1646" s="32" t="s">
        <v>3683</v>
      </c>
      <c r="F1646" s="32" t="s">
        <v>63</v>
      </c>
      <c r="G1646" s="32" t="s">
        <v>3697</v>
      </c>
      <c r="H1646" s="32" t="s">
        <v>328</v>
      </c>
    </row>
    <row r="1647" spans="1:9" ht="20.100000000000001" customHeight="1">
      <c r="A1647" s="42" t="s">
        <v>3717</v>
      </c>
      <c r="B1647" s="42" t="s">
        <v>603</v>
      </c>
      <c r="C1647" s="46">
        <v>42975</v>
      </c>
      <c r="D1647" s="47">
        <v>35</v>
      </c>
      <c r="E1647" s="32" t="s">
        <v>3683</v>
      </c>
      <c r="F1647" s="32" t="s">
        <v>63</v>
      </c>
      <c r="G1647" s="32" t="s">
        <v>3698</v>
      </c>
      <c r="H1647" s="32" t="s">
        <v>328</v>
      </c>
    </row>
    <row r="1648" spans="1:9" ht="20.100000000000001" customHeight="1">
      <c r="A1648" s="42" t="s">
        <v>3718</v>
      </c>
      <c r="B1648" s="42" t="s">
        <v>194</v>
      </c>
      <c r="C1648" s="46">
        <v>42982</v>
      </c>
      <c r="D1648" s="47">
        <v>32</v>
      </c>
      <c r="E1648" s="32" t="s">
        <v>2072</v>
      </c>
      <c r="F1648" s="32" t="s">
        <v>165</v>
      </c>
      <c r="G1648" s="32" t="s">
        <v>3719</v>
      </c>
      <c r="H1648" s="32" t="s">
        <v>329</v>
      </c>
      <c r="I1648" s="153">
        <v>135</v>
      </c>
    </row>
    <row r="1649" spans="1:9" ht="20.100000000000001" customHeight="1">
      <c r="A1649" s="42" t="s">
        <v>3718</v>
      </c>
      <c r="B1649" s="42" t="s">
        <v>194</v>
      </c>
      <c r="C1649" s="46">
        <v>42982</v>
      </c>
      <c r="D1649" s="47">
        <v>32</v>
      </c>
      <c r="E1649" s="32" t="s">
        <v>2072</v>
      </c>
      <c r="F1649" s="32" t="s">
        <v>165</v>
      </c>
      <c r="G1649" s="32" t="s">
        <v>3720</v>
      </c>
      <c r="H1649" s="32" t="s">
        <v>329</v>
      </c>
      <c r="I1649" s="153">
        <v>135</v>
      </c>
    </row>
    <row r="1650" spans="1:9" ht="20.100000000000001" customHeight="1">
      <c r="A1650" s="42" t="s">
        <v>3729</v>
      </c>
      <c r="B1650" s="42" t="s">
        <v>412</v>
      </c>
      <c r="C1650" s="46">
        <v>42984</v>
      </c>
      <c r="D1650" s="47">
        <v>30</v>
      </c>
      <c r="E1650" s="32" t="s">
        <v>165</v>
      </c>
      <c r="F1650" s="32" t="s">
        <v>63</v>
      </c>
      <c r="G1650" s="32" t="s">
        <v>3730</v>
      </c>
      <c r="H1650" s="32" t="s">
        <v>328</v>
      </c>
    </row>
    <row r="1651" spans="1:9" ht="20.100000000000001" customHeight="1">
      <c r="A1651" s="42" t="s">
        <v>3454</v>
      </c>
      <c r="B1651" s="42" t="s">
        <v>603</v>
      </c>
      <c r="C1651" s="46">
        <v>42984</v>
      </c>
      <c r="D1651" s="47">
        <v>33</v>
      </c>
      <c r="E1651" s="32" t="s">
        <v>3683</v>
      </c>
      <c r="F1651" s="32" t="s">
        <v>63</v>
      </c>
      <c r="G1651" s="32" t="s">
        <v>3731</v>
      </c>
      <c r="H1651" s="32" t="s">
        <v>329</v>
      </c>
    </row>
    <row r="1652" spans="1:9" ht="20.100000000000001" customHeight="1">
      <c r="A1652" s="42" t="s">
        <v>3729</v>
      </c>
      <c r="B1652" s="42" t="s">
        <v>412</v>
      </c>
      <c r="C1652" s="46">
        <v>42985</v>
      </c>
      <c r="D1652" s="47">
        <v>30</v>
      </c>
      <c r="E1652" s="32" t="s">
        <v>165</v>
      </c>
      <c r="F1652" s="32" t="s">
        <v>63</v>
      </c>
      <c r="G1652" s="32" t="s">
        <v>3732</v>
      </c>
      <c r="H1652" s="32" t="s">
        <v>328</v>
      </c>
    </row>
    <row r="1653" spans="1:9" ht="20.100000000000001" customHeight="1">
      <c r="A1653" s="42" t="s">
        <v>3729</v>
      </c>
      <c r="B1653" s="42" t="s">
        <v>412</v>
      </c>
      <c r="C1653" s="46">
        <v>42985</v>
      </c>
      <c r="D1653" s="47">
        <v>30</v>
      </c>
      <c r="E1653" s="32" t="s">
        <v>165</v>
      </c>
      <c r="F1653" s="32" t="s">
        <v>63</v>
      </c>
      <c r="G1653" s="32" t="s">
        <v>3733</v>
      </c>
      <c r="H1653" s="32" t="s">
        <v>328</v>
      </c>
    </row>
    <row r="1654" spans="1:9" ht="20.100000000000001" customHeight="1">
      <c r="A1654" s="42" t="s">
        <v>3454</v>
      </c>
      <c r="B1654" s="42" t="s">
        <v>603</v>
      </c>
      <c r="C1654" s="46">
        <v>42985</v>
      </c>
      <c r="D1654" s="47">
        <v>36</v>
      </c>
      <c r="E1654" s="32" t="s">
        <v>3683</v>
      </c>
      <c r="F1654" s="32" t="s">
        <v>63</v>
      </c>
      <c r="G1654" s="32" t="s">
        <v>3734</v>
      </c>
      <c r="H1654" s="32" t="s">
        <v>329</v>
      </c>
    </row>
    <row r="1655" spans="1:9" ht="20.100000000000001" customHeight="1">
      <c r="A1655" s="42" t="s">
        <v>3454</v>
      </c>
      <c r="B1655" s="42" t="s">
        <v>603</v>
      </c>
      <c r="C1655" s="46">
        <v>42985</v>
      </c>
      <c r="D1655" s="47">
        <v>35</v>
      </c>
      <c r="E1655" s="32" t="s">
        <v>3683</v>
      </c>
      <c r="F1655" s="32" t="s">
        <v>63</v>
      </c>
      <c r="G1655" s="32" t="s">
        <v>3735</v>
      </c>
      <c r="H1655" s="32" t="s">
        <v>329</v>
      </c>
    </row>
    <row r="1656" spans="1:9" ht="20.100000000000001" customHeight="1">
      <c r="A1656" s="42" t="s">
        <v>3454</v>
      </c>
      <c r="B1656" s="42" t="s">
        <v>603</v>
      </c>
      <c r="C1656" s="46">
        <v>42989</v>
      </c>
      <c r="D1656" s="47">
        <v>36</v>
      </c>
      <c r="E1656" s="32" t="s">
        <v>3683</v>
      </c>
      <c r="F1656" s="32" t="s">
        <v>63</v>
      </c>
      <c r="G1656" s="32" t="s">
        <v>3738</v>
      </c>
      <c r="H1656" s="32" t="s">
        <v>329</v>
      </c>
    </row>
    <row r="1657" spans="1:9" ht="20.100000000000001" customHeight="1">
      <c r="A1657" s="42" t="s">
        <v>3454</v>
      </c>
      <c r="B1657" s="42" t="s">
        <v>603</v>
      </c>
      <c r="C1657" s="46">
        <v>42989</v>
      </c>
      <c r="D1657" s="47">
        <v>35</v>
      </c>
      <c r="E1657" s="32" t="s">
        <v>3683</v>
      </c>
      <c r="F1657" s="32" t="s">
        <v>63</v>
      </c>
      <c r="G1657" s="32" t="s">
        <v>3739</v>
      </c>
      <c r="H1657" s="32" t="s">
        <v>329</v>
      </c>
    </row>
    <row r="1658" spans="1:9" ht="20.100000000000001" customHeight="1">
      <c r="A1658" s="42" t="s">
        <v>3454</v>
      </c>
      <c r="B1658" s="42" t="s">
        <v>603</v>
      </c>
      <c r="C1658" s="46">
        <v>42989</v>
      </c>
      <c r="D1658" s="47">
        <v>35</v>
      </c>
      <c r="E1658" s="32" t="s">
        <v>3683</v>
      </c>
      <c r="F1658" s="32" t="s">
        <v>63</v>
      </c>
      <c r="G1658" s="32" t="s">
        <v>3740</v>
      </c>
      <c r="H1658" s="32" t="s">
        <v>329</v>
      </c>
    </row>
    <row r="1659" spans="1:9" ht="20.100000000000001" customHeight="1">
      <c r="A1659" s="42" t="s">
        <v>3718</v>
      </c>
      <c r="B1659" s="42" t="s">
        <v>194</v>
      </c>
      <c r="C1659" s="46">
        <v>42990</v>
      </c>
      <c r="D1659" s="47">
        <v>32</v>
      </c>
      <c r="E1659" s="32" t="s">
        <v>2072</v>
      </c>
      <c r="F1659" s="32" t="s">
        <v>165</v>
      </c>
      <c r="G1659" s="32" t="s">
        <v>3743</v>
      </c>
      <c r="H1659" s="32" t="s">
        <v>329</v>
      </c>
      <c r="I1659" s="153">
        <v>135</v>
      </c>
    </row>
    <row r="1660" spans="1:9" ht="20.100000000000001" customHeight="1">
      <c r="A1660" s="42" t="s">
        <v>3744</v>
      </c>
      <c r="B1660" s="42" t="s">
        <v>3745</v>
      </c>
      <c r="C1660" s="46">
        <v>42990</v>
      </c>
      <c r="D1660" s="47">
        <v>31</v>
      </c>
      <c r="E1660" s="32" t="s">
        <v>2754</v>
      </c>
      <c r="F1660" s="32" t="s">
        <v>3681</v>
      </c>
      <c r="G1660" s="32" t="s">
        <v>3746</v>
      </c>
      <c r="H1660" s="32" t="s">
        <v>329</v>
      </c>
      <c r="I1660" s="153">
        <v>350</v>
      </c>
    </row>
    <row r="1661" spans="1:9" ht="20.100000000000001" customHeight="1">
      <c r="A1661" s="42" t="s">
        <v>3744</v>
      </c>
      <c r="B1661" s="42" t="s">
        <v>3745</v>
      </c>
      <c r="C1661" s="46">
        <v>42990</v>
      </c>
      <c r="D1661" s="47">
        <v>31</v>
      </c>
      <c r="E1661" s="32" t="s">
        <v>2754</v>
      </c>
      <c r="F1661" s="32" t="s">
        <v>3681</v>
      </c>
      <c r="G1661" s="32" t="s">
        <v>3747</v>
      </c>
      <c r="H1661" s="32" t="s">
        <v>329</v>
      </c>
      <c r="I1661" s="153">
        <v>350</v>
      </c>
    </row>
    <row r="1662" spans="1:9" ht="20.100000000000001" customHeight="1">
      <c r="A1662" s="42" t="s">
        <v>3744</v>
      </c>
      <c r="B1662" s="42" t="s">
        <v>3745</v>
      </c>
      <c r="C1662" s="46">
        <v>42990</v>
      </c>
      <c r="D1662" s="47">
        <v>31</v>
      </c>
      <c r="E1662" s="32" t="s">
        <v>2754</v>
      </c>
      <c r="F1662" s="32" t="s">
        <v>3681</v>
      </c>
      <c r="G1662" s="32" t="s">
        <v>3748</v>
      </c>
      <c r="H1662" s="32" t="s">
        <v>329</v>
      </c>
      <c r="I1662" s="153">
        <v>350</v>
      </c>
    </row>
    <row r="1663" spans="1:9" ht="20.100000000000001" customHeight="1">
      <c r="A1663" s="42" t="s">
        <v>3744</v>
      </c>
      <c r="B1663" s="42" t="s">
        <v>3745</v>
      </c>
      <c r="C1663" s="46">
        <v>42990</v>
      </c>
      <c r="D1663" s="47">
        <v>31</v>
      </c>
      <c r="E1663" s="32" t="s">
        <v>2754</v>
      </c>
      <c r="F1663" s="32" t="s">
        <v>3681</v>
      </c>
      <c r="G1663" s="32" t="s">
        <v>3749</v>
      </c>
      <c r="H1663" s="32" t="s">
        <v>329</v>
      </c>
      <c r="I1663" s="153">
        <v>350</v>
      </c>
    </row>
    <row r="1664" spans="1:9" ht="20.100000000000001" customHeight="1">
      <c r="A1664" s="42" t="s">
        <v>3744</v>
      </c>
      <c r="B1664" s="42" t="s">
        <v>3745</v>
      </c>
      <c r="C1664" s="46">
        <v>42990</v>
      </c>
      <c r="D1664" s="47">
        <v>31</v>
      </c>
      <c r="E1664" s="32" t="s">
        <v>2754</v>
      </c>
      <c r="F1664" s="32" t="s">
        <v>3681</v>
      </c>
      <c r="G1664" s="32" t="s">
        <v>3750</v>
      </c>
      <c r="H1664" s="32" t="s">
        <v>329</v>
      </c>
      <c r="I1664" s="153">
        <v>350</v>
      </c>
    </row>
    <row r="1665" spans="1:9" ht="20.100000000000001" customHeight="1">
      <c r="A1665" s="42" t="s">
        <v>3744</v>
      </c>
      <c r="B1665" s="42" t="s">
        <v>3745</v>
      </c>
      <c r="C1665" s="46">
        <v>42990</v>
      </c>
      <c r="D1665" s="47">
        <v>31</v>
      </c>
      <c r="E1665" s="32" t="s">
        <v>2754</v>
      </c>
      <c r="F1665" s="32" t="s">
        <v>3681</v>
      </c>
      <c r="G1665" s="32" t="s">
        <v>3751</v>
      </c>
      <c r="H1665" s="32" t="s">
        <v>329</v>
      </c>
      <c r="I1665" s="153">
        <v>350</v>
      </c>
    </row>
    <row r="1666" spans="1:9" ht="20.100000000000001" customHeight="1">
      <c r="A1666" s="42" t="s">
        <v>3744</v>
      </c>
      <c r="B1666" s="42" t="s">
        <v>3745</v>
      </c>
      <c r="C1666" s="46">
        <v>42990</v>
      </c>
      <c r="D1666" s="47">
        <v>31</v>
      </c>
      <c r="E1666" s="32" t="s">
        <v>2754</v>
      </c>
      <c r="F1666" s="32" t="s">
        <v>3681</v>
      </c>
      <c r="G1666" s="32" t="s">
        <v>3752</v>
      </c>
      <c r="H1666" s="32" t="s">
        <v>329</v>
      </c>
      <c r="I1666" s="153">
        <v>350</v>
      </c>
    </row>
    <row r="1667" spans="1:9" ht="20.100000000000001" customHeight="1">
      <c r="A1667" s="42" t="s">
        <v>3744</v>
      </c>
      <c r="B1667" s="42" t="s">
        <v>3745</v>
      </c>
      <c r="C1667" s="46">
        <v>42990</v>
      </c>
      <c r="D1667" s="47">
        <v>31</v>
      </c>
      <c r="E1667" s="32" t="s">
        <v>2754</v>
      </c>
      <c r="F1667" s="32" t="s">
        <v>3681</v>
      </c>
      <c r="G1667" s="32" t="s">
        <v>3753</v>
      </c>
      <c r="H1667" s="32" t="s">
        <v>329</v>
      </c>
      <c r="I1667" s="153">
        <v>350</v>
      </c>
    </row>
    <row r="1668" spans="1:9" ht="20.100000000000001" customHeight="1">
      <c r="A1668" s="42" t="s">
        <v>3744</v>
      </c>
      <c r="B1668" s="42" t="s">
        <v>3745</v>
      </c>
      <c r="C1668" s="46">
        <v>42990</v>
      </c>
      <c r="D1668" s="47">
        <v>31</v>
      </c>
      <c r="E1668" s="32" t="s">
        <v>2754</v>
      </c>
      <c r="F1668" s="32" t="s">
        <v>3681</v>
      </c>
      <c r="G1668" s="32" t="s">
        <v>3754</v>
      </c>
      <c r="H1668" s="32" t="s">
        <v>329</v>
      </c>
      <c r="I1668" s="153">
        <v>350</v>
      </c>
    </row>
    <row r="1669" spans="1:9" ht="20.100000000000001" customHeight="1">
      <c r="A1669" s="42" t="s">
        <v>3755</v>
      </c>
      <c r="B1669" s="42" t="s">
        <v>3745</v>
      </c>
      <c r="C1669" s="46">
        <v>42992</v>
      </c>
      <c r="D1669" s="47">
        <v>31</v>
      </c>
      <c r="E1669" s="32" t="s">
        <v>2754</v>
      </c>
      <c r="F1669" s="32" t="s">
        <v>3681</v>
      </c>
      <c r="G1669" s="32" t="s">
        <v>3746</v>
      </c>
      <c r="H1669" s="32" t="s">
        <v>328</v>
      </c>
    </row>
    <row r="1670" spans="1:9" ht="20.100000000000001" customHeight="1">
      <c r="A1670" s="42" t="s">
        <v>3755</v>
      </c>
      <c r="B1670" s="42" t="s">
        <v>3745</v>
      </c>
      <c r="C1670" s="46">
        <v>42992</v>
      </c>
      <c r="D1670" s="47">
        <v>31</v>
      </c>
      <c r="E1670" s="32" t="s">
        <v>2754</v>
      </c>
      <c r="F1670" s="32" t="s">
        <v>3681</v>
      </c>
      <c r="G1670" s="32" t="s">
        <v>3747</v>
      </c>
      <c r="H1670" s="32" t="s">
        <v>328</v>
      </c>
    </row>
    <row r="1671" spans="1:9" ht="20.100000000000001" customHeight="1">
      <c r="A1671" s="42" t="s">
        <v>3755</v>
      </c>
      <c r="B1671" s="42" t="s">
        <v>3745</v>
      </c>
      <c r="C1671" s="46">
        <v>42992</v>
      </c>
      <c r="D1671" s="47">
        <v>31</v>
      </c>
      <c r="E1671" s="32" t="s">
        <v>2754</v>
      </c>
      <c r="F1671" s="32" t="s">
        <v>3681</v>
      </c>
      <c r="G1671" s="32" t="s">
        <v>3748</v>
      </c>
      <c r="H1671" s="32" t="s">
        <v>328</v>
      </c>
    </row>
    <row r="1672" spans="1:9" ht="20.100000000000001" customHeight="1">
      <c r="A1672" s="42" t="s">
        <v>3755</v>
      </c>
      <c r="B1672" s="42" t="s">
        <v>3745</v>
      </c>
      <c r="C1672" s="46">
        <v>42992</v>
      </c>
      <c r="D1672" s="47">
        <v>31</v>
      </c>
      <c r="E1672" s="32" t="s">
        <v>2754</v>
      </c>
      <c r="F1672" s="32" t="s">
        <v>3681</v>
      </c>
      <c r="G1672" s="32" t="s">
        <v>3749</v>
      </c>
      <c r="H1672" s="32" t="s">
        <v>328</v>
      </c>
    </row>
    <row r="1673" spans="1:9" ht="20.100000000000001" customHeight="1">
      <c r="A1673" s="42" t="s">
        <v>3755</v>
      </c>
      <c r="B1673" s="42" t="s">
        <v>3745</v>
      </c>
      <c r="C1673" s="46">
        <v>42992</v>
      </c>
      <c r="D1673" s="47">
        <v>31</v>
      </c>
      <c r="E1673" s="32" t="s">
        <v>2754</v>
      </c>
      <c r="F1673" s="32" t="s">
        <v>3681</v>
      </c>
      <c r="G1673" s="32" t="s">
        <v>3750</v>
      </c>
      <c r="H1673" s="32" t="s">
        <v>328</v>
      </c>
    </row>
    <row r="1674" spans="1:9" ht="20.100000000000001" customHeight="1">
      <c r="A1674" s="42" t="s">
        <v>3755</v>
      </c>
      <c r="B1674" s="42" t="s">
        <v>3745</v>
      </c>
      <c r="C1674" s="46">
        <v>42992</v>
      </c>
      <c r="D1674" s="47">
        <v>31</v>
      </c>
      <c r="E1674" s="32" t="s">
        <v>2754</v>
      </c>
      <c r="F1674" s="32" t="s">
        <v>3681</v>
      </c>
      <c r="G1674" s="32" t="s">
        <v>3751</v>
      </c>
      <c r="H1674" s="32" t="s">
        <v>328</v>
      </c>
    </row>
    <row r="1675" spans="1:9" ht="20.100000000000001" customHeight="1">
      <c r="A1675" s="42" t="s">
        <v>3755</v>
      </c>
      <c r="B1675" s="42" t="s">
        <v>3745</v>
      </c>
      <c r="C1675" s="46">
        <v>42992</v>
      </c>
      <c r="D1675" s="47">
        <v>31</v>
      </c>
      <c r="E1675" s="32" t="s">
        <v>2754</v>
      </c>
      <c r="F1675" s="32" t="s">
        <v>3681</v>
      </c>
      <c r="G1675" s="32" t="s">
        <v>3752</v>
      </c>
      <c r="H1675" s="32" t="s">
        <v>328</v>
      </c>
    </row>
    <row r="1676" spans="1:9" ht="20.100000000000001" customHeight="1">
      <c r="A1676" s="42" t="s">
        <v>3755</v>
      </c>
      <c r="B1676" s="42" t="s">
        <v>3745</v>
      </c>
      <c r="C1676" s="46">
        <v>42992</v>
      </c>
      <c r="D1676" s="47">
        <v>31</v>
      </c>
      <c r="E1676" s="32" t="s">
        <v>2754</v>
      </c>
      <c r="F1676" s="32" t="s">
        <v>3681</v>
      </c>
      <c r="G1676" s="32" t="s">
        <v>3753</v>
      </c>
      <c r="H1676" s="32" t="s">
        <v>328</v>
      </c>
    </row>
    <row r="1677" spans="1:9" ht="20.100000000000001" customHeight="1">
      <c r="A1677" s="42" t="s">
        <v>3755</v>
      </c>
      <c r="B1677" s="42" t="s">
        <v>3745</v>
      </c>
      <c r="C1677" s="46">
        <v>42992</v>
      </c>
      <c r="D1677" s="47">
        <v>31</v>
      </c>
      <c r="E1677" s="32" t="s">
        <v>2754</v>
      </c>
      <c r="F1677" s="32" t="s">
        <v>3681</v>
      </c>
      <c r="G1677" s="32" t="s">
        <v>3754</v>
      </c>
      <c r="H1677" s="32" t="s">
        <v>328</v>
      </c>
    </row>
    <row r="1678" spans="1:9" ht="20.100000000000001" customHeight="1">
      <c r="A1678" s="42" t="s">
        <v>3767</v>
      </c>
      <c r="B1678" s="42" t="s">
        <v>3768</v>
      </c>
      <c r="C1678" s="46">
        <v>42998</v>
      </c>
      <c r="D1678" s="47">
        <v>32</v>
      </c>
      <c r="E1678" s="32" t="s">
        <v>3769</v>
      </c>
      <c r="F1678" s="32" t="s">
        <v>3770</v>
      </c>
      <c r="G1678" s="32"/>
      <c r="H1678" s="32" t="s">
        <v>3771</v>
      </c>
    </row>
    <row r="1679" spans="1:9" ht="20.100000000000001" customHeight="1">
      <c r="A1679" s="42" t="s">
        <v>3772</v>
      </c>
      <c r="B1679" s="42" t="s">
        <v>3773</v>
      </c>
      <c r="C1679" s="46">
        <v>42984</v>
      </c>
      <c r="D1679" s="47">
        <v>33</v>
      </c>
      <c r="E1679" s="32" t="s">
        <v>3774</v>
      </c>
      <c r="F1679" s="32" t="s">
        <v>3775</v>
      </c>
      <c r="G1679" s="32" t="s">
        <v>3776</v>
      </c>
      <c r="H1679" s="32" t="s">
        <v>3777</v>
      </c>
    </row>
    <row r="1680" spans="1:9" ht="20.100000000000001" customHeight="1">
      <c r="A1680" s="42" t="s">
        <v>3778</v>
      </c>
      <c r="B1680" s="42" t="s">
        <v>3779</v>
      </c>
      <c r="C1680" s="46">
        <v>42985</v>
      </c>
      <c r="D1680" s="47">
        <v>36</v>
      </c>
      <c r="E1680" s="32" t="s">
        <v>3780</v>
      </c>
      <c r="F1680" s="32" t="s">
        <v>3781</v>
      </c>
      <c r="G1680" s="32" t="s">
        <v>3782</v>
      </c>
      <c r="H1680" s="32" t="s">
        <v>3777</v>
      </c>
    </row>
    <row r="1681" spans="1:8" ht="20.100000000000001" customHeight="1">
      <c r="A1681" s="42" t="s">
        <v>3778</v>
      </c>
      <c r="B1681" s="42" t="s">
        <v>3779</v>
      </c>
      <c r="C1681" s="46">
        <v>42985</v>
      </c>
      <c r="D1681" s="47">
        <v>35</v>
      </c>
      <c r="E1681" s="32" t="s">
        <v>3780</v>
      </c>
      <c r="F1681" s="32" t="s">
        <v>3781</v>
      </c>
      <c r="G1681" s="32" t="s">
        <v>3783</v>
      </c>
      <c r="H1681" s="32" t="s">
        <v>3777</v>
      </c>
    </row>
    <row r="1682" spans="1:8" ht="20.100000000000001" customHeight="1">
      <c r="A1682" s="42" t="s">
        <v>3778</v>
      </c>
      <c r="B1682" s="42" t="s">
        <v>3779</v>
      </c>
      <c r="C1682" s="46">
        <v>42989</v>
      </c>
      <c r="D1682" s="47">
        <v>36</v>
      </c>
      <c r="E1682" s="32" t="s">
        <v>3780</v>
      </c>
      <c r="F1682" s="32" t="s">
        <v>3781</v>
      </c>
      <c r="G1682" s="32" t="s">
        <v>3784</v>
      </c>
      <c r="H1682" s="32" t="s">
        <v>3777</v>
      </c>
    </row>
    <row r="1683" spans="1:8" ht="20.100000000000001" customHeight="1">
      <c r="A1683" s="42" t="s">
        <v>3778</v>
      </c>
      <c r="B1683" s="42" t="s">
        <v>3779</v>
      </c>
      <c r="C1683" s="46">
        <v>42989</v>
      </c>
      <c r="D1683" s="47">
        <v>35</v>
      </c>
      <c r="E1683" s="32" t="s">
        <v>3780</v>
      </c>
      <c r="F1683" s="32" t="s">
        <v>3781</v>
      </c>
      <c r="G1683" s="32" t="s">
        <v>3785</v>
      </c>
      <c r="H1683" s="32" t="s">
        <v>3777</v>
      </c>
    </row>
    <row r="1684" spans="1:8" ht="20.100000000000001" customHeight="1">
      <c r="A1684" s="42" t="s">
        <v>3717</v>
      </c>
      <c r="B1684" s="42" t="s">
        <v>603</v>
      </c>
      <c r="C1684" s="46">
        <v>42989</v>
      </c>
      <c r="D1684" s="47">
        <v>35</v>
      </c>
      <c r="E1684" s="32" t="s">
        <v>3683</v>
      </c>
      <c r="F1684" s="32" t="s">
        <v>63</v>
      </c>
      <c r="G1684" s="32" t="s">
        <v>3740</v>
      </c>
      <c r="H1684" s="32" t="s">
        <v>328</v>
      </c>
    </row>
    <row r="1685" spans="1:8" ht="20.100000000000001" customHeight="1">
      <c r="A1685" s="42" t="s">
        <v>3513</v>
      </c>
      <c r="B1685" s="42" t="s">
        <v>194</v>
      </c>
      <c r="C1685" s="46">
        <v>43005</v>
      </c>
      <c r="D1685" s="47">
        <v>150</v>
      </c>
      <c r="E1685" s="32" t="s">
        <v>3060</v>
      </c>
      <c r="F1685" s="32" t="s">
        <v>3790</v>
      </c>
      <c r="G1685" s="32"/>
      <c r="H1685" s="32" t="s">
        <v>329</v>
      </c>
    </row>
    <row r="1686" spans="1:8" ht="20.100000000000001" customHeight="1">
      <c r="A1686" s="42" t="s">
        <v>3793</v>
      </c>
      <c r="B1686" s="42" t="s">
        <v>3791</v>
      </c>
      <c r="C1686" s="46">
        <v>43005</v>
      </c>
      <c r="D1686" s="47">
        <v>150</v>
      </c>
      <c r="E1686" s="32" t="s">
        <v>3060</v>
      </c>
      <c r="F1686" s="32" t="s">
        <v>3790</v>
      </c>
      <c r="G1686" s="32"/>
      <c r="H1686" s="32" t="s">
        <v>328</v>
      </c>
    </row>
    <row r="1687" spans="1:8" ht="20.100000000000001" customHeight="1">
      <c r="A1687" s="42" t="s">
        <v>3786</v>
      </c>
      <c r="B1687" s="42" t="s">
        <v>603</v>
      </c>
      <c r="C1687" s="46">
        <v>43005</v>
      </c>
      <c r="D1687" s="47">
        <v>33</v>
      </c>
      <c r="E1687" s="32" t="s">
        <v>1681</v>
      </c>
      <c r="F1687" s="32" t="s">
        <v>63</v>
      </c>
      <c r="G1687" s="32" t="s">
        <v>3794</v>
      </c>
      <c r="H1687" s="32" t="s">
        <v>329</v>
      </c>
    </row>
    <row r="1688" spans="1:8" ht="20.100000000000001" customHeight="1">
      <c r="A1688" s="42" t="s">
        <v>3786</v>
      </c>
      <c r="B1688" s="42" t="s">
        <v>603</v>
      </c>
      <c r="C1688" s="46">
        <v>43006</v>
      </c>
      <c r="D1688" s="47">
        <v>35</v>
      </c>
      <c r="E1688" s="32" t="s">
        <v>1681</v>
      </c>
      <c r="F1688" s="32" t="s">
        <v>63</v>
      </c>
      <c r="G1688" s="32" t="s">
        <v>3795</v>
      </c>
      <c r="H1688" s="32" t="s">
        <v>329</v>
      </c>
    </row>
    <row r="1689" spans="1:8" ht="20.100000000000001" customHeight="1">
      <c r="A1689" s="42" t="s">
        <v>3786</v>
      </c>
      <c r="B1689" s="42" t="s">
        <v>603</v>
      </c>
      <c r="C1689" s="46">
        <v>43007</v>
      </c>
      <c r="D1689" s="47">
        <v>36</v>
      </c>
      <c r="E1689" s="32" t="s">
        <v>1681</v>
      </c>
      <c r="F1689" s="32" t="s">
        <v>63</v>
      </c>
      <c r="G1689" s="32" t="s">
        <v>3740</v>
      </c>
      <c r="H1689" s="32" t="s">
        <v>329</v>
      </c>
    </row>
    <row r="1690" spans="1:8" ht="20.100000000000001" customHeight="1">
      <c r="A1690" s="42" t="s">
        <v>3786</v>
      </c>
      <c r="B1690" s="42" t="s">
        <v>603</v>
      </c>
      <c r="C1690" s="46">
        <v>43007</v>
      </c>
      <c r="D1690" s="47">
        <v>36</v>
      </c>
      <c r="E1690" s="32" t="s">
        <v>1681</v>
      </c>
      <c r="F1690" s="32" t="s">
        <v>63</v>
      </c>
      <c r="G1690" s="32" t="s">
        <v>3739</v>
      </c>
      <c r="H1690" s="32" t="s">
        <v>329</v>
      </c>
    </row>
    <row r="1691" spans="1:8" ht="20.100000000000001" customHeight="1">
      <c r="A1691" s="42" t="s">
        <v>3798</v>
      </c>
      <c r="B1691" s="42" t="s">
        <v>603</v>
      </c>
      <c r="C1691" s="46">
        <v>43005</v>
      </c>
      <c r="D1691" s="47">
        <v>33</v>
      </c>
      <c r="E1691" s="32" t="s">
        <v>1681</v>
      </c>
      <c r="F1691" s="32" t="s">
        <v>63</v>
      </c>
      <c r="G1691" s="32" t="s">
        <v>3794</v>
      </c>
      <c r="H1691" s="32" t="s">
        <v>328</v>
      </c>
    </row>
    <row r="1692" spans="1:8" ht="20.100000000000001" customHeight="1">
      <c r="A1692" s="42" t="s">
        <v>3798</v>
      </c>
      <c r="B1692" s="42" t="s">
        <v>603</v>
      </c>
      <c r="C1692" s="46">
        <v>43006</v>
      </c>
      <c r="D1692" s="47">
        <v>35</v>
      </c>
      <c r="E1692" s="32" t="s">
        <v>1681</v>
      </c>
      <c r="F1692" s="32" t="s">
        <v>63</v>
      </c>
      <c r="G1692" s="32" t="s">
        <v>3795</v>
      </c>
      <c r="H1692" s="32" t="s">
        <v>328</v>
      </c>
    </row>
    <row r="1693" spans="1:8" ht="20.100000000000001" customHeight="1">
      <c r="A1693" s="42" t="s">
        <v>3786</v>
      </c>
      <c r="B1693" s="42" t="s">
        <v>603</v>
      </c>
      <c r="C1693" s="46">
        <v>43008</v>
      </c>
      <c r="D1693" s="47">
        <v>36</v>
      </c>
      <c r="E1693" s="32" t="s">
        <v>1681</v>
      </c>
      <c r="F1693" s="32" t="s">
        <v>63</v>
      </c>
      <c r="G1693" s="32" t="s">
        <v>3812</v>
      </c>
      <c r="H1693" s="32" t="s">
        <v>329</v>
      </c>
    </row>
    <row r="1694" spans="1:8" ht="20.100000000000001" customHeight="1">
      <c r="A1694" s="42" t="s">
        <v>3786</v>
      </c>
      <c r="B1694" s="42" t="s">
        <v>603</v>
      </c>
      <c r="C1694" s="46">
        <v>43008</v>
      </c>
      <c r="D1694" s="47">
        <v>31</v>
      </c>
      <c r="E1694" s="32" t="s">
        <v>1681</v>
      </c>
      <c r="F1694" s="32" t="s">
        <v>63</v>
      </c>
      <c r="G1694" s="32" t="s">
        <v>3813</v>
      </c>
      <c r="H1694" s="32" t="s">
        <v>329</v>
      </c>
    </row>
    <row r="1695" spans="1:8" ht="20.100000000000001" customHeight="1">
      <c r="A1695" s="42" t="s">
        <v>3786</v>
      </c>
      <c r="B1695" s="42" t="s">
        <v>603</v>
      </c>
      <c r="C1695" s="46">
        <v>43008</v>
      </c>
      <c r="D1695" s="47">
        <v>34</v>
      </c>
      <c r="E1695" s="32" t="s">
        <v>1681</v>
      </c>
      <c r="F1695" s="32" t="s">
        <v>63</v>
      </c>
      <c r="G1695" s="32" t="s">
        <v>3814</v>
      </c>
      <c r="H1695" s="32" t="s">
        <v>329</v>
      </c>
    </row>
    <row r="1696" spans="1:8" ht="20.100000000000001" customHeight="1">
      <c r="A1696" s="42" t="s">
        <v>3786</v>
      </c>
      <c r="B1696" s="42" t="s">
        <v>603</v>
      </c>
      <c r="C1696" s="46">
        <v>43009</v>
      </c>
      <c r="D1696" s="47">
        <v>32</v>
      </c>
      <c r="E1696" s="32" t="s">
        <v>1681</v>
      </c>
      <c r="F1696" s="32" t="s">
        <v>63</v>
      </c>
      <c r="G1696" s="32" t="s">
        <v>3815</v>
      </c>
      <c r="H1696" s="32" t="s">
        <v>329</v>
      </c>
    </row>
    <row r="1697" spans="1:8" ht="20.100000000000001" customHeight="1">
      <c r="A1697" s="42" t="s">
        <v>3786</v>
      </c>
      <c r="B1697" s="42" t="s">
        <v>603</v>
      </c>
      <c r="C1697" s="46">
        <v>43009</v>
      </c>
      <c r="D1697" s="47">
        <v>28</v>
      </c>
      <c r="E1697" s="32" t="s">
        <v>1681</v>
      </c>
      <c r="F1697" s="32" t="s">
        <v>63</v>
      </c>
      <c r="G1697" s="32" t="s">
        <v>3816</v>
      </c>
      <c r="H1697" s="32" t="s">
        <v>329</v>
      </c>
    </row>
    <row r="1698" spans="1:8" ht="20.100000000000001" customHeight="1">
      <c r="A1698" s="42" t="s">
        <v>3786</v>
      </c>
      <c r="B1698" s="42" t="s">
        <v>603</v>
      </c>
      <c r="C1698" s="46">
        <v>43010</v>
      </c>
      <c r="D1698" s="47">
        <v>33</v>
      </c>
      <c r="E1698" s="32" t="s">
        <v>1681</v>
      </c>
      <c r="F1698" s="32" t="s">
        <v>63</v>
      </c>
      <c r="G1698" s="32" t="s">
        <v>3817</v>
      </c>
      <c r="H1698" s="32" t="s">
        <v>329</v>
      </c>
    </row>
    <row r="1699" spans="1:8" ht="20.100000000000001" customHeight="1">
      <c r="A1699" s="42" t="s">
        <v>3786</v>
      </c>
      <c r="B1699" s="42" t="s">
        <v>603</v>
      </c>
      <c r="C1699" s="46">
        <v>43009</v>
      </c>
      <c r="D1699" s="47">
        <v>31</v>
      </c>
      <c r="E1699" s="32" t="s">
        <v>1681</v>
      </c>
      <c r="F1699" s="32" t="s">
        <v>63</v>
      </c>
      <c r="G1699" s="32" t="s">
        <v>3818</v>
      </c>
      <c r="H1699" s="32" t="s">
        <v>329</v>
      </c>
    </row>
    <row r="1700" spans="1:8" ht="20.100000000000001" customHeight="1">
      <c r="A1700" s="42" t="s">
        <v>3786</v>
      </c>
      <c r="B1700" s="42" t="s">
        <v>603</v>
      </c>
      <c r="C1700" s="46">
        <v>43009</v>
      </c>
      <c r="D1700" s="47">
        <v>33</v>
      </c>
      <c r="E1700" s="32" t="s">
        <v>1681</v>
      </c>
      <c r="F1700" s="32" t="s">
        <v>63</v>
      </c>
      <c r="G1700" s="32" t="s">
        <v>3819</v>
      </c>
      <c r="H1700" s="32" t="s">
        <v>329</v>
      </c>
    </row>
    <row r="1701" spans="1:8" ht="20.100000000000001" customHeight="1">
      <c r="A1701" s="42" t="s">
        <v>3786</v>
      </c>
      <c r="B1701" s="42" t="s">
        <v>603</v>
      </c>
      <c r="C1701" s="46">
        <v>43009</v>
      </c>
      <c r="D1701" s="47">
        <v>34</v>
      </c>
      <c r="E1701" s="32" t="s">
        <v>1681</v>
      </c>
      <c r="F1701" s="32" t="s">
        <v>63</v>
      </c>
      <c r="G1701" s="32" t="s">
        <v>3820</v>
      </c>
      <c r="H1701" s="32" t="s">
        <v>329</v>
      </c>
    </row>
    <row r="1702" spans="1:8" ht="20.100000000000001" customHeight="1">
      <c r="A1702" s="42" t="s">
        <v>3821</v>
      </c>
      <c r="B1702" s="42" t="s">
        <v>3822</v>
      </c>
      <c r="C1702" s="46">
        <v>43016</v>
      </c>
      <c r="D1702" s="47">
        <v>36</v>
      </c>
      <c r="E1702" s="32" t="s">
        <v>165</v>
      </c>
      <c r="F1702" s="32" t="s">
        <v>63</v>
      </c>
      <c r="G1702" s="32" t="s">
        <v>3823</v>
      </c>
      <c r="H1702" s="32" t="s">
        <v>328</v>
      </c>
    </row>
    <row r="1703" spans="1:8" ht="20.100000000000001" customHeight="1">
      <c r="A1703" s="42" t="s">
        <v>3821</v>
      </c>
      <c r="B1703" s="42" t="s">
        <v>3822</v>
      </c>
      <c r="C1703" s="46">
        <v>43016</v>
      </c>
      <c r="D1703" s="47">
        <v>36</v>
      </c>
      <c r="E1703" s="32" t="s">
        <v>165</v>
      </c>
      <c r="F1703" s="32" t="s">
        <v>63</v>
      </c>
      <c r="G1703" s="32" t="s">
        <v>3824</v>
      </c>
      <c r="H1703" s="32" t="s">
        <v>328</v>
      </c>
    </row>
    <row r="1704" spans="1:8" ht="20.100000000000001" customHeight="1">
      <c r="A1704" s="42" t="s">
        <v>3825</v>
      </c>
      <c r="B1704" s="42" t="s">
        <v>796</v>
      </c>
      <c r="C1704" s="46">
        <v>43015</v>
      </c>
      <c r="D1704" s="47">
        <v>36</v>
      </c>
      <c r="E1704" s="32" t="s">
        <v>3826</v>
      </c>
      <c r="F1704" s="32" t="s">
        <v>166</v>
      </c>
      <c r="G1704" s="32" t="s">
        <v>3812</v>
      </c>
      <c r="H1704" s="32" t="s">
        <v>471</v>
      </c>
    </row>
    <row r="1705" spans="1:8" ht="20.100000000000001" customHeight="1">
      <c r="A1705" s="42" t="s">
        <v>3825</v>
      </c>
      <c r="B1705" s="42" t="s">
        <v>796</v>
      </c>
      <c r="C1705" s="46">
        <v>43015</v>
      </c>
      <c r="D1705" s="47">
        <v>31</v>
      </c>
      <c r="E1705" s="32" t="s">
        <v>3826</v>
      </c>
      <c r="F1705" s="32" t="s">
        <v>166</v>
      </c>
      <c r="G1705" s="32" t="s">
        <v>3813</v>
      </c>
      <c r="H1705" s="32" t="s">
        <v>471</v>
      </c>
    </row>
    <row r="1706" spans="1:8" ht="20.100000000000001" customHeight="1">
      <c r="A1706" s="42" t="s">
        <v>3825</v>
      </c>
      <c r="B1706" s="42" t="s">
        <v>796</v>
      </c>
      <c r="C1706" s="46">
        <v>43015</v>
      </c>
      <c r="D1706" s="47">
        <v>34</v>
      </c>
      <c r="E1706" s="32" t="s">
        <v>3826</v>
      </c>
      <c r="F1706" s="32" t="s">
        <v>166</v>
      </c>
      <c r="G1706" s="32" t="s">
        <v>3814</v>
      </c>
      <c r="H1706" s="32" t="s">
        <v>471</v>
      </c>
    </row>
    <row r="1707" spans="1:8" ht="20.100000000000001" customHeight="1">
      <c r="A1707" s="42" t="s">
        <v>3825</v>
      </c>
      <c r="B1707" s="42" t="s">
        <v>796</v>
      </c>
      <c r="C1707" s="46">
        <v>43015</v>
      </c>
      <c r="D1707" s="47">
        <v>32</v>
      </c>
      <c r="E1707" s="32" t="s">
        <v>3826</v>
      </c>
      <c r="F1707" s="32" t="s">
        <v>166</v>
      </c>
      <c r="G1707" s="32" t="s">
        <v>3815</v>
      </c>
      <c r="H1707" s="32" t="s">
        <v>471</v>
      </c>
    </row>
    <row r="1708" spans="1:8" ht="20.100000000000001" customHeight="1">
      <c r="A1708" s="42" t="s">
        <v>3825</v>
      </c>
      <c r="B1708" s="42" t="s">
        <v>796</v>
      </c>
      <c r="C1708" s="46">
        <v>43015</v>
      </c>
      <c r="D1708" s="47">
        <v>28</v>
      </c>
      <c r="E1708" s="32" t="s">
        <v>3826</v>
      </c>
      <c r="F1708" s="32" t="s">
        <v>166</v>
      </c>
      <c r="G1708" s="32" t="s">
        <v>3816</v>
      </c>
      <c r="H1708" s="32" t="s">
        <v>471</v>
      </c>
    </row>
    <row r="1709" spans="1:8" ht="20.100000000000001" customHeight="1">
      <c r="A1709" s="42" t="s">
        <v>3825</v>
      </c>
      <c r="B1709" s="42" t="s">
        <v>796</v>
      </c>
      <c r="C1709" s="46">
        <v>43015</v>
      </c>
      <c r="D1709" s="47">
        <v>33</v>
      </c>
      <c r="E1709" s="32" t="s">
        <v>3826</v>
      </c>
      <c r="F1709" s="32" t="s">
        <v>166</v>
      </c>
      <c r="G1709" s="32" t="s">
        <v>3817</v>
      </c>
      <c r="H1709" s="32" t="s">
        <v>471</v>
      </c>
    </row>
    <row r="1710" spans="1:8" ht="20.100000000000001" customHeight="1">
      <c r="A1710" s="42" t="s">
        <v>3825</v>
      </c>
      <c r="B1710" s="42" t="s">
        <v>796</v>
      </c>
      <c r="C1710" s="46">
        <v>43015</v>
      </c>
      <c r="D1710" s="47">
        <v>31</v>
      </c>
      <c r="E1710" s="32" t="s">
        <v>3826</v>
      </c>
      <c r="F1710" s="32" t="s">
        <v>166</v>
      </c>
      <c r="G1710" s="32" t="s">
        <v>3818</v>
      </c>
      <c r="H1710" s="32" t="s">
        <v>471</v>
      </c>
    </row>
    <row r="1711" spans="1:8" ht="20.100000000000001" customHeight="1">
      <c r="A1711" s="42" t="s">
        <v>3825</v>
      </c>
      <c r="B1711" s="42" t="s">
        <v>796</v>
      </c>
      <c r="C1711" s="46">
        <v>43015</v>
      </c>
      <c r="D1711" s="47">
        <v>33</v>
      </c>
      <c r="E1711" s="32" t="s">
        <v>3826</v>
      </c>
      <c r="F1711" s="32" t="s">
        <v>166</v>
      </c>
      <c r="G1711" s="32" t="s">
        <v>3819</v>
      </c>
      <c r="H1711" s="32" t="s">
        <v>471</v>
      </c>
    </row>
    <row r="1712" spans="1:8" ht="20.100000000000001" customHeight="1">
      <c r="A1712" s="42" t="s">
        <v>3825</v>
      </c>
      <c r="B1712" s="42" t="s">
        <v>796</v>
      </c>
      <c r="C1712" s="46">
        <v>43015</v>
      </c>
      <c r="D1712" s="47">
        <v>34</v>
      </c>
      <c r="E1712" s="32" t="s">
        <v>3826</v>
      </c>
      <c r="F1712" s="32" t="s">
        <v>166</v>
      </c>
      <c r="G1712" s="32" t="s">
        <v>3820</v>
      </c>
      <c r="H1712" s="32" t="s">
        <v>471</v>
      </c>
    </row>
    <row r="1713" spans="1:8" ht="20.100000000000001" customHeight="1">
      <c r="A1713" s="42" t="s">
        <v>3825</v>
      </c>
      <c r="B1713" s="42" t="s">
        <v>796</v>
      </c>
      <c r="C1713" s="46">
        <v>43015</v>
      </c>
      <c r="D1713" s="47">
        <v>36</v>
      </c>
      <c r="E1713" s="32" t="s">
        <v>3826</v>
      </c>
      <c r="F1713" s="32" t="s">
        <v>166</v>
      </c>
      <c r="G1713" s="32" t="s">
        <v>3827</v>
      </c>
      <c r="H1713" s="32" t="s">
        <v>471</v>
      </c>
    </row>
    <row r="1714" spans="1:8" ht="20.100000000000001" customHeight="1">
      <c r="A1714" s="42" t="s">
        <v>3825</v>
      </c>
      <c r="B1714" s="42" t="s">
        <v>796</v>
      </c>
      <c r="C1714" s="46">
        <v>43015</v>
      </c>
      <c r="D1714" s="47">
        <v>36</v>
      </c>
      <c r="E1714" s="32" t="s">
        <v>3826</v>
      </c>
      <c r="F1714" s="32" t="s">
        <v>166</v>
      </c>
      <c r="G1714" s="32" t="s">
        <v>3785</v>
      </c>
      <c r="H1714" s="32" t="s">
        <v>471</v>
      </c>
    </row>
    <row r="1715" spans="1:8" ht="20.100000000000001" customHeight="1">
      <c r="A1715" s="42" t="s">
        <v>3786</v>
      </c>
      <c r="B1715" s="42" t="s">
        <v>603</v>
      </c>
      <c r="C1715" s="46">
        <v>43011</v>
      </c>
      <c r="D1715" s="47">
        <v>33</v>
      </c>
      <c r="E1715" s="32" t="s">
        <v>1681</v>
      </c>
      <c r="F1715" s="32" t="s">
        <v>63</v>
      </c>
      <c r="G1715" s="32" t="s">
        <v>3828</v>
      </c>
      <c r="H1715" s="32" t="s">
        <v>329</v>
      </c>
    </row>
    <row r="1716" spans="1:8" ht="20.100000000000001" customHeight="1">
      <c r="A1716" s="42" t="s">
        <v>3786</v>
      </c>
      <c r="B1716" s="42" t="s">
        <v>603</v>
      </c>
      <c r="C1716" s="46">
        <v>43011</v>
      </c>
      <c r="D1716" s="47">
        <v>36</v>
      </c>
      <c r="E1716" s="32" t="s">
        <v>1681</v>
      </c>
      <c r="F1716" s="32" t="s">
        <v>63</v>
      </c>
      <c r="G1716" s="32" t="s">
        <v>3814</v>
      </c>
      <c r="H1716" s="32" t="s">
        <v>329</v>
      </c>
    </row>
    <row r="1717" spans="1:8" ht="20.100000000000001" customHeight="1">
      <c r="A1717" s="42" t="s">
        <v>3825</v>
      </c>
      <c r="B1717" s="42" t="s">
        <v>603</v>
      </c>
      <c r="C1717" s="46">
        <v>43011</v>
      </c>
      <c r="D1717" s="47">
        <v>33</v>
      </c>
      <c r="E1717" s="32" t="s">
        <v>1681</v>
      </c>
      <c r="F1717" s="32" t="s">
        <v>63</v>
      </c>
      <c r="G1717" s="32" t="s">
        <v>3828</v>
      </c>
      <c r="H1717" s="32" t="s">
        <v>471</v>
      </c>
    </row>
    <row r="1718" spans="1:8" ht="20.100000000000001" customHeight="1">
      <c r="A1718" s="42" t="s">
        <v>3825</v>
      </c>
      <c r="B1718" s="42" t="s">
        <v>603</v>
      </c>
      <c r="C1718" s="46">
        <v>43011</v>
      </c>
      <c r="D1718" s="47">
        <v>36</v>
      </c>
      <c r="E1718" s="32" t="s">
        <v>1681</v>
      </c>
      <c r="F1718" s="32" t="s">
        <v>63</v>
      </c>
      <c r="G1718" s="32" t="s">
        <v>3814</v>
      </c>
      <c r="H1718" s="32" t="s">
        <v>471</v>
      </c>
    </row>
    <row r="1719" spans="1:8" ht="20.100000000000001" customHeight="1">
      <c r="A1719" s="42" t="s">
        <v>3830</v>
      </c>
      <c r="B1719" s="42" t="s">
        <v>273</v>
      </c>
      <c r="C1719" s="46">
        <v>43003</v>
      </c>
      <c r="D1719" s="47">
        <v>300</v>
      </c>
      <c r="E1719" s="32" t="s">
        <v>3377</v>
      </c>
      <c r="F1719" s="32" t="s">
        <v>3378</v>
      </c>
      <c r="G1719" s="32"/>
      <c r="H1719" s="32" t="s">
        <v>329</v>
      </c>
    </row>
    <row r="1720" spans="1:8" ht="20.100000000000001" customHeight="1">
      <c r="A1720" s="42" t="s">
        <v>3831</v>
      </c>
      <c r="B1720" s="42" t="s">
        <v>273</v>
      </c>
      <c r="C1720" s="46">
        <v>42978</v>
      </c>
      <c r="D1720" s="47">
        <v>200</v>
      </c>
      <c r="E1720" s="32" t="s">
        <v>968</v>
      </c>
      <c r="F1720" s="32" t="s">
        <v>3434</v>
      </c>
      <c r="G1720" s="32"/>
      <c r="H1720" s="32" t="s">
        <v>329</v>
      </c>
    </row>
    <row r="1721" spans="1:8" ht="20.100000000000001" customHeight="1">
      <c r="A1721" s="42" t="s">
        <v>3832</v>
      </c>
      <c r="B1721" s="42" t="s">
        <v>273</v>
      </c>
      <c r="C1721" s="46">
        <v>43003</v>
      </c>
      <c r="D1721" s="47">
        <v>300</v>
      </c>
      <c r="E1721" s="32" t="s">
        <v>3377</v>
      </c>
      <c r="F1721" s="32" t="s">
        <v>3378</v>
      </c>
      <c r="G1721" s="32"/>
      <c r="H1721" s="32" t="s">
        <v>328</v>
      </c>
    </row>
    <row r="1722" spans="1:8" ht="20.100000000000001" customHeight="1">
      <c r="A1722" s="42" t="s">
        <v>3833</v>
      </c>
      <c r="B1722" s="42" t="s">
        <v>273</v>
      </c>
      <c r="C1722" s="46">
        <v>42978</v>
      </c>
      <c r="D1722" s="47">
        <v>200</v>
      </c>
      <c r="E1722" s="32" t="s">
        <v>968</v>
      </c>
      <c r="F1722" s="32" t="s">
        <v>3434</v>
      </c>
      <c r="G1722" s="32"/>
      <c r="H1722" s="32" t="s">
        <v>328</v>
      </c>
    </row>
    <row r="1723" spans="1:8" ht="20.100000000000001" customHeight="1">
      <c r="A1723" s="42" t="s">
        <v>3849</v>
      </c>
      <c r="B1723" s="42" t="s">
        <v>3263</v>
      </c>
      <c r="C1723" s="46">
        <v>42974</v>
      </c>
      <c r="D1723" s="47">
        <v>240</v>
      </c>
      <c r="E1723" s="32" t="s">
        <v>3377</v>
      </c>
      <c r="F1723" s="32" t="s">
        <v>3378</v>
      </c>
      <c r="G1723" s="32"/>
      <c r="H1723" s="32" t="s">
        <v>329</v>
      </c>
    </row>
    <row r="1724" spans="1:8" ht="20.100000000000001" customHeight="1">
      <c r="A1724" s="42" t="s">
        <v>3850</v>
      </c>
      <c r="B1724" s="42" t="s">
        <v>3263</v>
      </c>
      <c r="C1724" s="46">
        <v>43008</v>
      </c>
      <c r="D1724" s="47">
        <v>40</v>
      </c>
      <c r="E1724" s="32" t="s">
        <v>3377</v>
      </c>
      <c r="F1724" s="32" t="s">
        <v>3378</v>
      </c>
      <c r="G1724" s="32"/>
      <c r="H1724" s="32" t="s">
        <v>329</v>
      </c>
    </row>
    <row r="1725" spans="1:8" ht="20.100000000000001" customHeight="1">
      <c r="A1725" s="42" t="s">
        <v>3851</v>
      </c>
      <c r="B1725" s="42" t="s">
        <v>3263</v>
      </c>
      <c r="C1725" s="46">
        <v>42965</v>
      </c>
      <c r="D1725" s="47">
        <v>100</v>
      </c>
      <c r="E1725" s="32" t="s">
        <v>3377</v>
      </c>
      <c r="F1725" s="32" t="s">
        <v>3378</v>
      </c>
      <c r="G1725" s="32"/>
      <c r="H1725" s="32" t="s">
        <v>329</v>
      </c>
    </row>
    <row r="1726" spans="1:8" ht="20.100000000000001" customHeight="1">
      <c r="A1726" s="42" t="s">
        <v>3852</v>
      </c>
      <c r="B1726" s="42" t="s">
        <v>3263</v>
      </c>
      <c r="C1726" s="46">
        <v>42982</v>
      </c>
      <c r="D1726" s="47">
        <v>40</v>
      </c>
      <c r="E1726" s="32" t="s">
        <v>3377</v>
      </c>
      <c r="F1726" s="32" t="s">
        <v>3378</v>
      </c>
      <c r="G1726" s="32"/>
      <c r="H1726" s="32" t="s">
        <v>329</v>
      </c>
    </row>
    <row r="1727" spans="1:8" ht="20.100000000000001" customHeight="1">
      <c r="A1727" s="42" t="s">
        <v>3853</v>
      </c>
      <c r="B1727" s="42" t="s">
        <v>3263</v>
      </c>
      <c r="C1727" s="46">
        <v>43008</v>
      </c>
      <c r="D1727" s="47">
        <v>200</v>
      </c>
      <c r="E1727" s="32" t="s">
        <v>3377</v>
      </c>
      <c r="F1727" s="32" t="s">
        <v>3378</v>
      </c>
      <c r="G1727" s="32"/>
      <c r="H1727" s="32" t="s">
        <v>329</v>
      </c>
    </row>
    <row r="1728" spans="1:8" ht="20.100000000000001" customHeight="1">
      <c r="A1728" s="42" t="s">
        <v>3854</v>
      </c>
      <c r="B1728" s="42" t="s">
        <v>3263</v>
      </c>
      <c r="C1728" s="46">
        <v>42994</v>
      </c>
      <c r="D1728" s="47">
        <v>220</v>
      </c>
      <c r="E1728" s="32" t="s">
        <v>3377</v>
      </c>
      <c r="F1728" s="32" t="s">
        <v>3378</v>
      </c>
      <c r="G1728" s="32"/>
      <c r="H1728" s="32" t="s">
        <v>329</v>
      </c>
    </row>
    <row r="1729" spans="1:8" ht="20.100000000000001" customHeight="1">
      <c r="A1729" s="42" t="s">
        <v>3855</v>
      </c>
      <c r="B1729" s="42" t="s">
        <v>3263</v>
      </c>
      <c r="C1729" s="46">
        <v>43008</v>
      </c>
      <c r="D1729" s="47">
        <v>100</v>
      </c>
      <c r="E1729" s="32" t="s">
        <v>3377</v>
      </c>
      <c r="F1729" s="32" t="s">
        <v>3378</v>
      </c>
      <c r="G1729" s="32"/>
      <c r="H1729" s="32" t="s">
        <v>329</v>
      </c>
    </row>
    <row r="1730" spans="1:8" ht="20.100000000000001" customHeight="1">
      <c r="A1730" s="42" t="s">
        <v>3856</v>
      </c>
      <c r="B1730" s="42" t="s">
        <v>3263</v>
      </c>
      <c r="C1730" s="46">
        <v>42974</v>
      </c>
      <c r="D1730" s="47">
        <v>240</v>
      </c>
      <c r="E1730" s="32" t="s">
        <v>3377</v>
      </c>
      <c r="F1730" s="32" t="s">
        <v>3378</v>
      </c>
      <c r="G1730" s="32"/>
      <c r="H1730" s="32" t="s">
        <v>328</v>
      </c>
    </row>
    <row r="1731" spans="1:8" ht="20.100000000000001" customHeight="1">
      <c r="A1731" s="42" t="s">
        <v>3570</v>
      </c>
      <c r="B1731" s="42" t="s">
        <v>3263</v>
      </c>
      <c r="C1731" s="46">
        <v>43008</v>
      </c>
      <c r="D1731" s="47">
        <v>40</v>
      </c>
      <c r="E1731" s="32" t="s">
        <v>3377</v>
      </c>
      <c r="F1731" s="32" t="s">
        <v>3378</v>
      </c>
      <c r="G1731" s="32"/>
      <c r="H1731" s="32" t="s">
        <v>328</v>
      </c>
    </row>
    <row r="1732" spans="1:8" ht="20.100000000000001" customHeight="1">
      <c r="A1732" s="42" t="s">
        <v>3571</v>
      </c>
      <c r="B1732" s="42" t="s">
        <v>3263</v>
      </c>
      <c r="C1732" s="46">
        <v>42965</v>
      </c>
      <c r="D1732" s="47">
        <v>100</v>
      </c>
      <c r="E1732" s="32" t="s">
        <v>3377</v>
      </c>
      <c r="F1732" s="32" t="s">
        <v>3378</v>
      </c>
      <c r="G1732" s="32"/>
      <c r="H1732" s="32" t="s">
        <v>328</v>
      </c>
    </row>
    <row r="1733" spans="1:8" ht="20.100000000000001" customHeight="1">
      <c r="A1733" s="42" t="s">
        <v>3857</v>
      </c>
      <c r="B1733" s="42" t="s">
        <v>3263</v>
      </c>
      <c r="C1733" s="46">
        <v>42982</v>
      </c>
      <c r="D1733" s="47">
        <v>40</v>
      </c>
      <c r="E1733" s="32" t="s">
        <v>3377</v>
      </c>
      <c r="F1733" s="32" t="s">
        <v>3378</v>
      </c>
      <c r="G1733" s="32"/>
      <c r="H1733" s="32" t="s">
        <v>328</v>
      </c>
    </row>
    <row r="1734" spans="1:8" ht="20.100000000000001" customHeight="1">
      <c r="A1734" s="42" t="s">
        <v>3858</v>
      </c>
      <c r="B1734" s="42" t="s">
        <v>3263</v>
      </c>
      <c r="C1734" s="46">
        <v>43008</v>
      </c>
      <c r="D1734" s="47">
        <v>200</v>
      </c>
      <c r="E1734" s="32" t="s">
        <v>3377</v>
      </c>
      <c r="F1734" s="32" t="s">
        <v>3378</v>
      </c>
      <c r="G1734" s="32"/>
      <c r="H1734" s="32" t="s">
        <v>328</v>
      </c>
    </row>
    <row r="1735" spans="1:8" ht="20.100000000000001" customHeight="1">
      <c r="A1735" s="42" t="s">
        <v>3859</v>
      </c>
      <c r="B1735" s="42" t="s">
        <v>3263</v>
      </c>
      <c r="C1735" s="46">
        <v>42994</v>
      </c>
      <c r="D1735" s="47">
        <v>220</v>
      </c>
      <c r="E1735" s="32" t="s">
        <v>3377</v>
      </c>
      <c r="F1735" s="32" t="s">
        <v>3378</v>
      </c>
      <c r="G1735" s="32"/>
      <c r="H1735" s="32" t="s">
        <v>328</v>
      </c>
    </row>
    <row r="1736" spans="1:8" ht="20.100000000000001" customHeight="1">
      <c r="A1736" s="42" t="s">
        <v>3860</v>
      </c>
      <c r="B1736" s="42" t="s">
        <v>3263</v>
      </c>
      <c r="C1736" s="46">
        <v>43008</v>
      </c>
      <c r="D1736" s="47">
        <v>100</v>
      </c>
      <c r="E1736" s="32" t="s">
        <v>3377</v>
      </c>
      <c r="F1736" s="32" t="s">
        <v>3378</v>
      </c>
      <c r="G1736" s="32"/>
      <c r="H1736" s="32" t="s">
        <v>328</v>
      </c>
    </row>
    <row r="1737" spans="1:8" ht="20.100000000000001" customHeight="1">
      <c r="A1737" s="42" t="s">
        <v>3821</v>
      </c>
      <c r="B1737" s="42" t="s">
        <v>412</v>
      </c>
      <c r="C1737" s="46">
        <v>43019</v>
      </c>
      <c r="D1737" s="47">
        <v>35</v>
      </c>
      <c r="E1737" s="32" t="s">
        <v>165</v>
      </c>
      <c r="F1737" s="32" t="s">
        <v>63</v>
      </c>
      <c r="G1737" s="32" t="s">
        <v>3823</v>
      </c>
      <c r="H1737" s="32" t="s">
        <v>328</v>
      </c>
    </row>
    <row r="1738" spans="1:8" ht="20.100000000000001" customHeight="1">
      <c r="A1738" s="42" t="s">
        <v>3821</v>
      </c>
      <c r="B1738" s="42" t="s">
        <v>412</v>
      </c>
      <c r="C1738" s="46">
        <v>43019</v>
      </c>
      <c r="D1738" s="47">
        <v>35</v>
      </c>
      <c r="E1738" s="32" t="s">
        <v>165</v>
      </c>
      <c r="F1738" s="32" t="s">
        <v>63</v>
      </c>
      <c r="G1738" s="32" t="s">
        <v>3316</v>
      </c>
      <c r="H1738" s="32" t="s">
        <v>328</v>
      </c>
    </row>
    <row r="1739" spans="1:8" ht="20.100000000000001" customHeight="1">
      <c r="A1739" s="42" t="s">
        <v>3821</v>
      </c>
      <c r="B1739" s="42" t="s">
        <v>412</v>
      </c>
      <c r="C1739" s="46">
        <v>43020</v>
      </c>
      <c r="D1739" s="47">
        <v>34</v>
      </c>
      <c r="E1739" s="32" t="s">
        <v>165</v>
      </c>
      <c r="F1739" s="32" t="s">
        <v>63</v>
      </c>
      <c r="G1739" s="32" t="s">
        <v>3823</v>
      </c>
      <c r="H1739" s="32" t="s">
        <v>328</v>
      </c>
    </row>
    <row r="1740" spans="1:8" ht="20.100000000000001" customHeight="1">
      <c r="A1740" s="42" t="s">
        <v>3821</v>
      </c>
      <c r="B1740" s="42" t="s">
        <v>412</v>
      </c>
      <c r="C1740" s="46">
        <v>43020</v>
      </c>
      <c r="D1740" s="47">
        <v>34</v>
      </c>
      <c r="E1740" s="32" t="s">
        <v>165</v>
      </c>
      <c r="F1740" s="32" t="s">
        <v>63</v>
      </c>
      <c r="G1740" s="32" t="s">
        <v>3225</v>
      </c>
      <c r="H1740" s="32" t="s">
        <v>328</v>
      </c>
    </row>
    <row r="1741" spans="1:8" ht="20.100000000000001" customHeight="1">
      <c r="A1741" s="42" t="s">
        <v>3871</v>
      </c>
      <c r="B1741" s="42" t="s">
        <v>412</v>
      </c>
      <c r="C1741" s="46">
        <v>43021</v>
      </c>
      <c r="D1741" s="47">
        <v>34</v>
      </c>
      <c r="E1741" s="32" t="s">
        <v>165</v>
      </c>
      <c r="F1741" s="32" t="s">
        <v>63</v>
      </c>
      <c r="G1741" s="32" t="s">
        <v>3823</v>
      </c>
      <c r="H1741" s="32" t="s">
        <v>328</v>
      </c>
    </row>
    <row r="1742" spans="1:8" ht="20.100000000000001" customHeight="1">
      <c r="A1742" s="42" t="s">
        <v>3871</v>
      </c>
      <c r="B1742" s="42" t="s">
        <v>412</v>
      </c>
      <c r="C1742" s="46">
        <v>43022</v>
      </c>
      <c r="D1742" s="47">
        <v>33</v>
      </c>
      <c r="E1742" s="32" t="s">
        <v>165</v>
      </c>
      <c r="F1742" s="32" t="s">
        <v>63</v>
      </c>
      <c r="G1742" s="32" t="s">
        <v>3823</v>
      </c>
      <c r="H1742" s="32" t="s">
        <v>328</v>
      </c>
    </row>
    <row r="1743" spans="1:8" ht="20.100000000000001" customHeight="1">
      <c r="A1743" s="42" t="s">
        <v>3871</v>
      </c>
      <c r="B1743" s="42" t="s">
        <v>412</v>
      </c>
      <c r="C1743" s="46">
        <v>43022</v>
      </c>
      <c r="D1743" s="47">
        <v>33</v>
      </c>
      <c r="E1743" s="32" t="s">
        <v>165</v>
      </c>
      <c r="F1743" s="32" t="s">
        <v>63</v>
      </c>
      <c r="G1743" s="32" t="s">
        <v>3886</v>
      </c>
      <c r="H1743" s="32" t="s">
        <v>328</v>
      </c>
    </row>
    <row r="1744" spans="1:8" ht="20.100000000000001" customHeight="1">
      <c r="A1744" s="42" t="s">
        <v>3871</v>
      </c>
      <c r="B1744" s="42" t="s">
        <v>412</v>
      </c>
      <c r="C1744" s="46">
        <v>43022</v>
      </c>
      <c r="D1744" s="47">
        <v>34</v>
      </c>
      <c r="E1744" s="32" t="s">
        <v>165</v>
      </c>
      <c r="F1744" s="32" t="s">
        <v>63</v>
      </c>
      <c r="G1744" s="32" t="s">
        <v>3887</v>
      </c>
      <c r="H1744" s="32" t="s">
        <v>328</v>
      </c>
    </row>
    <row r="1745" spans="1:9" ht="20.100000000000001" customHeight="1">
      <c r="A1745" s="42" t="s">
        <v>3871</v>
      </c>
      <c r="B1745" s="42" t="s">
        <v>412</v>
      </c>
      <c r="C1745" s="46">
        <v>43024</v>
      </c>
      <c r="D1745" s="47">
        <v>33</v>
      </c>
      <c r="E1745" s="32" t="s">
        <v>165</v>
      </c>
      <c r="F1745" s="32" t="s">
        <v>63</v>
      </c>
      <c r="G1745" s="32" t="s">
        <v>3888</v>
      </c>
      <c r="H1745" s="32" t="s">
        <v>328</v>
      </c>
    </row>
    <row r="1746" spans="1:9" ht="20.100000000000001" customHeight="1">
      <c r="A1746" s="42" t="s">
        <v>3871</v>
      </c>
      <c r="B1746" s="42" t="s">
        <v>412</v>
      </c>
      <c r="C1746" s="46">
        <v>43025</v>
      </c>
      <c r="D1746" s="47">
        <v>33</v>
      </c>
      <c r="E1746" s="32" t="s">
        <v>165</v>
      </c>
      <c r="F1746" s="32" t="s">
        <v>63</v>
      </c>
      <c r="G1746" s="32" t="s">
        <v>3889</v>
      </c>
      <c r="H1746" s="32" t="s">
        <v>328</v>
      </c>
    </row>
    <row r="1747" spans="1:9" ht="20.100000000000001" customHeight="1">
      <c r="A1747" s="42" t="s">
        <v>3891</v>
      </c>
      <c r="B1747" s="42" t="s">
        <v>3892</v>
      </c>
      <c r="C1747" s="46">
        <v>43026</v>
      </c>
      <c r="D1747" s="47">
        <v>32</v>
      </c>
      <c r="E1747" s="32" t="s">
        <v>3895</v>
      </c>
      <c r="F1747" s="32" t="s">
        <v>3896</v>
      </c>
      <c r="G1747" s="32" t="s">
        <v>3897</v>
      </c>
      <c r="H1747" s="32" t="s">
        <v>3898</v>
      </c>
      <c r="I1747" s="153">
        <v>135</v>
      </c>
    </row>
    <row r="1748" spans="1:9" ht="20.100000000000001" customHeight="1">
      <c r="A1748" s="42" t="s">
        <v>3906</v>
      </c>
      <c r="B1748" s="42" t="s">
        <v>603</v>
      </c>
      <c r="C1748" s="46">
        <v>43024</v>
      </c>
      <c r="D1748" s="47">
        <v>37</v>
      </c>
      <c r="E1748" s="32" t="s">
        <v>1681</v>
      </c>
      <c r="F1748" s="32" t="s">
        <v>63</v>
      </c>
      <c r="G1748" s="32" t="s">
        <v>3899</v>
      </c>
      <c r="H1748" s="32" t="s">
        <v>329</v>
      </c>
    </row>
    <row r="1749" spans="1:9" ht="20.100000000000001" customHeight="1">
      <c r="A1749" s="42" t="s">
        <v>3906</v>
      </c>
      <c r="B1749" s="42" t="s">
        <v>603</v>
      </c>
      <c r="C1749" s="46">
        <v>43024</v>
      </c>
      <c r="D1749" s="47">
        <v>33</v>
      </c>
      <c r="E1749" s="32" t="s">
        <v>1681</v>
      </c>
      <c r="F1749" s="32" t="s">
        <v>63</v>
      </c>
      <c r="G1749" s="32" t="s">
        <v>3900</v>
      </c>
      <c r="H1749" s="32" t="s">
        <v>329</v>
      </c>
    </row>
    <row r="1750" spans="1:9" ht="20.100000000000001" customHeight="1">
      <c r="A1750" s="42" t="s">
        <v>3906</v>
      </c>
      <c r="B1750" s="42" t="s">
        <v>603</v>
      </c>
      <c r="C1750" s="46">
        <v>43024</v>
      </c>
      <c r="D1750" s="47">
        <v>37</v>
      </c>
      <c r="E1750" s="32" t="s">
        <v>1681</v>
      </c>
      <c r="F1750" s="32" t="s">
        <v>63</v>
      </c>
      <c r="G1750" s="32" t="s">
        <v>3901</v>
      </c>
      <c r="H1750" s="32" t="s">
        <v>329</v>
      </c>
    </row>
    <row r="1751" spans="1:9" ht="20.100000000000001" customHeight="1">
      <c r="A1751" s="42" t="s">
        <v>3906</v>
      </c>
      <c r="B1751" s="42" t="s">
        <v>603</v>
      </c>
      <c r="C1751" s="46">
        <v>43025</v>
      </c>
      <c r="D1751" s="47">
        <v>35</v>
      </c>
      <c r="E1751" s="32" t="s">
        <v>1681</v>
      </c>
      <c r="F1751" s="32" t="s">
        <v>63</v>
      </c>
      <c r="G1751" s="32" t="s">
        <v>3902</v>
      </c>
      <c r="H1751" s="32" t="s">
        <v>329</v>
      </c>
    </row>
    <row r="1752" spans="1:9" ht="20.100000000000001" customHeight="1">
      <c r="A1752" s="42" t="s">
        <v>3906</v>
      </c>
      <c r="B1752" s="42" t="s">
        <v>603</v>
      </c>
      <c r="C1752" s="46">
        <v>43025</v>
      </c>
      <c r="D1752" s="47">
        <v>35</v>
      </c>
      <c r="E1752" s="32" t="s">
        <v>1681</v>
      </c>
      <c r="F1752" s="32" t="s">
        <v>63</v>
      </c>
      <c r="G1752" s="32" t="s">
        <v>3903</v>
      </c>
      <c r="H1752" s="32" t="s">
        <v>329</v>
      </c>
    </row>
    <row r="1753" spans="1:9" ht="20.100000000000001" customHeight="1">
      <c r="A1753" s="42" t="s">
        <v>3906</v>
      </c>
      <c r="B1753" s="42" t="s">
        <v>603</v>
      </c>
      <c r="C1753" s="46">
        <v>43025</v>
      </c>
      <c r="D1753" s="47">
        <v>35</v>
      </c>
      <c r="E1753" s="32" t="s">
        <v>1681</v>
      </c>
      <c r="F1753" s="32" t="s">
        <v>63</v>
      </c>
      <c r="G1753" s="32" t="s">
        <v>3904</v>
      </c>
      <c r="H1753" s="32" t="s">
        <v>329</v>
      </c>
    </row>
    <row r="1754" spans="1:9" ht="20.100000000000001" customHeight="1">
      <c r="A1754" s="42" t="s">
        <v>3906</v>
      </c>
      <c r="B1754" s="42" t="s">
        <v>603</v>
      </c>
      <c r="C1754" s="46">
        <v>43025</v>
      </c>
      <c r="D1754" s="47">
        <v>35</v>
      </c>
      <c r="E1754" s="32" t="s">
        <v>1681</v>
      </c>
      <c r="F1754" s="32" t="s">
        <v>63</v>
      </c>
      <c r="G1754" s="32" t="s">
        <v>3905</v>
      </c>
      <c r="H1754" s="32" t="s">
        <v>329</v>
      </c>
    </row>
    <row r="1755" spans="1:9" ht="20.100000000000001" customHeight="1">
      <c r="A1755" s="42" t="s">
        <v>3877</v>
      </c>
      <c r="B1755" s="42" t="s">
        <v>603</v>
      </c>
      <c r="C1755" s="46">
        <v>43026</v>
      </c>
      <c r="D1755" s="47">
        <v>33</v>
      </c>
      <c r="E1755" s="32" t="s">
        <v>1681</v>
      </c>
      <c r="F1755" s="32" t="s">
        <v>63</v>
      </c>
      <c r="G1755" s="32" t="s">
        <v>3695</v>
      </c>
      <c r="H1755" s="32" t="s">
        <v>329</v>
      </c>
    </row>
    <row r="1756" spans="1:9" ht="20.100000000000001" customHeight="1">
      <c r="A1756" s="42" t="s">
        <v>3877</v>
      </c>
      <c r="B1756" s="42" t="s">
        <v>603</v>
      </c>
      <c r="C1756" s="46">
        <v>43026</v>
      </c>
      <c r="D1756" s="47">
        <v>35</v>
      </c>
      <c r="E1756" s="32" t="s">
        <v>1681</v>
      </c>
      <c r="F1756" s="32" t="s">
        <v>63</v>
      </c>
      <c r="G1756" s="32" t="s">
        <v>3918</v>
      </c>
      <c r="H1756" s="32" t="s">
        <v>329</v>
      </c>
    </row>
    <row r="1757" spans="1:9" ht="20.100000000000001" customHeight="1">
      <c r="A1757" s="42" t="s">
        <v>3877</v>
      </c>
      <c r="B1757" s="42" t="s">
        <v>603</v>
      </c>
      <c r="C1757" s="46">
        <v>43026</v>
      </c>
      <c r="D1757" s="47">
        <v>34</v>
      </c>
      <c r="E1757" s="32" t="s">
        <v>1681</v>
      </c>
      <c r="F1757" s="32" t="s">
        <v>63</v>
      </c>
      <c r="G1757" s="32" t="s">
        <v>3935</v>
      </c>
      <c r="H1757" s="32" t="s">
        <v>329</v>
      </c>
    </row>
    <row r="1758" spans="1:9" ht="20.100000000000001" customHeight="1">
      <c r="A1758" s="42" t="s">
        <v>3911</v>
      </c>
      <c r="B1758" s="42" t="s">
        <v>194</v>
      </c>
      <c r="C1758" s="46">
        <v>43028</v>
      </c>
      <c r="D1758" s="47">
        <v>32</v>
      </c>
      <c r="E1758" s="32" t="s">
        <v>137</v>
      </c>
      <c r="F1758" s="32" t="s">
        <v>165</v>
      </c>
      <c r="G1758" s="32" t="s">
        <v>3923</v>
      </c>
      <c r="H1758" s="32" t="s">
        <v>329</v>
      </c>
    </row>
    <row r="1759" spans="1:9" ht="20.100000000000001" customHeight="1">
      <c r="A1759" s="42" t="s">
        <v>3911</v>
      </c>
      <c r="B1759" s="42" t="s">
        <v>194</v>
      </c>
      <c r="C1759" s="46">
        <v>43028</v>
      </c>
      <c r="D1759" s="47">
        <v>32</v>
      </c>
      <c r="E1759" s="32" t="s">
        <v>137</v>
      </c>
      <c r="F1759" s="32" t="s">
        <v>165</v>
      </c>
      <c r="G1759" s="32" t="s">
        <v>3924</v>
      </c>
      <c r="H1759" s="32" t="s">
        <v>329</v>
      </c>
    </row>
    <row r="1760" spans="1:9" ht="20.100000000000001" customHeight="1">
      <c r="A1760" s="42" t="s">
        <v>3914</v>
      </c>
      <c r="B1760" s="42" t="s">
        <v>194</v>
      </c>
      <c r="C1760" s="46">
        <v>43028</v>
      </c>
      <c r="D1760" s="47">
        <v>32</v>
      </c>
      <c r="E1760" s="32" t="s">
        <v>3925</v>
      </c>
      <c r="F1760" s="32" t="s">
        <v>165</v>
      </c>
      <c r="G1760" s="32" t="s">
        <v>3926</v>
      </c>
      <c r="H1760" s="32" t="s">
        <v>329</v>
      </c>
    </row>
    <row r="1761" spans="1:8" ht="20.100000000000001" customHeight="1">
      <c r="A1761" s="42" t="s">
        <v>3914</v>
      </c>
      <c r="B1761" s="42" t="s">
        <v>194</v>
      </c>
      <c r="C1761" s="46">
        <v>43028</v>
      </c>
      <c r="D1761" s="47">
        <v>32</v>
      </c>
      <c r="E1761" s="32" t="s">
        <v>3925</v>
      </c>
      <c r="F1761" s="32" t="s">
        <v>165</v>
      </c>
      <c r="G1761" s="32" t="s">
        <v>3927</v>
      </c>
      <c r="H1761" s="32" t="s">
        <v>329</v>
      </c>
    </row>
    <row r="1762" spans="1:8" ht="20.100000000000001" customHeight="1">
      <c r="A1762" s="42" t="s">
        <v>3914</v>
      </c>
      <c r="B1762" s="42" t="s">
        <v>194</v>
      </c>
      <c r="C1762" s="46">
        <v>43028</v>
      </c>
      <c r="D1762" s="47">
        <v>32</v>
      </c>
      <c r="E1762" s="32" t="s">
        <v>3925</v>
      </c>
      <c r="F1762" s="32" t="s">
        <v>165</v>
      </c>
      <c r="G1762" s="32" t="s">
        <v>3928</v>
      </c>
      <c r="H1762" s="32" t="s">
        <v>329</v>
      </c>
    </row>
    <row r="1763" spans="1:8" ht="20.100000000000001" customHeight="1">
      <c r="A1763" s="42" t="s">
        <v>3877</v>
      </c>
      <c r="B1763" s="42" t="s">
        <v>603</v>
      </c>
      <c r="C1763" s="46">
        <v>43031</v>
      </c>
      <c r="D1763" s="47">
        <v>32</v>
      </c>
      <c r="E1763" s="32" t="s">
        <v>1681</v>
      </c>
      <c r="F1763" s="32" t="s">
        <v>63</v>
      </c>
      <c r="G1763" s="32" t="s">
        <v>3939</v>
      </c>
      <c r="H1763" s="32" t="s">
        <v>329</v>
      </c>
    </row>
    <row r="1764" spans="1:8" ht="20.100000000000001" customHeight="1">
      <c r="A1764" s="42" t="s">
        <v>3877</v>
      </c>
      <c r="B1764" s="42" t="s">
        <v>603</v>
      </c>
      <c r="C1764" s="46">
        <v>43031</v>
      </c>
      <c r="D1764" s="47">
        <v>36</v>
      </c>
      <c r="E1764" s="32" t="s">
        <v>1681</v>
      </c>
      <c r="F1764" s="32" t="s">
        <v>63</v>
      </c>
      <c r="G1764" s="32" t="s">
        <v>3938</v>
      </c>
      <c r="H1764" s="32" t="s">
        <v>329</v>
      </c>
    </row>
    <row r="1765" spans="1:8" ht="20.100000000000001" customHeight="1">
      <c r="A1765" s="42" t="s">
        <v>3877</v>
      </c>
      <c r="B1765" s="42" t="s">
        <v>603</v>
      </c>
      <c r="C1765" s="46">
        <v>43031</v>
      </c>
      <c r="D1765" s="47">
        <v>33</v>
      </c>
      <c r="E1765" s="32" t="s">
        <v>1681</v>
      </c>
      <c r="F1765" s="32" t="s">
        <v>63</v>
      </c>
      <c r="G1765" s="32" t="s">
        <v>3937</v>
      </c>
      <c r="H1765" s="32" t="s">
        <v>329</v>
      </c>
    </row>
    <row r="1766" spans="1:8" ht="20.100000000000001" customHeight="1">
      <c r="A1766" s="42" t="s">
        <v>3877</v>
      </c>
      <c r="B1766" s="42" t="s">
        <v>603</v>
      </c>
      <c r="C1766" s="46">
        <v>43031</v>
      </c>
      <c r="D1766" s="47">
        <v>36</v>
      </c>
      <c r="E1766" s="32" t="s">
        <v>1681</v>
      </c>
      <c r="F1766" s="32" t="s">
        <v>63</v>
      </c>
      <c r="G1766" s="32" t="s">
        <v>3750</v>
      </c>
      <c r="H1766" s="32" t="s">
        <v>329</v>
      </c>
    </row>
    <row r="1767" spans="1:8" ht="20.100000000000001" customHeight="1">
      <c r="A1767" s="42" t="s">
        <v>3877</v>
      </c>
      <c r="B1767" s="42" t="s">
        <v>603</v>
      </c>
      <c r="C1767" s="46">
        <v>43031</v>
      </c>
      <c r="D1767" s="47">
        <v>32</v>
      </c>
      <c r="E1767" s="32" t="s">
        <v>1681</v>
      </c>
      <c r="F1767" s="32" t="s">
        <v>63</v>
      </c>
      <c r="G1767" s="32" t="s">
        <v>3749</v>
      </c>
      <c r="H1767" s="32" t="s">
        <v>329</v>
      </c>
    </row>
    <row r="1768" spans="1:8" ht="20.100000000000001" customHeight="1">
      <c r="A1768" s="42" t="s">
        <v>3877</v>
      </c>
      <c r="B1768" s="42" t="s">
        <v>603</v>
      </c>
      <c r="C1768" s="46">
        <v>43031</v>
      </c>
      <c r="D1768" s="47">
        <v>32</v>
      </c>
      <c r="E1768" s="32" t="s">
        <v>1681</v>
      </c>
      <c r="F1768" s="32" t="s">
        <v>63</v>
      </c>
      <c r="G1768" s="32" t="s">
        <v>3936</v>
      </c>
      <c r="H1768" s="32" t="s">
        <v>329</v>
      </c>
    </row>
    <row r="1769" spans="1:8" ht="20.100000000000001" customHeight="1">
      <c r="A1769" s="42" t="s">
        <v>3907</v>
      </c>
      <c r="B1769" s="42" t="s">
        <v>603</v>
      </c>
      <c r="C1769" s="46">
        <v>43031</v>
      </c>
      <c r="D1769" s="47">
        <v>34</v>
      </c>
      <c r="E1769" s="32" t="s">
        <v>1681</v>
      </c>
      <c r="F1769" s="32" t="s">
        <v>63</v>
      </c>
      <c r="G1769" s="32" t="s">
        <v>3942</v>
      </c>
      <c r="H1769" s="32" t="s">
        <v>329</v>
      </c>
    </row>
    <row r="1770" spans="1:8" ht="20.100000000000001" customHeight="1">
      <c r="A1770" s="42" t="s">
        <v>3907</v>
      </c>
      <c r="B1770" s="42" t="s">
        <v>603</v>
      </c>
      <c r="C1770" s="46">
        <v>43031</v>
      </c>
      <c r="D1770" s="47">
        <v>35</v>
      </c>
      <c r="E1770" s="32" t="s">
        <v>1681</v>
      </c>
      <c r="F1770" s="32" t="s">
        <v>63</v>
      </c>
      <c r="G1770" s="32" t="s">
        <v>3943</v>
      </c>
      <c r="H1770" s="32" t="s">
        <v>329</v>
      </c>
    </row>
    <row r="1771" spans="1:8" ht="20.100000000000001" customHeight="1">
      <c r="A1771" s="42" t="s">
        <v>3907</v>
      </c>
      <c r="B1771" s="42" t="s">
        <v>603</v>
      </c>
      <c r="C1771" s="46">
        <v>43031</v>
      </c>
      <c r="D1771" s="47">
        <v>34</v>
      </c>
      <c r="E1771" s="32" t="s">
        <v>1681</v>
      </c>
      <c r="F1771" s="32" t="s">
        <v>63</v>
      </c>
      <c r="G1771" s="32" t="s">
        <v>3695</v>
      </c>
      <c r="H1771" s="32" t="s">
        <v>329</v>
      </c>
    </row>
    <row r="1772" spans="1:8" ht="20.100000000000001" customHeight="1">
      <c r="A1772" s="42" t="s">
        <v>3907</v>
      </c>
      <c r="B1772" s="42" t="s">
        <v>603</v>
      </c>
      <c r="C1772" s="46">
        <v>43032</v>
      </c>
      <c r="D1772" s="47">
        <v>36</v>
      </c>
      <c r="E1772" s="32" t="s">
        <v>1681</v>
      </c>
      <c r="F1772" s="32" t="s">
        <v>63</v>
      </c>
      <c r="G1772" s="32" t="s">
        <v>3939</v>
      </c>
      <c r="H1772" s="32" t="s">
        <v>329</v>
      </c>
    </row>
    <row r="1773" spans="1:8" ht="20.100000000000001" customHeight="1">
      <c r="A1773" s="42" t="s">
        <v>3907</v>
      </c>
      <c r="B1773" s="42" t="s">
        <v>603</v>
      </c>
      <c r="C1773" s="46">
        <v>43032</v>
      </c>
      <c r="D1773" s="47">
        <v>36</v>
      </c>
      <c r="E1773" s="32" t="s">
        <v>1681</v>
      </c>
      <c r="F1773" s="32" t="s">
        <v>63</v>
      </c>
      <c r="G1773" s="32" t="s">
        <v>3938</v>
      </c>
      <c r="H1773" s="32" t="s">
        <v>329</v>
      </c>
    </row>
    <row r="1774" spans="1:8" ht="20.100000000000001" customHeight="1">
      <c r="A1774" s="42" t="s">
        <v>4044</v>
      </c>
      <c r="B1774" s="42" t="s">
        <v>4136</v>
      </c>
      <c r="C1774" s="46">
        <v>43045</v>
      </c>
      <c r="D1774" s="21">
        <v>188</v>
      </c>
      <c r="E1774" s="32" t="s">
        <v>4137</v>
      </c>
      <c r="F1774" s="32" t="s">
        <v>688</v>
      </c>
      <c r="G1774" s="32"/>
      <c r="H1774" s="32" t="s">
        <v>443</v>
      </c>
    </row>
    <row r="1775" spans="1:8" ht="20.100000000000001" customHeight="1">
      <c r="A1775" s="42" t="s">
        <v>3940</v>
      </c>
      <c r="B1775" s="42" t="s">
        <v>603</v>
      </c>
      <c r="C1775" s="46">
        <v>43039</v>
      </c>
      <c r="D1775" s="47">
        <v>300</v>
      </c>
      <c r="E1775" s="32" t="s">
        <v>4138</v>
      </c>
      <c r="F1775" s="32" t="s">
        <v>549</v>
      </c>
      <c r="G1775" s="32"/>
      <c r="H1775" s="32" t="s">
        <v>443</v>
      </c>
    </row>
    <row r="1776" spans="1:8" ht="20.100000000000001" customHeight="1">
      <c r="A1776" s="42" t="s">
        <v>3960</v>
      </c>
      <c r="B1776" s="42" t="s">
        <v>603</v>
      </c>
      <c r="C1776" s="46">
        <v>43039</v>
      </c>
      <c r="D1776" s="47">
        <v>300</v>
      </c>
      <c r="E1776" s="32" t="s">
        <v>4138</v>
      </c>
      <c r="F1776" s="32" t="s">
        <v>549</v>
      </c>
      <c r="G1776" s="32"/>
      <c r="H1776" s="32" t="s">
        <v>551</v>
      </c>
    </row>
    <row r="1777" spans="1:8" ht="20.100000000000001" customHeight="1">
      <c r="A1777" s="42" t="s">
        <v>3960</v>
      </c>
      <c r="B1777" s="42" t="s">
        <v>603</v>
      </c>
      <c r="C1777" s="46">
        <v>43032</v>
      </c>
      <c r="D1777" s="47">
        <v>725</v>
      </c>
      <c r="E1777" s="32" t="s">
        <v>3826</v>
      </c>
      <c r="F1777" s="32" t="s">
        <v>549</v>
      </c>
      <c r="G1777" s="32"/>
      <c r="H1777" s="32" t="s">
        <v>551</v>
      </c>
    </row>
    <row r="1778" spans="1:8" ht="20.100000000000001" customHeight="1">
      <c r="A1778" s="42" t="s">
        <v>4014</v>
      </c>
      <c r="B1778" s="42" t="s">
        <v>3263</v>
      </c>
      <c r="C1778" s="46">
        <v>43038</v>
      </c>
      <c r="D1778" s="47">
        <v>220</v>
      </c>
      <c r="E1778" s="32" t="s">
        <v>4139</v>
      </c>
      <c r="F1778" s="32" t="s">
        <v>4140</v>
      </c>
      <c r="G1778" s="32"/>
      <c r="H1778" s="32" t="s">
        <v>443</v>
      </c>
    </row>
    <row r="1779" spans="1:8" ht="20.100000000000001" customHeight="1">
      <c r="A1779" s="42" t="s">
        <v>4141</v>
      </c>
      <c r="B1779" s="42" t="s">
        <v>3263</v>
      </c>
      <c r="C1779" s="46">
        <v>43028</v>
      </c>
      <c r="D1779" s="47">
        <v>160</v>
      </c>
      <c r="E1779" s="32" t="s">
        <v>4139</v>
      </c>
      <c r="F1779" s="32" t="s">
        <v>4140</v>
      </c>
      <c r="G1779" s="32"/>
      <c r="H1779" s="32" t="s">
        <v>443</v>
      </c>
    </row>
    <row r="1780" spans="1:8" ht="20.100000000000001" customHeight="1">
      <c r="A1780" s="42" t="s">
        <v>4142</v>
      </c>
      <c r="B1780" s="42" t="s">
        <v>4143</v>
      </c>
      <c r="C1780" s="46">
        <v>43044</v>
      </c>
      <c r="D1780" s="47">
        <v>100</v>
      </c>
      <c r="E1780" s="32" t="s">
        <v>4144</v>
      </c>
      <c r="F1780" s="32" t="s">
        <v>4145</v>
      </c>
      <c r="G1780" s="32"/>
      <c r="H1780" s="32" t="s">
        <v>4146</v>
      </c>
    </row>
    <row r="1781" spans="1:8" ht="20.100000000000001" customHeight="1">
      <c r="A1781" s="42" t="s">
        <v>4147</v>
      </c>
      <c r="B1781" s="42" t="s">
        <v>4143</v>
      </c>
      <c r="C1781" s="46">
        <v>43037</v>
      </c>
      <c r="D1781" s="47">
        <v>40</v>
      </c>
      <c r="E1781" s="32" t="s">
        <v>4144</v>
      </c>
      <c r="F1781" s="32" t="s">
        <v>4145</v>
      </c>
      <c r="G1781" s="32"/>
      <c r="H1781" s="32" t="s">
        <v>4146</v>
      </c>
    </row>
    <row r="1782" spans="1:8" ht="20.100000000000001" customHeight="1">
      <c r="A1782" s="42" t="s">
        <v>4148</v>
      </c>
      <c r="B1782" s="42" t="s">
        <v>4143</v>
      </c>
      <c r="C1782" s="46">
        <v>43053</v>
      </c>
      <c r="D1782" s="47">
        <v>60</v>
      </c>
      <c r="E1782" s="32" t="s">
        <v>4144</v>
      </c>
      <c r="F1782" s="32" t="s">
        <v>4145</v>
      </c>
      <c r="G1782" s="32"/>
      <c r="H1782" s="32" t="s">
        <v>4146</v>
      </c>
    </row>
    <row r="1783" spans="1:8" ht="20.100000000000001" customHeight="1">
      <c r="A1783" s="42" t="s">
        <v>4149</v>
      </c>
      <c r="B1783" s="42" t="s">
        <v>4143</v>
      </c>
      <c r="C1783" s="46">
        <v>43038</v>
      </c>
      <c r="D1783" s="47">
        <v>100</v>
      </c>
      <c r="E1783" s="32" t="s">
        <v>4144</v>
      </c>
      <c r="F1783" s="32" t="s">
        <v>4145</v>
      </c>
      <c r="G1783" s="32"/>
      <c r="H1783" s="32" t="s">
        <v>4150</v>
      </c>
    </row>
    <row r="1784" spans="1:8" ht="20.100000000000001" customHeight="1">
      <c r="A1784" s="42" t="s">
        <v>4151</v>
      </c>
      <c r="B1784" s="42" t="s">
        <v>4143</v>
      </c>
      <c r="C1784" s="46">
        <v>43028</v>
      </c>
      <c r="D1784" s="47">
        <v>160</v>
      </c>
      <c r="E1784" s="32" t="s">
        <v>4144</v>
      </c>
      <c r="F1784" s="32" t="s">
        <v>4145</v>
      </c>
      <c r="G1784" s="32"/>
      <c r="H1784" s="32" t="s">
        <v>4150</v>
      </c>
    </row>
    <row r="1785" spans="1:8" ht="20.100000000000001" customHeight="1">
      <c r="A1785" s="42" t="s">
        <v>4152</v>
      </c>
      <c r="B1785" s="42" t="s">
        <v>4143</v>
      </c>
      <c r="C1785" s="46">
        <v>43044</v>
      </c>
      <c r="D1785" s="47">
        <v>220</v>
      </c>
      <c r="E1785" s="32" t="s">
        <v>4144</v>
      </c>
      <c r="F1785" s="32" t="s">
        <v>4145</v>
      </c>
      <c r="G1785" s="32"/>
      <c r="H1785" s="32" t="s">
        <v>4150</v>
      </c>
    </row>
    <row r="1786" spans="1:8" ht="20.100000000000001" customHeight="1">
      <c r="A1786" s="42" t="s">
        <v>4153</v>
      </c>
      <c r="B1786" s="42" t="s">
        <v>4143</v>
      </c>
      <c r="C1786" s="46">
        <v>43037</v>
      </c>
      <c r="D1786" s="47">
        <v>40</v>
      </c>
      <c r="E1786" s="32" t="s">
        <v>4144</v>
      </c>
      <c r="F1786" s="32" t="s">
        <v>4145</v>
      </c>
      <c r="G1786" s="32"/>
      <c r="H1786" s="32" t="s">
        <v>4150</v>
      </c>
    </row>
    <row r="1787" spans="1:8" ht="20.100000000000001" customHeight="1">
      <c r="A1787" s="42" t="s">
        <v>4154</v>
      </c>
      <c r="B1787" s="42" t="s">
        <v>4143</v>
      </c>
      <c r="C1787" s="46">
        <v>43053</v>
      </c>
      <c r="D1787" s="47">
        <v>60</v>
      </c>
      <c r="E1787" s="32" t="s">
        <v>4144</v>
      </c>
      <c r="F1787" s="32" t="s">
        <v>4145</v>
      </c>
      <c r="G1787" s="32"/>
      <c r="H1787" s="32" t="s">
        <v>4150</v>
      </c>
    </row>
    <row r="1788" spans="1:8" ht="20.100000000000001" customHeight="1">
      <c r="A1788" s="42" t="s">
        <v>4155</v>
      </c>
      <c r="B1788" s="42" t="s">
        <v>4156</v>
      </c>
      <c r="C1788" s="46">
        <v>43046</v>
      </c>
      <c r="D1788" s="47">
        <v>31</v>
      </c>
      <c r="E1788" s="32" t="s">
        <v>4157</v>
      </c>
      <c r="F1788" s="32" t="s">
        <v>4158</v>
      </c>
      <c r="G1788" s="32"/>
      <c r="H1788" s="32" t="s">
        <v>4150</v>
      </c>
    </row>
    <row r="1789" spans="1:8" ht="20.100000000000001" customHeight="1">
      <c r="A1789" s="42" t="s">
        <v>4159</v>
      </c>
      <c r="B1789" s="42" t="s">
        <v>4160</v>
      </c>
      <c r="C1789" s="46">
        <v>43046</v>
      </c>
      <c r="D1789" s="47">
        <v>13500</v>
      </c>
      <c r="E1789" s="32" t="s">
        <v>4161</v>
      </c>
      <c r="F1789" s="32" t="s">
        <v>4162</v>
      </c>
      <c r="G1789" s="32"/>
      <c r="H1789" s="32" t="s">
        <v>4146</v>
      </c>
    </row>
    <row r="1790" spans="1:8" ht="20.100000000000001" customHeight="1">
      <c r="A1790" s="42" t="s">
        <v>4163</v>
      </c>
      <c r="B1790" s="42" t="s">
        <v>4160</v>
      </c>
      <c r="C1790" s="46">
        <v>43046</v>
      </c>
      <c r="D1790" s="47">
        <v>13500</v>
      </c>
      <c r="E1790" s="32" t="s">
        <v>4161</v>
      </c>
      <c r="F1790" s="32" t="s">
        <v>4162</v>
      </c>
      <c r="G1790" s="32"/>
      <c r="H1790" s="32" t="s">
        <v>4150</v>
      </c>
    </row>
    <row r="1791" spans="1:8" ht="20.100000000000001" customHeight="1">
      <c r="A1791" s="42" t="s">
        <v>4164</v>
      </c>
      <c r="B1791" s="42" t="s">
        <v>4165</v>
      </c>
      <c r="C1791" s="46">
        <v>43058</v>
      </c>
      <c r="D1791" s="47">
        <v>626.32999999999993</v>
      </c>
      <c r="E1791" s="32" t="s">
        <v>4166</v>
      </c>
      <c r="F1791" s="32" t="s">
        <v>4167</v>
      </c>
      <c r="G1791" s="32"/>
      <c r="H1791" s="32" t="s">
        <v>4146</v>
      </c>
    </row>
    <row r="1792" spans="1:8" ht="20.100000000000001" customHeight="1">
      <c r="A1792" s="42" t="s">
        <v>4168</v>
      </c>
      <c r="B1792" s="42" t="s">
        <v>4169</v>
      </c>
      <c r="C1792" s="46">
        <v>43059</v>
      </c>
      <c r="D1792" s="47">
        <v>2000</v>
      </c>
      <c r="E1792" s="32" t="s">
        <v>4170</v>
      </c>
      <c r="F1792" s="32" t="s">
        <v>4167</v>
      </c>
      <c r="G1792" s="32"/>
      <c r="H1792" s="32" t="s">
        <v>4146</v>
      </c>
    </row>
    <row r="1793" spans="1:8" ht="20.100000000000001" customHeight="1">
      <c r="A1793" s="42" t="s">
        <v>4171</v>
      </c>
      <c r="B1793" s="42" t="s">
        <v>4169</v>
      </c>
      <c r="C1793" s="46">
        <v>43059</v>
      </c>
      <c r="D1793" s="47">
        <v>2000</v>
      </c>
      <c r="E1793" s="32" t="s">
        <v>4170</v>
      </c>
      <c r="F1793" s="32" t="s">
        <v>4167</v>
      </c>
      <c r="G1793" s="32"/>
      <c r="H1793" s="32" t="s">
        <v>4150</v>
      </c>
    </row>
    <row r="1794" spans="1:8" ht="20.100000000000001" customHeight="1">
      <c r="A1794" s="42" t="s">
        <v>4172</v>
      </c>
      <c r="B1794" s="42" t="s">
        <v>4165</v>
      </c>
      <c r="C1794" s="46">
        <v>43058</v>
      </c>
      <c r="D1794" s="47">
        <v>979.29</v>
      </c>
      <c r="E1794" s="32" t="s">
        <v>4166</v>
      </c>
      <c r="F1794" s="32" t="s">
        <v>4167</v>
      </c>
      <c r="G1794" s="32"/>
      <c r="H1794" s="32" t="s">
        <v>4150</v>
      </c>
    </row>
    <row r="1795" spans="1:8" ht="20.100000000000001" customHeight="1">
      <c r="A1795" s="42" t="s">
        <v>4172</v>
      </c>
      <c r="B1795" s="42" t="s">
        <v>4165</v>
      </c>
      <c r="C1795" s="46">
        <v>43045</v>
      </c>
      <c r="D1795" s="21">
        <v>188</v>
      </c>
      <c r="E1795" s="32" t="s">
        <v>4166</v>
      </c>
      <c r="F1795" s="32" t="s">
        <v>4167</v>
      </c>
      <c r="G1795" s="32"/>
      <c r="H1795" s="32" t="s">
        <v>4150</v>
      </c>
    </row>
    <row r="1796" spans="1:8" ht="20.100000000000001" customHeight="1">
      <c r="A1796" s="42" t="s">
        <v>4429</v>
      </c>
      <c r="B1796" s="42" t="s">
        <v>4165</v>
      </c>
      <c r="C1796" s="46">
        <v>43065</v>
      </c>
      <c r="D1796" s="21">
        <v>554.70000000000005</v>
      </c>
      <c r="E1796" s="32" t="s">
        <v>4166</v>
      </c>
      <c r="F1796" s="32" t="s">
        <v>4167</v>
      </c>
      <c r="G1796" s="32"/>
      <c r="H1796" s="32" t="s">
        <v>4146</v>
      </c>
    </row>
    <row r="1797" spans="1:8" ht="20.100000000000001" customHeight="1">
      <c r="A1797" s="42" t="s">
        <v>4429</v>
      </c>
      <c r="B1797" s="42" t="s">
        <v>4165</v>
      </c>
      <c r="C1797" s="46">
        <v>43072</v>
      </c>
      <c r="D1797" s="21">
        <v>352.96000000000004</v>
      </c>
      <c r="E1797" s="32" t="s">
        <v>4166</v>
      </c>
      <c r="F1797" s="32" t="s">
        <v>4167</v>
      </c>
      <c r="G1797" s="32"/>
      <c r="H1797" s="32" t="s">
        <v>4146</v>
      </c>
    </row>
    <row r="1798" spans="1:8" ht="20.100000000000001" customHeight="1">
      <c r="A1798" s="42" t="s">
        <v>4172</v>
      </c>
      <c r="B1798" s="42" t="s">
        <v>4165</v>
      </c>
      <c r="C1798" s="46">
        <v>43065</v>
      </c>
      <c r="D1798" s="21">
        <v>554.70000000000005</v>
      </c>
      <c r="E1798" s="32" t="s">
        <v>4166</v>
      </c>
      <c r="F1798" s="32" t="s">
        <v>4167</v>
      </c>
      <c r="G1798" s="32"/>
      <c r="H1798" s="32" t="s">
        <v>4150</v>
      </c>
    </row>
    <row r="1799" spans="1:8" ht="20.100000000000001" customHeight="1">
      <c r="A1799" s="42" t="s">
        <v>4056</v>
      </c>
      <c r="B1799" s="42" t="s">
        <v>3954</v>
      </c>
      <c r="C1799" s="46">
        <v>43072</v>
      </c>
      <c r="D1799" s="21">
        <f>654.36-300</f>
        <v>354.36</v>
      </c>
      <c r="E1799" s="32" t="s">
        <v>1187</v>
      </c>
      <c r="F1799" s="32" t="s">
        <v>70</v>
      </c>
      <c r="G1799" s="32"/>
      <c r="H1799" s="32" t="s">
        <v>328</v>
      </c>
    </row>
    <row r="1800" spans="1:8" ht="20.100000000000001" customHeight="1">
      <c r="A1800" s="42" t="s">
        <v>4173</v>
      </c>
      <c r="B1800" s="42" t="s">
        <v>4156</v>
      </c>
      <c r="C1800" s="46">
        <v>43068</v>
      </c>
      <c r="D1800" s="47">
        <v>513</v>
      </c>
      <c r="E1800" s="32" t="s">
        <v>4174</v>
      </c>
      <c r="F1800" s="32" t="s">
        <v>4175</v>
      </c>
      <c r="G1800" s="32"/>
      <c r="H1800" s="32" t="s">
        <v>4150</v>
      </c>
    </row>
    <row r="1801" spans="1:8" ht="20.100000000000001" customHeight="1">
      <c r="A1801" s="42" t="s">
        <v>4176</v>
      </c>
      <c r="B1801" s="42" t="s">
        <v>4156</v>
      </c>
      <c r="C1801" s="46">
        <v>43068</v>
      </c>
      <c r="D1801" s="47">
        <v>513</v>
      </c>
      <c r="E1801" s="32" t="s">
        <v>4174</v>
      </c>
      <c r="F1801" s="32" t="s">
        <v>4175</v>
      </c>
      <c r="G1801" s="32"/>
      <c r="H1801" s="32" t="s">
        <v>4146</v>
      </c>
    </row>
    <row r="1802" spans="1:8" ht="20.100000000000001" customHeight="1">
      <c r="A1802" s="42" t="s">
        <v>4177</v>
      </c>
      <c r="B1802" s="42" t="s">
        <v>4178</v>
      </c>
      <c r="C1802" s="46">
        <v>43054</v>
      </c>
      <c r="D1802" s="47">
        <v>200</v>
      </c>
      <c r="E1802" s="32" t="s">
        <v>4157</v>
      </c>
      <c r="F1802" s="32" t="s">
        <v>4179</v>
      </c>
      <c r="G1802" s="32"/>
      <c r="H1802" s="32" t="s">
        <v>4150</v>
      </c>
    </row>
    <row r="1803" spans="1:8" ht="20.100000000000001" customHeight="1">
      <c r="A1803" s="42" t="s">
        <v>4180</v>
      </c>
      <c r="B1803" s="42" t="s">
        <v>4143</v>
      </c>
      <c r="C1803" s="46">
        <v>43066</v>
      </c>
      <c r="D1803" s="47">
        <v>200</v>
      </c>
      <c r="E1803" s="32" t="s">
        <v>4144</v>
      </c>
      <c r="F1803" s="32" t="s">
        <v>4181</v>
      </c>
      <c r="G1803" s="32"/>
      <c r="H1803" s="32" t="s">
        <v>4146</v>
      </c>
    </row>
    <row r="1804" spans="1:8" ht="20.100000000000001" customHeight="1">
      <c r="A1804" s="42" t="s">
        <v>4182</v>
      </c>
      <c r="B1804" s="42" t="s">
        <v>4143</v>
      </c>
      <c r="C1804" s="46">
        <v>43066</v>
      </c>
      <c r="D1804" s="47">
        <v>200</v>
      </c>
      <c r="E1804" s="32" t="s">
        <v>4144</v>
      </c>
      <c r="F1804" s="32" t="s">
        <v>4181</v>
      </c>
      <c r="G1804" s="32"/>
      <c r="H1804" s="32" t="s">
        <v>4150</v>
      </c>
    </row>
    <row r="1805" spans="1:8" ht="20.100000000000001" customHeight="1">
      <c r="A1805" s="42" t="s">
        <v>4183</v>
      </c>
      <c r="B1805" s="42" t="s">
        <v>4143</v>
      </c>
      <c r="C1805" s="46">
        <v>43060</v>
      </c>
      <c r="D1805" s="47">
        <v>200</v>
      </c>
      <c r="E1805" s="32" t="s">
        <v>4144</v>
      </c>
      <c r="F1805" s="32" t="s">
        <v>4184</v>
      </c>
      <c r="G1805" s="32"/>
      <c r="H1805" s="32" t="s">
        <v>4146</v>
      </c>
    </row>
    <row r="1806" spans="1:8" ht="20.100000000000001" customHeight="1">
      <c r="A1806" s="42" t="s">
        <v>4185</v>
      </c>
      <c r="B1806" s="42" t="s">
        <v>4143</v>
      </c>
      <c r="C1806" s="46">
        <v>43064</v>
      </c>
      <c r="D1806" s="47">
        <v>200</v>
      </c>
      <c r="E1806" s="32" t="s">
        <v>4144</v>
      </c>
      <c r="F1806" s="32" t="s">
        <v>4184</v>
      </c>
      <c r="G1806" s="32"/>
      <c r="H1806" s="32" t="s">
        <v>4146</v>
      </c>
    </row>
    <row r="1807" spans="1:8" ht="20.100000000000001" customHeight="1">
      <c r="A1807" s="42" t="s">
        <v>4186</v>
      </c>
      <c r="B1807" s="42" t="s">
        <v>4143</v>
      </c>
      <c r="C1807" s="46">
        <v>43060</v>
      </c>
      <c r="D1807" s="47">
        <v>200</v>
      </c>
      <c r="E1807" s="32" t="s">
        <v>4144</v>
      </c>
      <c r="F1807" s="32" t="s">
        <v>4184</v>
      </c>
      <c r="G1807" s="32"/>
      <c r="H1807" s="32" t="s">
        <v>4150</v>
      </c>
    </row>
    <row r="1808" spans="1:8" ht="20.100000000000001" customHeight="1">
      <c r="A1808" s="42" t="s">
        <v>4187</v>
      </c>
      <c r="B1808" s="42" t="s">
        <v>4143</v>
      </c>
      <c r="C1808" s="46">
        <v>43064</v>
      </c>
      <c r="D1808" s="47">
        <v>200</v>
      </c>
      <c r="E1808" s="32" t="s">
        <v>4144</v>
      </c>
      <c r="F1808" s="32" t="s">
        <v>4184</v>
      </c>
      <c r="G1808" s="32"/>
      <c r="H1808" s="32" t="s">
        <v>4150</v>
      </c>
    </row>
    <row r="1809" spans="1:8" ht="20.100000000000001" customHeight="1">
      <c r="A1809" s="42" t="s">
        <v>4188</v>
      </c>
      <c r="B1809" s="42" t="s">
        <v>4143</v>
      </c>
      <c r="C1809" s="46">
        <v>43064</v>
      </c>
      <c r="D1809" s="47">
        <v>100</v>
      </c>
      <c r="E1809" s="32" t="s">
        <v>4144</v>
      </c>
      <c r="F1809" s="32" t="s">
        <v>4189</v>
      </c>
      <c r="G1809" s="32"/>
      <c r="H1809" s="32" t="s">
        <v>4146</v>
      </c>
    </row>
    <row r="1810" spans="1:8" ht="20.100000000000001" customHeight="1">
      <c r="A1810" s="42" t="s">
        <v>4190</v>
      </c>
      <c r="B1810" s="42" t="s">
        <v>4143</v>
      </c>
      <c r="C1810" s="46">
        <v>43064</v>
      </c>
      <c r="D1810" s="47">
        <v>100</v>
      </c>
      <c r="E1810" s="32" t="s">
        <v>4144</v>
      </c>
      <c r="F1810" s="32" t="s">
        <v>4189</v>
      </c>
      <c r="G1810" s="32"/>
      <c r="H1810" s="32" t="s">
        <v>4150</v>
      </c>
    </row>
    <row r="1811" spans="1:8" ht="20.100000000000001" customHeight="1">
      <c r="A1811" s="42" t="s">
        <v>4191</v>
      </c>
      <c r="B1811" s="42" t="s">
        <v>4143</v>
      </c>
      <c r="C1811" s="46">
        <v>43058</v>
      </c>
      <c r="D1811" s="47">
        <v>192</v>
      </c>
      <c r="E1811" s="32" t="s">
        <v>4144</v>
      </c>
      <c r="F1811" s="32" t="s">
        <v>4189</v>
      </c>
      <c r="G1811" s="32"/>
      <c r="H1811" s="32" t="s">
        <v>4146</v>
      </c>
    </row>
    <row r="1812" spans="1:8" ht="20.100000000000001" customHeight="1">
      <c r="A1812" s="42" t="s">
        <v>4192</v>
      </c>
      <c r="B1812" s="42" t="s">
        <v>4143</v>
      </c>
      <c r="C1812" s="46">
        <v>43058</v>
      </c>
      <c r="D1812" s="47">
        <v>192</v>
      </c>
      <c r="E1812" s="32" t="s">
        <v>4144</v>
      </c>
      <c r="F1812" s="32" t="s">
        <v>4189</v>
      </c>
      <c r="G1812" s="32"/>
      <c r="H1812" s="32" t="s">
        <v>4150</v>
      </c>
    </row>
    <row r="1813" spans="1:8" ht="20.100000000000001" customHeight="1">
      <c r="A1813" s="42" t="s">
        <v>4193</v>
      </c>
      <c r="B1813" s="42" t="s">
        <v>4143</v>
      </c>
      <c r="C1813" s="46">
        <v>43061</v>
      </c>
      <c r="D1813" s="47">
        <v>100</v>
      </c>
      <c r="E1813" s="32" t="s">
        <v>4144</v>
      </c>
      <c r="F1813" s="32" t="s">
        <v>4194</v>
      </c>
      <c r="G1813" s="32"/>
      <c r="H1813" s="32" t="s">
        <v>4146</v>
      </c>
    </row>
    <row r="1814" spans="1:8" ht="20.100000000000001" customHeight="1">
      <c r="A1814" s="42" t="s">
        <v>4195</v>
      </c>
      <c r="B1814" s="42" t="s">
        <v>4143</v>
      </c>
      <c r="C1814" s="46">
        <v>43061</v>
      </c>
      <c r="D1814" s="47">
        <v>40</v>
      </c>
      <c r="E1814" s="32" t="s">
        <v>4144</v>
      </c>
      <c r="F1814" s="32" t="s">
        <v>4196</v>
      </c>
      <c r="G1814" s="32"/>
      <c r="H1814" s="32" t="s">
        <v>4146</v>
      </c>
    </row>
    <row r="1815" spans="1:8" ht="20.100000000000001" customHeight="1">
      <c r="A1815" s="42" t="s">
        <v>4197</v>
      </c>
      <c r="B1815" s="42" t="s">
        <v>4143</v>
      </c>
      <c r="C1815" s="46">
        <v>43061</v>
      </c>
      <c r="D1815" s="47">
        <v>100</v>
      </c>
      <c r="E1815" s="32" t="s">
        <v>4144</v>
      </c>
      <c r="F1815" s="32" t="s">
        <v>4194</v>
      </c>
      <c r="G1815" s="32"/>
      <c r="H1815" s="32" t="s">
        <v>4150</v>
      </c>
    </row>
    <row r="1816" spans="1:8" ht="20.100000000000001" customHeight="1">
      <c r="A1816" s="42" t="s">
        <v>4198</v>
      </c>
      <c r="B1816" s="42" t="s">
        <v>4143</v>
      </c>
      <c r="C1816" s="46">
        <v>43061</v>
      </c>
      <c r="D1816" s="47">
        <v>40</v>
      </c>
      <c r="E1816" s="32" t="s">
        <v>4144</v>
      </c>
      <c r="F1816" s="32" t="s">
        <v>4196</v>
      </c>
      <c r="G1816" s="32"/>
      <c r="H1816" s="32" t="s">
        <v>4150</v>
      </c>
    </row>
    <row r="1817" spans="1:8" ht="20.100000000000001" customHeight="1">
      <c r="A1817" s="42" t="s">
        <v>4199</v>
      </c>
      <c r="B1817" s="42" t="s">
        <v>4143</v>
      </c>
      <c r="C1817" s="46">
        <v>43084</v>
      </c>
      <c r="D1817" s="47">
        <v>100</v>
      </c>
      <c r="E1817" s="32" t="s">
        <v>4144</v>
      </c>
      <c r="F1817" s="32" t="s">
        <v>4189</v>
      </c>
      <c r="G1817" s="32"/>
      <c r="H1817" s="32" t="s">
        <v>4146</v>
      </c>
    </row>
    <row r="1818" spans="1:8" ht="20.100000000000001" customHeight="1">
      <c r="A1818" s="42" t="s">
        <v>4200</v>
      </c>
      <c r="B1818" s="42" t="s">
        <v>4143</v>
      </c>
      <c r="C1818" s="46">
        <v>43084</v>
      </c>
      <c r="D1818" s="47">
        <v>100</v>
      </c>
      <c r="E1818" s="32" t="s">
        <v>4144</v>
      </c>
      <c r="F1818" s="32" t="s">
        <v>4189</v>
      </c>
      <c r="G1818" s="32"/>
      <c r="H1818" s="32" t="s">
        <v>4150</v>
      </c>
    </row>
    <row r="1819" spans="1:8" ht="20.100000000000001" customHeight="1">
      <c r="A1819" s="42" t="s">
        <v>4180</v>
      </c>
      <c r="B1819" s="42" t="s">
        <v>4143</v>
      </c>
      <c r="C1819" s="46">
        <v>43078</v>
      </c>
      <c r="D1819" s="47">
        <v>200</v>
      </c>
      <c r="E1819" s="32" t="s">
        <v>4144</v>
      </c>
      <c r="F1819" s="32" t="s">
        <v>4181</v>
      </c>
      <c r="G1819" s="32"/>
      <c r="H1819" s="32" t="s">
        <v>4146</v>
      </c>
    </row>
    <row r="1820" spans="1:8" ht="20.100000000000001" customHeight="1">
      <c r="A1820" s="42" t="s">
        <v>4182</v>
      </c>
      <c r="B1820" s="42" t="s">
        <v>4143</v>
      </c>
      <c r="C1820" s="46">
        <v>43078</v>
      </c>
      <c r="D1820" s="47">
        <v>200</v>
      </c>
      <c r="E1820" s="32" t="s">
        <v>4144</v>
      </c>
      <c r="F1820" s="32" t="s">
        <v>4181</v>
      </c>
      <c r="G1820" s="32"/>
      <c r="H1820" s="32" t="s">
        <v>4150</v>
      </c>
    </row>
    <row r="1821" spans="1:8" ht="20.100000000000001" customHeight="1">
      <c r="A1821" s="42" t="s">
        <v>4201</v>
      </c>
      <c r="B1821" s="42" t="s">
        <v>4143</v>
      </c>
      <c r="C1821" s="46">
        <v>43078</v>
      </c>
      <c r="D1821" s="47">
        <v>40</v>
      </c>
      <c r="E1821" s="32" t="s">
        <v>4144</v>
      </c>
      <c r="F1821" s="32" t="s">
        <v>4202</v>
      </c>
      <c r="G1821" s="32"/>
      <c r="H1821" s="32" t="s">
        <v>4146</v>
      </c>
    </row>
    <row r="1822" spans="1:8" ht="20.100000000000001" customHeight="1">
      <c r="A1822" s="42" t="s">
        <v>4203</v>
      </c>
      <c r="B1822" s="42" t="s">
        <v>4143</v>
      </c>
      <c r="C1822" s="46">
        <v>43078</v>
      </c>
      <c r="D1822" s="47">
        <v>200</v>
      </c>
      <c r="E1822" s="32" t="s">
        <v>4144</v>
      </c>
      <c r="F1822" s="32" t="s">
        <v>4181</v>
      </c>
      <c r="G1822" s="32"/>
      <c r="H1822" s="32" t="s">
        <v>4146</v>
      </c>
    </row>
    <row r="1823" spans="1:8" ht="20.100000000000001" customHeight="1">
      <c r="A1823" s="42" t="s">
        <v>4204</v>
      </c>
      <c r="B1823" s="42" t="s">
        <v>4143</v>
      </c>
      <c r="C1823" s="46">
        <v>43078</v>
      </c>
      <c r="D1823" s="47">
        <v>40</v>
      </c>
      <c r="E1823" s="32" t="s">
        <v>4144</v>
      </c>
      <c r="F1823" s="32" t="s">
        <v>4202</v>
      </c>
      <c r="G1823" s="32"/>
      <c r="H1823" s="32" t="s">
        <v>4150</v>
      </c>
    </row>
    <row r="1824" spans="1:8" ht="20.100000000000001" customHeight="1">
      <c r="A1824" s="42" t="s">
        <v>4205</v>
      </c>
      <c r="B1824" s="42" t="s">
        <v>4143</v>
      </c>
      <c r="C1824" s="46">
        <v>43078</v>
      </c>
      <c r="D1824" s="47">
        <v>200</v>
      </c>
      <c r="E1824" s="32" t="s">
        <v>4144</v>
      </c>
      <c r="F1824" s="32" t="s">
        <v>4181</v>
      </c>
      <c r="G1824" s="32"/>
      <c r="H1824" s="32" t="s">
        <v>4150</v>
      </c>
    </row>
    <row r="1825" spans="1:8" ht="20.100000000000001" customHeight="1">
      <c r="A1825" s="42" t="s">
        <v>4446</v>
      </c>
      <c r="B1825" s="42" t="s">
        <v>4165</v>
      </c>
      <c r="C1825" s="46">
        <v>43079</v>
      </c>
      <c r="D1825" s="47">
        <v>792.36</v>
      </c>
      <c r="E1825" s="32" t="s">
        <v>4166</v>
      </c>
      <c r="F1825" s="32" t="s">
        <v>4167</v>
      </c>
      <c r="G1825" s="32"/>
      <c r="H1825" s="32" t="s">
        <v>4146</v>
      </c>
    </row>
    <row r="1826" spans="1:8" ht="20.100000000000001" customHeight="1">
      <c r="A1826" s="42" t="s">
        <v>4446</v>
      </c>
      <c r="B1826" s="42" t="s">
        <v>4165</v>
      </c>
      <c r="C1826" s="46">
        <v>43086</v>
      </c>
      <c r="D1826" s="47">
        <f>1054.94-330</f>
        <v>724.94</v>
      </c>
      <c r="E1826" s="32" t="s">
        <v>4166</v>
      </c>
      <c r="F1826" s="32" t="s">
        <v>4167</v>
      </c>
      <c r="G1826" s="32"/>
      <c r="H1826" s="32" t="s">
        <v>4146</v>
      </c>
    </row>
    <row r="1827" spans="1:8" ht="20.100000000000001" customHeight="1">
      <c r="A1827" s="42" t="s">
        <v>4214</v>
      </c>
      <c r="B1827" s="42" t="s">
        <v>2761</v>
      </c>
      <c r="C1827" s="46">
        <v>43082</v>
      </c>
      <c r="D1827" s="47">
        <v>16500</v>
      </c>
      <c r="E1827" s="32" t="s">
        <v>4030</v>
      </c>
      <c r="F1827" s="32" t="s">
        <v>4031</v>
      </c>
      <c r="G1827" s="32"/>
      <c r="H1827" s="32" t="s">
        <v>443</v>
      </c>
    </row>
    <row r="1828" spans="1:8" ht="20.100000000000001" customHeight="1">
      <c r="A1828" s="42" t="s">
        <v>4213</v>
      </c>
      <c r="B1828" s="42" t="s">
        <v>2761</v>
      </c>
      <c r="C1828" s="46">
        <v>43082</v>
      </c>
      <c r="D1828" s="47">
        <v>16500</v>
      </c>
      <c r="E1828" s="32" t="s">
        <v>4030</v>
      </c>
      <c r="F1828" s="32" t="s">
        <v>4031</v>
      </c>
      <c r="G1828" s="32"/>
      <c r="H1828" s="32" t="s">
        <v>551</v>
      </c>
    </row>
    <row r="1829" spans="1:8" ht="20.100000000000001" customHeight="1">
      <c r="A1829" s="42" t="s">
        <v>4224</v>
      </c>
      <c r="B1829" s="42" t="s">
        <v>4225</v>
      </c>
      <c r="C1829" s="46">
        <v>43082</v>
      </c>
      <c r="D1829" s="47">
        <v>1504.4</v>
      </c>
      <c r="E1829" s="32" t="s">
        <v>971</v>
      </c>
      <c r="F1829" s="32" t="s">
        <v>688</v>
      </c>
      <c r="G1829" s="32"/>
      <c r="H1829" s="32" t="s">
        <v>443</v>
      </c>
    </row>
    <row r="1830" spans="1:8" ht="20.100000000000001" customHeight="1">
      <c r="A1830" s="42" t="s">
        <v>4226</v>
      </c>
      <c r="B1830" s="42" t="s">
        <v>4225</v>
      </c>
      <c r="C1830" s="46">
        <v>43082</v>
      </c>
      <c r="D1830" s="47">
        <v>1504.4</v>
      </c>
      <c r="E1830" s="32" t="s">
        <v>971</v>
      </c>
      <c r="F1830" s="32" t="s">
        <v>688</v>
      </c>
      <c r="G1830" s="32"/>
      <c r="H1830" s="32" t="s">
        <v>551</v>
      </c>
    </row>
    <row r="1831" spans="1:8" ht="20.100000000000001" customHeight="1">
      <c r="A1831" s="42" t="s">
        <v>4232</v>
      </c>
      <c r="B1831" s="42" t="s">
        <v>4136</v>
      </c>
      <c r="C1831" s="46">
        <v>43079</v>
      </c>
      <c r="D1831" s="47">
        <f>792.36+300</f>
        <v>1092.3600000000001</v>
      </c>
      <c r="E1831" s="32" t="s">
        <v>4137</v>
      </c>
      <c r="F1831" s="32" t="s">
        <v>688</v>
      </c>
      <c r="G1831" s="32"/>
      <c r="H1831" s="32" t="s">
        <v>551</v>
      </c>
    </row>
    <row r="1832" spans="1:8" ht="20.100000000000001" customHeight="1">
      <c r="A1832" s="42" t="s">
        <v>4232</v>
      </c>
      <c r="B1832" s="42" t="s">
        <v>4136</v>
      </c>
      <c r="C1832" s="46">
        <v>43086</v>
      </c>
      <c r="D1832" s="47">
        <v>1054.94</v>
      </c>
      <c r="E1832" s="32" t="s">
        <v>4137</v>
      </c>
      <c r="F1832" s="32" t="s">
        <v>688</v>
      </c>
      <c r="G1832" s="32"/>
      <c r="H1832" s="32" t="s">
        <v>551</v>
      </c>
    </row>
    <row r="1833" spans="1:8" ht="20.100000000000001" customHeight="1">
      <c r="A1833" s="42" t="s">
        <v>4234</v>
      </c>
      <c r="B1833" s="42" t="s">
        <v>714</v>
      </c>
      <c r="C1833" s="46">
        <v>43073</v>
      </c>
      <c r="D1833" s="47">
        <v>3</v>
      </c>
      <c r="E1833" s="32" t="s">
        <v>4157</v>
      </c>
      <c r="F1833" s="32" t="s">
        <v>4158</v>
      </c>
      <c r="G1833" s="32"/>
      <c r="H1833" s="32" t="s">
        <v>4150</v>
      </c>
    </row>
    <row r="1834" spans="1:8" ht="20.100000000000001" customHeight="1">
      <c r="A1834" s="42" t="s">
        <v>4235</v>
      </c>
      <c r="B1834" s="42" t="s">
        <v>714</v>
      </c>
      <c r="C1834" s="46">
        <v>43122</v>
      </c>
      <c r="D1834" s="47">
        <v>3</v>
      </c>
      <c r="E1834" s="32" t="s">
        <v>4157</v>
      </c>
      <c r="F1834" s="32" t="s">
        <v>4158</v>
      </c>
      <c r="G1834" s="32"/>
      <c r="H1834" s="32" t="s">
        <v>4150</v>
      </c>
    </row>
    <row r="1835" spans="1:8" ht="20.100000000000001" customHeight="1">
      <c r="A1835" s="42" t="s">
        <v>4239</v>
      </c>
      <c r="B1835" s="42" t="s">
        <v>714</v>
      </c>
      <c r="C1835" s="46">
        <v>43082</v>
      </c>
      <c r="D1835" s="47">
        <v>40</v>
      </c>
      <c r="E1835" s="32" t="s">
        <v>447</v>
      </c>
      <c r="F1835" s="32" t="s">
        <v>2937</v>
      </c>
      <c r="G1835" s="32"/>
      <c r="H1835" s="32" t="s">
        <v>551</v>
      </c>
    </row>
    <row r="1836" spans="1:8" ht="20.100000000000001" customHeight="1">
      <c r="A1836" s="42" t="s">
        <v>4264</v>
      </c>
      <c r="B1836" s="42" t="s">
        <v>4169</v>
      </c>
      <c r="C1836" s="46">
        <v>43070</v>
      </c>
      <c r="D1836" s="47">
        <v>2000</v>
      </c>
      <c r="E1836" s="32" t="s">
        <v>4170</v>
      </c>
      <c r="F1836" s="32" t="s">
        <v>70</v>
      </c>
      <c r="G1836" s="32"/>
      <c r="H1836" s="32" t="s">
        <v>341</v>
      </c>
    </row>
    <row r="1837" spans="1:8" ht="20.100000000000001" customHeight="1">
      <c r="A1837" s="42" t="s">
        <v>4060</v>
      </c>
      <c r="B1837" s="42" t="s">
        <v>4169</v>
      </c>
      <c r="C1837" s="46">
        <v>43070</v>
      </c>
      <c r="D1837" s="47">
        <v>2000</v>
      </c>
      <c r="E1837" s="32" t="s">
        <v>4170</v>
      </c>
      <c r="F1837" s="32" t="s">
        <v>70</v>
      </c>
      <c r="G1837" s="32"/>
      <c r="H1837" s="32" t="s">
        <v>328</v>
      </c>
    </row>
    <row r="1838" spans="1:8" ht="20.100000000000001" customHeight="1">
      <c r="A1838" s="42" t="s">
        <v>4284</v>
      </c>
      <c r="B1838" s="42" t="s">
        <v>4165</v>
      </c>
      <c r="C1838" s="46">
        <v>43093</v>
      </c>
      <c r="D1838" s="47">
        <v>235.56</v>
      </c>
      <c r="E1838" s="32" t="s">
        <v>4166</v>
      </c>
      <c r="F1838" s="32" t="s">
        <v>4167</v>
      </c>
      <c r="G1838" s="32"/>
      <c r="H1838" s="32" t="s">
        <v>4146</v>
      </c>
    </row>
    <row r="1839" spans="1:8" ht="20.100000000000001" customHeight="1">
      <c r="A1839" s="42" t="s">
        <v>4284</v>
      </c>
      <c r="B1839" s="42" t="s">
        <v>4165</v>
      </c>
      <c r="C1839" s="46">
        <v>43100</v>
      </c>
      <c r="D1839" s="47">
        <f>417.55+330</f>
        <v>747.55</v>
      </c>
      <c r="E1839" s="32" t="s">
        <v>4166</v>
      </c>
      <c r="F1839" s="32" t="s">
        <v>4167</v>
      </c>
      <c r="G1839" s="32"/>
      <c r="H1839" s="32" t="s">
        <v>4146</v>
      </c>
    </row>
    <row r="1840" spans="1:8" ht="20.100000000000001" customHeight="1">
      <c r="A1840" s="153" t="s">
        <v>4285</v>
      </c>
      <c r="B1840" s="42" t="s">
        <v>4165</v>
      </c>
      <c r="C1840" s="46">
        <v>43093</v>
      </c>
      <c r="D1840" s="47">
        <v>235.56</v>
      </c>
      <c r="E1840" s="32" t="s">
        <v>4166</v>
      </c>
      <c r="F1840" s="32" t="s">
        <v>4167</v>
      </c>
      <c r="H1840" s="32" t="s">
        <v>551</v>
      </c>
    </row>
    <row r="1841" spans="1:8" ht="20.100000000000001" customHeight="1">
      <c r="A1841" s="153" t="s">
        <v>4285</v>
      </c>
      <c r="B1841" s="42" t="s">
        <v>4165</v>
      </c>
      <c r="C1841" s="46">
        <v>43100</v>
      </c>
      <c r="D1841" s="47">
        <v>417.55</v>
      </c>
      <c r="E1841" s="32" t="s">
        <v>4166</v>
      </c>
      <c r="F1841" s="32" t="s">
        <v>4167</v>
      </c>
      <c r="H1841" s="32" t="s">
        <v>551</v>
      </c>
    </row>
    <row r="1842" spans="1:8" ht="20.100000000000001" customHeight="1">
      <c r="A1842" s="153" t="s">
        <v>4298</v>
      </c>
      <c r="B1842" s="42" t="s">
        <v>1333</v>
      </c>
      <c r="C1842" s="46">
        <v>43089</v>
      </c>
      <c r="D1842" s="47">
        <v>90</v>
      </c>
      <c r="E1842" s="32" t="s">
        <v>1245</v>
      </c>
      <c r="F1842" s="32" t="s">
        <v>1654</v>
      </c>
      <c r="H1842" s="32" t="s">
        <v>551</v>
      </c>
    </row>
    <row r="1843" spans="1:8" ht="20.100000000000001" customHeight="1">
      <c r="A1843" s="42" t="s">
        <v>4299</v>
      </c>
      <c r="B1843" s="42" t="s">
        <v>4225</v>
      </c>
      <c r="C1843" s="46">
        <v>43090</v>
      </c>
      <c r="D1843" s="47">
        <v>413.43999999999983</v>
      </c>
      <c r="E1843" s="32" t="s">
        <v>971</v>
      </c>
      <c r="F1843" s="32" t="s">
        <v>688</v>
      </c>
      <c r="H1843" s="32" t="s">
        <v>443</v>
      </c>
    </row>
    <row r="1844" spans="1:8" ht="20.100000000000001" customHeight="1">
      <c r="A1844" s="42" t="s">
        <v>4226</v>
      </c>
      <c r="B1844" s="42" t="s">
        <v>4225</v>
      </c>
      <c r="C1844" s="46">
        <v>43090</v>
      </c>
      <c r="D1844" s="47">
        <v>413.43999999999983</v>
      </c>
      <c r="E1844" s="32" t="s">
        <v>971</v>
      </c>
      <c r="F1844" s="32" t="s">
        <v>688</v>
      </c>
      <c r="H1844" s="32" t="s">
        <v>551</v>
      </c>
    </row>
    <row r="1845" spans="1:8" ht="20.100000000000001" customHeight="1">
      <c r="A1845" s="42" t="s">
        <v>4322</v>
      </c>
      <c r="B1845" s="42" t="s">
        <v>3438</v>
      </c>
      <c r="C1845" s="46">
        <v>43091</v>
      </c>
      <c r="D1845" s="47">
        <v>180</v>
      </c>
      <c r="E1845" s="32" t="s">
        <v>4144</v>
      </c>
      <c r="F1845" s="32" t="s">
        <v>4331</v>
      </c>
      <c r="H1845" s="32" t="s">
        <v>4146</v>
      </c>
    </row>
    <row r="1846" spans="1:8" ht="20.100000000000001" customHeight="1">
      <c r="A1846" s="42" t="s">
        <v>4322</v>
      </c>
      <c r="B1846" s="42" t="s">
        <v>3438</v>
      </c>
      <c r="C1846" s="46">
        <v>43098</v>
      </c>
      <c r="D1846" s="47">
        <v>180</v>
      </c>
      <c r="E1846" s="32" t="s">
        <v>4144</v>
      </c>
      <c r="F1846" s="32" t="s">
        <v>4331</v>
      </c>
      <c r="H1846" s="32" t="s">
        <v>4146</v>
      </c>
    </row>
    <row r="1847" spans="1:8" ht="20.100000000000001" customHeight="1">
      <c r="A1847" s="42" t="s">
        <v>4323</v>
      </c>
      <c r="B1847" s="42" t="s">
        <v>3438</v>
      </c>
      <c r="C1847" s="46">
        <v>43100</v>
      </c>
      <c r="D1847" s="47">
        <v>100</v>
      </c>
      <c r="E1847" s="32" t="s">
        <v>4144</v>
      </c>
      <c r="F1847" s="32" t="s">
        <v>4332</v>
      </c>
      <c r="H1847" s="32" t="s">
        <v>4146</v>
      </c>
    </row>
    <row r="1848" spans="1:8" ht="20.100000000000001" customHeight="1">
      <c r="A1848" s="42" t="s">
        <v>4324</v>
      </c>
      <c r="B1848" s="42" t="s">
        <v>3438</v>
      </c>
      <c r="C1848" s="46">
        <v>43099</v>
      </c>
      <c r="D1848" s="47">
        <v>40</v>
      </c>
      <c r="E1848" s="32" t="s">
        <v>4144</v>
      </c>
      <c r="F1848" s="32" t="s">
        <v>4196</v>
      </c>
      <c r="H1848" s="32" t="s">
        <v>4146</v>
      </c>
    </row>
    <row r="1849" spans="1:8" ht="20.100000000000001" customHeight="1">
      <c r="A1849" s="42" t="s">
        <v>4325</v>
      </c>
      <c r="B1849" s="42" t="s">
        <v>3438</v>
      </c>
      <c r="C1849" s="46">
        <v>43099</v>
      </c>
      <c r="D1849" s="47">
        <v>40</v>
      </c>
      <c r="E1849" s="32" t="s">
        <v>4144</v>
      </c>
      <c r="F1849" s="32" t="s">
        <v>3378</v>
      </c>
      <c r="H1849" s="32" t="s">
        <v>4146</v>
      </c>
    </row>
    <row r="1850" spans="1:8" ht="20.100000000000001" customHeight="1">
      <c r="A1850" s="42" t="s">
        <v>4326</v>
      </c>
      <c r="B1850" s="42" t="s">
        <v>3438</v>
      </c>
      <c r="C1850" s="46">
        <v>43089</v>
      </c>
      <c r="D1850" s="47">
        <v>66</v>
      </c>
      <c r="E1850" s="32" t="s">
        <v>4144</v>
      </c>
      <c r="F1850" s="32" t="s">
        <v>4333</v>
      </c>
      <c r="H1850" s="32" t="s">
        <v>4146</v>
      </c>
    </row>
    <row r="1851" spans="1:8" ht="20.100000000000001" customHeight="1">
      <c r="A1851" s="42" t="s">
        <v>4327</v>
      </c>
      <c r="B1851" s="42" t="s">
        <v>3438</v>
      </c>
      <c r="C1851" s="46">
        <v>43091</v>
      </c>
      <c r="D1851" s="47">
        <v>180</v>
      </c>
      <c r="E1851" s="32" t="s">
        <v>4144</v>
      </c>
      <c r="F1851" s="32" t="s">
        <v>4331</v>
      </c>
      <c r="H1851" s="32" t="s">
        <v>4150</v>
      </c>
    </row>
    <row r="1852" spans="1:8" ht="20.100000000000001" customHeight="1">
      <c r="A1852" s="42" t="s">
        <v>4327</v>
      </c>
      <c r="B1852" s="42" t="s">
        <v>3438</v>
      </c>
      <c r="C1852" s="46">
        <v>43098</v>
      </c>
      <c r="D1852" s="47">
        <v>180</v>
      </c>
      <c r="E1852" s="32" t="s">
        <v>4144</v>
      </c>
      <c r="F1852" s="32" t="s">
        <v>4331</v>
      </c>
      <c r="H1852" s="32" t="s">
        <v>4150</v>
      </c>
    </row>
    <row r="1853" spans="1:8" ht="20.100000000000001" customHeight="1">
      <c r="A1853" s="42" t="s">
        <v>4328</v>
      </c>
      <c r="B1853" s="42" t="s">
        <v>3438</v>
      </c>
      <c r="C1853" s="46">
        <v>43100</v>
      </c>
      <c r="D1853" s="47">
        <v>100</v>
      </c>
      <c r="E1853" s="32" t="s">
        <v>4144</v>
      </c>
      <c r="F1853" s="32" t="s">
        <v>4332</v>
      </c>
      <c r="H1853" s="32" t="s">
        <v>4150</v>
      </c>
    </row>
    <row r="1854" spans="1:8" ht="20.100000000000001" customHeight="1">
      <c r="A1854" s="42" t="s">
        <v>4329</v>
      </c>
      <c r="B1854" s="42" t="s">
        <v>3438</v>
      </c>
      <c r="C1854" s="46">
        <v>43099</v>
      </c>
      <c r="D1854" s="47">
        <v>40</v>
      </c>
      <c r="E1854" s="32" t="s">
        <v>4144</v>
      </c>
      <c r="F1854" s="32" t="s">
        <v>4196</v>
      </c>
      <c r="H1854" s="32" t="s">
        <v>4150</v>
      </c>
    </row>
    <row r="1855" spans="1:8" ht="20.100000000000001" customHeight="1">
      <c r="A1855" s="42" t="s">
        <v>3996</v>
      </c>
      <c r="B1855" s="42" t="s">
        <v>3438</v>
      </c>
      <c r="C1855" s="46">
        <v>43099</v>
      </c>
      <c r="D1855" s="47">
        <v>40</v>
      </c>
      <c r="E1855" s="32" t="s">
        <v>4144</v>
      </c>
      <c r="F1855" s="32" t="s">
        <v>3378</v>
      </c>
      <c r="H1855" s="32" t="s">
        <v>4150</v>
      </c>
    </row>
    <row r="1856" spans="1:8" ht="20.100000000000001" customHeight="1">
      <c r="A1856" s="42" t="s">
        <v>4330</v>
      </c>
      <c r="B1856" s="42" t="s">
        <v>3438</v>
      </c>
      <c r="C1856" s="46">
        <v>43089</v>
      </c>
      <c r="D1856" s="47">
        <v>66</v>
      </c>
      <c r="E1856" s="32" t="s">
        <v>4144</v>
      </c>
      <c r="F1856" s="32" t="s">
        <v>4333</v>
      </c>
      <c r="H1856" s="32" t="s">
        <v>4150</v>
      </c>
    </row>
    <row r="1857" spans="1:8" ht="20.100000000000001" customHeight="1">
      <c r="A1857" s="42" t="s">
        <v>4361</v>
      </c>
      <c r="B1857" s="42" t="s">
        <v>3954</v>
      </c>
      <c r="C1857" s="46">
        <v>43107</v>
      </c>
      <c r="D1857" s="47">
        <v>423.35</v>
      </c>
      <c r="E1857" s="32" t="s">
        <v>1187</v>
      </c>
      <c r="F1857" s="32" t="s">
        <v>70</v>
      </c>
      <c r="G1857" s="32"/>
      <c r="H1857" s="32" t="s">
        <v>329</v>
      </c>
    </row>
    <row r="1858" spans="1:8" ht="20.100000000000001" customHeight="1">
      <c r="A1858" s="42" t="s">
        <v>4362</v>
      </c>
      <c r="B1858" s="42" t="s">
        <v>3954</v>
      </c>
      <c r="C1858" s="46">
        <v>43107</v>
      </c>
      <c r="D1858" s="47">
        <v>423.35</v>
      </c>
      <c r="E1858" s="32" t="s">
        <v>1187</v>
      </c>
      <c r="F1858" s="32" t="s">
        <v>70</v>
      </c>
      <c r="G1858" s="32"/>
      <c r="H1858" s="32" t="s">
        <v>328</v>
      </c>
    </row>
    <row r="1859" spans="1:8" ht="20.100000000000001" customHeight="1">
      <c r="A1859" s="42" t="s">
        <v>4367</v>
      </c>
      <c r="B1859" s="42" t="s">
        <v>4364</v>
      </c>
      <c r="C1859" s="46">
        <v>43109</v>
      </c>
      <c r="D1859" s="47">
        <v>64</v>
      </c>
      <c r="E1859" s="32" t="s">
        <v>4365</v>
      </c>
      <c r="F1859" s="32" t="s">
        <v>4366</v>
      </c>
      <c r="G1859" s="32"/>
      <c r="H1859" s="32" t="s">
        <v>329</v>
      </c>
    </row>
    <row r="1860" spans="1:8" ht="20.100000000000001" customHeight="1">
      <c r="A1860" s="42" t="s">
        <v>4382</v>
      </c>
      <c r="B1860" s="42" t="s">
        <v>4383</v>
      </c>
      <c r="C1860" s="46">
        <v>43122</v>
      </c>
      <c r="D1860" s="47">
        <v>170</v>
      </c>
      <c r="E1860" s="32" t="s">
        <v>4384</v>
      </c>
      <c r="F1860" s="32" t="s">
        <v>4385</v>
      </c>
      <c r="G1860" s="32"/>
      <c r="H1860" s="32" t="s">
        <v>329</v>
      </c>
    </row>
    <row r="1861" spans="1:8" ht="20.100000000000001" customHeight="1">
      <c r="A1861" s="42" t="s">
        <v>4392</v>
      </c>
      <c r="B1861" s="42" t="s">
        <v>4393</v>
      </c>
      <c r="C1861" s="46">
        <v>43114</v>
      </c>
      <c r="D1861" s="47">
        <v>389.36</v>
      </c>
      <c r="E1861" s="32" t="s">
        <v>4394</v>
      </c>
      <c r="F1861" s="32" t="s">
        <v>2402</v>
      </c>
      <c r="G1861" s="32"/>
      <c r="H1861" s="32" t="s">
        <v>443</v>
      </c>
    </row>
    <row r="1862" spans="1:8" ht="20.100000000000001" customHeight="1">
      <c r="A1862" s="42" t="s">
        <v>4360</v>
      </c>
      <c r="B1862" s="42" t="s">
        <v>4393</v>
      </c>
      <c r="C1862" s="46">
        <v>43114</v>
      </c>
      <c r="D1862" s="47">
        <v>389.36</v>
      </c>
      <c r="E1862" s="32" t="s">
        <v>4394</v>
      </c>
      <c r="F1862" s="32" t="s">
        <v>2402</v>
      </c>
      <c r="G1862" s="32"/>
      <c r="H1862" s="32" t="s">
        <v>328</v>
      </c>
    </row>
    <row r="1863" spans="1:8" ht="20.100000000000001" customHeight="1">
      <c r="A1863" s="42" t="s">
        <v>4392</v>
      </c>
      <c r="B1863" s="42" t="s">
        <v>4393</v>
      </c>
      <c r="C1863" s="46">
        <v>43121</v>
      </c>
      <c r="D1863" s="47">
        <f>557.26-120</f>
        <v>437.26</v>
      </c>
      <c r="E1863" s="32" t="s">
        <v>4394</v>
      </c>
      <c r="F1863" s="32" t="s">
        <v>2402</v>
      </c>
      <c r="G1863" s="32"/>
      <c r="H1863" s="32" t="s">
        <v>443</v>
      </c>
    </row>
    <row r="1864" spans="1:8" ht="20.100000000000001" customHeight="1">
      <c r="A1864" s="42" t="s">
        <v>4360</v>
      </c>
      <c r="B1864" s="42" t="s">
        <v>4393</v>
      </c>
      <c r="C1864" s="46">
        <v>43121</v>
      </c>
      <c r="D1864" s="47">
        <f>557.26+1200</f>
        <v>1757.26</v>
      </c>
      <c r="E1864" s="32" t="s">
        <v>4394</v>
      </c>
      <c r="F1864" s="32" t="s">
        <v>2402</v>
      </c>
      <c r="G1864" s="32"/>
      <c r="H1864" s="32" t="s">
        <v>328</v>
      </c>
    </row>
    <row r="1865" spans="1:8" ht="20.100000000000001" customHeight="1">
      <c r="A1865" s="42" t="s">
        <v>4401</v>
      </c>
      <c r="B1865" s="42" t="s">
        <v>4400</v>
      </c>
      <c r="C1865" s="46">
        <v>43107</v>
      </c>
      <c r="D1865" s="47">
        <v>655.32000000000005</v>
      </c>
      <c r="E1865" s="32" t="s">
        <v>971</v>
      </c>
      <c r="F1865" s="32" t="s">
        <v>688</v>
      </c>
      <c r="H1865" s="32" t="s">
        <v>443</v>
      </c>
    </row>
    <row r="1866" spans="1:8" ht="20.100000000000001" customHeight="1">
      <c r="A1866" s="42" t="s">
        <v>4402</v>
      </c>
      <c r="B1866" s="42" t="s">
        <v>4400</v>
      </c>
      <c r="C1866" s="46">
        <v>43120</v>
      </c>
      <c r="D1866" s="47">
        <v>1595.22</v>
      </c>
      <c r="E1866" s="32" t="s">
        <v>971</v>
      </c>
      <c r="F1866" s="32" t="s">
        <v>688</v>
      </c>
      <c r="H1866" s="32" t="s">
        <v>443</v>
      </c>
    </row>
    <row r="1867" spans="1:8" ht="20.100000000000001" customHeight="1">
      <c r="A1867" s="42" t="s">
        <v>4414</v>
      </c>
      <c r="B1867" s="42" t="s">
        <v>3263</v>
      </c>
      <c r="C1867" s="46">
        <v>43120</v>
      </c>
      <c r="D1867" s="47">
        <v>300</v>
      </c>
      <c r="E1867" s="32" t="s">
        <v>4144</v>
      </c>
      <c r="F1867" s="32" t="s">
        <v>3378</v>
      </c>
      <c r="H1867" s="32" t="s">
        <v>4146</v>
      </c>
    </row>
    <row r="1868" spans="1:8" ht="20.100000000000001" customHeight="1">
      <c r="A1868" s="42" t="s">
        <v>4415</v>
      </c>
      <c r="B1868" s="42" t="s">
        <v>3263</v>
      </c>
      <c r="C1868" s="46">
        <v>43120</v>
      </c>
      <c r="D1868" s="47">
        <v>100</v>
      </c>
      <c r="E1868" s="32" t="s">
        <v>4144</v>
      </c>
      <c r="F1868" s="32" t="s">
        <v>4420</v>
      </c>
      <c r="H1868" s="32" t="s">
        <v>4146</v>
      </c>
    </row>
    <row r="1869" spans="1:8" ht="20.100000000000001" customHeight="1">
      <c r="A1869" s="42" t="s">
        <v>4416</v>
      </c>
      <c r="B1869" s="42" t="s">
        <v>3263</v>
      </c>
      <c r="C1869" s="46">
        <v>43120</v>
      </c>
      <c r="D1869" s="47">
        <v>200</v>
      </c>
      <c r="E1869" s="32" t="s">
        <v>4144</v>
      </c>
      <c r="F1869" s="32" t="s">
        <v>4420</v>
      </c>
      <c r="H1869" s="32" t="s">
        <v>4146</v>
      </c>
    </row>
    <row r="1870" spans="1:8" ht="20.100000000000001" customHeight="1">
      <c r="A1870" s="42" t="s">
        <v>4417</v>
      </c>
      <c r="B1870" s="42" t="s">
        <v>3263</v>
      </c>
      <c r="C1870" s="46">
        <v>43120</v>
      </c>
      <c r="D1870" s="47">
        <v>300</v>
      </c>
      <c r="E1870" s="32" t="s">
        <v>4144</v>
      </c>
      <c r="F1870" s="32" t="s">
        <v>3378</v>
      </c>
      <c r="H1870" s="32" t="s">
        <v>328</v>
      </c>
    </row>
    <row r="1871" spans="1:8" ht="20.100000000000001" customHeight="1">
      <c r="A1871" s="42" t="s">
        <v>4418</v>
      </c>
      <c r="B1871" s="42" t="s">
        <v>3263</v>
      </c>
      <c r="C1871" s="46">
        <v>43120</v>
      </c>
      <c r="D1871" s="47">
        <v>100</v>
      </c>
      <c r="E1871" s="32" t="s">
        <v>4144</v>
      </c>
      <c r="F1871" s="32" t="s">
        <v>4420</v>
      </c>
      <c r="H1871" s="32" t="s">
        <v>328</v>
      </c>
    </row>
    <row r="1872" spans="1:8" ht="20.100000000000001" customHeight="1">
      <c r="A1872" s="42" t="s">
        <v>4419</v>
      </c>
      <c r="B1872" s="42" t="s">
        <v>3263</v>
      </c>
      <c r="C1872" s="46">
        <v>43120</v>
      </c>
      <c r="D1872" s="47">
        <v>200</v>
      </c>
      <c r="E1872" s="32" t="s">
        <v>4144</v>
      </c>
      <c r="F1872" s="32" t="s">
        <v>4420</v>
      </c>
      <c r="H1872" s="32" t="s">
        <v>328</v>
      </c>
    </row>
    <row r="1873" spans="1:8" ht="20.100000000000001" customHeight="1">
      <c r="A1873" s="42" t="s">
        <v>4429</v>
      </c>
      <c r="B1873" s="42" t="s">
        <v>3954</v>
      </c>
      <c r="C1873" s="46">
        <v>43072</v>
      </c>
      <c r="D1873" s="47">
        <v>654.36</v>
      </c>
      <c r="E1873" s="32" t="s">
        <v>1187</v>
      </c>
      <c r="F1873" s="32" t="s">
        <v>70</v>
      </c>
      <c r="G1873" s="32"/>
      <c r="H1873" s="32" t="s">
        <v>329</v>
      </c>
    </row>
    <row r="1874" spans="1:8" ht="20.100000000000001" customHeight="1">
      <c r="A1874" s="42" t="s">
        <v>4629</v>
      </c>
      <c r="B1874" s="42" t="s">
        <v>3954</v>
      </c>
      <c r="C1874" s="46">
        <v>43135</v>
      </c>
      <c r="D1874" s="47">
        <v>993.73</v>
      </c>
      <c r="E1874" s="32" t="s">
        <v>1187</v>
      </c>
      <c r="F1874" s="32" t="s">
        <v>70</v>
      </c>
      <c r="G1874" s="32"/>
      <c r="H1874" s="32" t="s">
        <v>329</v>
      </c>
    </row>
    <row r="1875" spans="1:8" ht="20.100000000000001" customHeight="1">
      <c r="A1875" s="42" t="s">
        <v>4535</v>
      </c>
      <c r="B1875" s="42" t="s">
        <v>3954</v>
      </c>
      <c r="C1875" s="46">
        <v>43135</v>
      </c>
      <c r="D1875" s="47">
        <f>993.73</f>
        <v>993.73</v>
      </c>
      <c r="E1875" s="32" t="s">
        <v>1187</v>
      </c>
      <c r="F1875" s="32" t="s">
        <v>70</v>
      </c>
      <c r="G1875" s="32"/>
      <c r="H1875" s="32" t="s">
        <v>328</v>
      </c>
    </row>
    <row r="1876" spans="1:8" ht="20.100000000000001" customHeight="1">
      <c r="A1876" s="42" t="s">
        <v>4536</v>
      </c>
      <c r="B1876" s="42" t="s">
        <v>4219</v>
      </c>
      <c r="C1876" s="46">
        <v>43141</v>
      </c>
      <c r="D1876" s="47">
        <v>1548.92</v>
      </c>
      <c r="E1876" s="32" t="s">
        <v>398</v>
      </c>
      <c r="F1876" s="32" t="s">
        <v>70</v>
      </c>
      <c r="G1876" s="32"/>
      <c r="H1876" s="32" t="s">
        <v>329</v>
      </c>
    </row>
    <row r="1877" spans="1:8" ht="20.100000000000001" customHeight="1">
      <c r="A1877" s="42" t="s">
        <v>4537</v>
      </c>
      <c r="B1877" s="42" t="s">
        <v>4219</v>
      </c>
      <c r="C1877" s="46">
        <v>43107</v>
      </c>
      <c r="D1877" s="47">
        <v>655.32000000000005</v>
      </c>
      <c r="E1877" s="32" t="s">
        <v>398</v>
      </c>
      <c r="F1877" s="32" t="s">
        <v>70</v>
      </c>
      <c r="G1877" s="32"/>
      <c r="H1877" s="32" t="s">
        <v>328</v>
      </c>
    </row>
    <row r="1878" spans="1:8" ht="20.100000000000001" customHeight="1">
      <c r="A1878" s="42" t="s">
        <v>4537</v>
      </c>
      <c r="B1878" s="42" t="s">
        <v>4219</v>
      </c>
      <c r="C1878" s="46">
        <v>43120</v>
      </c>
      <c r="D1878" s="47">
        <v>1595.22</v>
      </c>
      <c r="E1878" s="32" t="s">
        <v>398</v>
      </c>
      <c r="F1878" s="32" t="s">
        <v>70</v>
      </c>
      <c r="G1878" s="32"/>
      <c r="H1878" s="32" t="s">
        <v>328</v>
      </c>
    </row>
    <row r="1879" spans="1:8" ht="20.100000000000001" customHeight="1">
      <c r="A1879" s="42" t="s">
        <v>4538</v>
      </c>
      <c r="B1879" s="42" t="s">
        <v>4219</v>
      </c>
      <c r="C1879" s="46">
        <v>43141</v>
      </c>
      <c r="D1879" s="47">
        <v>1548.92</v>
      </c>
      <c r="E1879" s="32" t="s">
        <v>398</v>
      </c>
      <c r="F1879" s="32" t="s">
        <v>70</v>
      </c>
      <c r="G1879" s="32"/>
      <c r="H1879" s="32" t="s">
        <v>328</v>
      </c>
    </row>
    <row r="1880" spans="1:8" ht="20.100000000000001" customHeight="1">
      <c r="A1880" s="42" t="s">
        <v>4296</v>
      </c>
      <c r="B1880" s="42" t="s">
        <v>412</v>
      </c>
      <c r="C1880" s="46">
        <v>43130</v>
      </c>
      <c r="D1880" s="47">
        <v>384</v>
      </c>
      <c r="E1880" s="32" t="s">
        <v>165</v>
      </c>
      <c r="F1880" s="32" t="s">
        <v>63</v>
      </c>
      <c r="G1880" s="32"/>
      <c r="H1880" s="32" t="s">
        <v>328</v>
      </c>
    </row>
    <row r="1881" spans="1:8" ht="20.100000000000001" customHeight="1">
      <c r="A1881" s="42" t="s">
        <v>4729</v>
      </c>
      <c r="B1881" s="42" t="s">
        <v>3954</v>
      </c>
      <c r="C1881" s="46">
        <v>43140</v>
      </c>
      <c r="D1881" s="47">
        <v>2488.5100000000002</v>
      </c>
      <c r="E1881" s="32" t="s">
        <v>1187</v>
      </c>
      <c r="F1881" s="32" t="s">
        <v>70</v>
      </c>
      <c r="G1881" s="32"/>
      <c r="H1881" s="32" t="s">
        <v>329</v>
      </c>
    </row>
    <row r="1882" spans="1:8" ht="20.100000000000001" customHeight="1">
      <c r="A1882" s="42" t="s">
        <v>4535</v>
      </c>
      <c r="B1882" s="42" t="s">
        <v>3954</v>
      </c>
      <c r="C1882" s="46">
        <v>43140</v>
      </c>
      <c r="D1882" s="47">
        <f>2488.51-1200</f>
        <v>1288.5100000000002</v>
      </c>
      <c r="E1882" s="32" t="s">
        <v>1187</v>
      </c>
      <c r="F1882" s="32" t="s">
        <v>70</v>
      </c>
      <c r="G1882" s="32"/>
      <c r="H1882" s="32" t="s">
        <v>328</v>
      </c>
    </row>
    <row r="1883" spans="1:8" ht="20.100000000000001" customHeight="1">
      <c r="A1883" s="42" t="s">
        <v>4539</v>
      </c>
      <c r="B1883" s="42" t="s">
        <v>3263</v>
      </c>
      <c r="C1883" s="46">
        <v>43136</v>
      </c>
      <c r="D1883" s="47">
        <v>160</v>
      </c>
      <c r="E1883" s="32" t="s">
        <v>3377</v>
      </c>
      <c r="F1883" s="32" t="s">
        <v>3378</v>
      </c>
      <c r="G1883" s="32"/>
      <c r="H1883" s="32" t="s">
        <v>329</v>
      </c>
    </row>
    <row r="1884" spans="1:8" ht="20.100000000000001" customHeight="1">
      <c r="A1884" s="42" t="s">
        <v>4540</v>
      </c>
      <c r="B1884" s="42" t="s">
        <v>3263</v>
      </c>
      <c r="C1884" s="46">
        <v>43136</v>
      </c>
      <c r="D1884" s="47">
        <v>160</v>
      </c>
      <c r="E1884" s="32" t="s">
        <v>3377</v>
      </c>
      <c r="F1884" s="32" t="s">
        <v>3378</v>
      </c>
      <c r="G1884" s="32"/>
      <c r="H1884" s="32" t="s">
        <v>328</v>
      </c>
    </row>
    <row r="1885" spans="1:8" ht="20.100000000000001" customHeight="1">
      <c r="A1885" s="42" t="s">
        <v>4541</v>
      </c>
      <c r="B1885" s="42" t="s">
        <v>3263</v>
      </c>
      <c r="C1885" s="46">
        <v>43112</v>
      </c>
      <c r="D1885" s="47">
        <v>60</v>
      </c>
      <c r="E1885" s="32" t="s">
        <v>3377</v>
      </c>
      <c r="F1885" s="32" t="s">
        <v>3378</v>
      </c>
      <c r="G1885" s="32"/>
      <c r="H1885" s="32" t="s">
        <v>329</v>
      </c>
    </row>
    <row r="1886" spans="1:8" ht="20.100000000000001" customHeight="1">
      <c r="A1886" s="42" t="s">
        <v>4542</v>
      </c>
      <c r="B1886" s="42" t="s">
        <v>3263</v>
      </c>
      <c r="C1886" s="46">
        <v>43112</v>
      </c>
      <c r="D1886" s="47">
        <v>60</v>
      </c>
      <c r="E1886" s="32" t="s">
        <v>3377</v>
      </c>
      <c r="F1886" s="32" t="s">
        <v>3378</v>
      </c>
      <c r="G1886" s="32"/>
      <c r="H1886" s="32" t="s">
        <v>328</v>
      </c>
    </row>
    <row r="1887" spans="1:8" ht="20.100000000000001" customHeight="1">
      <c r="A1887" s="42" t="s">
        <v>4543</v>
      </c>
      <c r="B1887" s="42" t="s">
        <v>194</v>
      </c>
      <c r="C1887" s="46">
        <v>43125</v>
      </c>
      <c r="D1887" s="47">
        <v>60</v>
      </c>
      <c r="E1887" s="32" t="s">
        <v>968</v>
      </c>
      <c r="F1887" s="32" t="s">
        <v>4544</v>
      </c>
      <c r="G1887" s="32"/>
      <c r="H1887" s="32" t="s">
        <v>329</v>
      </c>
    </row>
    <row r="1888" spans="1:8" ht="20.100000000000001" customHeight="1">
      <c r="A1888" s="42" t="s">
        <v>4545</v>
      </c>
      <c r="B1888" s="42" t="s">
        <v>194</v>
      </c>
      <c r="C1888" s="46">
        <v>43125</v>
      </c>
      <c r="D1888" s="47">
        <v>60</v>
      </c>
      <c r="E1888" s="32" t="s">
        <v>968</v>
      </c>
      <c r="F1888" s="32" t="s">
        <v>4544</v>
      </c>
      <c r="G1888" s="32"/>
      <c r="H1888" s="32" t="s">
        <v>328</v>
      </c>
    </row>
    <row r="1889" spans="1:12" ht="20.100000000000001" customHeight="1">
      <c r="A1889" s="42" t="s">
        <v>4546</v>
      </c>
      <c r="B1889" s="42" t="s">
        <v>603</v>
      </c>
      <c r="C1889" s="46">
        <v>43122</v>
      </c>
      <c r="D1889" s="47">
        <v>204.12</v>
      </c>
      <c r="E1889" s="32" t="s">
        <v>165</v>
      </c>
      <c r="F1889" s="32" t="s">
        <v>63</v>
      </c>
      <c r="G1889" s="32"/>
      <c r="H1889" s="32" t="s">
        <v>328</v>
      </c>
    </row>
    <row r="1890" spans="1:12" ht="20.100000000000001" customHeight="1">
      <c r="A1890" s="42" t="s">
        <v>4547</v>
      </c>
      <c r="B1890" s="42" t="s">
        <v>603</v>
      </c>
      <c r="C1890" s="46">
        <v>43141</v>
      </c>
      <c r="D1890" s="47">
        <v>34.020000000000003</v>
      </c>
      <c r="E1890" s="32" t="s">
        <v>1681</v>
      </c>
      <c r="F1890" s="32" t="s">
        <v>63</v>
      </c>
      <c r="G1890" s="32"/>
      <c r="H1890" s="32" t="s">
        <v>329</v>
      </c>
    </row>
    <row r="1891" spans="1:12" ht="20.100000000000001" customHeight="1">
      <c r="A1891" s="42" t="s">
        <v>4548</v>
      </c>
      <c r="B1891" s="42" t="s">
        <v>603</v>
      </c>
      <c r="C1891" s="46">
        <v>43141</v>
      </c>
      <c r="D1891" s="47">
        <f>119.36+60.12</f>
        <v>179.48</v>
      </c>
      <c r="E1891" s="32" t="s">
        <v>1681</v>
      </c>
      <c r="F1891" s="32" t="s">
        <v>63</v>
      </c>
      <c r="G1891" s="32"/>
      <c r="H1891" s="32" t="s">
        <v>329</v>
      </c>
    </row>
    <row r="1892" spans="1:12" ht="20.100000000000001" customHeight="1">
      <c r="A1892" s="42" t="s">
        <v>4549</v>
      </c>
      <c r="B1892" s="42" t="s">
        <v>603</v>
      </c>
      <c r="C1892" s="46">
        <v>43141</v>
      </c>
      <c r="D1892" s="47">
        <v>34.020000000000003</v>
      </c>
      <c r="E1892" s="32" t="s">
        <v>1681</v>
      </c>
      <c r="F1892" s="32" t="s">
        <v>63</v>
      </c>
      <c r="G1892" s="32"/>
      <c r="H1892" s="32" t="s">
        <v>328</v>
      </c>
    </row>
    <row r="1893" spans="1:12" ht="20.100000000000001" customHeight="1">
      <c r="A1893" s="42" t="s">
        <v>4549</v>
      </c>
      <c r="B1893" s="42" t="s">
        <v>603</v>
      </c>
      <c r="C1893" s="46">
        <v>43141</v>
      </c>
      <c r="D1893" s="47">
        <f>119.36+60.12</f>
        <v>179.48</v>
      </c>
      <c r="E1893" s="32" t="s">
        <v>1681</v>
      </c>
      <c r="F1893" s="32" t="s">
        <v>63</v>
      </c>
      <c r="G1893" s="32"/>
      <c r="H1893" s="32" t="s">
        <v>328</v>
      </c>
    </row>
    <row r="1894" spans="1:12" ht="20.100000000000001" customHeight="1">
      <c r="A1894" s="42" t="s">
        <v>4550</v>
      </c>
      <c r="B1894" s="42" t="s">
        <v>412</v>
      </c>
      <c r="C1894" s="46">
        <v>43146</v>
      </c>
      <c r="D1894" s="47">
        <v>155</v>
      </c>
      <c r="E1894" s="32" t="s">
        <v>165</v>
      </c>
      <c r="F1894" s="32" t="s">
        <v>63</v>
      </c>
      <c r="G1894" s="32"/>
      <c r="H1894" s="32" t="s">
        <v>328</v>
      </c>
    </row>
    <row r="1895" spans="1:12" ht="20.100000000000001" customHeight="1">
      <c r="A1895" s="42" t="s">
        <v>4551</v>
      </c>
      <c r="B1895" s="42" t="s">
        <v>194</v>
      </c>
      <c r="C1895" s="46">
        <v>43141</v>
      </c>
      <c r="D1895" s="47">
        <v>160</v>
      </c>
      <c r="E1895" s="32" t="s">
        <v>3144</v>
      </c>
      <c r="F1895" s="32" t="s">
        <v>165</v>
      </c>
      <c r="G1895" s="32"/>
      <c r="H1895" s="32" t="s">
        <v>329</v>
      </c>
    </row>
    <row r="1896" spans="1:12" ht="20.100000000000001" customHeight="1">
      <c r="A1896" s="42" t="s">
        <v>4533</v>
      </c>
      <c r="B1896" s="42" t="s">
        <v>194</v>
      </c>
      <c r="C1896" s="46">
        <v>43161</v>
      </c>
      <c r="D1896" s="47">
        <v>32</v>
      </c>
      <c r="E1896" s="32" t="s">
        <v>2072</v>
      </c>
      <c r="F1896" s="32" t="s">
        <v>1242</v>
      </c>
      <c r="G1896" s="32"/>
      <c r="H1896" s="32" t="s">
        <v>329</v>
      </c>
      <c r="I1896" s="153">
        <v>135</v>
      </c>
    </row>
    <row r="1897" spans="1:12" ht="20.100000000000001" customHeight="1">
      <c r="A1897" s="42" t="s">
        <v>4534</v>
      </c>
      <c r="B1897" s="42" t="s">
        <v>194</v>
      </c>
      <c r="C1897" s="46">
        <v>43161</v>
      </c>
      <c r="D1897" s="47">
        <v>32</v>
      </c>
      <c r="E1897" s="32" t="s">
        <v>2072</v>
      </c>
      <c r="F1897" s="32" t="s">
        <v>1242</v>
      </c>
      <c r="G1897" s="32"/>
      <c r="H1897" s="32" t="s">
        <v>328</v>
      </c>
    </row>
    <row r="1898" spans="1:12" ht="20.100000000000001" customHeight="1">
      <c r="A1898" s="42" t="s">
        <v>4555</v>
      </c>
      <c r="B1898" s="42" t="s">
        <v>194</v>
      </c>
      <c r="C1898" s="46">
        <v>43141</v>
      </c>
      <c r="D1898" s="47">
        <v>64</v>
      </c>
      <c r="E1898" s="32" t="s">
        <v>2072</v>
      </c>
      <c r="F1898" s="32" t="s">
        <v>1242</v>
      </c>
      <c r="G1898" s="32"/>
      <c r="H1898" s="32" t="s">
        <v>329</v>
      </c>
      <c r="I1898" s="153">
        <v>135</v>
      </c>
    </row>
    <row r="1899" spans="1:12" ht="20.100000000000001" customHeight="1">
      <c r="A1899" s="42" t="s">
        <v>4567</v>
      </c>
      <c r="B1899" s="42" t="s">
        <v>4564</v>
      </c>
      <c r="C1899" s="46">
        <v>43164</v>
      </c>
      <c r="D1899" s="47">
        <v>54.99</v>
      </c>
      <c r="E1899" s="32" t="s">
        <v>4565</v>
      </c>
      <c r="F1899" s="32" t="s">
        <v>4566</v>
      </c>
      <c r="G1899" s="32"/>
      <c r="H1899" s="32" t="s">
        <v>328</v>
      </c>
    </row>
    <row r="1900" spans="1:12" ht="20.100000000000001" customHeight="1">
      <c r="A1900" s="42" t="s">
        <v>3713</v>
      </c>
      <c r="B1900" s="42" t="s">
        <v>60</v>
      </c>
      <c r="C1900" s="46">
        <v>43122</v>
      </c>
      <c r="D1900" s="47">
        <v>34.119999999999997</v>
      </c>
      <c r="E1900" s="32" t="s">
        <v>4575</v>
      </c>
      <c r="F1900" s="32" t="s">
        <v>63</v>
      </c>
      <c r="G1900" s="32"/>
      <c r="H1900" s="32" t="s">
        <v>329</v>
      </c>
      <c r="I1900" s="153">
        <f>9980/34</f>
        <v>293.52941176470586</v>
      </c>
      <c r="L1900" s="153">
        <v>9980</v>
      </c>
    </row>
    <row r="1901" spans="1:12" ht="20.100000000000001" customHeight="1">
      <c r="A1901" s="42" t="s">
        <v>4592</v>
      </c>
      <c r="B1901" s="42" t="s">
        <v>106</v>
      </c>
      <c r="C1901" s="46">
        <v>43163</v>
      </c>
      <c r="D1901" s="47">
        <f>753.87-700</f>
        <v>53.870000000000005</v>
      </c>
      <c r="E1901" s="32" t="s">
        <v>1187</v>
      </c>
      <c r="F1901" s="32" t="s">
        <v>70</v>
      </c>
      <c r="G1901" s="32"/>
      <c r="H1901" s="32" t="s">
        <v>329</v>
      </c>
    </row>
    <row r="1902" spans="1:12" ht="20.100000000000001" customHeight="1">
      <c r="A1902" s="42" t="s">
        <v>4591</v>
      </c>
      <c r="B1902" s="42" t="s">
        <v>106</v>
      </c>
      <c r="C1902" s="46">
        <v>43163</v>
      </c>
      <c r="D1902" s="47">
        <v>753.87</v>
      </c>
      <c r="E1902" s="32" t="s">
        <v>1187</v>
      </c>
      <c r="F1902" s="32" t="s">
        <v>70</v>
      </c>
      <c r="G1902" s="32"/>
      <c r="H1902" s="32" t="s">
        <v>329</v>
      </c>
    </row>
    <row r="1903" spans="1:12" ht="20.100000000000001" customHeight="1">
      <c r="A1903" s="42" t="s">
        <v>4068</v>
      </c>
      <c r="B1903" s="42" t="s">
        <v>3271</v>
      </c>
      <c r="C1903" s="46">
        <v>43164</v>
      </c>
      <c r="D1903" s="47">
        <v>200</v>
      </c>
      <c r="E1903" s="32" t="s">
        <v>3377</v>
      </c>
      <c r="F1903" s="32" t="s">
        <v>3378</v>
      </c>
      <c r="G1903" s="32"/>
      <c r="H1903" s="32" t="s">
        <v>329</v>
      </c>
    </row>
    <row r="1904" spans="1:12" ht="20.100000000000001" customHeight="1">
      <c r="A1904" s="42" t="s">
        <v>4606</v>
      </c>
      <c r="B1904" s="42" t="s">
        <v>3271</v>
      </c>
      <c r="C1904" s="46">
        <v>43164</v>
      </c>
      <c r="D1904" s="47">
        <v>40</v>
      </c>
      <c r="E1904" s="32" t="s">
        <v>3377</v>
      </c>
      <c r="F1904" s="32" t="s">
        <v>3434</v>
      </c>
      <c r="G1904" s="32"/>
      <c r="H1904" s="32" t="s">
        <v>329</v>
      </c>
    </row>
    <row r="1905" spans="1:8" ht="20.100000000000001" customHeight="1">
      <c r="A1905" s="42" t="s">
        <v>4607</v>
      </c>
      <c r="B1905" s="42" t="s">
        <v>3271</v>
      </c>
      <c r="C1905" s="46">
        <v>43164</v>
      </c>
      <c r="D1905" s="47">
        <v>40</v>
      </c>
      <c r="E1905" s="32" t="s">
        <v>3377</v>
      </c>
      <c r="F1905" s="32" t="s">
        <v>4615</v>
      </c>
      <c r="G1905" s="32"/>
      <c r="H1905" s="32" t="s">
        <v>329</v>
      </c>
    </row>
    <row r="1906" spans="1:8" ht="20.100000000000001" customHeight="1">
      <c r="A1906" s="42" t="s">
        <v>4608</v>
      </c>
      <c r="B1906" s="42" t="s">
        <v>3271</v>
      </c>
      <c r="C1906" s="46">
        <v>43164</v>
      </c>
      <c r="D1906" s="47">
        <v>100</v>
      </c>
      <c r="E1906" s="32" t="s">
        <v>3377</v>
      </c>
      <c r="F1906" s="32" t="s">
        <v>4189</v>
      </c>
      <c r="G1906" s="32"/>
      <c r="H1906" s="32" t="s">
        <v>329</v>
      </c>
    </row>
    <row r="1907" spans="1:8" ht="20.100000000000001" customHeight="1">
      <c r="A1907" s="42" t="s">
        <v>4609</v>
      </c>
      <c r="B1907" s="42" t="s">
        <v>3271</v>
      </c>
      <c r="C1907" s="46">
        <v>43164</v>
      </c>
      <c r="D1907" s="47">
        <v>200</v>
      </c>
      <c r="E1907" s="32" t="s">
        <v>3377</v>
      </c>
      <c r="F1907" s="32" t="s">
        <v>3378</v>
      </c>
      <c r="G1907" s="32"/>
      <c r="H1907" s="32" t="s">
        <v>329</v>
      </c>
    </row>
    <row r="1908" spans="1:8" ht="20.100000000000001" customHeight="1">
      <c r="A1908" s="42" t="s">
        <v>4610</v>
      </c>
      <c r="B1908" s="42" t="s">
        <v>3271</v>
      </c>
      <c r="C1908" s="46">
        <v>43164</v>
      </c>
      <c r="D1908" s="47">
        <v>200</v>
      </c>
      <c r="E1908" s="32" t="s">
        <v>3377</v>
      </c>
      <c r="F1908" s="32" t="s">
        <v>3378</v>
      </c>
      <c r="G1908" s="32"/>
      <c r="H1908" s="32" t="s">
        <v>328</v>
      </c>
    </row>
    <row r="1909" spans="1:8" ht="20.100000000000001" customHeight="1">
      <c r="A1909" s="42" t="s">
        <v>4611</v>
      </c>
      <c r="B1909" s="42" t="s">
        <v>3271</v>
      </c>
      <c r="C1909" s="46">
        <v>43164</v>
      </c>
      <c r="D1909" s="47">
        <v>40</v>
      </c>
      <c r="E1909" s="32" t="s">
        <v>3377</v>
      </c>
      <c r="F1909" s="32" t="s">
        <v>3434</v>
      </c>
      <c r="G1909" s="32"/>
      <c r="H1909" s="32" t="s">
        <v>328</v>
      </c>
    </row>
    <row r="1910" spans="1:8" ht="20.100000000000001" customHeight="1">
      <c r="A1910" s="42" t="s">
        <v>4612</v>
      </c>
      <c r="B1910" s="42" t="s">
        <v>3271</v>
      </c>
      <c r="C1910" s="46">
        <v>43164</v>
      </c>
      <c r="D1910" s="47">
        <v>40</v>
      </c>
      <c r="E1910" s="32" t="s">
        <v>3377</v>
      </c>
      <c r="F1910" s="32" t="s">
        <v>4615</v>
      </c>
      <c r="G1910" s="32"/>
      <c r="H1910" s="32" t="s">
        <v>328</v>
      </c>
    </row>
    <row r="1911" spans="1:8" ht="20.100000000000001" customHeight="1">
      <c r="A1911" s="42" t="s">
        <v>4613</v>
      </c>
      <c r="B1911" s="42" t="s">
        <v>3271</v>
      </c>
      <c r="C1911" s="46">
        <v>43164</v>
      </c>
      <c r="D1911" s="47">
        <v>100</v>
      </c>
      <c r="E1911" s="32" t="s">
        <v>3377</v>
      </c>
      <c r="F1911" s="32" t="s">
        <v>4189</v>
      </c>
      <c r="G1911" s="32"/>
      <c r="H1911" s="32" t="s">
        <v>328</v>
      </c>
    </row>
    <row r="1912" spans="1:8" ht="20.100000000000001" customHeight="1">
      <c r="A1912" s="42" t="s">
        <v>4614</v>
      </c>
      <c r="B1912" s="42" t="s">
        <v>3271</v>
      </c>
      <c r="C1912" s="46">
        <v>43164</v>
      </c>
      <c r="D1912" s="47">
        <v>200</v>
      </c>
      <c r="E1912" s="32" t="s">
        <v>3377</v>
      </c>
      <c r="F1912" s="32" t="s">
        <v>3378</v>
      </c>
      <c r="G1912" s="32"/>
      <c r="H1912" s="32" t="s">
        <v>328</v>
      </c>
    </row>
    <row r="1913" spans="1:8" ht="20.100000000000001" customHeight="1">
      <c r="A1913" s="42" t="s">
        <v>4626</v>
      </c>
      <c r="B1913" s="42" t="s">
        <v>82</v>
      </c>
      <c r="C1913" s="46">
        <v>43169</v>
      </c>
      <c r="D1913" s="47">
        <v>200</v>
      </c>
      <c r="E1913" s="32" t="s">
        <v>165</v>
      </c>
      <c r="F1913" s="32" t="s">
        <v>63</v>
      </c>
      <c r="G1913" s="32"/>
      <c r="H1913" s="32" t="s">
        <v>328</v>
      </c>
    </row>
    <row r="1914" spans="1:8" ht="20.100000000000001" customHeight="1">
      <c r="A1914" s="42" t="s">
        <v>4729</v>
      </c>
      <c r="B1914" s="42" t="s">
        <v>3954</v>
      </c>
      <c r="C1914" s="46">
        <v>43121</v>
      </c>
      <c r="D1914" s="47">
        <v>120</v>
      </c>
      <c r="E1914" s="32" t="s">
        <v>1187</v>
      </c>
      <c r="F1914" s="32" t="s">
        <v>70</v>
      </c>
      <c r="G1914" s="32"/>
      <c r="H1914" s="32" t="s">
        <v>329</v>
      </c>
    </row>
    <row r="1915" spans="1:8" ht="20.100000000000001" customHeight="1">
      <c r="A1915" s="42" t="s">
        <v>5289</v>
      </c>
      <c r="B1915" s="42" t="s">
        <v>106</v>
      </c>
      <c r="C1915" s="46">
        <v>43170</v>
      </c>
      <c r="D1915" s="47">
        <v>1135.3399999999999</v>
      </c>
      <c r="E1915" s="32" t="s">
        <v>1187</v>
      </c>
      <c r="F1915" s="32" t="s">
        <v>70</v>
      </c>
      <c r="G1915" s="32"/>
      <c r="H1915" s="32" t="s">
        <v>329</v>
      </c>
    </row>
    <row r="1916" spans="1:8" ht="20.100000000000001" customHeight="1">
      <c r="A1916" s="42" t="s">
        <v>4590</v>
      </c>
      <c r="B1916" s="42" t="s">
        <v>106</v>
      </c>
      <c r="C1916" s="46">
        <v>43170</v>
      </c>
      <c r="D1916" s="47">
        <v>1135.3399999999999</v>
      </c>
      <c r="E1916" s="32" t="s">
        <v>1187</v>
      </c>
      <c r="F1916" s="32" t="s">
        <v>70</v>
      </c>
      <c r="G1916" s="32"/>
      <c r="H1916" s="32" t="s">
        <v>328</v>
      </c>
    </row>
    <row r="1917" spans="1:8" ht="20.100000000000001" customHeight="1">
      <c r="A1917" s="42" t="s">
        <v>4640</v>
      </c>
      <c r="B1917" s="42" t="s">
        <v>4223</v>
      </c>
      <c r="C1917" s="46">
        <v>43167</v>
      </c>
      <c r="D1917" s="47">
        <v>754.82</v>
      </c>
      <c r="E1917" s="32" t="s">
        <v>398</v>
      </c>
      <c r="F1917" s="32" t="s">
        <v>63</v>
      </c>
      <c r="G1917" s="32"/>
      <c r="H1917" s="32" t="s">
        <v>329</v>
      </c>
    </row>
    <row r="1918" spans="1:8" ht="20.100000000000001" customHeight="1">
      <c r="A1918" s="42" t="s">
        <v>4561</v>
      </c>
      <c r="B1918" s="42" t="s">
        <v>4223</v>
      </c>
      <c r="C1918" s="46">
        <v>43167</v>
      </c>
      <c r="D1918" s="47">
        <v>754.82</v>
      </c>
      <c r="E1918" s="32" t="s">
        <v>398</v>
      </c>
      <c r="F1918" s="32" t="s">
        <v>63</v>
      </c>
      <c r="G1918" s="32"/>
      <c r="H1918" s="32" t="s">
        <v>328</v>
      </c>
    </row>
    <row r="1919" spans="1:8" ht="20.100000000000001" customHeight="1">
      <c r="A1919" s="42" t="s">
        <v>4536</v>
      </c>
      <c r="B1919" s="42" t="s">
        <v>4223</v>
      </c>
      <c r="C1919" s="46">
        <v>43159</v>
      </c>
      <c r="D1919" s="47">
        <v>130</v>
      </c>
      <c r="E1919" s="32" t="s">
        <v>398</v>
      </c>
      <c r="F1919" s="32" t="s">
        <v>63</v>
      </c>
      <c r="G1919" s="32"/>
      <c r="H1919" s="32" t="s">
        <v>329</v>
      </c>
    </row>
    <row r="1920" spans="1:8" ht="20.100000000000001" customHeight="1">
      <c r="A1920" s="42" t="s">
        <v>4510</v>
      </c>
      <c r="B1920" s="42" t="s">
        <v>4223</v>
      </c>
      <c r="C1920" s="46">
        <v>43159</v>
      </c>
      <c r="D1920" s="47">
        <v>130</v>
      </c>
      <c r="E1920" s="32" t="s">
        <v>398</v>
      </c>
      <c r="F1920" s="32" t="s">
        <v>63</v>
      </c>
      <c r="G1920" s="32"/>
      <c r="H1920" s="32" t="s">
        <v>328</v>
      </c>
    </row>
    <row r="1921" spans="1:9" ht="20.100000000000001" customHeight="1">
      <c r="A1921" s="42" t="s">
        <v>4530</v>
      </c>
      <c r="B1921" s="42" t="s">
        <v>240</v>
      </c>
      <c r="C1921" s="46">
        <v>43169</v>
      </c>
      <c r="D1921" s="47">
        <v>64</v>
      </c>
      <c r="E1921" s="32" t="s">
        <v>2581</v>
      </c>
      <c r="F1921" s="32" t="s">
        <v>165</v>
      </c>
      <c r="G1921" s="32"/>
      <c r="H1921" s="32" t="s">
        <v>329</v>
      </c>
      <c r="I1921" s="153">
        <v>135</v>
      </c>
    </row>
    <row r="1922" spans="1:9" ht="20.100000000000001" customHeight="1">
      <c r="A1922" s="42" t="s">
        <v>4646</v>
      </c>
      <c r="B1922" s="42" t="s">
        <v>3271</v>
      </c>
      <c r="C1922" s="46">
        <v>43164</v>
      </c>
      <c r="D1922" s="47">
        <v>160</v>
      </c>
      <c r="E1922" s="32" t="s">
        <v>3377</v>
      </c>
      <c r="F1922" s="32" t="s">
        <v>4654</v>
      </c>
      <c r="G1922" s="32"/>
      <c r="H1922" s="32" t="s">
        <v>328</v>
      </c>
    </row>
    <row r="1923" spans="1:9" ht="20.100000000000001" customHeight="1">
      <c r="A1923" s="42" t="s">
        <v>4647</v>
      </c>
      <c r="B1923" s="42" t="s">
        <v>3271</v>
      </c>
      <c r="C1923" s="46">
        <v>43169</v>
      </c>
      <c r="D1923" s="47">
        <v>100</v>
      </c>
      <c r="E1923" s="32" t="s">
        <v>3377</v>
      </c>
      <c r="F1923" s="32" t="s">
        <v>4196</v>
      </c>
      <c r="G1923" s="32"/>
      <c r="H1923" s="32" t="s">
        <v>328</v>
      </c>
    </row>
    <row r="1924" spans="1:9" ht="20.100000000000001" customHeight="1">
      <c r="A1924" s="42" t="s">
        <v>4648</v>
      </c>
      <c r="B1924" s="42" t="s">
        <v>3271</v>
      </c>
      <c r="C1924" s="46">
        <v>43169</v>
      </c>
      <c r="D1924" s="47">
        <v>100</v>
      </c>
      <c r="E1924" s="32" t="s">
        <v>3377</v>
      </c>
      <c r="F1924" s="32" t="s">
        <v>4181</v>
      </c>
      <c r="G1924" s="32"/>
      <c r="H1924" s="32" t="s">
        <v>328</v>
      </c>
    </row>
    <row r="1925" spans="1:9" ht="20.100000000000001" customHeight="1">
      <c r="A1925" s="42" t="s">
        <v>4600</v>
      </c>
      <c r="B1925" s="42" t="s">
        <v>3271</v>
      </c>
      <c r="C1925" s="46">
        <v>43169</v>
      </c>
      <c r="D1925" s="47">
        <v>200</v>
      </c>
      <c r="E1925" s="32" t="s">
        <v>3377</v>
      </c>
      <c r="F1925" s="32" t="s">
        <v>4181</v>
      </c>
      <c r="G1925" s="32"/>
      <c r="H1925" s="32" t="s">
        <v>328</v>
      </c>
    </row>
    <row r="1926" spans="1:9" ht="20.100000000000001" customHeight="1">
      <c r="A1926" s="42" t="s">
        <v>4601</v>
      </c>
      <c r="B1926" s="42" t="s">
        <v>3271</v>
      </c>
      <c r="C1926" s="46">
        <v>43169</v>
      </c>
      <c r="D1926" s="47">
        <v>100</v>
      </c>
      <c r="E1926" s="32" t="s">
        <v>3377</v>
      </c>
      <c r="F1926" s="32" t="s">
        <v>4181</v>
      </c>
      <c r="G1926" s="32"/>
      <c r="H1926" s="32" t="s">
        <v>328</v>
      </c>
    </row>
    <row r="1927" spans="1:9" ht="20.100000000000001" customHeight="1">
      <c r="A1927" s="42" t="s">
        <v>4649</v>
      </c>
      <c r="B1927" s="42" t="s">
        <v>3271</v>
      </c>
      <c r="C1927" s="46">
        <v>43164</v>
      </c>
      <c r="D1927" s="47">
        <v>160</v>
      </c>
      <c r="E1927" s="32" t="s">
        <v>3377</v>
      </c>
      <c r="F1927" s="32" t="s">
        <v>4654</v>
      </c>
      <c r="G1927" s="32"/>
      <c r="H1927" s="32" t="s">
        <v>329</v>
      </c>
    </row>
    <row r="1928" spans="1:9" ht="20.100000000000001" customHeight="1">
      <c r="A1928" s="42" t="s">
        <v>4650</v>
      </c>
      <c r="B1928" s="42" t="s">
        <v>3271</v>
      </c>
      <c r="C1928" s="46">
        <v>43169</v>
      </c>
      <c r="D1928" s="47">
        <v>100</v>
      </c>
      <c r="E1928" s="32" t="s">
        <v>3377</v>
      </c>
      <c r="F1928" s="32" t="s">
        <v>4196</v>
      </c>
      <c r="G1928" s="32"/>
      <c r="H1928" s="32" t="s">
        <v>329</v>
      </c>
    </row>
    <row r="1929" spans="1:9" ht="20.100000000000001" customHeight="1">
      <c r="A1929" s="42" t="s">
        <v>4651</v>
      </c>
      <c r="B1929" s="42" t="s">
        <v>3271</v>
      </c>
      <c r="C1929" s="46">
        <v>43169</v>
      </c>
      <c r="D1929" s="47">
        <v>100</v>
      </c>
      <c r="E1929" s="32" t="s">
        <v>3377</v>
      </c>
      <c r="F1929" s="32" t="s">
        <v>4181</v>
      </c>
      <c r="G1929" s="32"/>
      <c r="H1929" s="32" t="s">
        <v>329</v>
      </c>
    </row>
    <row r="1930" spans="1:9" ht="20.100000000000001" customHeight="1">
      <c r="A1930" s="42" t="s">
        <v>4652</v>
      </c>
      <c r="B1930" s="42" t="s">
        <v>3271</v>
      </c>
      <c r="C1930" s="46">
        <v>43169</v>
      </c>
      <c r="D1930" s="47">
        <v>200</v>
      </c>
      <c r="E1930" s="32" t="s">
        <v>3377</v>
      </c>
      <c r="F1930" s="32" t="s">
        <v>4181</v>
      </c>
      <c r="G1930" s="32"/>
      <c r="H1930" s="32" t="s">
        <v>329</v>
      </c>
    </row>
    <row r="1931" spans="1:9" ht="20.100000000000001" customHeight="1">
      <c r="A1931" s="42" t="s">
        <v>4653</v>
      </c>
      <c r="B1931" s="42" t="s">
        <v>3271</v>
      </c>
      <c r="C1931" s="46">
        <v>43169</v>
      </c>
      <c r="D1931" s="47">
        <v>100</v>
      </c>
      <c r="E1931" s="32" t="s">
        <v>3377</v>
      </c>
      <c r="F1931" s="32" t="s">
        <v>4181</v>
      </c>
      <c r="G1931" s="32"/>
      <c r="H1931" s="32" t="s">
        <v>329</v>
      </c>
    </row>
    <row r="1932" spans="1:9" ht="20.100000000000001" customHeight="1">
      <c r="A1932" s="42" t="s">
        <v>4640</v>
      </c>
      <c r="B1932" s="42" t="s">
        <v>4301</v>
      </c>
      <c r="C1932" s="46">
        <v>43180</v>
      </c>
      <c r="D1932" s="47">
        <v>822.56</v>
      </c>
      <c r="E1932" s="32" t="s">
        <v>398</v>
      </c>
      <c r="F1932" s="32" t="s">
        <v>357</v>
      </c>
      <c r="G1932" s="32"/>
      <c r="H1932" s="32" t="s">
        <v>341</v>
      </c>
    </row>
    <row r="1933" spans="1:9" ht="20.100000000000001" customHeight="1">
      <c r="A1933" s="42" t="s">
        <v>4639</v>
      </c>
      <c r="B1933" s="42" t="s">
        <v>4301</v>
      </c>
      <c r="C1933" s="46">
        <v>43180</v>
      </c>
      <c r="D1933" s="47">
        <v>822.56</v>
      </c>
      <c r="E1933" s="32" t="s">
        <v>398</v>
      </c>
      <c r="F1933" s="32" t="s">
        <v>357</v>
      </c>
      <c r="G1933" s="32"/>
      <c r="H1933" s="32" t="s">
        <v>328</v>
      </c>
    </row>
    <row r="1934" spans="1:9" ht="20.100000000000001" customHeight="1">
      <c r="A1934" s="42" t="s">
        <v>4680</v>
      </c>
      <c r="B1934" s="42" t="s">
        <v>2256</v>
      </c>
      <c r="C1934" s="46">
        <v>43180</v>
      </c>
      <c r="D1934" s="452">
        <f>122.9474+144.2956</f>
        <v>267.24299999999999</v>
      </c>
      <c r="E1934" s="32" t="s">
        <v>4682</v>
      </c>
      <c r="F1934" s="32" t="s">
        <v>357</v>
      </c>
      <c r="G1934" s="32"/>
      <c r="H1934" s="32" t="s">
        <v>329</v>
      </c>
    </row>
    <row r="1935" spans="1:9" ht="20.100000000000001" customHeight="1">
      <c r="A1935" s="42" t="s">
        <v>4681</v>
      </c>
      <c r="B1935" s="42" t="s">
        <v>2256</v>
      </c>
      <c r="C1935" s="46">
        <v>43180</v>
      </c>
      <c r="D1935" s="452">
        <v>70.267499999999998</v>
      </c>
      <c r="E1935" s="32" t="s">
        <v>1553</v>
      </c>
      <c r="F1935" s="32" t="s">
        <v>357</v>
      </c>
      <c r="G1935" s="32"/>
      <c r="H1935" s="32" t="s">
        <v>341</v>
      </c>
    </row>
    <row r="1936" spans="1:9" ht="20.100000000000001" customHeight="1">
      <c r="A1936" s="42" t="s">
        <v>4679</v>
      </c>
      <c r="B1936" s="42" t="s">
        <v>2256</v>
      </c>
      <c r="C1936" s="46">
        <v>43180</v>
      </c>
      <c r="D1936" s="452">
        <f>122.9474+144.2956</f>
        <v>267.24299999999999</v>
      </c>
      <c r="E1936" s="32" t="s">
        <v>4682</v>
      </c>
      <c r="F1936" s="32" t="s">
        <v>357</v>
      </c>
      <c r="G1936" s="32"/>
      <c r="H1936" s="32" t="s">
        <v>328</v>
      </c>
    </row>
    <row r="1937" spans="1:9" ht="20.100000000000001" customHeight="1">
      <c r="A1937" s="42" t="s">
        <v>4679</v>
      </c>
      <c r="B1937" s="42" t="s">
        <v>2256</v>
      </c>
      <c r="C1937" s="46">
        <v>43180</v>
      </c>
      <c r="D1937" s="452">
        <v>70.267499999999998</v>
      </c>
      <c r="E1937" s="32" t="s">
        <v>1553</v>
      </c>
      <c r="F1937" s="32" t="s">
        <v>357</v>
      </c>
      <c r="G1937" s="32"/>
      <c r="H1937" s="32" t="s">
        <v>328</v>
      </c>
    </row>
    <row r="1938" spans="1:9" ht="20.100000000000001" customHeight="1">
      <c r="A1938" s="42" t="s">
        <v>4683</v>
      </c>
      <c r="B1938" s="42" t="s">
        <v>240</v>
      </c>
      <c r="C1938" s="46">
        <v>43180</v>
      </c>
      <c r="D1938" s="452">
        <v>96</v>
      </c>
      <c r="E1938" s="32" t="s">
        <v>2581</v>
      </c>
      <c r="F1938" s="32" t="s">
        <v>165</v>
      </c>
      <c r="G1938" s="32"/>
      <c r="H1938" s="32" t="s">
        <v>341</v>
      </c>
      <c r="I1938" s="153">
        <v>135</v>
      </c>
    </row>
    <row r="1939" spans="1:9" ht="20.100000000000001" customHeight="1">
      <c r="A1939" s="42" t="s">
        <v>4643</v>
      </c>
      <c r="B1939" s="42" t="s">
        <v>240</v>
      </c>
      <c r="C1939" s="46">
        <v>43176</v>
      </c>
      <c r="D1939" s="452">
        <v>64</v>
      </c>
      <c r="E1939" s="32" t="s">
        <v>4684</v>
      </c>
      <c r="F1939" s="32" t="s">
        <v>165</v>
      </c>
      <c r="G1939" s="32"/>
      <c r="H1939" s="32" t="s">
        <v>341</v>
      </c>
    </row>
    <row r="1940" spans="1:9" ht="20.100000000000001" customHeight="1">
      <c r="A1940" s="42" t="s">
        <v>4704</v>
      </c>
      <c r="B1940" s="42" t="s">
        <v>240</v>
      </c>
      <c r="C1940" s="46">
        <v>43194</v>
      </c>
      <c r="D1940" s="452">
        <v>32</v>
      </c>
      <c r="E1940" s="32" t="s">
        <v>4716</v>
      </c>
      <c r="F1940" s="32" t="s">
        <v>4717</v>
      </c>
      <c r="G1940" s="32"/>
      <c r="H1940" s="32" t="s">
        <v>328</v>
      </c>
    </row>
    <row r="1941" spans="1:9" ht="20.100000000000001" customHeight="1">
      <c r="A1941" s="42" t="s">
        <v>4714</v>
      </c>
      <c r="B1941" s="42" t="s">
        <v>240</v>
      </c>
      <c r="C1941" s="46">
        <v>43194</v>
      </c>
      <c r="D1941" s="452">
        <v>32</v>
      </c>
      <c r="E1941" s="32" t="s">
        <v>4716</v>
      </c>
      <c r="F1941" s="32" t="s">
        <v>298</v>
      </c>
      <c r="G1941" s="32"/>
      <c r="H1941" s="32" t="s">
        <v>329</v>
      </c>
    </row>
    <row r="1942" spans="1:9" ht="20.100000000000001" customHeight="1">
      <c r="A1942" s="42" t="s">
        <v>4877</v>
      </c>
      <c r="B1942" s="42" t="s">
        <v>106</v>
      </c>
      <c r="C1942" s="46">
        <v>43177</v>
      </c>
      <c r="D1942" s="47">
        <f>1439.05-1160</f>
        <v>279.04999999999995</v>
      </c>
      <c r="E1942" s="32" t="s">
        <v>1187</v>
      </c>
      <c r="F1942" s="32" t="s">
        <v>70</v>
      </c>
      <c r="G1942" s="32"/>
      <c r="H1942" s="32" t="s">
        <v>329</v>
      </c>
    </row>
    <row r="1943" spans="1:9" ht="20.100000000000001" customHeight="1">
      <c r="A1943" s="42" t="s">
        <v>4590</v>
      </c>
      <c r="B1943" s="42" t="s">
        <v>106</v>
      </c>
      <c r="C1943" s="46">
        <v>43177</v>
      </c>
      <c r="D1943" s="47">
        <v>1439.05</v>
      </c>
      <c r="E1943" s="32" t="s">
        <v>1187</v>
      </c>
      <c r="F1943" s="32" t="s">
        <v>70</v>
      </c>
      <c r="G1943" s="32"/>
      <c r="H1943" s="32" t="s">
        <v>328</v>
      </c>
    </row>
    <row r="1944" spans="1:9" ht="20.100000000000001" customHeight="1">
      <c r="A1944" s="42" t="s">
        <v>4741</v>
      </c>
      <c r="B1944" s="42" t="s">
        <v>106</v>
      </c>
      <c r="C1944" s="46">
        <v>43184</v>
      </c>
      <c r="D1944" s="47">
        <v>2042.65</v>
      </c>
      <c r="E1944" s="32" t="s">
        <v>1187</v>
      </c>
      <c r="F1944" s="32" t="s">
        <v>70</v>
      </c>
      <c r="G1944" s="32"/>
      <c r="H1944" s="32" t="s">
        <v>329</v>
      </c>
    </row>
    <row r="1945" spans="1:9" ht="20.100000000000001" customHeight="1">
      <c r="A1945" s="42" t="s">
        <v>4590</v>
      </c>
      <c r="B1945" s="42" t="s">
        <v>106</v>
      </c>
      <c r="C1945" s="46">
        <v>43184</v>
      </c>
      <c r="D1945" s="47">
        <v>2042.65</v>
      </c>
      <c r="E1945" s="32" t="s">
        <v>1187</v>
      </c>
      <c r="F1945" s="32" t="s">
        <v>70</v>
      </c>
      <c r="G1945" s="32"/>
      <c r="H1945" s="32" t="s">
        <v>328</v>
      </c>
    </row>
    <row r="1946" spans="1:9" ht="20.100000000000001" customHeight="1">
      <c r="A1946" s="42" t="s">
        <v>4729</v>
      </c>
      <c r="B1946" s="42" t="s">
        <v>106</v>
      </c>
      <c r="C1946" s="46">
        <v>43191</v>
      </c>
      <c r="D1946" s="47">
        <f>749.87-100</f>
        <v>649.87</v>
      </c>
      <c r="E1946" s="32" t="s">
        <v>1187</v>
      </c>
      <c r="F1946" s="32" t="s">
        <v>70</v>
      </c>
      <c r="G1946" s="32"/>
      <c r="H1946" s="32" t="s">
        <v>329</v>
      </c>
    </row>
    <row r="1947" spans="1:9" ht="20.100000000000001" customHeight="1">
      <c r="A1947" s="42" t="s">
        <v>4590</v>
      </c>
      <c r="B1947" s="42" t="s">
        <v>106</v>
      </c>
      <c r="C1947" s="46">
        <v>43191</v>
      </c>
      <c r="D1947" s="47">
        <v>749.87</v>
      </c>
      <c r="E1947" s="32" t="s">
        <v>1187</v>
      </c>
      <c r="F1947" s="32" t="s">
        <v>70</v>
      </c>
      <c r="G1947" s="32"/>
      <c r="H1947" s="32" t="s">
        <v>328</v>
      </c>
    </row>
    <row r="1948" spans="1:9" ht="20.100000000000001" customHeight="1">
      <c r="A1948" s="42" t="s">
        <v>4877</v>
      </c>
      <c r="B1948" s="42" t="s">
        <v>106</v>
      </c>
      <c r="C1948" s="46">
        <v>43198</v>
      </c>
      <c r="D1948" s="47">
        <v>1275.2</v>
      </c>
      <c r="E1948" s="32" t="s">
        <v>1187</v>
      </c>
      <c r="F1948" s="32" t="s">
        <v>70</v>
      </c>
      <c r="G1948" s="32"/>
      <c r="H1948" s="32" t="s">
        <v>329</v>
      </c>
    </row>
    <row r="1949" spans="1:9" ht="20.100000000000001" customHeight="1">
      <c r="A1949" s="42" t="s">
        <v>4751</v>
      </c>
      <c r="B1949" s="42" t="s">
        <v>106</v>
      </c>
      <c r="C1949" s="46">
        <v>43198</v>
      </c>
      <c r="D1949" s="47">
        <v>1275.2</v>
      </c>
      <c r="E1949" s="32" t="s">
        <v>1187</v>
      </c>
      <c r="F1949" s="32" t="s">
        <v>70</v>
      </c>
      <c r="G1949" s="32"/>
      <c r="H1949" s="32" t="s">
        <v>471</v>
      </c>
    </row>
    <row r="1950" spans="1:9" ht="20.100000000000001" customHeight="1">
      <c r="A1950" s="42" t="s">
        <v>4757</v>
      </c>
      <c r="B1950" s="42" t="s">
        <v>4758</v>
      </c>
      <c r="C1950" s="46">
        <v>43189</v>
      </c>
      <c r="D1950" s="47">
        <v>157</v>
      </c>
      <c r="E1950" s="32" t="s">
        <v>4759</v>
      </c>
      <c r="F1950" s="32" t="s">
        <v>4760</v>
      </c>
      <c r="G1950" s="32"/>
      <c r="H1950" s="32" t="s">
        <v>471</v>
      </c>
    </row>
    <row r="1951" spans="1:9" ht="20.100000000000001" customHeight="1">
      <c r="A1951" s="42" t="s">
        <v>4761</v>
      </c>
      <c r="B1951" s="42" t="s">
        <v>4762</v>
      </c>
      <c r="C1951" s="46">
        <v>43189</v>
      </c>
      <c r="D1951" s="452">
        <v>523</v>
      </c>
      <c r="E1951" s="32" t="s">
        <v>4763</v>
      </c>
      <c r="F1951" s="32" t="s">
        <v>4764</v>
      </c>
      <c r="G1951" s="32"/>
      <c r="H1951" s="32" t="s">
        <v>4765</v>
      </c>
    </row>
    <row r="1952" spans="1:9" ht="20.100000000000001" customHeight="1">
      <c r="A1952" s="42" t="s">
        <v>4766</v>
      </c>
      <c r="B1952" s="42" t="s">
        <v>4767</v>
      </c>
      <c r="C1952" s="46">
        <v>43189</v>
      </c>
      <c r="D1952" s="452">
        <v>140</v>
      </c>
      <c r="E1952" s="32" t="s">
        <v>4768</v>
      </c>
      <c r="F1952" s="32" t="s">
        <v>4769</v>
      </c>
      <c r="G1952" s="32"/>
      <c r="H1952" s="32" t="s">
        <v>4770</v>
      </c>
    </row>
    <row r="1953" spans="1:9" ht="20.100000000000001" customHeight="1">
      <c r="A1953" s="42" t="s">
        <v>4771</v>
      </c>
      <c r="B1953" s="42" t="s">
        <v>4767</v>
      </c>
      <c r="C1953" s="46">
        <v>43189</v>
      </c>
      <c r="D1953" s="452">
        <v>523</v>
      </c>
      <c r="E1953" s="32" t="s">
        <v>4772</v>
      </c>
      <c r="F1953" s="32" t="s">
        <v>4769</v>
      </c>
      <c r="G1953" s="32"/>
      <c r="H1953" s="32" t="s">
        <v>4773</v>
      </c>
    </row>
    <row r="1954" spans="1:9" ht="20.100000000000001" customHeight="1">
      <c r="A1954" s="42" t="s">
        <v>4771</v>
      </c>
      <c r="B1954" s="42" t="s">
        <v>4767</v>
      </c>
      <c r="C1954" s="46">
        <v>43189</v>
      </c>
      <c r="D1954" s="452">
        <v>140</v>
      </c>
      <c r="E1954" s="32" t="s">
        <v>4768</v>
      </c>
      <c r="F1954" s="32" t="s">
        <v>4769</v>
      </c>
      <c r="G1954" s="32"/>
      <c r="H1954" s="32" t="s">
        <v>4773</v>
      </c>
    </row>
    <row r="1955" spans="1:9" ht="20.100000000000001" customHeight="1">
      <c r="A1955" s="42" t="s">
        <v>4783</v>
      </c>
      <c r="B1955" s="42" t="s">
        <v>4223</v>
      </c>
      <c r="C1955" s="46">
        <v>43189</v>
      </c>
      <c r="D1955" s="452">
        <v>850</v>
      </c>
      <c r="E1955" s="32" t="s">
        <v>398</v>
      </c>
      <c r="F1955" s="32" t="s">
        <v>4769</v>
      </c>
      <c r="G1955" s="32"/>
      <c r="H1955" s="32" t="s">
        <v>4770</v>
      </c>
    </row>
    <row r="1956" spans="1:9" ht="20.100000000000001" customHeight="1">
      <c r="A1956" s="42" t="s">
        <v>4781</v>
      </c>
      <c r="B1956" s="42" t="s">
        <v>4223</v>
      </c>
      <c r="C1956" s="46">
        <v>43189</v>
      </c>
      <c r="D1956" s="452">
        <v>850</v>
      </c>
      <c r="E1956" s="32" t="s">
        <v>398</v>
      </c>
      <c r="F1956" s="32" t="s">
        <v>4769</v>
      </c>
      <c r="G1956" s="32"/>
      <c r="H1956" s="32" t="s">
        <v>4773</v>
      </c>
    </row>
    <row r="1957" spans="1:9" ht="20.100000000000001" customHeight="1">
      <c r="A1957" s="42" t="s">
        <v>4805</v>
      </c>
      <c r="B1957" s="42" t="s">
        <v>4223</v>
      </c>
      <c r="C1957" s="46">
        <v>43189</v>
      </c>
      <c r="D1957" s="452">
        <v>300</v>
      </c>
      <c r="E1957" s="32" t="s">
        <v>398</v>
      </c>
      <c r="F1957" s="32" t="s">
        <v>70</v>
      </c>
      <c r="G1957" s="32"/>
      <c r="H1957" s="32" t="s">
        <v>443</v>
      </c>
    </row>
    <row r="1958" spans="1:9" ht="20.100000000000001" customHeight="1">
      <c r="A1958" s="42" t="s">
        <v>4815</v>
      </c>
      <c r="B1958" s="42" t="s">
        <v>4223</v>
      </c>
      <c r="C1958" s="46">
        <v>43189</v>
      </c>
      <c r="D1958" s="452">
        <v>300</v>
      </c>
      <c r="E1958" s="32" t="s">
        <v>398</v>
      </c>
      <c r="F1958" s="32" t="s">
        <v>70</v>
      </c>
      <c r="G1958" s="32"/>
      <c r="H1958" s="32" t="s">
        <v>471</v>
      </c>
    </row>
    <row r="1959" spans="1:9" ht="20.100000000000001" customHeight="1">
      <c r="A1959" s="42" t="s">
        <v>4805</v>
      </c>
      <c r="B1959" s="42" t="s">
        <v>4223</v>
      </c>
      <c r="C1959" s="46">
        <v>43207</v>
      </c>
      <c r="D1959" s="452">
        <v>954.56</v>
      </c>
      <c r="E1959" s="32" t="s">
        <v>398</v>
      </c>
      <c r="F1959" s="32" t="s">
        <v>70</v>
      </c>
      <c r="G1959" s="32"/>
      <c r="H1959" s="32" t="s">
        <v>329</v>
      </c>
    </row>
    <row r="1960" spans="1:9" ht="20.100000000000001" customHeight="1">
      <c r="A1960" s="42" t="s">
        <v>4815</v>
      </c>
      <c r="B1960" s="42" t="s">
        <v>4223</v>
      </c>
      <c r="C1960" s="46">
        <v>43207</v>
      </c>
      <c r="D1960" s="452">
        <v>954.56</v>
      </c>
      <c r="E1960" s="32" t="s">
        <v>398</v>
      </c>
      <c r="F1960" s="32" t="s">
        <v>70</v>
      </c>
      <c r="G1960" s="32"/>
      <c r="H1960" s="32" t="s">
        <v>328</v>
      </c>
    </row>
    <row r="1961" spans="1:9" ht="20.100000000000001" customHeight="1">
      <c r="A1961" s="42" t="s">
        <v>4806</v>
      </c>
      <c r="B1961" s="42" t="s">
        <v>4223</v>
      </c>
      <c r="C1961" s="46">
        <v>43207</v>
      </c>
      <c r="D1961" s="452">
        <v>160</v>
      </c>
      <c r="E1961" s="32" t="s">
        <v>398</v>
      </c>
      <c r="F1961" s="32" t="s">
        <v>70</v>
      </c>
      <c r="G1961" s="32"/>
      <c r="H1961" s="32" t="s">
        <v>329</v>
      </c>
    </row>
    <row r="1962" spans="1:9" ht="20.100000000000001" customHeight="1">
      <c r="A1962" s="42" t="s">
        <v>4815</v>
      </c>
      <c r="B1962" s="42" t="s">
        <v>4223</v>
      </c>
      <c r="C1962" s="46">
        <v>43207</v>
      </c>
      <c r="D1962" s="452">
        <v>160</v>
      </c>
      <c r="E1962" s="32" t="s">
        <v>398</v>
      </c>
      <c r="F1962" s="32" t="s">
        <v>70</v>
      </c>
      <c r="G1962" s="32"/>
      <c r="H1962" s="32" t="s">
        <v>328</v>
      </c>
    </row>
    <row r="1963" spans="1:9" ht="20.100000000000001" customHeight="1">
      <c r="A1963" s="42" t="s">
        <v>4813</v>
      </c>
      <c r="B1963" s="42" t="s">
        <v>106</v>
      </c>
      <c r="C1963" s="46">
        <v>43205</v>
      </c>
      <c r="D1963" s="452">
        <v>1987.8</v>
      </c>
      <c r="E1963" s="32" t="s">
        <v>1187</v>
      </c>
      <c r="F1963" s="32" t="s">
        <v>70</v>
      </c>
      <c r="G1963" s="32"/>
      <c r="H1963" s="32" t="s">
        <v>329</v>
      </c>
    </row>
    <row r="1964" spans="1:9" ht="20.100000000000001" customHeight="1">
      <c r="A1964" s="42" t="s">
        <v>4812</v>
      </c>
      <c r="B1964" s="42" t="s">
        <v>106</v>
      </c>
      <c r="C1964" s="46">
        <v>43205</v>
      </c>
      <c r="D1964" s="452">
        <v>1987.8</v>
      </c>
      <c r="E1964" s="32" t="s">
        <v>1187</v>
      </c>
      <c r="F1964" s="32" t="s">
        <v>70</v>
      </c>
      <c r="G1964" s="32"/>
      <c r="H1964" s="32" t="s">
        <v>328</v>
      </c>
    </row>
    <row r="1965" spans="1:9" ht="20.100000000000001" customHeight="1">
      <c r="A1965" s="42" t="s">
        <v>4741</v>
      </c>
      <c r="B1965" s="42" t="s">
        <v>106</v>
      </c>
      <c r="C1965" s="46">
        <v>43177</v>
      </c>
      <c r="D1965" s="47">
        <v>1160</v>
      </c>
      <c r="E1965" s="32" t="s">
        <v>1187</v>
      </c>
      <c r="F1965" s="32" t="s">
        <v>70</v>
      </c>
      <c r="G1965" s="32"/>
      <c r="H1965" s="32" t="s">
        <v>329</v>
      </c>
    </row>
    <row r="1966" spans="1:9" ht="20.100000000000001" customHeight="1">
      <c r="A1966" s="42" t="s">
        <v>4842</v>
      </c>
      <c r="B1966" s="42" t="s">
        <v>4838</v>
      </c>
      <c r="C1966" s="46">
        <v>43215</v>
      </c>
      <c r="D1966" s="452">
        <v>96</v>
      </c>
      <c r="E1966" s="32" t="s">
        <v>4839</v>
      </c>
      <c r="F1966" s="32" t="s">
        <v>4840</v>
      </c>
      <c r="G1966" s="32"/>
      <c r="H1966" s="32" t="s">
        <v>4841</v>
      </c>
      <c r="I1966" s="153">
        <v>135</v>
      </c>
    </row>
    <row r="1967" spans="1:9" ht="20.100000000000001" customHeight="1">
      <c r="A1967" s="42" t="s">
        <v>4850</v>
      </c>
      <c r="B1967" s="18" t="s">
        <v>603</v>
      </c>
      <c r="C1967" s="46">
        <v>43214</v>
      </c>
      <c r="D1967" s="452">
        <v>183</v>
      </c>
      <c r="E1967" s="32" t="s">
        <v>4852</v>
      </c>
      <c r="F1967" s="32" t="s">
        <v>4853</v>
      </c>
      <c r="G1967" s="32"/>
      <c r="H1967" s="32" t="s">
        <v>4841</v>
      </c>
    </row>
    <row r="1968" spans="1:9" ht="20.100000000000001" customHeight="1">
      <c r="A1968" s="42" t="s">
        <v>4854</v>
      </c>
      <c r="B1968" s="18" t="s">
        <v>603</v>
      </c>
      <c r="C1968" s="46">
        <v>43214</v>
      </c>
      <c r="D1968" s="452">
        <v>183</v>
      </c>
      <c r="E1968" s="32" t="s">
        <v>4852</v>
      </c>
      <c r="F1968" s="32" t="s">
        <v>4853</v>
      </c>
      <c r="G1968" s="32"/>
      <c r="H1968" s="32" t="s">
        <v>328</v>
      </c>
    </row>
    <row r="1969" spans="1:8" ht="20.100000000000001" customHeight="1">
      <c r="A1969" s="42" t="s">
        <v>4860</v>
      </c>
      <c r="B1969" s="18" t="s">
        <v>2761</v>
      </c>
      <c r="C1969" s="46">
        <v>43220</v>
      </c>
      <c r="D1969" s="452">
        <v>21906</v>
      </c>
      <c r="E1969" s="32" t="s">
        <v>4857</v>
      </c>
      <c r="F1969" s="32" t="s">
        <v>4856</v>
      </c>
      <c r="G1969" s="32"/>
      <c r="H1969" s="32" t="s">
        <v>4841</v>
      </c>
    </row>
    <row r="1970" spans="1:8" ht="20.100000000000001" customHeight="1">
      <c r="A1970" s="42" t="s">
        <v>4858</v>
      </c>
      <c r="B1970" s="18" t="s">
        <v>2761</v>
      </c>
      <c r="C1970" s="46">
        <v>43220</v>
      </c>
      <c r="D1970" s="452">
        <v>21906</v>
      </c>
      <c r="E1970" s="32" t="s">
        <v>4857</v>
      </c>
      <c r="F1970" s="32" t="s">
        <v>4856</v>
      </c>
      <c r="G1970" s="32"/>
      <c r="H1970" s="32" t="s">
        <v>4859</v>
      </c>
    </row>
    <row r="1971" spans="1:8" ht="20.100000000000001" customHeight="1">
      <c r="A1971" s="42" t="s">
        <v>4751</v>
      </c>
      <c r="B1971" s="42" t="s">
        <v>106</v>
      </c>
      <c r="C1971" s="46">
        <v>43216</v>
      </c>
      <c r="D1971" s="452">
        <v>340</v>
      </c>
      <c r="E1971" s="32" t="s">
        <v>1187</v>
      </c>
      <c r="F1971" s="32" t="s">
        <v>70</v>
      </c>
      <c r="G1971" s="32"/>
      <c r="H1971" s="32" t="s">
        <v>328</v>
      </c>
    </row>
    <row r="1972" spans="1:8" ht="20.100000000000001" customHeight="1">
      <c r="A1972" s="42" t="s">
        <v>4877</v>
      </c>
      <c r="B1972" s="42" t="s">
        <v>106</v>
      </c>
      <c r="C1972" s="46">
        <v>43216</v>
      </c>
      <c r="D1972" s="452">
        <v>340</v>
      </c>
      <c r="E1972" s="32" t="s">
        <v>1187</v>
      </c>
      <c r="F1972" s="32" t="s">
        <v>70</v>
      </c>
      <c r="G1972" s="32"/>
      <c r="H1972" s="32" t="s">
        <v>329</v>
      </c>
    </row>
    <row r="1973" spans="1:8" ht="20.100000000000001" customHeight="1">
      <c r="A1973" s="42" t="s">
        <v>4895</v>
      </c>
      <c r="B1973" s="42" t="s">
        <v>4896</v>
      </c>
      <c r="C1973" s="46">
        <v>43178</v>
      </c>
      <c r="D1973" s="452">
        <v>160</v>
      </c>
      <c r="E1973" s="32" t="s">
        <v>4897</v>
      </c>
      <c r="F1973" s="32" t="s">
        <v>4898</v>
      </c>
      <c r="G1973" s="32"/>
      <c r="H1973" s="32" t="s">
        <v>4899</v>
      </c>
    </row>
    <row r="1974" spans="1:8" ht="20.100000000000001" customHeight="1">
      <c r="A1974" s="42" t="s">
        <v>4900</v>
      </c>
      <c r="B1974" s="42" t="s">
        <v>4896</v>
      </c>
      <c r="C1974" s="46">
        <v>43176</v>
      </c>
      <c r="D1974" s="452">
        <v>100</v>
      </c>
      <c r="E1974" s="32" t="s">
        <v>4897</v>
      </c>
      <c r="F1974" s="32" t="s">
        <v>4901</v>
      </c>
      <c r="G1974" s="32"/>
      <c r="H1974" s="32" t="s">
        <v>4899</v>
      </c>
    </row>
    <row r="1975" spans="1:8" ht="20.100000000000001" customHeight="1">
      <c r="A1975" s="42" t="s">
        <v>4902</v>
      </c>
      <c r="B1975" s="42" t="s">
        <v>4896</v>
      </c>
      <c r="C1975" s="46">
        <v>43176</v>
      </c>
      <c r="D1975" s="452">
        <v>75</v>
      </c>
      <c r="E1975" s="32" t="s">
        <v>4897</v>
      </c>
      <c r="F1975" s="32" t="s">
        <v>4903</v>
      </c>
      <c r="G1975" s="32"/>
      <c r="H1975" s="32" t="s">
        <v>4899</v>
      </c>
    </row>
    <row r="1976" spans="1:8" ht="20.100000000000001" customHeight="1">
      <c r="A1976" s="42" t="s">
        <v>4904</v>
      </c>
      <c r="B1976" s="42" t="s">
        <v>4896</v>
      </c>
      <c r="C1976" s="46">
        <v>43189</v>
      </c>
      <c r="D1976" s="452">
        <v>100</v>
      </c>
      <c r="E1976" s="32" t="s">
        <v>4897</v>
      </c>
      <c r="F1976" s="32" t="s">
        <v>4905</v>
      </c>
      <c r="G1976" s="32"/>
      <c r="H1976" s="32" t="s">
        <v>4899</v>
      </c>
    </row>
    <row r="1977" spans="1:8" ht="20.100000000000001" customHeight="1">
      <c r="A1977" s="42" t="s">
        <v>4906</v>
      </c>
      <c r="B1977" s="42" t="s">
        <v>4896</v>
      </c>
      <c r="C1977" s="46">
        <v>43218</v>
      </c>
      <c r="D1977" s="452">
        <v>300</v>
      </c>
      <c r="E1977" s="32" t="s">
        <v>4897</v>
      </c>
      <c r="F1977" s="32" t="s">
        <v>4905</v>
      </c>
      <c r="G1977" s="32"/>
      <c r="H1977" s="32" t="s">
        <v>4899</v>
      </c>
    </row>
    <row r="1978" spans="1:8" ht="20.100000000000001" customHeight="1">
      <c r="A1978" s="42" t="s">
        <v>4907</v>
      </c>
      <c r="B1978" s="42" t="s">
        <v>4896</v>
      </c>
      <c r="C1978" s="46">
        <v>43164</v>
      </c>
      <c r="D1978" s="452">
        <v>200</v>
      </c>
      <c r="E1978" s="32" t="s">
        <v>4897</v>
      </c>
      <c r="F1978" s="32" t="s">
        <v>4901</v>
      </c>
      <c r="G1978" s="32"/>
      <c r="H1978" s="32" t="s">
        <v>4899</v>
      </c>
    </row>
    <row r="1979" spans="1:8" ht="20.100000000000001" customHeight="1">
      <c r="A1979" s="42" t="s">
        <v>4908</v>
      </c>
      <c r="B1979" s="42" t="s">
        <v>4896</v>
      </c>
      <c r="C1979" s="46">
        <v>43218</v>
      </c>
      <c r="D1979" s="452">
        <v>200</v>
      </c>
      <c r="E1979" s="32" t="s">
        <v>4897</v>
      </c>
      <c r="F1979" s="32" t="s">
        <v>4905</v>
      </c>
      <c r="G1979" s="32"/>
      <c r="H1979" s="32" t="s">
        <v>4899</v>
      </c>
    </row>
    <row r="1980" spans="1:8" ht="20.100000000000001" customHeight="1">
      <c r="A1980" s="42" t="s">
        <v>4909</v>
      </c>
      <c r="B1980" s="42" t="s">
        <v>4896</v>
      </c>
      <c r="C1980" s="46">
        <v>43218</v>
      </c>
      <c r="D1980" s="452">
        <v>80</v>
      </c>
      <c r="E1980" s="32" t="s">
        <v>4897</v>
      </c>
      <c r="F1980" s="32" t="s">
        <v>4910</v>
      </c>
      <c r="G1980" s="32"/>
      <c r="H1980" s="32" t="s">
        <v>4899</v>
      </c>
    </row>
    <row r="1981" spans="1:8" ht="20.100000000000001" customHeight="1">
      <c r="A1981" s="42" t="s">
        <v>4911</v>
      </c>
      <c r="B1981" s="42" t="s">
        <v>4896</v>
      </c>
      <c r="C1981" s="46">
        <v>43189</v>
      </c>
      <c r="D1981" s="452">
        <v>120</v>
      </c>
      <c r="E1981" s="32" t="s">
        <v>4897</v>
      </c>
      <c r="F1981" s="32" t="s">
        <v>4910</v>
      </c>
      <c r="G1981" s="32"/>
      <c r="H1981" s="32" t="s">
        <v>4899</v>
      </c>
    </row>
    <row r="1982" spans="1:8" ht="20.100000000000001" customHeight="1">
      <c r="A1982" s="42" t="s">
        <v>4912</v>
      </c>
      <c r="B1982" s="42" t="s">
        <v>4896</v>
      </c>
      <c r="C1982" s="46">
        <v>43197</v>
      </c>
      <c r="D1982" s="452">
        <v>100</v>
      </c>
      <c r="E1982" s="32" t="s">
        <v>4897</v>
      </c>
      <c r="F1982" s="32" t="s">
        <v>4903</v>
      </c>
      <c r="G1982" s="32"/>
      <c r="H1982" s="32" t="s">
        <v>4899</v>
      </c>
    </row>
    <row r="1983" spans="1:8" ht="20.100000000000001" customHeight="1">
      <c r="A1983" s="42" t="s">
        <v>4913</v>
      </c>
      <c r="B1983" s="42" t="s">
        <v>4896</v>
      </c>
      <c r="C1983" s="46">
        <v>43178</v>
      </c>
      <c r="D1983" s="452">
        <v>160</v>
      </c>
      <c r="E1983" s="32" t="s">
        <v>4897</v>
      </c>
      <c r="F1983" s="32" t="s">
        <v>4898</v>
      </c>
      <c r="G1983" s="32"/>
      <c r="H1983" s="32" t="s">
        <v>4914</v>
      </c>
    </row>
    <row r="1984" spans="1:8" ht="20.100000000000001" customHeight="1">
      <c r="A1984" s="42" t="s">
        <v>4915</v>
      </c>
      <c r="B1984" s="42" t="s">
        <v>4896</v>
      </c>
      <c r="C1984" s="46">
        <v>43176</v>
      </c>
      <c r="D1984" s="452">
        <v>100</v>
      </c>
      <c r="E1984" s="32" t="s">
        <v>4897</v>
      </c>
      <c r="F1984" s="32" t="s">
        <v>4901</v>
      </c>
      <c r="G1984" s="32"/>
      <c r="H1984" s="32" t="s">
        <v>4914</v>
      </c>
    </row>
    <row r="1985" spans="1:8" ht="20.100000000000001" customHeight="1">
      <c r="A1985" s="42" t="s">
        <v>4916</v>
      </c>
      <c r="B1985" s="42" t="s">
        <v>4896</v>
      </c>
      <c r="C1985" s="46">
        <v>43176</v>
      </c>
      <c r="D1985" s="452">
        <v>75</v>
      </c>
      <c r="E1985" s="32" t="s">
        <v>4897</v>
      </c>
      <c r="F1985" s="32" t="s">
        <v>4903</v>
      </c>
      <c r="G1985" s="32"/>
      <c r="H1985" s="32" t="s">
        <v>4914</v>
      </c>
    </row>
    <row r="1986" spans="1:8" ht="20.100000000000001" customHeight="1">
      <c r="A1986" s="42" t="s">
        <v>4917</v>
      </c>
      <c r="B1986" s="42" t="s">
        <v>4896</v>
      </c>
      <c r="C1986" s="46">
        <v>43189</v>
      </c>
      <c r="D1986" s="452">
        <v>100</v>
      </c>
      <c r="E1986" s="32" t="s">
        <v>4897</v>
      </c>
      <c r="F1986" s="32" t="s">
        <v>4905</v>
      </c>
      <c r="G1986" s="32"/>
      <c r="H1986" s="32" t="s">
        <v>4914</v>
      </c>
    </row>
    <row r="1987" spans="1:8" ht="20.100000000000001" customHeight="1">
      <c r="A1987" s="42" t="s">
        <v>4918</v>
      </c>
      <c r="B1987" s="42" t="s">
        <v>4896</v>
      </c>
      <c r="C1987" s="46">
        <v>43218</v>
      </c>
      <c r="D1987" s="452">
        <v>300</v>
      </c>
      <c r="E1987" s="32" t="s">
        <v>4897</v>
      </c>
      <c r="F1987" s="32" t="s">
        <v>4905</v>
      </c>
      <c r="G1987" s="32"/>
      <c r="H1987" s="32" t="s">
        <v>4914</v>
      </c>
    </row>
    <row r="1988" spans="1:8" ht="20.100000000000001" customHeight="1">
      <c r="A1988" s="42" t="s">
        <v>4919</v>
      </c>
      <c r="B1988" s="42" t="s">
        <v>4896</v>
      </c>
      <c r="C1988" s="46">
        <v>43164</v>
      </c>
      <c r="D1988" s="452">
        <v>200</v>
      </c>
      <c r="E1988" s="32" t="s">
        <v>4897</v>
      </c>
      <c r="F1988" s="32" t="s">
        <v>4901</v>
      </c>
      <c r="G1988" s="32"/>
      <c r="H1988" s="32" t="s">
        <v>4914</v>
      </c>
    </row>
    <row r="1989" spans="1:8" ht="20.100000000000001" customHeight="1">
      <c r="A1989" s="42" t="s">
        <v>4920</v>
      </c>
      <c r="B1989" s="42" t="s">
        <v>4896</v>
      </c>
      <c r="C1989" s="46">
        <v>43218</v>
      </c>
      <c r="D1989" s="452">
        <v>200</v>
      </c>
      <c r="E1989" s="32" t="s">
        <v>4897</v>
      </c>
      <c r="F1989" s="32" t="s">
        <v>4905</v>
      </c>
      <c r="G1989" s="32"/>
      <c r="H1989" s="32" t="s">
        <v>4914</v>
      </c>
    </row>
    <row r="1990" spans="1:8" ht="20.100000000000001" customHeight="1">
      <c r="A1990" s="42" t="s">
        <v>4921</v>
      </c>
      <c r="B1990" s="42" t="s">
        <v>4896</v>
      </c>
      <c r="C1990" s="46">
        <v>43218</v>
      </c>
      <c r="D1990" s="452">
        <v>80</v>
      </c>
      <c r="E1990" s="32" t="s">
        <v>4897</v>
      </c>
      <c r="F1990" s="32" t="s">
        <v>4910</v>
      </c>
      <c r="G1990" s="32"/>
      <c r="H1990" s="32" t="s">
        <v>4914</v>
      </c>
    </row>
    <row r="1991" spans="1:8" ht="20.100000000000001" customHeight="1">
      <c r="A1991" s="42" t="s">
        <v>4922</v>
      </c>
      <c r="B1991" s="42" t="s">
        <v>4896</v>
      </c>
      <c r="C1991" s="46">
        <v>43189</v>
      </c>
      <c r="D1991" s="452">
        <v>120</v>
      </c>
      <c r="E1991" s="32" t="s">
        <v>4897</v>
      </c>
      <c r="F1991" s="32" t="s">
        <v>4910</v>
      </c>
      <c r="G1991" s="32"/>
      <c r="H1991" s="32" t="s">
        <v>4914</v>
      </c>
    </row>
    <row r="1992" spans="1:8" ht="20.100000000000001" customHeight="1">
      <c r="A1992" s="42" t="s">
        <v>4923</v>
      </c>
      <c r="B1992" s="42" t="s">
        <v>4896</v>
      </c>
      <c r="C1992" s="46">
        <v>43197</v>
      </c>
      <c r="D1992" s="452">
        <v>100</v>
      </c>
      <c r="E1992" s="32" t="s">
        <v>4897</v>
      </c>
      <c r="F1992" s="32" t="s">
        <v>4903</v>
      </c>
      <c r="G1992" s="32"/>
      <c r="H1992" s="32" t="s">
        <v>4914</v>
      </c>
    </row>
    <row r="1993" spans="1:8" ht="20.100000000000001" customHeight="1">
      <c r="A1993" s="42" t="s">
        <v>4967</v>
      </c>
      <c r="B1993" s="42" t="s">
        <v>4968</v>
      </c>
      <c r="C1993" s="46">
        <v>43220</v>
      </c>
      <c r="D1993" s="452">
        <v>210</v>
      </c>
      <c r="E1993" s="32" t="s">
        <v>4969</v>
      </c>
      <c r="F1993" s="32" t="s">
        <v>4970</v>
      </c>
      <c r="G1993" s="32"/>
      <c r="H1993" s="32" t="s">
        <v>328</v>
      </c>
    </row>
    <row r="1994" spans="1:8" ht="20.100000000000001" customHeight="1">
      <c r="A1994" s="42" t="s">
        <v>4971</v>
      </c>
      <c r="B1994" s="42" t="s">
        <v>4973</v>
      </c>
      <c r="C1994" s="46">
        <v>43220</v>
      </c>
      <c r="D1994" s="452">
        <v>500</v>
      </c>
      <c r="E1994" s="32" t="s">
        <v>4974</v>
      </c>
      <c r="F1994" s="32" t="s">
        <v>4970</v>
      </c>
      <c r="G1994" s="32"/>
      <c r="H1994" s="32" t="s">
        <v>328</v>
      </c>
    </row>
    <row r="1995" spans="1:8" ht="20.100000000000001" customHeight="1">
      <c r="A1995" s="42" t="s">
        <v>4972</v>
      </c>
      <c r="B1995" s="42" t="s">
        <v>4973</v>
      </c>
      <c r="C1995" s="46">
        <v>43220</v>
      </c>
      <c r="D1995" s="452">
        <v>500</v>
      </c>
      <c r="E1995" s="32" t="s">
        <v>4974</v>
      </c>
      <c r="F1995" s="32" t="s">
        <v>4970</v>
      </c>
      <c r="G1995" s="32"/>
      <c r="H1995" s="32" t="s">
        <v>329</v>
      </c>
    </row>
    <row r="1996" spans="1:8" ht="20.100000000000001" customHeight="1">
      <c r="A1996" s="42" t="s">
        <v>5003</v>
      </c>
      <c r="B1996" s="42" t="s">
        <v>60</v>
      </c>
      <c r="C1996" s="46">
        <v>43220</v>
      </c>
      <c r="D1996" s="452">
        <v>132</v>
      </c>
      <c r="E1996" s="32" t="s">
        <v>4763</v>
      </c>
      <c r="F1996" s="32" t="s">
        <v>63</v>
      </c>
      <c r="G1996" s="32"/>
      <c r="H1996" s="32" t="s">
        <v>341</v>
      </c>
    </row>
    <row r="1997" spans="1:8" ht="20.100000000000001" customHeight="1">
      <c r="A1997" s="42" t="s">
        <v>4780</v>
      </c>
      <c r="B1997" s="42" t="s">
        <v>60</v>
      </c>
      <c r="C1997" s="46">
        <v>43220</v>
      </c>
      <c r="D1997" s="452">
        <v>132</v>
      </c>
      <c r="E1997" s="32" t="s">
        <v>4763</v>
      </c>
      <c r="F1997" s="32" t="s">
        <v>63</v>
      </c>
      <c r="G1997" s="32"/>
      <c r="H1997" s="32" t="s">
        <v>424</v>
      </c>
    </row>
    <row r="1998" spans="1:8" ht="20.100000000000001" customHeight="1">
      <c r="A1998" s="42" t="s">
        <v>5010</v>
      </c>
      <c r="B1998" s="42" t="s">
        <v>240</v>
      </c>
      <c r="C1998" s="46">
        <v>43230</v>
      </c>
      <c r="D1998" s="452">
        <v>96</v>
      </c>
      <c r="E1998" s="32" t="s">
        <v>309</v>
      </c>
      <c r="F1998" s="32" t="s">
        <v>309</v>
      </c>
      <c r="G1998" s="32"/>
      <c r="H1998" s="32" t="s">
        <v>341</v>
      </c>
    </row>
    <row r="1999" spans="1:8" ht="20.100000000000001" customHeight="1">
      <c r="A1999" s="42" t="s">
        <v>5017</v>
      </c>
      <c r="B1999" s="42" t="s">
        <v>4223</v>
      </c>
      <c r="C1999" s="46">
        <v>43220</v>
      </c>
      <c r="D1999" s="452">
        <v>830</v>
      </c>
      <c r="E1999" s="32" t="s">
        <v>5018</v>
      </c>
      <c r="F1999" s="32" t="s">
        <v>422</v>
      </c>
      <c r="G1999" s="32"/>
      <c r="H1999" s="32" t="s">
        <v>341</v>
      </c>
    </row>
    <row r="2000" spans="1:8" ht="20.100000000000001" customHeight="1">
      <c r="A2000" s="42" t="s">
        <v>4988</v>
      </c>
      <c r="B2000" s="42" t="s">
        <v>4223</v>
      </c>
      <c r="C2000" s="46">
        <v>43220</v>
      </c>
      <c r="D2000" s="452">
        <v>830</v>
      </c>
      <c r="E2000" s="32" t="s">
        <v>5018</v>
      </c>
      <c r="F2000" s="32" t="s">
        <v>422</v>
      </c>
      <c r="G2000" s="32"/>
      <c r="H2000" s="32" t="s">
        <v>424</v>
      </c>
    </row>
    <row r="2001" spans="1:8" ht="20.100000000000001" customHeight="1">
      <c r="A2001" s="42" t="s">
        <v>4806</v>
      </c>
      <c r="B2001" s="42" t="s">
        <v>4223</v>
      </c>
      <c r="C2001" s="46">
        <v>43220</v>
      </c>
      <c r="D2001" s="452">
        <v>110</v>
      </c>
      <c r="E2001" s="32" t="s">
        <v>398</v>
      </c>
      <c r="F2001" s="32" t="s">
        <v>70</v>
      </c>
      <c r="G2001" s="32"/>
      <c r="H2001" s="32" t="s">
        <v>329</v>
      </c>
    </row>
    <row r="2002" spans="1:8" ht="20.100000000000001" customHeight="1">
      <c r="A2002" s="42" t="s">
        <v>4815</v>
      </c>
      <c r="B2002" s="42" t="s">
        <v>4223</v>
      </c>
      <c r="C2002" s="46">
        <v>43220</v>
      </c>
      <c r="D2002" s="452">
        <v>110</v>
      </c>
      <c r="E2002" s="32" t="s">
        <v>398</v>
      </c>
      <c r="F2002" s="32" t="s">
        <v>70</v>
      </c>
      <c r="G2002" s="32"/>
      <c r="H2002" s="32" t="s">
        <v>328</v>
      </c>
    </row>
    <row r="2003" spans="1:8" ht="20.100000000000001" customHeight="1">
      <c r="A2003" s="42" t="s">
        <v>5024</v>
      </c>
      <c r="B2003" s="42" t="s">
        <v>4223</v>
      </c>
      <c r="C2003" s="46">
        <v>43235</v>
      </c>
      <c r="D2003" s="452">
        <v>1314.23</v>
      </c>
      <c r="E2003" s="32" t="s">
        <v>398</v>
      </c>
      <c r="F2003" s="32" t="s">
        <v>422</v>
      </c>
      <c r="G2003" s="32"/>
      <c r="H2003" s="32" t="s">
        <v>341</v>
      </c>
    </row>
    <row r="2004" spans="1:8" ht="20.100000000000001" customHeight="1">
      <c r="A2004" s="42" t="s">
        <v>4987</v>
      </c>
      <c r="B2004" s="42" t="s">
        <v>4223</v>
      </c>
      <c r="C2004" s="46">
        <v>43235</v>
      </c>
      <c r="D2004" s="452">
        <v>1314.23</v>
      </c>
      <c r="E2004" s="32" t="s">
        <v>398</v>
      </c>
      <c r="F2004" s="32" t="s">
        <v>422</v>
      </c>
      <c r="G2004" s="32"/>
      <c r="H2004" s="32" t="s">
        <v>424</v>
      </c>
    </row>
    <row r="2005" spans="1:8" ht="20.100000000000001" customHeight="1">
      <c r="A2005" s="42" t="s">
        <v>5033</v>
      </c>
      <c r="B2005" s="42" t="s">
        <v>5031</v>
      </c>
      <c r="C2005" s="46">
        <v>43227</v>
      </c>
      <c r="D2005" s="452">
        <v>64</v>
      </c>
      <c r="E2005" s="32" t="s">
        <v>5032</v>
      </c>
      <c r="F2005" s="32" t="s">
        <v>5032</v>
      </c>
      <c r="G2005" s="32"/>
      <c r="H2005" s="32" t="s">
        <v>341</v>
      </c>
    </row>
    <row r="2006" spans="1:8" ht="20.100000000000001" customHeight="1">
      <c r="A2006" s="42" t="s">
        <v>5040</v>
      </c>
      <c r="B2006" s="42" t="s">
        <v>5031</v>
      </c>
      <c r="C2006" s="46">
        <v>43202</v>
      </c>
      <c r="D2006" s="452">
        <v>3</v>
      </c>
      <c r="E2006" s="32" t="s">
        <v>5032</v>
      </c>
      <c r="F2006" s="32" t="s">
        <v>5041</v>
      </c>
      <c r="G2006" s="32"/>
      <c r="H2006" s="32" t="s">
        <v>328</v>
      </c>
    </row>
    <row r="2007" spans="1:8" ht="20.100000000000001" customHeight="1">
      <c r="A2007" s="42" t="s">
        <v>5068</v>
      </c>
      <c r="B2007" s="42" t="s">
        <v>5069</v>
      </c>
      <c r="C2007" s="46">
        <v>43245</v>
      </c>
      <c r="D2007" s="452">
        <v>900</v>
      </c>
      <c r="E2007" s="32" t="s">
        <v>398</v>
      </c>
      <c r="F2007" s="32" t="s">
        <v>70</v>
      </c>
      <c r="G2007" s="32"/>
      <c r="H2007" s="32" t="s">
        <v>329</v>
      </c>
    </row>
    <row r="2008" spans="1:8" ht="20.100000000000001" customHeight="1">
      <c r="A2008" s="42" t="s">
        <v>5070</v>
      </c>
      <c r="B2008" s="42" t="s">
        <v>4223</v>
      </c>
      <c r="C2008" s="46">
        <v>43245</v>
      </c>
      <c r="D2008" s="452">
        <v>900</v>
      </c>
      <c r="E2008" s="32" t="s">
        <v>398</v>
      </c>
      <c r="F2008" s="32" t="s">
        <v>70</v>
      </c>
      <c r="G2008" s="32"/>
      <c r="H2008" s="32" t="s">
        <v>328</v>
      </c>
    </row>
    <row r="2009" spans="1:8" ht="20.100000000000001" customHeight="1">
      <c r="A2009" s="42" t="s">
        <v>5085</v>
      </c>
      <c r="B2009" s="42" t="s">
        <v>5092</v>
      </c>
      <c r="C2009" s="46">
        <v>43245</v>
      </c>
      <c r="D2009" s="452">
        <v>96</v>
      </c>
      <c r="E2009" s="32" t="s">
        <v>5093</v>
      </c>
      <c r="F2009" s="32" t="s">
        <v>5094</v>
      </c>
      <c r="G2009" s="32" t="s">
        <v>5095</v>
      </c>
      <c r="H2009" s="32" t="s">
        <v>329</v>
      </c>
    </row>
    <row r="2010" spans="1:8" ht="20.100000000000001" customHeight="1">
      <c r="A2010" s="42" t="s">
        <v>5088</v>
      </c>
      <c r="B2010" s="42" t="s">
        <v>5092</v>
      </c>
      <c r="C2010" s="46">
        <v>43256</v>
      </c>
      <c r="D2010" s="452">
        <v>300</v>
      </c>
      <c r="E2010" s="32" t="s">
        <v>165</v>
      </c>
      <c r="F2010" s="32" t="s">
        <v>165</v>
      </c>
      <c r="G2010" s="32"/>
      <c r="H2010" s="32" t="s">
        <v>329</v>
      </c>
    </row>
    <row r="2011" spans="1:8" ht="20.100000000000001" customHeight="1">
      <c r="A2011" s="42" t="s">
        <v>5090</v>
      </c>
      <c r="B2011" s="42" t="s">
        <v>5092</v>
      </c>
      <c r="C2011" s="46">
        <v>43252</v>
      </c>
      <c r="D2011" s="452">
        <v>64</v>
      </c>
      <c r="E2011" s="32" t="s">
        <v>165</v>
      </c>
      <c r="F2011" s="32" t="s">
        <v>165</v>
      </c>
      <c r="G2011" s="32"/>
      <c r="H2011" s="32" t="s">
        <v>329</v>
      </c>
    </row>
    <row r="2012" spans="1:8" ht="20.100000000000001" customHeight="1">
      <c r="A2012" s="42" t="s">
        <v>5099</v>
      </c>
      <c r="B2012" s="42" t="s">
        <v>5100</v>
      </c>
      <c r="C2012" s="46">
        <v>43250</v>
      </c>
      <c r="D2012" s="452">
        <v>286</v>
      </c>
      <c r="E2012" s="32" t="s">
        <v>5094</v>
      </c>
      <c r="F2012" s="32" t="s">
        <v>5101</v>
      </c>
      <c r="G2012" s="32"/>
      <c r="H2012" s="32" t="s">
        <v>328</v>
      </c>
    </row>
    <row r="2013" spans="1:8" ht="20.100000000000001" customHeight="1">
      <c r="A2013" s="42" t="s">
        <v>5113</v>
      </c>
      <c r="B2013" s="42" t="s">
        <v>5114</v>
      </c>
      <c r="C2013" s="46">
        <v>43242</v>
      </c>
      <c r="D2013" s="452">
        <v>300</v>
      </c>
      <c r="E2013" s="32" t="s">
        <v>3377</v>
      </c>
      <c r="F2013" s="32" t="s">
        <v>5122</v>
      </c>
      <c r="G2013" s="32"/>
      <c r="H2013" s="32" t="s">
        <v>328</v>
      </c>
    </row>
    <row r="2014" spans="1:8" ht="20.100000000000001" customHeight="1">
      <c r="A2014" s="42" t="s">
        <v>5115</v>
      </c>
      <c r="B2014" s="42" t="s">
        <v>5114</v>
      </c>
      <c r="C2014" s="46">
        <v>43239</v>
      </c>
      <c r="D2014" s="452">
        <v>100</v>
      </c>
      <c r="E2014" s="32" t="s">
        <v>3377</v>
      </c>
      <c r="F2014" s="32" t="s">
        <v>4189</v>
      </c>
      <c r="G2014" s="32"/>
      <c r="H2014" s="32" t="s">
        <v>328</v>
      </c>
    </row>
    <row r="2015" spans="1:8" ht="20.100000000000001" customHeight="1">
      <c r="A2015" s="42" t="s">
        <v>5116</v>
      </c>
      <c r="B2015" s="42" t="s">
        <v>5114</v>
      </c>
      <c r="C2015" s="46">
        <v>43251</v>
      </c>
      <c r="D2015" s="452">
        <v>40</v>
      </c>
      <c r="E2015" s="32" t="s">
        <v>3377</v>
      </c>
      <c r="F2015" s="32" t="s">
        <v>3378</v>
      </c>
      <c r="G2015" s="32"/>
      <c r="H2015" s="32" t="s">
        <v>328</v>
      </c>
    </row>
    <row r="2016" spans="1:8" ht="20.100000000000001" customHeight="1">
      <c r="A2016" s="42" t="s">
        <v>5117</v>
      </c>
      <c r="B2016" s="42" t="s">
        <v>5114</v>
      </c>
      <c r="C2016" s="46">
        <v>43234</v>
      </c>
      <c r="D2016" s="452">
        <v>140</v>
      </c>
      <c r="E2016" s="32" t="s">
        <v>3377</v>
      </c>
      <c r="F2016" s="32" t="s">
        <v>5123</v>
      </c>
      <c r="G2016" s="32"/>
      <c r="H2016" s="32" t="s">
        <v>328</v>
      </c>
    </row>
    <row r="2017" spans="1:8" ht="20.100000000000001" customHeight="1">
      <c r="A2017" s="42" t="s">
        <v>5118</v>
      </c>
      <c r="B2017" s="42" t="s">
        <v>5114</v>
      </c>
      <c r="C2017" s="46">
        <v>43242</v>
      </c>
      <c r="D2017" s="452">
        <v>300</v>
      </c>
      <c r="E2017" s="32" t="s">
        <v>3377</v>
      </c>
      <c r="F2017" s="32" t="s">
        <v>5122</v>
      </c>
      <c r="G2017" s="32"/>
      <c r="H2017" s="32" t="s">
        <v>329</v>
      </c>
    </row>
    <row r="2018" spans="1:8" ht="20.100000000000001" customHeight="1">
      <c r="A2018" s="42" t="s">
        <v>5119</v>
      </c>
      <c r="B2018" s="42" t="s">
        <v>5114</v>
      </c>
      <c r="C2018" s="46">
        <v>43239</v>
      </c>
      <c r="D2018" s="452">
        <v>100</v>
      </c>
      <c r="E2018" s="32" t="s">
        <v>3377</v>
      </c>
      <c r="F2018" s="32" t="s">
        <v>4189</v>
      </c>
      <c r="G2018" s="32"/>
      <c r="H2018" s="32" t="s">
        <v>329</v>
      </c>
    </row>
    <row r="2019" spans="1:8" ht="20.100000000000001" customHeight="1">
      <c r="A2019" s="42" t="s">
        <v>5120</v>
      </c>
      <c r="B2019" s="42" t="s">
        <v>5114</v>
      </c>
      <c r="C2019" s="46">
        <v>43251</v>
      </c>
      <c r="D2019" s="452">
        <v>40</v>
      </c>
      <c r="E2019" s="32" t="s">
        <v>3377</v>
      </c>
      <c r="F2019" s="32" t="s">
        <v>3378</v>
      </c>
      <c r="G2019" s="32"/>
      <c r="H2019" s="32" t="s">
        <v>329</v>
      </c>
    </row>
    <row r="2020" spans="1:8" ht="20.100000000000001" customHeight="1">
      <c r="A2020" s="42" t="s">
        <v>5121</v>
      </c>
      <c r="B2020" s="42" t="s">
        <v>5114</v>
      </c>
      <c r="C2020" s="46">
        <v>43234</v>
      </c>
      <c r="D2020" s="452">
        <v>140</v>
      </c>
      <c r="E2020" s="32" t="s">
        <v>3377</v>
      </c>
      <c r="F2020" s="32" t="s">
        <v>5123</v>
      </c>
      <c r="G2020" s="32"/>
      <c r="H2020" s="32" t="s">
        <v>329</v>
      </c>
    </row>
    <row r="2021" spans="1:8" ht="20.100000000000001" customHeight="1">
      <c r="A2021" s="42" t="s">
        <v>5146</v>
      </c>
      <c r="B2021" s="42" t="s">
        <v>5147</v>
      </c>
      <c r="C2021" s="46">
        <v>43250</v>
      </c>
      <c r="D2021" s="452">
        <v>490</v>
      </c>
      <c r="E2021" s="32" t="s">
        <v>5148</v>
      </c>
      <c r="F2021" s="32" t="s">
        <v>5149</v>
      </c>
      <c r="G2021" s="32"/>
      <c r="H2021" s="32" t="s">
        <v>888</v>
      </c>
    </row>
    <row r="2022" spans="1:8" ht="20.100000000000001" customHeight="1">
      <c r="A2022" s="42" t="s">
        <v>5150</v>
      </c>
      <c r="B2022" s="42" t="s">
        <v>5147</v>
      </c>
      <c r="C2022" s="46">
        <v>43250</v>
      </c>
      <c r="D2022" s="452">
        <v>490</v>
      </c>
      <c r="E2022" s="32" t="s">
        <v>5148</v>
      </c>
      <c r="F2022" s="32" t="s">
        <v>5149</v>
      </c>
      <c r="G2022" s="32"/>
      <c r="H2022" s="32" t="s">
        <v>329</v>
      </c>
    </row>
    <row r="2023" spans="1:8" ht="20.100000000000001" customHeight="1">
      <c r="A2023" s="42" t="s">
        <v>5161</v>
      </c>
      <c r="B2023" s="42" t="s">
        <v>5162</v>
      </c>
      <c r="C2023" s="46">
        <v>43261</v>
      </c>
      <c r="D2023" s="452">
        <v>288</v>
      </c>
      <c r="E2023" s="32" t="s">
        <v>5160</v>
      </c>
      <c r="F2023" s="32" t="s">
        <v>5163</v>
      </c>
      <c r="G2023" s="32"/>
      <c r="H2023" s="32" t="s">
        <v>328</v>
      </c>
    </row>
    <row r="2024" spans="1:8" ht="20.100000000000001" customHeight="1">
      <c r="A2024" s="42" t="s">
        <v>5181</v>
      </c>
      <c r="B2024" s="42" t="s">
        <v>3271</v>
      </c>
      <c r="C2024" s="46">
        <v>43268</v>
      </c>
      <c r="D2024" s="452">
        <v>100</v>
      </c>
      <c r="E2024" s="32" t="s">
        <v>3377</v>
      </c>
      <c r="F2024" s="32" t="s">
        <v>5182</v>
      </c>
      <c r="G2024" s="32"/>
      <c r="H2024" s="32" t="s">
        <v>690</v>
      </c>
    </row>
    <row r="2025" spans="1:8" ht="20.100000000000001" customHeight="1">
      <c r="A2025" s="42" t="s">
        <v>5183</v>
      </c>
      <c r="B2025" s="42" t="s">
        <v>3271</v>
      </c>
      <c r="C2025" s="46">
        <v>43263</v>
      </c>
      <c r="D2025" s="452">
        <v>60</v>
      </c>
      <c r="E2025" s="32" t="s">
        <v>3377</v>
      </c>
      <c r="F2025" s="32" t="s">
        <v>3434</v>
      </c>
      <c r="G2025" s="32"/>
      <c r="H2025" s="32" t="s">
        <v>690</v>
      </c>
    </row>
    <row r="2026" spans="1:8" ht="20.100000000000001" customHeight="1">
      <c r="A2026" s="42" t="s">
        <v>5184</v>
      </c>
      <c r="B2026" s="42" t="s">
        <v>3271</v>
      </c>
      <c r="C2026" s="46">
        <v>43268</v>
      </c>
      <c r="D2026" s="452">
        <v>100</v>
      </c>
      <c r="E2026" s="32" t="s">
        <v>3377</v>
      </c>
      <c r="F2026" s="32" t="s">
        <v>5182</v>
      </c>
      <c r="G2026" s="32"/>
      <c r="H2026" s="32" t="s">
        <v>328</v>
      </c>
    </row>
    <row r="2027" spans="1:8" ht="20.100000000000001" customHeight="1">
      <c r="A2027" s="42" t="s">
        <v>5185</v>
      </c>
      <c r="B2027" s="42" t="s">
        <v>3271</v>
      </c>
      <c r="C2027" s="46">
        <v>43263</v>
      </c>
      <c r="D2027" s="452">
        <v>60</v>
      </c>
      <c r="E2027" s="32" t="s">
        <v>3377</v>
      </c>
      <c r="F2027" s="32" t="s">
        <v>3434</v>
      </c>
      <c r="G2027" s="32"/>
      <c r="H2027" s="32" t="s">
        <v>328</v>
      </c>
    </row>
    <row r="2028" spans="1:8" ht="20.100000000000001" customHeight="1">
      <c r="A2028" s="42" t="s">
        <v>5215</v>
      </c>
      <c r="B2028" s="42" t="s">
        <v>5217</v>
      </c>
      <c r="C2028" s="46">
        <v>43273</v>
      </c>
      <c r="D2028" s="452">
        <v>16000</v>
      </c>
      <c r="E2028" s="32" t="s">
        <v>5218</v>
      </c>
      <c r="F2028" s="32" t="s">
        <v>5219</v>
      </c>
      <c r="G2028" s="32"/>
      <c r="H2028" s="32" t="s">
        <v>329</v>
      </c>
    </row>
    <row r="2029" spans="1:8" ht="20.100000000000001" customHeight="1">
      <c r="A2029" s="42" t="s">
        <v>5216</v>
      </c>
      <c r="B2029" s="42" t="s">
        <v>5217</v>
      </c>
      <c r="C2029" s="46">
        <v>43273</v>
      </c>
      <c r="D2029" s="452">
        <v>16000</v>
      </c>
      <c r="E2029" s="32" t="s">
        <v>5218</v>
      </c>
      <c r="F2029" s="32" t="s">
        <v>5219</v>
      </c>
      <c r="G2029" s="32"/>
      <c r="H2029" s="32" t="s">
        <v>328</v>
      </c>
    </row>
    <row r="2030" spans="1:8" ht="20.100000000000001" customHeight="1">
      <c r="A2030" s="42" t="s">
        <v>5229</v>
      </c>
      <c r="B2030" s="42" t="s">
        <v>3271</v>
      </c>
      <c r="C2030" s="46">
        <v>43278</v>
      </c>
      <c r="D2030" s="452">
        <v>200</v>
      </c>
      <c r="E2030" s="32" t="s">
        <v>3377</v>
      </c>
      <c r="F2030" s="32" t="s">
        <v>3378</v>
      </c>
      <c r="G2030" s="32"/>
      <c r="H2030" s="32" t="s">
        <v>329</v>
      </c>
    </row>
    <row r="2031" spans="1:8" ht="20.100000000000001" customHeight="1">
      <c r="A2031" s="42" t="s">
        <v>5111</v>
      </c>
      <c r="B2031" s="42" t="s">
        <v>3271</v>
      </c>
      <c r="C2031" s="46">
        <v>43278</v>
      </c>
      <c r="D2031" s="452">
        <v>200</v>
      </c>
      <c r="E2031" s="32" t="s">
        <v>3377</v>
      </c>
      <c r="F2031" s="32" t="s">
        <v>3378</v>
      </c>
      <c r="G2031" s="32"/>
      <c r="H2031" s="32" t="s">
        <v>328</v>
      </c>
    </row>
    <row r="2032" spans="1:8" ht="20.100000000000001" customHeight="1">
      <c r="A2032" s="42" t="s">
        <v>5242</v>
      </c>
      <c r="B2032" s="42" t="s">
        <v>5238</v>
      </c>
      <c r="C2032" s="46">
        <v>43279</v>
      </c>
      <c r="D2032" s="452">
        <v>128</v>
      </c>
      <c r="E2032" s="32" t="s">
        <v>5243</v>
      </c>
      <c r="F2032" s="32" t="s">
        <v>5244</v>
      </c>
      <c r="G2032" s="32"/>
      <c r="H2032" s="32" t="s">
        <v>328</v>
      </c>
    </row>
    <row r="2033" spans="1:8" ht="20.100000000000001" customHeight="1">
      <c r="A2033" s="42" t="s">
        <v>5246</v>
      </c>
      <c r="B2033" s="42" t="s">
        <v>5238</v>
      </c>
      <c r="C2033" s="46">
        <v>43279</v>
      </c>
      <c r="D2033" s="452">
        <v>128</v>
      </c>
      <c r="E2033" s="32" t="s">
        <v>5243</v>
      </c>
      <c r="F2033" s="32" t="s">
        <v>5244</v>
      </c>
      <c r="G2033" s="32"/>
      <c r="H2033" s="32" t="s">
        <v>329</v>
      </c>
    </row>
    <row r="2034" spans="1:8" ht="20.100000000000001" customHeight="1">
      <c r="A2034" s="42" t="s">
        <v>5262</v>
      </c>
      <c r="B2034" s="42" t="s">
        <v>757</v>
      </c>
      <c r="C2034" s="46">
        <v>43286</v>
      </c>
      <c r="D2034" s="452">
        <v>96</v>
      </c>
      <c r="E2034" s="32" t="s">
        <v>895</v>
      </c>
      <c r="F2034" s="32" t="s">
        <v>895</v>
      </c>
      <c r="G2034" s="32"/>
      <c r="H2034" s="32" t="s">
        <v>690</v>
      </c>
    </row>
    <row r="2035" spans="1:8" ht="20.100000000000001" customHeight="1">
      <c r="A2035" s="42" t="s">
        <v>5263</v>
      </c>
      <c r="B2035" s="42" t="s">
        <v>770</v>
      </c>
      <c r="C2035" s="46">
        <v>43289</v>
      </c>
      <c r="D2035" s="452">
        <v>96</v>
      </c>
      <c r="E2035" s="32" t="s">
        <v>895</v>
      </c>
      <c r="F2035" s="32" t="s">
        <v>63</v>
      </c>
      <c r="G2035" s="32"/>
      <c r="H2035" s="32" t="s">
        <v>673</v>
      </c>
    </row>
    <row r="2036" spans="1:8" ht="20.100000000000001" customHeight="1">
      <c r="A2036" s="42" t="s">
        <v>5264</v>
      </c>
      <c r="B2036" s="42" t="s">
        <v>757</v>
      </c>
      <c r="C2036" s="46">
        <v>43286</v>
      </c>
      <c r="D2036" s="452">
        <v>64</v>
      </c>
      <c r="E2036" s="32" t="s">
        <v>895</v>
      </c>
      <c r="F2036" s="32" t="s">
        <v>895</v>
      </c>
      <c r="G2036" s="32"/>
      <c r="H2036" s="32" t="s">
        <v>690</v>
      </c>
    </row>
    <row r="2037" spans="1:8" ht="20.100000000000001" customHeight="1">
      <c r="A2037" s="42" t="s">
        <v>5210</v>
      </c>
      <c r="B2037" s="42" t="s">
        <v>770</v>
      </c>
      <c r="C2037" s="46">
        <v>43289</v>
      </c>
      <c r="D2037" s="452">
        <v>190</v>
      </c>
      <c r="E2037" s="32" t="s">
        <v>895</v>
      </c>
      <c r="F2037" s="32" t="s">
        <v>63</v>
      </c>
      <c r="G2037" s="32"/>
      <c r="H2037" s="32" t="s">
        <v>673</v>
      </c>
    </row>
    <row r="2038" spans="1:8" ht="20.100000000000001" customHeight="1">
      <c r="A2038" s="42" t="s">
        <v>5274</v>
      </c>
      <c r="B2038" s="42" t="s">
        <v>3271</v>
      </c>
      <c r="C2038" s="46">
        <v>43285</v>
      </c>
      <c r="D2038" s="452">
        <v>200</v>
      </c>
      <c r="E2038" s="32" t="s">
        <v>3377</v>
      </c>
      <c r="F2038" s="32" t="s">
        <v>5123</v>
      </c>
      <c r="G2038" s="32"/>
      <c r="H2038" s="32" t="s">
        <v>690</v>
      </c>
    </row>
    <row r="2039" spans="1:8" ht="20.100000000000001" customHeight="1">
      <c r="A2039" s="42" t="s">
        <v>5275</v>
      </c>
      <c r="B2039" s="42" t="s">
        <v>3271</v>
      </c>
      <c r="C2039" s="46">
        <v>43285</v>
      </c>
      <c r="D2039" s="452">
        <v>200</v>
      </c>
      <c r="E2039" s="32" t="s">
        <v>3377</v>
      </c>
      <c r="F2039" s="32" t="s">
        <v>5123</v>
      </c>
      <c r="G2039" s="32"/>
      <c r="H2039" s="32" t="s">
        <v>673</v>
      </c>
    </row>
    <row r="2040" spans="1:8" ht="20.100000000000001" customHeight="1">
      <c r="A2040" s="42" t="s">
        <v>4877</v>
      </c>
      <c r="B2040" s="42" t="s">
        <v>106</v>
      </c>
      <c r="C2040" s="46">
        <v>43163</v>
      </c>
      <c r="D2040" s="47">
        <f>700-175</f>
        <v>525</v>
      </c>
      <c r="E2040" s="32" t="s">
        <v>1187</v>
      </c>
      <c r="F2040" s="32" t="s">
        <v>70</v>
      </c>
      <c r="G2040" s="32"/>
      <c r="H2040" s="32" t="s">
        <v>329</v>
      </c>
    </row>
    <row r="2041" spans="1:8" ht="20.100000000000001" customHeight="1">
      <c r="A2041" s="42" t="s">
        <v>5290</v>
      </c>
      <c r="B2041" s="42" t="s">
        <v>106</v>
      </c>
      <c r="C2041" s="46">
        <v>43191</v>
      </c>
      <c r="D2041" s="47">
        <v>100</v>
      </c>
      <c r="E2041" s="32" t="s">
        <v>1187</v>
      </c>
      <c r="F2041" s="32" t="s">
        <v>70</v>
      </c>
      <c r="G2041" s="32"/>
      <c r="H2041" s="32" t="s">
        <v>329</v>
      </c>
    </row>
    <row r="2042" spans="1:8" ht="20.100000000000001" customHeight="1">
      <c r="A2042" s="42" t="s">
        <v>5292</v>
      </c>
      <c r="B2042" s="42" t="s">
        <v>106</v>
      </c>
      <c r="C2042" s="46">
        <v>43163</v>
      </c>
      <c r="D2042" s="47">
        <v>175</v>
      </c>
      <c r="E2042" s="32" t="s">
        <v>1187</v>
      </c>
      <c r="F2042" s="32" t="s">
        <v>70</v>
      </c>
      <c r="G2042" s="32"/>
      <c r="H2042" s="32" t="s">
        <v>329</v>
      </c>
    </row>
    <row r="2043" spans="1:8" ht="20.100000000000001" customHeight="1">
      <c r="A2043" s="42" t="s">
        <v>5304</v>
      </c>
      <c r="B2043" s="42" t="s">
        <v>240</v>
      </c>
      <c r="C2043" s="46">
        <v>43296</v>
      </c>
      <c r="D2043" s="452">
        <v>96</v>
      </c>
      <c r="E2043" s="32" t="s">
        <v>165</v>
      </c>
      <c r="F2043" s="32" t="s">
        <v>165</v>
      </c>
      <c r="G2043" s="32"/>
      <c r="H2043" s="32" t="s">
        <v>329</v>
      </c>
    </row>
    <row r="2044" spans="1:8" ht="20.100000000000001" customHeight="1">
      <c r="A2044" s="42" t="s">
        <v>5320</v>
      </c>
      <c r="B2044" s="42" t="s">
        <v>5318</v>
      </c>
      <c r="C2044" s="46">
        <v>43296</v>
      </c>
      <c r="D2044" s="452">
        <v>64</v>
      </c>
      <c r="E2044" s="32" t="s">
        <v>165</v>
      </c>
      <c r="F2044" s="32" t="s">
        <v>5319</v>
      </c>
      <c r="G2044" s="32"/>
      <c r="H2044" s="32" t="s">
        <v>328</v>
      </c>
    </row>
    <row r="2045" spans="1:8" ht="20.100000000000001" customHeight="1">
      <c r="A2045" s="42" t="s">
        <v>5341</v>
      </c>
      <c r="B2045" s="42" t="s">
        <v>5325</v>
      </c>
      <c r="C2045" s="46">
        <v>43284</v>
      </c>
      <c r="D2045" s="452">
        <v>152.53</v>
      </c>
      <c r="E2045" s="32" t="s">
        <v>5342</v>
      </c>
      <c r="F2045" s="32" t="s">
        <v>5343</v>
      </c>
      <c r="G2045" s="32"/>
      <c r="H2045" s="32" t="s">
        <v>329</v>
      </c>
    </row>
    <row r="2046" spans="1:8" ht="20.100000000000001" customHeight="1">
      <c r="A2046" s="42" t="s">
        <v>5340</v>
      </c>
      <c r="B2046" s="42" t="s">
        <v>5325</v>
      </c>
      <c r="C2046" s="46">
        <v>43284</v>
      </c>
      <c r="D2046" s="452">
        <v>152.53</v>
      </c>
      <c r="E2046" s="32" t="s">
        <v>5342</v>
      </c>
      <c r="F2046" s="32" t="s">
        <v>5343</v>
      </c>
      <c r="G2046" s="32"/>
      <c r="H2046" s="32" t="s">
        <v>328</v>
      </c>
    </row>
    <row r="2047" spans="1:8" ht="20.100000000000001" customHeight="1">
      <c r="A2047" s="42" t="s">
        <v>5358</v>
      </c>
      <c r="B2047" s="42" t="s">
        <v>60</v>
      </c>
      <c r="C2047" s="46">
        <v>43311</v>
      </c>
      <c r="D2047" s="452">
        <v>100</v>
      </c>
      <c r="E2047" s="32" t="s">
        <v>4682</v>
      </c>
      <c r="F2047" s="32" t="s">
        <v>63</v>
      </c>
      <c r="G2047" s="32"/>
      <c r="H2047" s="32" t="s">
        <v>329</v>
      </c>
    </row>
    <row r="2048" spans="1:8" ht="20.100000000000001" customHeight="1">
      <c r="A2048" s="42" t="s">
        <v>5370</v>
      </c>
      <c r="B2048" s="42" t="s">
        <v>3271</v>
      </c>
      <c r="C2048" s="46">
        <v>43303</v>
      </c>
      <c r="D2048" s="452">
        <v>40</v>
      </c>
      <c r="E2048" s="32" t="s">
        <v>3377</v>
      </c>
      <c r="F2048" s="32" t="s">
        <v>4333</v>
      </c>
      <c r="G2048" s="32"/>
      <c r="H2048" s="32" t="s">
        <v>329</v>
      </c>
    </row>
    <row r="2049" spans="1:8" ht="20.100000000000001" customHeight="1">
      <c r="A2049" s="42" t="s">
        <v>5371</v>
      </c>
      <c r="B2049" s="42" t="s">
        <v>3271</v>
      </c>
      <c r="C2049" s="46">
        <v>43303</v>
      </c>
      <c r="D2049" s="452">
        <v>40</v>
      </c>
      <c r="E2049" s="32" t="s">
        <v>3377</v>
      </c>
      <c r="F2049" s="32" t="s">
        <v>4333</v>
      </c>
      <c r="G2049" s="32"/>
      <c r="H2049" s="32" t="s">
        <v>328</v>
      </c>
    </row>
    <row r="2050" spans="1:8" ht="20.100000000000001" customHeight="1">
      <c r="A2050" s="42" t="s">
        <v>5240</v>
      </c>
      <c r="B2050" s="42" t="s">
        <v>60</v>
      </c>
      <c r="C2050" s="46">
        <v>43311</v>
      </c>
      <c r="D2050" s="452">
        <v>100</v>
      </c>
      <c r="E2050" s="32" t="s">
        <v>4682</v>
      </c>
      <c r="F2050" s="32" t="s">
        <v>63</v>
      </c>
      <c r="G2050" s="32"/>
      <c r="H2050" s="32" t="s">
        <v>673</v>
      </c>
    </row>
    <row r="2051" spans="1:8" ht="20.100000000000001" customHeight="1">
      <c r="A2051" s="42" t="s">
        <v>5358</v>
      </c>
      <c r="B2051" s="42" t="s">
        <v>60</v>
      </c>
      <c r="C2051" s="46">
        <v>43320</v>
      </c>
      <c r="D2051" s="452">
        <v>128</v>
      </c>
      <c r="E2051" s="32" t="s">
        <v>4682</v>
      </c>
      <c r="F2051" s="32" t="s">
        <v>63</v>
      </c>
      <c r="G2051" s="32"/>
      <c r="H2051" s="32" t="s">
        <v>690</v>
      </c>
    </row>
    <row r="2052" spans="1:8" ht="20.100000000000001" customHeight="1">
      <c r="A2052" s="42" t="s">
        <v>5240</v>
      </c>
      <c r="B2052" s="42" t="s">
        <v>60</v>
      </c>
      <c r="C2052" s="46">
        <v>43320</v>
      </c>
      <c r="D2052" s="452">
        <v>128</v>
      </c>
      <c r="E2052" s="32" t="s">
        <v>4682</v>
      </c>
      <c r="F2052" s="32" t="s">
        <v>63</v>
      </c>
      <c r="G2052" s="32"/>
      <c r="H2052" s="32" t="s">
        <v>673</v>
      </c>
    </row>
    <row r="2053" spans="1:8" ht="20.100000000000001" customHeight="1">
      <c r="A2053" s="42" t="s">
        <v>5402</v>
      </c>
      <c r="B2053" s="42" t="s">
        <v>5403</v>
      </c>
      <c r="C2053" s="46">
        <v>43311</v>
      </c>
      <c r="D2053" s="452">
        <v>64</v>
      </c>
      <c r="E2053" s="32" t="s">
        <v>5404</v>
      </c>
      <c r="F2053" s="32" t="s">
        <v>63</v>
      </c>
      <c r="G2053" s="32"/>
      <c r="H2053" s="32" t="s">
        <v>328</v>
      </c>
    </row>
    <row r="2054" spans="1:8" ht="20.100000000000001" customHeight="1">
      <c r="A2054" s="42" t="s">
        <v>5402</v>
      </c>
      <c r="B2054" s="42" t="s">
        <v>5403</v>
      </c>
      <c r="C2054" s="46">
        <v>43311</v>
      </c>
      <c r="D2054" s="452">
        <v>33.579000000000001</v>
      </c>
      <c r="E2054" s="32" t="s">
        <v>5404</v>
      </c>
      <c r="F2054" s="32" t="s">
        <v>63</v>
      </c>
      <c r="G2054" s="32"/>
      <c r="H2054" s="32" t="s">
        <v>328</v>
      </c>
    </row>
    <row r="2055" spans="1:8" ht="20.100000000000001" customHeight="1">
      <c r="A2055" s="42" t="s">
        <v>5406</v>
      </c>
      <c r="B2055" s="42" t="s">
        <v>5403</v>
      </c>
      <c r="C2055" s="46">
        <v>43311</v>
      </c>
      <c r="D2055" s="452">
        <v>33.579000000000001</v>
      </c>
      <c r="E2055" s="32" t="s">
        <v>5404</v>
      </c>
      <c r="F2055" s="32" t="s">
        <v>63</v>
      </c>
      <c r="G2055" s="32"/>
      <c r="H2055" s="32" t="s">
        <v>329</v>
      </c>
    </row>
    <row r="2056" spans="1:8" ht="20.100000000000001" customHeight="1">
      <c r="A2056" s="42" t="s">
        <v>5416</v>
      </c>
      <c r="B2056" s="42" t="s">
        <v>5417</v>
      </c>
      <c r="C2056" s="46">
        <v>43306</v>
      </c>
      <c r="D2056" s="452">
        <v>32</v>
      </c>
      <c r="E2056" s="32" t="s">
        <v>5404</v>
      </c>
      <c r="F2056" s="32" t="s">
        <v>5404</v>
      </c>
      <c r="G2056" s="32"/>
      <c r="H2056" s="32" t="s">
        <v>329</v>
      </c>
    </row>
    <row r="2057" spans="1:8" ht="20.100000000000001" customHeight="1">
      <c r="A2057" s="42" t="s">
        <v>5421</v>
      </c>
      <c r="B2057" s="42" t="s">
        <v>3271</v>
      </c>
      <c r="C2057" s="46">
        <v>43317</v>
      </c>
      <c r="D2057" s="452">
        <v>200</v>
      </c>
      <c r="E2057" s="32" t="s">
        <v>3377</v>
      </c>
      <c r="F2057" s="32" t="s">
        <v>5123</v>
      </c>
      <c r="G2057" s="32"/>
      <c r="H2057" s="32" t="s">
        <v>329</v>
      </c>
    </row>
    <row r="2058" spans="1:8" ht="20.100000000000001" customHeight="1">
      <c r="A2058" s="42" t="s">
        <v>5422</v>
      </c>
      <c r="B2058" s="42" t="s">
        <v>3271</v>
      </c>
      <c r="C2058" s="46">
        <v>43315</v>
      </c>
      <c r="D2058" s="452">
        <v>100</v>
      </c>
      <c r="E2058" s="32" t="s">
        <v>3377</v>
      </c>
      <c r="F2058" s="32" t="s">
        <v>4189</v>
      </c>
      <c r="G2058" s="32"/>
      <c r="H2058" s="32" t="s">
        <v>329</v>
      </c>
    </row>
    <row r="2059" spans="1:8" ht="20.100000000000001" customHeight="1">
      <c r="A2059" s="42" t="s">
        <v>5368</v>
      </c>
      <c r="B2059" s="42" t="s">
        <v>3271</v>
      </c>
      <c r="C2059" s="46">
        <v>43316</v>
      </c>
      <c r="D2059" s="452">
        <v>40</v>
      </c>
      <c r="E2059" s="32" t="s">
        <v>3377</v>
      </c>
      <c r="F2059" s="32" t="s">
        <v>4333</v>
      </c>
      <c r="G2059" s="32"/>
      <c r="H2059" s="32" t="s">
        <v>329</v>
      </c>
    </row>
    <row r="2060" spans="1:8" ht="20.100000000000001" customHeight="1">
      <c r="A2060" s="42" t="s">
        <v>5423</v>
      </c>
      <c r="B2060" s="42" t="s">
        <v>3271</v>
      </c>
      <c r="C2060" s="46">
        <v>43317</v>
      </c>
      <c r="D2060" s="452">
        <v>200</v>
      </c>
      <c r="E2060" s="32" t="s">
        <v>3377</v>
      </c>
      <c r="F2060" s="32" t="s">
        <v>5123</v>
      </c>
      <c r="G2060" s="32"/>
      <c r="H2060" s="32" t="s">
        <v>328</v>
      </c>
    </row>
    <row r="2061" spans="1:8" ht="20.100000000000001" customHeight="1">
      <c r="A2061" s="42" t="s">
        <v>5424</v>
      </c>
      <c r="B2061" s="42" t="s">
        <v>3271</v>
      </c>
      <c r="C2061" s="46">
        <v>43315</v>
      </c>
      <c r="D2061" s="452">
        <v>100</v>
      </c>
      <c r="E2061" s="32" t="s">
        <v>3377</v>
      </c>
      <c r="F2061" s="32" t="s">
        <v>4189</v>
      </c>
      <c r="G2061" s="32"/>
      <c r="H2061" s="32" t="s">
        <v>328</v>
      </c>
    </row>
    <row r="2062" spans="1:8" ht="20.100000000000001" customHeight="1">
      <c r="A2062" s="42" t="s">
        <v>5367</v>
      </c>
      <c r="B2062" s="42" t="s">
        <v>3271</v>
      </c>
      <c r="C2062" s="46">
        <v>43316</v>
      </c>
      <c r="D2062" s="452">
        <v>40</v>
      </c>
      <c r="E2062" s="32" t="s">
        <v>3377</v>
      </c>
      <c r="F2062" s="32" t="s">
        <v>4333</v>
      </c>
      <c r="G2062" s="32"/>
      <c r="H2062" s="32" t="s">
        <v>328</v>
      </c>
    </row>
    <row r="2063" spans="1:8" ht="20.100000000000001" customHeight="1">
      <c r="A2063" s="42" t="s">
        <v>5486</v>
      </c>
      <c r="B2063" s="42" t="s">
        <v>2765</v>
      </c>
      <c r="C2063" s="46">
        <v>43365</v>
      </c>
      <c r="D2063" s="452">
        <v>13993.466</v>
      </c>
      <c r="E2063" s="32" t="s">
        <v>4030</v>
      </c>
      <c r="F2063" s="32" t="s">
        <v>4031</v>
      </c>
      <c r="G2063" s="32"/>
      <c r="H2063" s="32" t="s">
        <v>329</v>
      </c>
    </row>
    <row r="2064" spans="1:8" ht="20.100000000000001" customHeight="1">
      <c r="A2064" s="42" t="s">
        <v>5479</v>
      </c>
      <c r="B2064" s="42" t="s">
        <v>2765</v>
      </c>
      <c r="C2064" s="46">
        <v>43365</v>
      </c>
      <c r="D2064" s="452">
        <v>13993.466</v>
      </c>
      <c r="E2064" s="32" t="s">
        <v>4030</v>
      </c>
      <c r="F2064" s="32" t="s">
        <v>4031</v>
      </c>
      <c r="G2064" s="32"/>
      <c r="H2064" s="32" t="s">
        <v>328</v>
      </c>
    </row>
    <row r="2065" spans="1:8" ht="20.100000000000001" customHeight="1">
      <c r="A2065" s="42" t="s">
        <v>5475</v>
      </c>
      <c r="B2065" s="42" t="s">
        <v>240</v>
      </c>
      <c r="C2065" s="46">
        <v>43363</v>
      </c>
      <c r="D2065" s="452">
        <v>200</v>
      </c>
      <c r="E2065" s="32" t="s">
        <v>165</v>
      </c>
      <c r="F2065" s="32" t="s">
        <v>165</v>
      </c>
      <c r="G2065" s="32"/>
      <c r="H2065" s="32" t="s">
        <v>329</v>
      </c>
    </row>
    <row r="2066" spans="1:8" ht="20.100000000000001" customHeight="1">
      <c r="A2066" s="42" t="s">
        <v>5507</v>
      </c>
      <c r="B2066" s="42" t="s">
        <v>82</v>
      </c>
      <c r="C2066" s="46">
        <v>43353</v>
      </c>
      <c r="D2066" s="452">
        <v>105</v>
      </c>
      <c r="E2066" s="32" t="s">
        <v>165</v>
      </c>
      <c r="F2066" s="32" t="s">
        <v>63</v>
      </c>
      <c r="G2066" s="32"/>
      <c r="H2066" s="32" t="s">
        <v>328</v>
      </c>
    </row>
    <row r="2067" spans="1:8" ht="20.100000000000001" customHeight="1">
      <c r="A2067" s="42" t="s">
        <v>5507</v>
      </c>
      <c r="B2067" s="42" t="s">
        <v>82</v>
      </c>
      <c r="C2067" s="46">
        <v>43368</v>
      </c>
      <c r="D2067" s="452">
        <v>72</v>
      </c>
      <c r="E2067" s="32" t="s">
        <v>165</v>
      </c>
      <c r="F2067" s="32" t="s">
        <v>63</v>
      </c>
      <c r="G2067" s="32"/>
      <c r="H2067" s="32" t="s">
        <v>328</v>
      </c>
    </row>
    <row r="2068" spans="1:8" ht="20.100000000000001" customHeight="1">
      <c r="A2068" s="42" t="s">
        <v>5507</v>
      </c>
      <c r="B2068" s="42" t="s">
        <v>82</v>
      </c>
      <c r="C2068" s="46">
        <v>43370</v>
      </c>
      <c r="D2068" s="452">
        <v>48</v>
      </c>
      <c r="E2068" s="32" t="s">
        <v>165</v>
      </c>
      <c r="F2068" s="32" t="s">
        <v>63</v>
      </c>
      <c r="G2068" s="32"/>
      <c r="H2068" s="32" t="s">
        <v>328</v>
      </c>
    </row>
    <row r="2069" spans="1:8" ht="20.100000000000001" customHeight="1">
      <c r="A2069" s="42" t="s">
        <v>5507</v>
      </c>
      <c r="B2069" s="42" t="s">
        <v>82</v>
      </c>
      <c r="C2069" s="46">
        <v>43366</v>
      </c>
      <c r="D2069" s="452">
        <v>35</v>
      </c>
      <c r="E2069" s="32" t="s">
        <v>165</v>
      </c>
      <c r="F2069" s="32" t="s">
        <v>63</v>
      </c>
      <c r="G2069" s="32"/>
      <c r="H2069" s="32" t="s">
        <v>328</v>
      </c>
    </row>
    <row r="2070" spans="1:8" ht="20.100000000000001" customHeight="1">
      <c r="A2070" s="42" t="s">
        <v>5518</v>
      </c>
      <c r="B2070" s="42" t="s">
        <v>82</v>
      </c>
      <c r="C2070" s="46">
        <v>43389</v>
      </c>
      <c r="D2070" s="452">
        <v>105</v>
      </c>
      <c r="E2070" s="32" t="s">
        <v>165</v>
      </c>
      <c r="F2070" s="32" t="s">
        <v>63</v>
      </c>
      <c r="G2070" s="32"/>
      <c r="H2070" s="32" t="s">
        <v>328</v>
      </c>
    </row>
    <row r="2071" spans="1:8" ht="20.100000000000001" customHeight="1">
      <c r="A2071" s="42" t="s">
        <v>5532</v>
      </c>
      <c r="B2071" s="42" t="s">
        <v>2765</v>
      </c>
      <c r="C2071" s="46">
        <v>43402</v>
      </c>
      <c r="D2071" s="452">
        <v>13005</v>
      </c>
      <c r="E2071" s="32" t="s">
        <v>4030</v>
      </c>
      <c r="F2071" s="32" t="s">
        <v>4031</v>
      </c>
      <c r="G2071" s="32"/>
      <c r="H2071" s="32" t="s">
        <v>329</v>
      </c>
    </row>
    <row r="2072" spans="1:8" ht="20.100000000000001" customHeight="1">
      <c r="A2072" s="42" t="s">
        <v>5519</v>
      </c>
      <c r="B2072" s="42" t="s">
        <v>2765</v>
      </c>
      <c r="C2072" s="46">
        <v>43402</v>
      </c>
      <c r="D2072" s="452">
        <v>13005</v>
      </c>
      <c r="E2072" s="32" t="s">
        <v>4030</v>
      </c>
      <c r="F2072" s="32" t="s">
        <v>4031</v>
      </c>
      <c r="G2072" s="32"/>
      <c r="H2072" s="32" t="s">
        <v>328</v>
      </c>
    </row>
    <row r="2073" spans="1:8" ht="20.100000000000001" customHeight="1">
      <c r="A2073" s="42" t="s">
        <v>5494</v>
      </c>
      <c r="B2073" s="42" t="s">
        <v>240</v>
      </c>
      <c r="C2073" s="46">
        <v>43375</v>
      </c>
      <c r="D2073" s="452">
        <v>64</v>
      </c>
      <c r="E2073" s="32" t="s">
        <v>165</v>
      </c>
      <c r="F2073" s="32" t="s">
        <v>165</v>
      </c>
      <c r="G2073" s="32"/>
      <c r="H2073" s="32" t="s">
        <v>329</v>
      </c>
    </row>
    <row r="2074" spans="1:8" ht="20.100000000000001" customHeight="1">
      <c r="A2074" s="42" t="s">
        <v>5526</v>
      </c>
      <c r="B2074" s="42" t="s">
        <v>240</v>
      </c>
      <c r="C2074" s="46">
        <v>43400</v>
      </c>
      <c r="D2074" s="452">
        <v>32</v>
      </c>
      <c r="E2074" s="32" t="s">
        <v>165</v>
      </c>
      <c r="F2074" s="32" t="s">
        <v>165</v>
      </c>
      <c r="G2074" s="32"/>
      <c r="H2074" s="32" t="s">
        <v>329</v>
      </c>
    </row>
    <row r="2075" spans="1:8" ht="20.100000000000001" customHeight="1">
      <c r="A2075" s="42" t="s">
        <v>5549</v>
      </c>
      <c r="B2075" s="42" t="s">
        <v>82</v>
      </c>
      <c r="C2075" s="46">
        <v>43398</v>
      </c>
      <c r="D2075" s="452">
        <v>104</v>
      </c>
      <c r="E2075" s="32" t="s">
        <v>165</v>
      </c>
      <c r="F2075" s="32" t="s">
        <v>63</v>
      </c>
      <c r="G2075" s="32"/>
      <c r="H2075" s="32" t="s">
        <v>328</v>
      </c>
    </row>
    <row r="2076" spans="1:8" ht="20.100000000000001" customHeight="1">
      <c r="A2076" s="42" t="s">
        <v>5551</v>
      </c>
      <c r="B2076" s="42" t="s">
        <v>240</v>
      </c>
      <c r="C2076" s="46">
        <v>43414</v>
      </c>
      <c r="D2076" s="452">
        <v>350</v>
      </c>
      <c r="E2076" s="32" t="s">
        <v>165</v>
      </c>
      <c r="F2076" s="32" t="s">
        <v>165</v>
      </c>
      <c r="G2076" s="32"/>
      <c r="H2076" s="32" t="s">
        <v>329</v>
      </c>
    </row>
    <row r="2077" spans="1:8" ht="20.100000000000001" customHeight="1">
      <c r="A2077" s="42" t="s">
        <v>5552</v>
      </c>
      <c r="B2077" s="42" t="s">
        <v>82</v>
      </c>
      <c r="C2077" s="46">
        <v>43417</v>
      </c>
      <c r="D2077" s="452">
        <v>210</v>
      </c>
      <c r="E2077" s="32" t="s">
        <v>165</v>
      </c>
      <c r="F2077" s="32" t="s">
        <v>63</v>
      </c>
      <c r="G2077" s="32"/>
      <c r="H2077" s="32" t="s">
        <v>328</v>
      </c>
    </row>
    <row r="2078" spans="1:8" ht="20.100000000000001" customHeight="1">
      <c r="A2078" s="42" t="s">
        <v>5552</v>
      </c>
      <c r="B2078" s="42" t="s">
        <v>82</v>
      </c>
      <c r="C2078" s="46">
        <v>43418</v>
      </c>
      <c r="D2078" s="452">
        <v>110</v>
      </c>
      <c r="E2078" s="32" t="s">
        <v>165</v>
      </c>
      <c r="F2078" s="32" t="s">
        <v>63</v>
      </c>
      <c r="G2078" s="32"/>
      <c r="H2078" s="32" t="s">
        <v>328</v>
      </c>
    </row>
    <row r="2079" spans="1:8" ht="20.100000000000001" customHeight="1">
      <c r="A2079" s="42" t="s">
        <v>5552</v>
      </c>
      <c r="B2079" s="42" t="s">
        <v>82</v>
      </c>
      <c r="C2079" s="46">
        <v>43419</v>
      </c>
      <c r="D2079" s="452">
        <v>47</v>
      </c>
      <c r="E2079" s="32" t="s">
        <v>165</v>
      </c>
      <c r="F2079" s="32" t="s">
        <v>63</v>
      </c>
      <c r="G2079" s="32"/>
      <c r="H2079" s="32" t="s">
        <v>328</v>
      </c>
    </row>
    <row r="2080" spans="1:8" ht="20.100000000000001" customHeight="1">
      <c r="A2080" s="42" t="s">
        <v>5566</v>
      </c>
      <c r="B2080" s="42" t="s">
        <v>82</v>
      </c>
      <c r="C2080" s="46">
        <v>43433</v>
      </c>
      <c r="D2080" s="452">
        <v>85</v>
      </c>
      <c r="E2080" s="32" t="s">
        <v>165</v>
      </c>
      <c r="F2080" s="32" t="s">
        <v>63</v>
      </c>
      <c r="G2080" s="32"/>
      <c r="H2080" s="32" t="s">
        <v>328</v>
      </c>
    </row>
    <row r="2081" spans="1:8" ht="20.100000000000001" customHeight="1">
      <c r="A2081" s="42" t="s">
        <v>5566</v>
      </c>
      <c r="B2081" s="42" t="s">
        <v>82</v>
      </c>
      <c r="C2081" s="46">
        <v>43434</v>
      </c>
      <c r="D2081" s="452">
        <v>75</v>
      </c>
      <c r="E2081" s="32" t="s">
        <v>165</v>
      </c>
      <c r="F2081" s="32" t="s">
        <v>63</v>
      </c>
      <c r="G2081" s="32"/>
      <c r="H2081" s="32" t="s">
        <v>328</v>
      </c>
    </row>
    <row r="2082" spans="1:8" ht="20.100000000000001" customHeight="1">
      <c r="A2082" s="42" t="s">
        <v>5566</v>
      </c>
      <c r="B2082" s="42" t="s">
        <v>82</v>
      </c>
      <c r="C2082" s="46">
        <v>43434</v>
      </c>
      <c r="D2082" s="452">
        <v>35</v>
      </c>
      <c r="E2082" s="32" t="s">
        <v>165</v>
      </c>
      <c r="F2082" s="32" t="s">
        <v>63</v>
      </c>
      <c r="G2082" s="32"/>
      <c r="H2082" s="32" t="s">
        <v>328</v>
      </c>
    </row>
    <row r="2083" spans="1:8" ht="20.100000000000001" customHeight="1">
      <c r="A2083" s="42" t="s">
        <v>5566</v>
      </c>
      <c r="B2083" s="42" t="s">
        <v>82</v>
      </c>
      <c r="C2083" s="46">
        <v>43437</v>
      </c>
      <c r="D2083" s="452">
        <v>72</v>
      </c>
      <c r="E2083" s="32" t="s">
        <v>165</v>
      </c>
      <c r="F2083" s="32" t="s">
        <v>63</v>
      </c>
      <c r="G2083" s="32"/>
      <c r="H2083" s="32" t="s">
        <v>328</v>
      </c>
    </row>
    <row r="2084" spans="1:8" ht="20.100000000000001" customHeight="1">
      <c r="A2084" s="42" t="s">
        <v>5566</v>
      </c>
      <c r="B2084" s="42" t="s">
        <v>82</v>
      </c>
      <c r="C2084" s="46">
        <v>43438</v>
      </c>
      <c r="D2084" s="452">
        <v>72</v>
      </c>
      <c r="E2084" s="32" t="s">
        <v>165</v>
      </c>
      <c r="F2084" s="32" t="s">
        <v>63</v>
      </c>
      <c r="G2084" s="32"/>
      <c r="H2084" s="32" t="s">
        <v>328</v>
      </c>
    </row>
    <row r="2085" spans="1:8" ht="20.100000000000001" customHeight="1">
      <c r="A2085" s="42" t="s">
        <v>5561</v>
      </c>
      <c r="B2085" s="42" t="s">
        <v>82</v>
      </c>
      <c r="C2085" s="46">
        <v>43448</v>
      </c>
      <c r="D2085" s="452">
        <v>96</v>
      </c>
      <c r="E2085" s="32" t="s">
        <v>165</v>
      </c>
      <c r="F2085" s="32" t="s">
        <v>63</v>
      </c>
      <c r="G2085" s="32"/>
      <c r="H2085" s="32" t="s">
        <v>328</v>
      </c>
    </row>
    <row r="2086" spans="1:8" ht="20.100000000000001" customHeight="1">
      <c r="A2086" s="42" t="s">
        <v>5565</v>
      </c>
      <c r="B2086" s="42" t="s">
        <v>82</v>
      </c>
      <c r="C2086" s="46">
        <v>43448</v>
      </c>
      <c r="D2086" s="452">
        <v>96</v>
      </c>
      <c r="E2086" s="32" t="s">
        <v>165</v>
      </c>
      <c r="F2086" s="32" t="s">
        <v>63</v>
      </c>
      <c r="G2086" s="32"/>
      <c r="H2086" s="32" t="s">
        <v>328</v>
      </c>
    </row>
    <row r="2087" spans="1:8" ht="20.100000000000001" customHeight="1">
      <c r="A2087" s="42" t="s">
        <v>5558</v>
      </c>
      <c r="B2087" s="42" t="s">
        <v>240</v>
      </c>
      <c r="C2087" s="46">
        <v>43444</v>
      </c>
      <c r="D2087" s="452">
        <v>464</v>
      </c>
      <c r="E2087" s="32" t="s">
        <v>165</v>
      </c>
      <c r="F2087" s="32" t="s">
        <v>165</v>
      </c>
      <c r="G2087" s="32"/>
      <c r="H2087" s="32" t="s">
        <v>329</v>
      </c>
    </row>
    <row r="2088" spans="1:8" ht="20.100000000000001" customHeight="1">
      <c r="A2088" s="42" t="s">
        <v>5564</v>
      </c>
      <c r="B2088" s="42" t="s">
        <v>240</v>
      </c>
      <c r="C2088" s="46">
        <v>43454</v>
      </c>
      <c r="D2088" s="452">
        <v>96</v>
      </c>
      <c r="E2088" s="32" t="s">
        <v>165</v>
      </c>
      <c r="F2088" s="32" t="s">
        <v>165</v>
      </c>
      <c r="G2088" s="32"/>
      <c r="H2088" s="32" t="s">
        <v>329</v>
      </c>
    </row>
    <row r="2089" spans="1:8" ht="20.100000000000001" customHeight="1">
      <c r="A2089" s="42" t="s">
        <v>5562</v>
      </c>
      <c r="B2089" s="42" t="s">
        <v>82</v>
      </c>
      <c r="C2089" s="46">
        <v>43452</v>
      </c>
      <c r="D2089" s="452">
        <v>42</v>
      </c>
      <c r="E2089" s="32" t="s">
        <v>165</v>
      </c>
      <c r="F2089" s="32" t="s">
        <v>63</v>
      </c>
      <c r="G2089" s="32"/>
      <c r="H2089" s="32" t="s">
        <v>328</v>
      </c>
    </row>
    <row r="2090" spans="1:8" ht="20.100000000000001" customHeight="1">
      <c r="A2090" s="42" t="s">
        <v>5584</v>
      </c>
      <c r="B2090" s="42" t="s">
        <v>5585</v>
      </c>
      <c r="C2090" s="46">
        <v>43470</v>
      </c>
      <c r="D2090" s="452">
        <v>21994</v>
      </c>
      <c r="E2090" s="32" t="s">
        <v>5586</v>
      </c>
      <c r="F2090" s="32" t="s">
        <v>5587</v>
      </c>
      <c r="G2090" s="32"/>
      <c r="H2090" s="32" t="s">
        <v>329</v>
      </c>
    </row>
    <row r="2091" spans="1:8" ht="20.100000000000001" customHeight="1">
      <c r="A2091" s="42" t="s">
        <v>5588</v>
      </c>
      <c r="B2091" s="42" t="s">
        <v>5585</v>
      </c>
      <c r="C2091" s="46">
        <v>43470</v>
      </c>
      <c r="D2091" s="452">
        <v>21994</v>
      </c>
      <c r="E2091" s="32" t="s">
        <v>5586</v>
      </c>
      <c r="F2091" s="32" t="s">
        <v>5587</v>
      </c>
      <c r="G2091" s="32"/>
      <c r="H2091" s="32" t="s">
        <v>328</v>
      </c>
    </row>
    <row r="2092" spans="1:8" ht="20.100000000000001" customHeight="1">
      <c r="A2092" s="42" t="s">
        <v>5601</v>
      </c>
      <c r="B2092" s="42" t="s">
        <v>60</v>
      </c>
      <c r="C2092" s="46">
        <v>43454</v>
      </c>
      <c r="D2092" s="452">
        <v>267</v>
      </c>
      <c r="E2092" s="32" t="s">
        <v>3712</v>
      </c>
      <c r="F2092" s="32" t="s">
        <v>63</v>
      </c>
      <c r="G2092" s="32"/>
      <c r="H2092" s="32" t="s">
        <v>329</v>
      </c>
    </row>
    <row r="2093" spans="1:8" ht="20.100000000000001" customHeight="1">
      <c r="A2093" s="42" t="s">
        <v>5240</v>
      </c>
      <c r="B2093" s="42" t="s">
        <v>60</v>
      </c>
      <c r="C2093" s="46">
        <v>43454</v>
      </c>
      <c r="D2093" s="452">
        <v>267</v>
      </c>
      <c r="E2093" s="32" t="s">
        <v>3712</v>
      </c>
      <c r="F2093" s="32" t="s">
        <v>63</v>
      </c>
      <c r="G2093" s="32"/>
      <c r="H2093" s="32" t="s">
        <v>328</v>
      </c>
    </row>
    <row r="2094" spans="1:8" ht="20.100000000000001" customHeight="1">
      <c r="A2094" s="42" t="s">
        <v>5598</v>
      </c>
      <c r="B2094" s="42" t="s">
        <v>82</v>
      </c>
      <c r="C2094" s="46">
        <v>43472</v>
      </c>
      <c r="D2094" s="452">
        <v>190</v>
      </c>
      <c r="E2094" s="32" t="s">
        <v>165</v>
      </c>
      <c r="F2094" s="32" t="s">
        <v>63</v>
      </c>
      <c r="G2094" s="32"/>
      <c r="H2094" s="32" t="s">
        <v>328</v>
      </c>
    </row>
    <row r="2095" spans="1:8" ht="20.100000000000001" customHeight="1">
      <c r="A2095" s="42" t="s">
        <v>5626</v>
      </c>
      <c r="B2095" s="42" t="s">
        <v>82</v>
      </c>
      <c r="C2095" s="46">
        <v>43480</v>
      </c>
      <c r="D2095" s="452">
        <v>238</v>
      </c>
      <c r="E2095" s="32" t="s">
        <v>165</v>
      </c>
      <c r="F2095" s="32" t="s">
        <v>63</v>
      </c>
      <c r="G2095" s="32"/>
      <c r="H2095" s="32" t="s">
        <v>328</v>
      </c>
    </row>
    <row r="2096" spans="1:8" ht="20.100000000000001" customHeight="1">
      <c r="A2096" s="42" t="s">
        <v>5627</v>
      </c>
      <c r="B2096" s="42" t="s">
        <v>82</v>
      </c>
      <c r="C2096" s="46">
        <v>43480</v>
      </c>
      <c r="D2096" s="452">
        <v>300</v>
      </c>
      <c r="E2096" s="32" t="s">
        <v>165</v>
      </c>
      <c r="F2096" s="32" t="s">
        <v>63</v>
      </c>
      <c r="G2096" s="32"/>
      <c r="H2096" s="32" t="s">
        <v>328</v>
      </c>
    </row>
    <row r="2097" spans="1:8" ht="20.100000000000001" customHeight="1">
      <c r="A2097" s="42" t="s">
        <v>5596</v>
      </c>
      <c r="B2097" s="42" t="s">
        <v>240</v>
      </c>
      <c r="C2097" s="46">
        <v>43475</v>
      </c>
      <c r="D2097" s="452">
        <v>300</v>
      </c>
      <c r="E2097" s="32" t="s">
        <v>165</v>
      </c>
      <c r="F2097" s="32" t="s">
        <v>165</v>
      </c>
      <c r="G2097" s="32"/>
      <c r="H2097" s="32" t="s">
        <v>329</v>
      </c>
    </row>
    <row r="2098" spans="1:8" ht="20.100000000000001" customHeight="1">
      <c r="A2098" s="42" t="s">
        <v>5597</v>
      </c>
      <c r="B2098" s="42" t="s">
        <v>240</v>
      </c>
      <c r="C2098" s="46">
        <v>43475</v>
      </c>
      <c r="D2098" s="452">
        <v>300</v>
      </c>
      <c r="E2098" s="32" t="s">
        <v>165</v>
      </c>
      <c r="F2098" s="32" t="s">
        <v>165</v>
      </c>
      <c r="G2098" s="32"/>
      <c r="H2098" s="32" t="s">
        <v>329</v>
      </c>
    </row>
    <row r="2099" spans="1:8" ht="20.100000000000001" customHeight="1">
      <c r="A2099" s="42" t="s">
        <v>5617</v>
      </c>
      <c r="B2099" s="42" t="s">
        <v>240</v>
      </c>
      <c r="C2099" s="46">
        <v>43485</v>
      </c>
      <c r="D2099" s="452">
        <v>96</v>
      </c>
      <c r="E2099" s="32" t="s">
        <v>165</v>
      </c>
      <c r="F2099" s="32" t="s">
        <v>165</v>
      </c>
      <c r="G2099" s="32"/>
      <c r="H2099" s="32" t="s">
        <v>329</v>
      </c>
    </row>
    <row r="2100" spans="1:8" ht="20.100000000000001" customHeight="1">
      <c r="A2100" s="42" t="s">
        <v>5643</v>
      </c>
      <c r="B2100" s="42" t="s">
        <v>82</v>
      </c>
      <c r="C2100" s="46">
        <v>43485</v>
      </c>
      <c r="D2100" s="452">
        <v>32</v>
      </c>
      <c r="E2100" s="32" t="s">
        <v>165</v>
      </c>
      <c r="F2100" s="32" t="s">
        <v>63</v>
      </c>
      <c r="G2100" s="32"/>
      <c r="H2100" s="32" t="s">
        <v>328</v>
      </c>
    </row>
    <row r="2101" spans="1:8" ht="20.100000000000001" customHeight="1">
      <c r="A2101" s="42" t="s">
        <v>5652</v>
      </c>
      <c r="B2101" s="42" t="s">
        <v>82</v>
      </c>
      <c r="C2101" s="46">
        <v>43495</v>
      </c>
      <c r="D2101" s="452">
        <v>65</v>
      </c>
      <c r="E2101" s="32" t="s">
        <v>165</v>
      </c>
      <c r="F2101" s="32" t="s">
        <v>63</v>
      </c>
      <c r="G2101" s="32"/>
      <c r="H2101" s="32" t="s">
        <v>328</v>
      </c>
    </row>
    <row r="2102" spans="1:8" ht="20.100000000000001" customHeight="1">
      <c r="A2102" s="42" t="s">
        <v>5657</v>
      </c>
      <c r="B2102" s="42" t="s">
        <v>240</v>
      </c>
      <c r="C2102" s="46">
        <v>43511</v>
      </c>
      <c r="D2102" s="452">
        <v>640</v>
      </c>
      <c r="E2102" s="32" t="s">
        <v>165</v>
      </c>
      <c r="F2102" s="32" t="s">
        <v>165</v>
      </c>
      <c r="G2102" s="32"/>
      <c r="H2102" s="32" t="s">
        <v>329</v>
      </c>
    </row>
    <row r="2103" spans="1:8" ht="20.100000000000001" customHeight="1">
      <c r="A2103" s="42" t="s">
        <v>5658</v>
      </c>
      <c r="B2103" s="42" t="s">
        <v>82</v>
      </c>
      <c r="C2103" s="46">
        <v>43523</v>
      </c>
      <c r="D2103" s="452">
        <v>335</v>
      </c>
      <c r="E2103" s="32" t="s">
        <v>165</v>
      </c>
      <c r="F2103" s="32" t="s">
        <v>63</v>
      </c>
      <c r="G2103" s="32"/>
      <c r="H2103" s="32" t="s">
        <v>328</v>
      </c>
    </row>
    <row r="2104" spans="1:8" ht="20.100000000000001" customHeight="1">
      <c r="A2104" s="42" t="s">
        <v>5648</v>
      </c>
      <c r="B2104" s="42" t="s">
        <v>82</v>
      </c>
      <c r="C2104" s="46">
        <v>43511</v>
      </c>
      <c r="D2104" s="452">
        <v>320</v>
      </c>
      <c r="E2104" s="32" t="s">
        <v>165</v>
      </c>
      <c r="F2104" s="32" t="s">
        <v>63</v>
      </c>
      <c r="G2104" s="32"/>
      <c r="H2104" s="32" t="s">
        <v>328</v>
      </c>
    </row>
    <row r="2105" spans="1:8" ht="20.100000000000001" customHeight="1">
      <c r="A2105" s="42" t="s">
        <v>5678</v>
      </c>
      <c r="B2105" s="42" t="s">
        <v>5679</v>
      </c>
      <c r="C2105" s="46">
        <v>43529</v>
      </c>
      <c r="D2105" s="452">
        <v>30</v>
      </c>
      <c r="E2105" s="32" t="s">
        <v>5680</v>
      </c>
      <c r="F2105" s="32" t="s">
        <v>5681</v>
      </c>
      <c r="G2105" s="32"/>
      <c r="H2105" s="32" t="s">
        <v>328</v>
      </c>
    </row>
    <row r="2106" spans="1:8" ht="20.100000000000001" customHeight="1">
      <c r="A2106" s="42" t="s">
        <v>5685</v>
      </c>
      <c r="B2106" s="42" t="s">
        <v>240</v>
      </c>
      <c r="C2106" s="46">
        <v>43544</v>
      </c>
      <c r="D2106" s="452">
        <v>898</v>
      </c>
      <c r="E2106" s="32" t="s">
        <v>165</v>
      </c>
      <c r="F2106" s="32" t="s">
        <v>165</v>
      </c>
      <c r="G2106" s="32"/>
      <c r="H2106" s="32" t="s">
        <v>329</v>
      </c>
    </row>
    <row r="2107" spans="1:8" ht="20.100000000000001" customHeight="1">
      <c r="A2107" s="42" t="s">
        <v>5690</v>
      </c>
      <c r="B2107" s="42" t="s">
        <v>82</v>
      </c>
      <c r="C2107" s="46">
        <v>43549</v>
      </c>
      <c r="D2107" s="452">
        <v>398</v>
      </c>
      <c r="E2107" s="32" t="s">
        <v>165</v>
      </c>
      <c r="F2107" s="32" t="s">
        <v>63</v>
      </c>
      <c r="G2107" s="32"/>
      <c r="H2107" s="32" t="s">
        <v>328</v>
      </c>
    </row>
    <row r="2108" spans="1:8" ht="20.100000000000001" customHeight="1">
      <c r="A2108" s="42" t="s">
        <v>5695</v>
      </c>
      <c r="B2108" s="491" t="s">
        <v>82</v>
      </c>
      <c r="C2108" s="46">
        <v>43554</v>
      </c>
      <c r="D2108" s="452">
        <v>587</v>
      </c>
      <c r="E2108" s="492" t="s">
        <v>165</v>
      </c>
      <c r="F2108" s="492" t="s">
        <v>63</v>
      </c>
      <c r="G2108" s="492"/>
      <c r="H2108" s="492" t="s">
        <v>328</v>
      </c>
    </row>
    <row r="2109" spans="1:8" ht="20.100000000000001" customHeight="1">
      <c r="A2109" s="42" t="s">
        <v>5698</v>
      </c>
      <c r="B2109" s="491" t="s">
        <v>240</v>
      </c>
      <c r="C2109" s="46">
        <v>43559</v>
      </c>
      <c r="D2109" s="452">
        <v>192</v>
      </c>
      <c r="E2109" s="32" t="s">
        <v>5699</v>
      </c>
      <c r="F2109" s="32" t="s">
        <v>5700</v>
      </c>
      <c r="G2109" s="32"/>
      <c r="H2109" s="492" t="s">
        <v>329</v>
      </c>
    </row>
    <row r="2110" spans="1:8" ht="20.100000000000001" customHeight="1">
      <c r="A2110" s="42" t="s">
        <v>5723</v>
      </c>
      <c r="B2110" s="491" t="s">
        <v>240</v>
      </c>
      <c r="C2110" s="46">
        <v>43578</v>
      </c>
      <c r="D2110" s="452">
        <v>425</v>
      </c>
      <c r="E2110" s="492" t="s">
        <v>165</v>
      </c>
      <c r="F2110" s="492" t="s">
        <v>165</v>
      </c>
      <c r="G2110" s="492"/>
      <c r="H2110" s="492" t="s">
        <v>329</v>
      </c>
    </row>
    <row r="2111" spans="1:8" s="495" customFormat="1" ht="20.100000000000001" customHeight="1">
      <c r="A2111" s="491" t="s">
        <v>5724</v>
      </c>
      <c r="B2111" s="491" t="s">
        <v>82</v>
      </c>
      <c r="C2111" s="493">
        <v>43578</v>
      </c>
      <c r="D2111" s="494">
        <v>430</v>
      </c>
      <c r="E2111" s="492" t="s">
        <v>165</v>
      </c>
      <c r="F2111" s="492" t="s">
        <v>63</v>
      </c>
      <c r="G2111" s="492"/>
      <c r="H2111" s="492" t="s">
        <v>328</v>
      </c>
    </row>
    <row r="2112" spans="1:8" s="495" customFormat="1" ht="20.100000000000001" customHeight="1">
      <c r="A2112" s="491" t="s">
        <v>5729</v>
      </c>
      <c r="B2112" s="491" t="s">
        <v>82</v>
      </c>
      <c r="C2112" s="493">
        <v>43578</v>
      </c>
      <c r="D2112" s="494">
        <v>125</v>
      </c>
      <c r="E2112" s="492" t="s">
        <v>165</v>
      </c>
      <c r="F2112" s="492" t="s">
        <v>63</v>
      </c>
      <c r="G2112" s="492"/>
      <c r="H2112" s="492" t="s">
        <v>328</v>
      </c>
    </row>
    <row r="2113" spans="1:8" s="495" customFormat="1" ht="20.100000000000001" customHeight="1">
      <c r="A2113" s="491" t="s">
        <v>5737</v>
      </c>
      <c r="B2113" s="491" t="s">
        <v>240</v>
      </c>
      <c r="C2113" s="493">
        <v>43585</v>
      </c>
      <c r="D2113" s="494">
        <v>288</v>
      </c>
      <c r="E2113" s="492" t="s">
        <v>165</v>
      </c>
      <c r="F2113" s="492" t="s">
        <v>165</v>
      </c>
      <c r="G2113" s="492"/>
      <c r="H2113" s="492" t="s">
        <v>329</v>
      </c>
    </row>
    <row r="2114" spans="1:8" s="495" customFormat="1" ht="20.100000000000001" customHeight="1">
      <c r="A2114" s="491" t="s">
        <v>5738</v>
      </c>
      <c r="B2114" s="491" t="s">
        <v>82</v>
      </c>
      <c r="C2114" s="493">
        <v>43585</v>
      </c>
      <c r="D2114" s="494">
        <v>288</v>
      </c>
      <c r="E2114" s="492" t="s">
        <v>165</v>
      </c>
      <c r="F2114" s="492" t="s">
        <v>5739</v>
      </c>
      <c r="G2114" s="492"/>
      <c r="H2114" s="492" t="s">
        <v>328</v>
      </c>
    </row>
    <row r="2115" spans="1:8" s="495" customFormat="1" ht="20.100000000000001" customHeight="1">
      <c r="A2115" s="491" t="s">
        <v>5752</v>
      </c>
      <c r="B2115" s="491" t="s">
        <v>240</v>
      </c>
      <c r="C2115" s="493">
        <v>43594</v>
      </c>
      <c r="D2115" s="494">
        <v>192</v>
      </c>
      <c r="E2115" s="492" t="s">
        <v>5699</v>
      </c>
      <c r="F2115" s="492" t="s">
        <v>165</v>
      </c>
      <c r="G2115" s="492"/>
      <c r="H2115" s="492" t="s">
        <v>329</v>
      </c>
    </row>
    <row r="2116" spans="1:8" s="495" customFormat="1" ht="20.100000000000001" customHeight="1">
      <c r="A2116" s="491" t="s">
        <v>5753</v>
      </c>
      <c r="B2116" s="491" t="s">
        <v>82</v>
      </c>
      <c r="C2116" s="493">
        <v>43565</v>
      </c>
      <c r="D2116" s="494">
        <v>381</v>
      </c>
      <c r="E2116" s="492" t="s">
        <v>165</v>
      </c>
      <c r="F2116" s="492" t="s">
        <v>63</v>
      </c>
      <c r="G2116" s="492"/>
      <c r="H2116" s="492" t="s">
        <v>328</v>
      </c>
    </row>
    <row r="2117" spans="1:8" s="495" customFormat="1" ht="20.100000000000001" customHeight="1">
      <c r="A2117" s="491" t="s">
        <v>5755</v>
      </c>
      <c r="B2117" s="491" t="s">
        <v>82</v>
      </c>
      <c r="C2117" s="493">
        <v>43564</v>
      </c>
      <c r="D2117" s="494">
        <v>96</v>
      </c>
      <c r="E2117" s="492" t="s">
        <v>165</v>
      </c>
      <c r="F2117" s="492" t="s">
        <v>63</v>
      </c>
      <c r="G2117" s="492"/>
      <c r="H2117" s="492" t="s">
        <v>328</v>
      </c>
    </row>
    <row r="2118" spans="1:8" s="495" customFormat="1" ht="20.100000000000001" customHeight="1">
      <c r="A2118" s="491" t="s">
        <v>5757</v>
      </c>
      <c r="B2118" s="491" t="s">
        <v>240</v>
      </c>
      <c r="C2118" s="493">
        <v>43600</v>
      </c>
      <c r="D2118" s="494">
        <v>400</v>
      </c>
      <c r="E2118" s="492" t="s">
        <v>165</v>
      </c>
      <c r="F2118" s="492" t="s">
        <v>165</v>
      </c>
      <c r="G2118" s="492"/>
      <c r="H2118" s="492" t="s">
        <v>329</v>
      </c>
    </row>
    <row r="2119" spans="1:8" s="495" customFormat="1" ht="20.100000000000001" customHeight="1">
      <c r="A2119" s="491" t="s">
        <v>5713</v>
      </c>
      <c r="B2119" s="491" t="s">
        <v>60</v>
      </c>
      <c r="C2119" s="493">
        <v>43600</v>
      </c>
      <c r="D2119" s="494">
        <v>408</v>
      </c>
      <c r="E2119" s="492" t="s">
        <v>5763</v>
      </c>
      <c r="F2119" s="492" t="s">
        <v>63</v>
      </c>
      <c r="G2119" s="492"/>
      <c r="H2119" s="492" t="s">
        <v>329</v>
      </c>
    </row>
    <row r="2120" spans="1:8" s="495" customFormat="1" ht="20.100000000000001" customHeight="1">
      <c r="A2120" s="491" t="s">
        <v>5750</v>
      </c>
      <c r="B2120" s="491" t="s">
        <v>60</v>
      </c>
      <c r="C2120" s="493">
        <v>43600</v>
      </c>
      <c r="D2120" s="494">
        <v>408</v>
      </c>
      <c r="E2120" s="492" t="s">
        <v>5763</v>
      </c>
      <c r="F2120" s="492" t="s">
        <v>63</v>
      </c>
      <c r="G2120" s="492"/>
      <c r="H2120" s="492" t="s">
        <v>328</v>
      </c>
    </row>
    <row r="2121" spans="1:8" s="495" customFormat="1" ht="20.100000000000001" customHeight="1">
      <c r="A2121" s="491" t="s">
        <v>5769</v>
      </c>
      <c r="B2121" s="491" t="s">
        <v>82</v>
      </c>
      <c r="C2121" s="493">
        <v>43605</v>
      </c>
      <c r="D2121" s="494">
        <v>300</v>
      </c>
      <c r="E2121" s="492" t="s">
        <v>165</v>
      </c>
      <c r="F2121" s="492" t="s">
        <v>63</v>
      </c>
      <c r="G2121" s="492"/>
      <c r="H2121" s="492" t="s">
        <v>328</v>
      </c>
    </row>
    <row r="2122" spans="1:8" s="495" customFormat="1" ht="20.100000000000001" customHeight="1">
      <c r="A2122" s="491" t="s">
        <v>5770</v>
      </c>
      <c r="B2122" s="491" t="s">
        <v>240</v>
      </c>
      <c r="C2122" s="493">
        <v>43605</v>
      </c>
      <c r="D2122" s="494">
        <v>600</v>
      </c>
      <c r="E2122" s="492" t="s">
        <v>165</v>
      </c>
      <c r="F2122" s="492" t="s">
        <v>165</v>
      </c>
      <c r="G2122" s="492"/>
      <c r="H2122" s="492" t="s">
        <v>329</v>
      </c>
    </row>
    <row r="2123" spans="1:8" s="495" customFormat="1" ht="20.100000000000001" customHeight="1">
      <c r="A2123" s="491" t="s">
        <v>5772</v>
      </c>
      <c r="B2123" s="491" t="s">
        <v>82</v>
      </c>
      <c r="C2123" s="493">
        <v>43605</v>
      </c>
      <c r="D2123" s="494">
        <v>200</v>
      </c>
      <c r="E2123" s="492" t="s">
        <v>165</v>
      </c>
      <c r="F2123" s="492" t="s">
        <v>63</v>
      </c>
      <c r="G2123" s="492"/>
      <c r="H2123" s="492" t="s">
        <v>328</v>
      </c>
    </row>
    <row r="2124" spans="1:8" s="495" customFormat="1" ht="20.100000000000001" customHeight="1">
      <c r="A2124" s="491" t="s">
        <v>5778</v>
      </c>
      <c r="B2124" s="491" t="s">
        <v>240</v>
      </c>
      <c r="C2124" s="493">
        <v>43605</v>
      </c>
      <c r="D2124" s="494">
        <v>192</v>
      </c>
      <c r="E2124" s="492" t="s">
        <v>165</v>
      </c>
      <c r="F2124" s="492" t="s">
        <v>165</v>
      </c>
      <c r="G2124" s="492"/>
      <c r="H2124" s="492" t="s">
        <v>329</v>
      </c>
    </row>
    <row r="2125" spans="1:8" s="495" customFormat="1" ht="20.100000000000001" customHeight="1">
      <c r="A2125" s="491" t="s">
        <v>5796</v>
      </c>
      <c r="B2125" s="491" t="s">
        <v>240</v>
      </c>
      <c r="C2125" s="493">
        <v>43619</v>
      </c>
      <c r="D2125" s="494">
        <v>192</v>
      </c>
      <c r="E2125" s="492" t="s">
        <v>5699</v>
      </c>
      <c r="F2125" s="492" t="s">
        <v>165</v>
      </c>
      <c r="G2125" s="492"/>
      <c r="H2125" s="492" t="s">
        <v>329</v>
      </c>
    </row>
    <row r="2126" spans="1:8" s="495" customFormat="1" ht="20.100000000000001" customHeight="1">
      <c r="A2126" s="491" t="s">
        <v>5760</v>
      </c>
      <c r="B2126" s="491" t="s">
        <v>82</v>
      </c>
      <c r="C2126" s="493">
        <v>43615</v>
      </c>
      <c r="D2126" s="494">
        <v>192</v>
      </c>
      <c r="E2126" s="492" t="s">
        <v>165</v>
      </c>
      <c r="F2126" s="492" t="s">
        <v>5739</v>
      </c>
      <c r="G2126" s="492"/>
      <c r="H2126" s="492" t="s">
        <v>328</v>
      </c>
    </row>
    <row r="2127" spans="1:8" s="495" customFormat="1" ht="20.100000000000001" customHeight="1">
      <c r="A2127" s="491" t="s">
        <v>5800</v>
      </c>
      <c r="B2127" s="491" t="s">
        <v>82</v>
      </c>
      <c r="C2127" s="493">
        <v>43615</v>
      </c>
      <c r="D2127" s="494">
        <v>431</v>
      </c>
      <c r="E2127" s="492" t="s">
        <v>165</v>
      </c>
      <c r="F2127" s="492" t="s">
        <v>63</v>
      </c>
      <c r="G2127" s="492"/>
      <c r="H2127" s="492" t="s">
        <v>328</v>
      </c>
    </row>
    <row r="2128" spans="1:8" s="495" customFormat="1" ht="20.100000000000001" customHeight="1">
      <c r="A2128" s="491" t="s">
        <v>5810</v>
      </c>
      <c r="B2128" s="491" t="s">
        <v>240</v>
      </c>
      <c r="C2128" s="493">
        <v>43635</v>
      </c>
      <c r="D2128" s="494">
        <v>320</v>
      </c>
      <c r="E2128" s="492" t="s">
        <v>165</v>
      </c>
      <c r="F2128" s="492" t="s">
        <v>165</v>
      </c>
      <c r="G2128" s="492"/>
      <c r="H2128" s="492" t="s">
        <v>329</v>
      </c>
    </row>
    <row r="2129" spans="1:8" s="495" customFormat="1" ht="20.100000000000001" customHeight="1">
      <c r="A2129" s="491" t="s">
        <v>5811</v>
      </c>
      <c r="B2129" s="491" t="s">
        <v>82</v>
      </c>
      <c r="C2129" s="493">
        <v>43635</v>
      </c>
      <c r="D2129" s="494">
        <v>320</v>
      </c>
      <c r="E2129" s="492" t="s">
        <v>165</v>
      </c>
      <c r="F2129" s="492" t="s">
        <v>5739</v>
      </c>
      <c r="G2129" s="492"/>
      <c r="H2129" s="492" t="s">
        <v>328</v>
      </c>
    </row>
    <row r="2130" spans="1:8" s="495" customFormat="1" ht="20.100000000000001" customHeight="1">
      <c r="A2130" s="491" t="s">
        <v>5812</v>
      </c>
      <c r="B2130" s="491" t="s">
        <v>82</v>
      </c>
      <c r="C2130" s="493">
        <v>43624</v>
      </c>
      <c r="D2130" s="494">
        <v>104</v>
      </c>
      <c r="E2130" s="492" t="s">
        <v>165</v>
      </c>
      <c r="F2130" s="492" t="s">
        <v>63</v>
      </c>
      <c r="G2130" s="492"/>
      <c r="H2130" s="492" t="s">
        <v>328</v>
      </c>
    </row>
    <row r="2131" spans="1:8" s="495" customFormat="1" ht="20.100000000000001" customHeight="1">
      <c r="A2131" s="491" t="s">
        <v>5817</v>
      </c>
      <c r="B2131" s="491" t="s">
        <v>60</v>
      </c>
      <c r="C2131" s="493">
        <v>43635</v>
      </c>
      <c r="D2131" s="494">
        <v>300</v>
      </c>
      <c r="E2131" s="492" t="s">
        <v>5763</v>
      </c>
      <c r="F2131" s="492" t="s">
        <v>63</v>
      </c>
      <c r="G2131" s="492"/>
      <c r="H2131" s="492" t="s">
        <v>329</v>
      </c>
    </row>
    <row r="2132" spans="1:8" s="495" customFormat="1" ht="20.100000000000001" customHeight="1">
      <c r="A2132" s="491" t="s">
        <v>5804</v>
      </c>
      <c r="B2132" s="491" t="s">
        <v>60</v>
      </c>
      <c r="C2132" s="493">
        <v>43635</v>
      </c>
      <c r="D2132" s="494">
        <v>300</v>
      </c>
      <c r="E2132" s="492" t="s">
        <v>5763</v>
      </c>
      <c r="F2132" s="492" t="s">
        <v>63</v>
      </c>
      <c r="G2132" s="492"/>
      <c r="H2132" s="492" t="s">
        <v>328</v>
      </c>
    </row>
    <row r="2133" spans="1:8" s="495" customFormat="1" ht="20.100000000000001" customHeight="1">
      <c r="A2133" s="491" t="s">
        <v>5823</v>
      </c>
      <c r="B2133" s="491" t="s">
        <v>240</v>
      </c>
      <c r="C2133" s="493">
        <v>43643</v>
      </c>
      <c r="D2133" s="494">
        <v>192</v>
      </c>
      <c r="E2133" s="492" t="s">
        <v>5699</v>
      </c>
      <c r="F2133" s="492" t="s">
        <v>165</v>
      </c>
      <c r="G2133" s="492"/>
      <c r="H2133" s="492" t="s">
        <v>329</v>
      </c>
    </row>
    <row r="2134" spans="1:8" s="495" customFormat="1" ht="20.100000000000001" customHeight="1">
      <c r="A2134" s="491" t="s">
        <v>5837</v>
      </c>
      <c r="B2134" s="491" t="s">
        <v>82</v>
      </c>
      <c r="C2134" s="493">
        <v>43651</v>
      </c>
      <c r="D2134" s="494">
        <v>400</v>
      </c>
      <c r="E2134" s="492" t="s">
        <v>165</v>
      </c>
      <c r="F2134" s="492" t="s">
        <v>63</v>
      </c>
      <c r="G2134" s="492"/>
      <c r="H2134" s="492" t="s">
        <v>328</v>
      </c>
    </row>
    <row r="2135" spans="1:8" s="495" customFormat="1" ht="20.100000000000001" customHeight="1">
      <c r="A2135" s="491" t="s">
        <v>5842</v>
      </c>
      <c r="B2135" s="491" t="s">
        <v>240</v>
      </c>
      <c r="C2135" s="493">
        <v>43655</v>
      </c>
      <c r="D2135" s="494">
        <v>96</v>
      </c>
      <c r="E2135" s="492" t="s">
        <v>165</v>
      </c>
      <c r="F2135" s="492" t="s">
        <v>165</v>
      </c>
      <c r="G2135" s="492"/>
      <c r="H2135" s="492" t="s">
        <v>329</v>
      </c>
    </row>
    <row r="2136" spans="1:8" s="495" customFormat="1" ht="20.100000000000001" customHeight="1">
      <c r="A2136" s="491" t="s">
        <v>5850</v>
      </c>
      <c r="B2136" s="491" t="s">
        <v>240</v>
      </c>
      <c r="C2136" s="493">
        <v>43647</v>
      </c>
      <c r="D2136" s="494">
        <v>186</v>
      </c>
      <c r="E2136" s="492" t="s">
        <v>165</v>
      </c>
      <c r="F2136" s="492" t="s">
        <v>165</v>
      </c>
      <c r="G2136" s="492"/>
      <c r="H2136" s="492" t="s">
        <v>329</v>
      </c>
    </row>
    <row r="2137" spans="1:8" s="495" customFormat="1" ht="20.100000000000001" customHeight="1">
      <c r="A2137" s="491" t="s">
        <v>5852</v>
      </c>
      <c r="B2137" s="491" t="s">
        <v>82</v>
      </c>
      <c r="C2137" s="493">
        <v>43651</v>
      </c>
      <c r="D2137" s="494">
        <v>186</v>
      </c>
      <c r="E2137" s="492" t="s">
        <v>165</v>
      </c>
      <c r="F2137" s="492" t="s">
        <v>5739</v>
      </c>
      <c r="G2137" s="492"/>
      <c r="H2137" s="492" t="s">
        <v>328</v>
      </c>
    </row>
    <row r="2138" spans="1:8" s="495" customFormat="1" ht="20.100000000000001" customHeight="1">
      <c r="A2138" s="491" t="s">
        <v>5854</v>
      </c>
      <c r="B2138" s="491" t="s">
        <v>60</v>
      </c>
      <c r="C2138" s="493">
        <v>43651</v>
      </c>
      <c r="D2138" s="494">
        <v>62</v>
      </c>
      <c r="E2138" s="492" t="s">
        <v>5763</v>
      </c>
      <c r="F2138" s="492" t="s">
        <v>63</v>
      </c>
      <c r="G2138" s="492"/>
      <c r="H2138" s="492" t="s">
        <v>328</v>
      </c>
    </row>
    <row r="2139" spans="1:8" s="495" customFormat="1" ht="20.100000000000001" customHeight="1">
      <c r="A2139" s="491" t="s">
        <v>5805</v>
      </c>
      <c r="B2139" s="491" t="s">
        <v>60</v>
      </c>
      <c r="C2139" s="493">
        <v>43651</v>
      </c>
      <c r="D2139" s="494">
        <v>62</v>
      </c>
      <c r="E2139" s="492" t="s">
        <v>5763</v>
      </c>
      <c r="F2139" s="492" t="s">
        <v>63</v>
      </c>
      <c r="G2139" s="492"/>
      <c r="H2139" s="492" t="s">
        <v>329</v>
      </c>
    </row>
    <row r="2140" spans="1:8" s="495" customFormat="1" ht="20.100000000000001" customHeight="1">
      <c r="A2140" s="491" t="s">
        <v>5863</v>
      </c>
      <c r="B2140" s="491" t="s">
        <v>82</v>
      </c>
      <c r="C2140" s="493">
        <v>43656</v>
      </c>
      <c r="D2140" s="494">
        <v>45</v>
      </c>
      <c r="E2140" s="492" t="s">
        <v>165</v>
      </c>
      <c r="F2140" s="492" t="s">
        <v>63</v>
      </c>
      <c r="G2140" s="492"/>
      <c r="H2140" s="492" t="s">
        <v>328</v>
      </c>
    </row>
    <row r="2141" spans="1:8" s="495" customFormat="1" ht="20.100000000000001" customHeight="1">
      <c r="A2141" s="491" t="s">
        <v>5867</v>
      </c>
      <c r="B2141" s="491" t="s">
        <v>5868</v>
      </c>
      <c r="C2141" s="493">
        <v>43656</v>
      </c>
      <c r="D2141" s="494">
        <v>400</v>
      </c>
      <c r="E2141" s="492" t="s">
        <v>165</v>
      </c>
      <c r="F2141" s="492" t="s">
        <v>165</v>
      </c>
      <c r="G2141" s="492"/>
      <c r="H2141" s="492" t="s">
        <v>329</v>
      </c>
    </row>
    <row r="2142" spans="1:8" s="495" customFormat="1" ht="20.100000000000001" customHeight="1">
      <c r="A2142" s="491" t="s">
        <v>5869</v>
      </c>
      <c r="B2142" s="491" t="s">
        <v>5868</v>
      </c>
      <c r="C2142" s="493">
        <v>43666</v>
      </c>
      <c r="D2142" s="494">
        <v>192</v>
      </c>
      <c r="E2142" s="492" t="s">
        <v>165</v>
      </c>
      <c r="F2142" s="492" t="s">
        <v>165</v>
      </c>
      <c r="G2142" s="492"/>
      <c r="H2142" s="492" t="s">
        <v>329</v>
      </c>
    </row>
    <row r="2143" spans="1:8" s="495" customFormat="1" ht="20.100000000000001" customHeight="1">
      <c r="A2143" s="491" t="s">
        <v>5870</v>
      </c>
      <c r="B2143" s="491" t="s">
        <v>60</v>
      </c>
      <c r="C2143" s="493">
        <v>43671</v>
      </c>
      <c r="D2143" s="494">
        <v>96</v>
      </c>
      <c r="E2143" s="492" t="s">
        <v>5763</v>
      </c>
      <c r="F2143" s="492" t="s">
        <v>63</v>
      </c>
      <c r="G2143" s="492"/>
      <c r="H2143" s="492" t="s">
        <v>329</v>
      </c>
    </row>
    <row r="2144" spans="1:8" s="495" customFormat="1" ht="20.100000000000001" customHeight="1">
      <c r="A2144" s="491" t="s">
        <v>5853</v>
      </c>
      <c r="B2144" s="491" t="s">
        <v>60</v>
      </c>
      <c r="C2144" s="493">
        <v>43671</v>
      </c>
      <c r="D2144" s="494">
        <v>96</v>
      </c>
      <c r="E2144" s="492" t="s">
        <v>5763</v>
      </c>
      <c r="F2144" s="492" t="s">
        <v>63</v>
      </c>
      <c r="G2144" s="492"/>
      <c r="H2144" s="492" t="s">
        <v>328</v>
      </c>
    </row>
    <row r="2145" spans="1:8" s="495" customFormat="1" ht="20.100000000000001" customHeight="1">
      <c r="A2145" s="491" t="s">
        <v>5871</v>
      </c>
      <c r="B2145" s="491" t="s">
        <v>82</v>
      </c>
      <c r="C2145" s="493">
        <v>43666</v>
      </c>
      <c r="D2145" s="494">
        <v>220</v>
      </c>
      <c r="E2145" s="492" t="s">
        <v>165</v>
      </c>
      <c r="F2145" s="492" t="s">
        <v>63</v>
      </c>
      <c r="G2145" s="492"/>
      <c r="H2145" s="492" t="s">
        <v>328</v>
      </c>
    </row>
    <row r="2146" spans="1:8" s="495" customFormat="1" ht="20.100000000000001" customHeight="1">
      <c r="A2146" s="491" t="s">
        <v>5878</v>
      </c>
      <c r="B2146" s="491" t="s">
        <v>60</v>
      </c>
      <c r="C2146" s="493">
        <v>43671</v>
      </c>
      <c r="D2146" s="494">
        <v>98</v>
      </c>
      <c r="E2146" s="492" t="s">
        <v>5763</v>
      </c>
      <c r="F2146" s="492" t="s">
        <v>63</v>
      </c>
      <c r="G2146" s="492"/>
      <c r="H2146" s="492" t="s">
        <v>329</v>
      </c>
    </row>
    <row r="2147" spans="1:8" s="495" customFormat="1" ht="20.100000000000001" customHeight="1">
      <c r="A2147" s="491" t="s">
        <v>5879</v>
      </c>
      <c r="B2147" s="491" t="s">
        <v>60</v>
      </c>
      <c r="C2147" s="493">
        <v>43671</v>
      </c>
      <c r="D2147" s="494">
        <v>98</v>
      </c>
      <c r="E2147" s="492" t="s">
        <v>5763</v>
      </c>
      <c r="F2147" s="492" t="s">
        <v>63</v>
      </c>
      <c r="G2147" s="492"/>
      <c r="H2147" s="492" t="s">
        <v>328</v>
      </c>
    </row>
    <row r="2148" spans="1:8" s="495" customFormat="1" ht="20.100000000000001" customHeight="1">
      <c r="A2148" s="491" t="s">
        <v>5858</v>
      </c>
      <c r="B2148" s="491" t="s">
        <v>240</v>
      </c>
      <c r="C2148" s="493">
        <v>43671</v>
      </c>
      <c r="D2148" s="494">
        <v>420</v>
      </c>
      <c r="E2148" s="492" t="s">
        <v>165</v>
      </c>
      <c r="F2148" s="492" t="s">
        <v>165</v>
      </c>
      <c r="G2148" s="492"/>
      <c r="H2148" s="492" t="s">
        <v>329</v>
      </c>
    </row>
    <row r="2149" spans="1:8" s="495" customFormat="1" ht="20.100000000000001" customHeight="1">
      <c r="A2149" s="491" t="s">
        <v>5818</v>
      </c>
      <c r="B2149" s="491" t="s">
        <v>82</v>
      </c>
      <c r="C2149" s="493">
        <v>43675</v>
      </c>
      <c r="D2149" s="494">
        <v>110</v>
      </c>
      <c r="E2149" s="492" t="s">
        <v>165</v>
      </c>
      <c r="F2149" s="492" t="s">
        <v>63</v>
      </c>
      <c r="G2149" s="492"/>
      <c r="H2149" s="492" t="s">
        <v>328</v>
      </c>
    </row>
    <row r="2150" spans="1:8" s="495" customFormat="1" ht="20.100000000000001" customHeight="1">
      <c r="A2150" s="491" t="s">
        <v>5889</v>
      </c>
      <c r="B2150" s="491" t="s">
        <v>5890</v>
      </c>
      <c r="C2150" s="493">
        <v>43690</v>
      </c>
      <c r="D2150" s="494">
        <v>192</v>
      </c>
      <c r="E2150" s="492" t="s">
        <v>5699</v>
      </c>
      <c r="F2150" s="492" t="s">
        <v>165</v>
      </c>
      <c r="G2150" s="492"/>
      <c r="H2150" s="492" t="s">
        <v>329</v>
      </c>
    </row>
    <row r="2151" spans="1:8" s="495" customFormat="1" ht="20.100000000000001" customHeight="1">
      <c r="A2151" s="491" t="s">
        <v>5899</v>
      </c>
      <c r="B2151" s="491" t="s">
        <v>82</v>
      </c>
      <c r="C2151" s="493">
        <v>43676</v>
      </c>
      <c r="D2151" s="494">
        <v>169</v>
      </c>
      <c r="E2151" s="492" t="s">
        <v>165</v>
      </c>
      <c r="F2151" s="492" t="s">
        <v>63</v>
      </c>
      <c r="G2151" s="492"/>
      <c r="H2151" s="492" t="s">
        <v>328</v>
      </c>
    </row>
    <row r="2152" spans="1:8" s="495" customFormat="1" ht="20.100000000000001" customHeight="1">
      <c r="A2152" s="491" t="s">
        <v>5901</v>
      </c>
      <c r="B2152" s="491" t="s">
        <v>82</v>
      </c>
      <c r="C2152" s="493">
        <v>43671</v>
      </c>
      <c r="D2152" s="494">
        <v>420</v>
      </c>
      <c r="E2152" s="492" t="s">
        <v>165</v>
      </c>
      <c r="F2152" s="492" t="s">
        <v>5739</v>
      </c>
      <c r="G2152" s="492"/>
      <c r="H2152" s="492" t="s">
        <v>328</v>
      </c>
    </row>
    <row r="2153" spans="1:8" s="495" customFormat="1" ht="20.100000000000001" customHeight="1">
      <c r="A2153" s="491" t="s">
        <v>5907</v>
      </c>
      <c r="B2153" s="491" t="s">
        <v>240</v>
      </c>
      <c r="C2153" s="493">
        <v>43691</v>
      </c>
      <c r="D2153" s="494">
        <v>314</v>
      </c>
      <c r="E2153" s="492" t="s">
        <v>165</v>
      </c>
      <c r="F2153" s="492" t="s">
        <v>165</v>
      </c>
      <c r="G2153" s="492"/>
      <c r="H2153" s="492" t="s">
        <v>329</v>
      </c>
    </row>
    <row r="2154" spans="1:8" s="495" customFormat="1" ht="20.100000000000001" customHeight="1">
      <c r="A2154" s="491" t="s">
        <v>5908</v>
      </c>
      <c r="B2154" s="491" t="s">
        <v>82</v>
      </c>
      <c r="C2154" s="493">
        <v>43691</v>
      </c>
      <c r="D2154" s="494">
        <v>314</v>
      </c>
      <c r="E2154" s="492" t="s">
        <v>165</v>
      </c>
      <c r="F2154" s="492" t="s">
        <v>5739</v>
      </c>
      <c r="G2154" s="492"/>
      <c r="H2154" s="492" t="s">
        <v>328</v>
      </c>
    </row>
    <row r="2155" spans="1:8" s="495" customFormat="1" ht="20.100000000000001" customHeight="1">
      <c r="A2155" s="491" t="s">
        <v>5925</v>
      </c>
      <c r="B2155" s="491" t="s">
        <v>82</v>
      </c>
      <c r="C2155" s="493">
        <v>43696</v>
      </c>
      <c r="D2155" s="494">
        <v>105</v>
      </c>
      <c r="E2155" s="492" t="s">
        <v>165</v>
      </c>
      <c r="F2155" s="492" t="s">
        <v>63</v>
      </c>
      <c r="G2155" s="492"/>
      <c r="H2155" s="492" t="s">
        <v>328</v>
      </c>
    </row>
    <row r="2156" spans="1:8" s="495" customFormat="1" ht="20.100000000000001" customHeight="1">
      <c r="A2156" s="491" t="s">
        <v>5925</v>
      </c>
      <c r="B2156" s="491" t="s">
        <v>82</v>
      </c>
      <c r="C2156" s="493">
        <v>43697</v>
      </c>
      <c r="D2156" s="494">
        <v>105</v>
      </c>
      <c r="E2156" s="492" t="s">
        <v>165</v>
      </c>
      <c r="F2156" s="492" t="s">
        <v>63</v>
      </c>
      <c r="G2156" s="492"/>
      <c r="H2156" s="492" t="s">
        <v>328</v>
      </c>
    </row>
    <row r="2157" spans="1:8" s="495" customFormat="1" ht="20.100000000000001" customHeight="1">
      <c r="A2157" s="491" t="s">
        <v>5881</v>
      </c>
      <c r="B2157" s="491" t="s">
        <v>82</v>
      </c>
      <c r="C2157" s="493">
        <v>43701</v>
      </c>
      <c r="D2157" s="494">
        <v>110</v>
      </c>
      <c r="E2157" s="492" t="s">
        <v>165</v>
      </c>
      <c r="F2157" s="492" t="s">
        <v>63</v>
      </c>
      <c r="G2157" s="492"/>
      <c r="H2157" s="492" t="s">
        <v>328</v>
      </c>
    </row>
    <row r="2158" spans="1:8" s="495" customFormat="1" ht="20.100000000000001" customHeight="1">
      <c r="A2158" s="491" t="s">
        <v>5914</v>
      </c>
      <c r="B2158" s="491" t="s">
        <v>60</v>
      </c>
      <c r="C2158" s="493">
        <v>43702</v>
      </c>
      <c r="D2158" s="494">
        <f>32+33+32+32</f>
        <v>129</v>
      </c>
      <c r="E2158" s="492" t="s">
        <v>5928</v>
      </c>
      <c r="F2158" s="492" t="s">
        <v>63</v>
      </c>
      <c r="G2158" s="492"/>
      <c r="H2158" s="492" t="s">
        <v>329</v>
      </c>
    </row>
    <row r="2159" spans="1:8" s="495" customFormat="1" ht="20.100000000000001" customHeight="1">
      <c r="A2159" s="491" t="s">
        <v>5900</v>
      </c>
      <c r="B2159" s="491" t="s">
        <v>60</v>
      </c>
      <c r="C2159" s="493">
        <v>43702</v>
      </c>
      <c r="D2159" s="494">
        <f>32+33+32+32</f>
        <v>129</v>
      </c>
      <c r="E2159" s="492" t="s">
        <v>5928</v>
      </c>
      <c r="F2159" s="492" t="s">
        <v>63</v>
      </c>
      <c r="G2159" s="492"/>
      <c r="H2159" s="492" t="s">
        <v>328</v>
      </c>
    </row>
    <row r="2160" spans="1:8" s="495" customFormat="1" ht="20.100000000000001" customHeight="1">
      <c r="A2160" s="491" t="s">
        <v>5931</v>
      </c>
      <c r="B2160" s="491" t="s">
        <v>60</v>
      </c>
      <c r="C2160" s="493">
        <v>43703</v>
      </c>
      <c r="D2160" s="494">
        <v>100</v>
      </c>
      <c r="E2160" s="492" t="s">
        <v>5763</v>
      </c>
      <c r="F2160" s="492" t="s">
        <v>63</v>
      </c>
      <c r="G2160" s="492"/>
      <c r="H2160" s="492" t="s">
        <v>329</v>
      </c>
    </row>
    <row r="2161" spans="1:8" s="495" customFormat="1" ht="20.100000000000001" customHeight="1">
      <c r="A2161" s="491" t="s">
        <v>5900</v>
      </c>
      <c r="B2161" s="491" t="s">
        <v>60</v>
      </c>
      <c r="C2161" s="493">
        <v>43703</v>
      </c>
      <c r="D2161" s="494">
        <v>100</v>
      </c>
      <c r="E2161" s="492" t="s">
        <v>5763</v>
      </c>
      <c r="F2161" s="492" t="s">
        <v>63</v>
      </c>
      <c r="G2161" s="492"/>
      <c r="H2161" s="492" t="s">
        <v>328</v>
      </c>
    </row>
    <row r="2162" spans="1:8" s="495" customFormat="1" ht="20.100000000000001" customHeight="1">
      <c r="A2162" s="491" t="s">
        <v>5932</v>
      </c>
      <c r="B2162" s="491" t="s">
        <v>60</v>
      </c>
      <c r="C2162" s="493">
        <v>43703</v>
      </c>
      <c r="D2162" s="494">
        <v>65</v>
      </c>
      <c r="E2162" s="492" t="s">
        <v>5928</v>
      </c>
      <c r="F2162" s="492" t="s">
        <v>63</v>
      </c>
      <c r="G2162" s="492"/>
      <c r="H2162" s="492" t="s">
        <v>329</v>
      </c>
    </row>
    <row r="2163" spans="1:8" s="495" customFormat="1" ht="20.100000000000001" customHeight="1">
      <c r="A2163" s="491" t="s">
        <v>5900</v>
      </c>
      <c r="B2163" s="491" t="s">
        <v>60</v>
      </c>
      <c r="C2163" s="493">
        <v>43703</v>
      </c>
      <c r="D2163" s="494">
        <v>65</v>
      </c>
      <c r="E2163" s="492" t="s">
        <v>5928</v>
      </c>
      <c r="F2163" s="492" t="s">
        <v>63</v>
      </c>
      <c r="G2163" s="492"/>
      <c r="H2163" s="492" t="s">
        <v>328</v>
      </c>
    </row>
    <row r="2164" spans="1:8" s="495" customFormat="1" ht="20.100000000000001" customHeight="1">
      <c r="A2164" s="491" t="s">
        <v>5942</v>
      </c>
      <c r="B2164" s="491" t="s">
        <v>82</v>
      </c>
      <c r="C2164" s="493">
        <v>43704</v>
      </c>
      <c r="D2164" s="494">
        <v>108</v>
      </c>
      <c r="E2164" s="492" t="s">
        <v>165</v>
      </c>
      <c r="F2164" s="492" t="s">
        <v>63</v>
      </c>
      <c r="G2164" s="492"/>
      <c r="H2164" s="492" t="s">
        <v>328</v>
      </c>
    </row>
    <row r="2165" spans="1:8" s="495" customFormat="1" ht="20.100000000000001" customHeight="1">
      <c r="A2165" s="491" t="s">
        <v>5942</v>
      </c>
      <c r="B2165" s="491" t="s">
        <v>82</v>
      </c>
      <c r="C2165" s="493">
        <v>43710</v>
      </c>
      <c r="D2165" s="494">
        <v>93</v>
      </c>
      <c r="E2165" s="492" t="s">
        <v>165</v>
      </c>
      <c r="F2165" s="492" t="s">
        <v>63</v>
      </c>
      <c r="G2165" s="492"/>
      <c r="H2165" s="492" t="s">
        <v>328</v>
      </c>
    </row>
    <row r="2166" spans="1:8" s="495" customFormat="1" ht="20.100000000000001" customHeight="1">
      <c r="A2166" s="491" t="s">
        <v>5881</v>
      </c>
      <c r="B2166" s="491" t="s">
        <v>82</v>
      </c>
      <c r="C2166" s="493">
        <v>43712</v>
      </c>
      <c r="D2166" s="494">
        <v>99</v>
      </c>
      <c r="E2166" s="492" t="s">
        <v>165</v>
      </c>
      <c r="F2166" s="492" t="s">
        <v>63</v>
      </c>
      <c r="G2166" s="492"/>
      <c r="H2166" s="492" t="s">
        <v>328</v>
      </c>
    </row>
    <row r="2167" spans="1:8" s="495" customFormat="1" ht="20.100000000000001" customHeight="1">
      <c r="A2167" s="491" t="s">
        <v>5912</v>
      </c>
      <c r="B2167" s="491" t="s">
        <v>82</v>
      </c>
      <c r="C2167" s="493">
        <v>43700</v>
      </c>
      <c r="D2167" s="494">
        <v>386</v>
      </c>
      <c r="E2167" s="492" t="s">
        <v>165</v>
      </c>
      <c r="F2167" s="492" t="s">
        <v>63</v>
      </c>
      <c r="G2167" s="492"/>
      <c r="H2167" s="492" t="s">
        <v>328</v>
      </c>
    </row>
    <row r="2168" spans="1:8" s="495" customFormat="1" ht="20.100000000000001" customHeight="1">
      <c r="A2168" s="491" t="s">
        <v>5916</v>
      </c>
      <c r="B2168" s="491" t="s">
        <v>240</v>
      </c>
      <c r="C2168" s="493">
        <v>43698</v>
      </c>
      <c r="D2168" s="494">
        <v>600</v>
      </c>
      <c r="E2168" s="492" t="s">
        <v>165</v>
      </c>
      <c r="F2168" s="492" t="s">
        <v>165</v>
      </c>
      <c r="G2168" s="492"/>
      <c r="H2168" s="492" t="s">
        <v>329</v>
      </c>
    </row>
    <row r="2169" spans="1:8" s="495" customFormat="1" ht="20.100000000000001" customHeight="1">
      <c r="A2169" s="491" t="s">
        <v>5971</v>
      </c>
      <c r="B2169" s="491" t="s">
        <v>240</v>
      </c>
      <c r="C2169" s="493">
        <v>43690</v>
      </c>
      <c r="D2169" s="494">
        <v>192</v>
      </c>
      <c r="E2169" s="492" t="s">
        <v>5699</v>
      </c>
      <c r="F2169" s="492" t="s">
        <v>165</v>
      </c>
      <c r="G2169" s="492"/>
      <c r="H2169" s="492" t="s">
        <v>329</v>
      </c>
    </row>
    <row r="2170" spans="1:8" s="495" customFormat="1" ht="20.100000000000001" customHeight="1">
      <c r="A2170" s="491" t="s">
        <v>5981</v>
      </c>
      <c r="B2170" s="491" t="s">
        <v>82</v>
      </c>
      <c r="C2170" s="493">
        <v>43716</v>
      </c>
      <c r="D2170" s="494">
        <v>98</v>
      </c>
      <c r="E2170" s="492" t="s">
        <v>165</v>
      </c>
      <c r="F2170" s="492" t="s">
        <v>5739</v>
      </c>
      <c r="G2170" s="492"/>
      <c r="H2170" s="492" t="s">
        <v>328</v>
      </c>
    </row>
    <row r="2171" spans="1:8" s="495" customFormat="1" ht="20.100000000000001" customHeight="1">
      <c r="A2171" s="491" t="s">
        <v>5991</v>
      </c>
      <c r="B2171" s="491" t="s">
        <v>82</v>
      </c>
      <c r="C2171" s="493">
        <v>43712</v>
      </c>
      <c r="D2171" s="494">
        <v>132</v>
      </c>
      <c r="E2171" s="492" t="s">
        <v>165</v>
      </c>
      <c r="F2171" s="492" t="s">
        <v>63</v>
      </c>
      <c r="G2171" s="492"/>
      <c r="H2171" s="492" t="s">
        <v>328</v>
      </c>
    </row>
    <row r="2172" spans="1:8" s="495" customFormat="1" ht="20.100000000000001" customHeight="1">
      <c r="A2172" s="491" t="s">
        <v>5999</v>
      </c>
      <c r="B2172" s="491" t="s">
        <v>240</v>
      </c>
      <c r="C2172" s="493">
        <v>43716</v>
      </c>
      <c r="D2172" s="494">
        <v>98</v>
      </c>
      <c r="E2172" s="492" t="s">
        <v>165</v>
      </c>
      <c r="F2172" s="492" t="s">
        <v>165</v>
      </c>
      <c r="G2172" s="492"/>
      <c r="H2172" s="492" t="s">
        <v>329</v>
      </c>
    </row>
    <row r="2173" spans="1:8" s="495" customFormat="1" ht="20.100000000000001" customHeight="1">
      <c r="A2173" s="491" t="s">
        <v>6001</v>
      </c>
      <c r="B2173" s="491" t="s">
        <v>82</v>
      </c>
      <c r="C2173" s="493">
        <v>43720</v>
      </c>
      <c r="D2173" s="494">
        <v>210</v>
      </c>
      <c r="E2173" s="492" t="s">
        <v>165</v>
      </c>
      <c r="F2173" s="492" t="s">
        <v>63</v>
      </c>
      <c r="G2173" s="492"/>
      <c r="H2173" s="492" t="s">
        <v>328</v>
      </c>
    </row>
    <row r="2174" spans="1:8" s="495" customFormat="1" ht="20.100000000000001" customHeight="1">
      <c r="A2174" s="491" t="s">
        <v>6003</v>
      </c>
      <c r="B2174" s="491" t="s">
        <v>82</v>
      </c>
      <c r="C2174" s="493">
        <v>43732</v>
      </c>
      <c r="D2174" s="494">
        <v>512</v>
      </c>
      <c r="E2174" s="492" t="s">
        <v>165</v>
      </c>
      <c r="F2174" s="492" t="s">
        <v>5739</v>
      </c>
      <c r="G2174" s="492"/>
      <c r="H2174" s="492" t="s">
        <v>328</v>
      </c>
    </row>
    <row r="2175" spans="1:8" s="495" customFormat="1" ht="20.100000000000001" customHeight="1">
      <c r="A2175" s="491" t="s">
        <v>6004</v>
      </c>
      <c r="B2175" s="491" t="s">
        <v>240</v>
      </c>
      <c r="C2175" s="493">
        <v>43728</v>
      </c>
      <c r="D2175" s="494">
        <v>512</v>
      </c>
      <c r="E2175" s="492" t="s">
        <v>165</v>
      </c>
      <c r="F2175" s="492" t="s">
        <v>165</v>
      </c>
      <c r="G2175" s="492"/>
      <c r="H2175" s="492" t="s">
        <v>329</v>
      </c>
    </row>
    <row r="2176" spans="1:8" s="495" customFormat="1" ht="20.100000000000001" customHeight="1">
      <c r="A2176" s="491" t="s">
        <v>6005</v>
      </c>
      <c r="B2176" s="491" t="s">
        <v>240</v>
      </c>
      <c r="C2176" s="493">
        <v>43718</v>
      </c>
      <c r="D2176" s="494">
        <v>600</v>
      </c>
      <c r="E2176" s="492" t="s">
        <v>165</v>
      </c>
      <c r="F2176" s="492" t="s">
        <v>165</v>
      </c>
      <c r="G2176" s="492"/>
      <c r="H2176" s="492" t="s">
        <v>329</v>
      </c>
    </row>
    <row r="2177" spans="1:8" s="495" customFormat="1" ht="20.100000000000001" customHeight="1">
      <c r="A2177" s="491" t="s">
        <v>6006</v>
      </c>
      <c r="B2177" s="491" t="s">
        <v>82</v>
      </c>
      <c r="C2177" s="493">
        <v>43728</v>
      </c>
      <c r="D2177" s="494">
        <v>280</v>
      </c>
      <c r="E2177" s="492" t="s">
        <v>165</v>
      </c>
      <c r="F2177" s="492" t="s">
        <v>63</v>
      </c>
      <c r="G2177" s="492"/>
      <c r="H2177" s="492" t="s">
        <v>328</v>
      </c>
    </row>
    <row r="2178" spans="1:8" s="495" customFormat="1" ht="20.100000000000001" customHeight="1">
      <c r="A2178" s="491" t="s">
        <v>6009</v>
      </c>
      <c r="B2178" s="491" t="s">
        <v>82</v>
      </c>
      <c r="C2178" s="493">
        <v>43733</v>
      </c>
      <c r="D2178" s="494">
        <v>100</v>
      </c>
      <c r="E2178" s="492" t="s">
        <v>165</v>
      </c>
      <c r="F2178" s="492" t="s">
        <v>63</v>
      </c>
      <c r="G2178" s="492"/>
      <c r="H2178" s="492" t="s">
        <v>328</v>
      </c>
    </row>
    <row r="2179" spans="1:8" s="495" customFormat="1" ht="20.100000000000001" customHeight="1">
      <c r="A2179" s="491" t="s">
        <v>6021</v>
      </c>
      <c r="B2179" s="491" t="s">
        <v>82</v>
      </c>
      <c r="C2179" s="493">
        <v>43745</v>
      </c>
      <c r="D2179" s="494">
        <v>210</v>
      </c>
      <c r="E2179" s="492" t="s">
        <v>165</v>
      </c>
      <c r="F2179" s="492" t="s">
        <v>63</v>
      </c>
      <c r="G2179" s="492"/>
      <c r="H2179" s="492" t="s">
        <v>328</v>
      </c>
    </row>
    <row r="2180" spans="1:8" s="495" customFormat="1" ht="20.100000000000001" customHeight="1">
      <c r="A2180" s="491" t="s">
        <v>6022</v>
      </c>
      <c r="B2180" s="491" t="s">
        <v>6023</v>
      </c>
      <c r="C2180" s="493">
        <v>43734</v>
      </c>
      <c r="D2180" s="494">
        <v>500</v>
      </c>
      <c r="E2180" s="492" t="s">
        <v>5763</v>
      </c>
      <c r="F2180" s="492" t="s">
        <v>63</v>
      </c>
      <c r="G2180" s="492"/>
      <c r="H2180" s="492" t="s">
        <v>329</v>
      </c>
    </row>
    <row r="2181" spans="1:8" s="495" customFormat="1" ht="20.100000000000001" customHeight="1">
      <c r="A2181" s="491" t="s">
        <v>6015</v>
      </c>
      <c r="B2181" s="491" t="s">
        <v>60</v>
      </c>
      <c r="C2181" s="493">
        <v>43734</v>
      </c>
      <c r="D2181" s="494">
        <v>500</v>
      </c>
      <c r="E2181" s="492" t="s">
        <v>5763</v>
      </c>
      <c r="F2181" s="492" t="s">
        <v>63</v>
      </c>
      <c r="G2181" s="492"/>
      <c r="H2181" s="492" t="s">
        <v>328</v>
      </c>
    </row>
    <row r="2182" spans="1:8" s="495" customFormat="1" ht="20.100000000000001" customHeight="1">
      <c r="A2182" s="491" t="s">
        <v>6033</v>
      </c>
      <c r="B2182" s="491" t="s">
        <v>240</v>
      </c>
      <c r="C2182" s="493">
        <v>43745</v>
      </c>
      <c r="D2182" s="494">
        <v>192</v>
      </c>
      <c r="E2182" s="492" t="s">
        <v>5699</v>
      </c>
      <c r="F2182" s="492" t="s">
        <v>165</v>
      </c>
      <c r="G2182" s="492"/>
      <c r="H2182" s="492" t="s">
        <v>329</v>
      </c>
    </row>
    <row r="2183" spans="1:8" s="495" customFormat="1" ht="20.100000000000001" customHeight="1">
      <c r="A2183" s="491" t="s">
        <v>6049</v>
      </c>
      <c r="B2183" s="491" t="s">
        <v>6050</v>
      </c>
      <c r="C2183" s="493">
        <v>43765</v>
      </c>
      <c r="D2183" s="494">
        <v>299.42</v>
      </c>
      <c r="E2183" s="492" t="s">
        <v>5763</v>
      </c>
      <c r="F2183" s="492" t="s">
        <v>63</v>
      </c>
      <c r="G2183" s="492"/>
      <c r="H2183" s="492" t="s">
        <v>329</v>
      </c>
    </row>
    <row r="2184" spans="1:8" s="495" customFormat="1" ht="20.100000000000001" customHeight="1">
      <c r="A2184" s="491" t="s">
        <v>6051</v>
      </c>
      <c r="B2184" s="491" t="s">
        <v>6050</v>
      </c>
      <c r="C2184" s="493">
        <v>43765</v>
      </c>
      <c r="D2184" s="494">
        <v>299.42</v>
      </c>
      <c r="E2184" s="492" t="s">
        <v>5763</v>
      </c>
      <c r="F2184" s="492" t="s">
        <v>63</v>
      </c>
      <c r="G2184" s="492"/>
      <c r="H2184" s="492" t="s">
        <v>328</v>
      </c>
    </row>
    <row r="2185" spans="1:8" s="495" customFormat="1" ht="20.100000000000001" customHeight="1">
      <c r="A2185" s="491" t="s">
        <v>6053</v>
      </c>
      <c r="B2185" s="491" t="s">
        <v>82</v>
      </c>
      <c r="C2185" s="493">
        <v>43771</v>
      </c>
      <c r="D2185" s="494">
        <v>267</v>
      </c>
      <c r="E2185" s="492" t="s">
        <v>165</v>
      </c>
      <c r="F2185" s="492" t="s">
        <v>63</v>
      </c>
      <c r="G2185" s="492"/>
      <c r="H2185" s="492" t="s">
        <v>328</v>
      </c>
    </row>
    <row r="2186" spans="1:8" s="495" customFormat="1" ht="20.100000000000001" customHeight="1">
      <c r="A2186" s="491" t="s">
        <v>6038</v>
      </c>
      <c r="B2186" s="491" t="s">
        <v>240</v>
      </c>
      <c r="C2186" s="493">
        <v>43779</v>
      </c>
      <c r="D2186" s="494">
        <v>192</v>
      </c>
      <c r="E2186" s="492" t="s">
        <v>5699</v>
      </c>
      <c r="F2186" s="492" t="s">
        <v>165</v>
      </c>
      <c r="G2186" s="492"/>
      <c r="H2186" s="492" t="s">
        <v>329</v>
      </c>
    </row>
    <row r="2187" spans="1:8" s="495" customFormat="1" ht="20.100000000000001" customHeight="1">
      <c r="A2187" s="491" t="s">
        <v>6024</v>
      </c>
      <c r="B2187" s="491" t="s">
        <v>240</v>
      </c>
      <c r="C2187" s="493">
        <v>43774</v>
      </c>
      <c r="D2187" s="494">
        <v>100</v>
      </c>
      <c r="E2187" s="492" t="s">
        <v>165</v>
      </c>
      <c r="F2187" s="492" t="s">
        <v>165</v>
      </c>
      <c r="G2187" s="492"/>
      <c r="H2187" s="492" t="s">
        <v>329</v>
      </c>
    </row>
    <row r="2188" spans="1:8" s="495" customFormat="1" ht="20.100000000000001" customHeight="1">
      <c r="A2188" s="491" t="s">
        <v>6068</v>
      </c>
      <c r="B2188" s="491" t="s">
        <v>82</v>
      </c>
      <c r="C2188" s="493">
        <v>43779</v>
      </c>
      <c r="D2188" s="494">
        <v>203</v>
      </c>
      <c r="E2188" s="492" t="s">
        <v>165</v>
      </c>
      <c r="F2188" s="492" t="s">
        <v>63</v>
      </c>
      <c r="G2188" s="492"/>
      <c r="H2188" s="492" t="s">
        <v>328</v>
      </c>
    </row>
    <row r="2189" spans="1:8" s="495" customFormat="1" ht="20.100000000000001" customHeight="1">
      <c r="A2189" s="491" t="s">
        <v>6077</v>
      </c>
      <c r="B2189" s="491" t="s">
        <v>240</v>
      </c>
      <c r="C2189" s="493">
        <v>43787</v>
      </c>
      <c r="D2189" s="494">
        <v>288</v>
      </c>
      <c r="E2189" s="492" t="s">
        <v>5699</v>
      </c>
      <c r="F2189" s="492" t="s">
        <v>165</v>
      </c>
      <c r="G2189" s="492"/>
      <c r="H2189" s="492" t="s">
        <v>329</v>
      </c>
    </row>
    <row r="2190" spans="1:8" s="495" customFormat="1" ht="20.100000000000001" customHeight="1">
      <c r="A2190" s="491" t="s">
        <v>6079</v>
      </c>
      <c r="B2190" s="491" t="s">
        <v>60</v>
      </c>
      <c r="C2190" s="493">
        <v>43791</v>
      </c>
      <c r="D2190" s="494">
        <v>300</v>
      </c>
      <c r="E2190" s="492" t="s">
        <v>5763</v>
      </c>
      <c r="F2190" s="492" t="s">
        <v>63</v>
      </c>
      <c r="G2190" s="492"/>
      <c r="H2190" s="492" t="s">
        <v>329</v>
      </c>
    </row>
    <row r="2191" spans="1:8" s="495" customFormat="1" ht="20.100000000000001" customHeight="1">
      <c r="A2191" s="491" t="s">
        <v>6080</v>
      </c>
      <c r="B2191" s="491" t="s">
        <v>60</v>
      </c>
      <c r="C2191" s="493">
        <v>43791</v>
      </c>
      <c r="D2191" s="494">
        <v>300</v>
      </c>
      <c r="E2191" s="492" t="s">
        <v>5763</v>
      </c>
      <c r="F2191" s="492" t="s">
        <v>63</v>
      </c>
      <c r="G2191" s="492"/>
      <c r="H2191" s="492" t="s">
        <v>328</v>
      </c>
    </row>
    <row r="2192" spans="1:8" s="495" customFormat="1" ht="20.100000000000001" customHeight="1">
      <c r="A2192" s="491" t="s">
        <v>6092</v>
      </c>
      <c r="B2192" s="491" t="s">
        <v>240</v>
      </c>
      <c r="C2192" s="493">
        <v>43804</v>
      </c>
      <c r="D2192" s="494">
        <v>200</v>
      </c>
      <c r="E2192" s="492" t="s">
        <v>165</v>
      </c>
      <c r="F2192" s="492" t="s">
        <v>165</v>
      </c>
      <c r="G2192" s="492"/>
      <c r="H2192" s="492" t="s">
        <v>329</v>
      </c>
    </row>
    <row r="2193" spans="1:8" s="495" customFormat="1" ht="20.100000000000001" customHeight="1">
      <c r="A2193" s="491"/>
      <c r="B2193" s="491"/>
      <c r="C2193" s="493"/>
      <c r="D2193" s="494"/>
      <c r="E2193" s="492"/>
      <c r="F2193" s="492"/>
      <c r="G2193" s="492"/>
      <c r="H2193" s="492"/>
    </row>
    <row r="2194" spans="1:8" s="495" customFormat="1" ht="20.100000000000001" customHeight="1">
      <c r="A2194" s="491"/>
      <c r="B2194" s="491"/>
      <c r="C2194" s="493"/>
      <c r="D2194" s="494"/>
      <c r="E2194" s="492"/>
      <c r="F2194" s="492"/>
      <c r="G2194" s="492"/>
      <c r="H2194" s="492"/>
    </row>
    <row r="2195" spans="1:8" s="495" customFormat="1" ht="20.100000000000001" customHeight="1">
      <c r="A2195" s="491"/>
      <c r="B2195" s="491"/>
      <c r="C2195" s="493"/>
      <c r="D2195" s="494"/>
      <c r="E2195" s="492"/>
      <c r="F2195" s="492"/>
      <c r="G2195" s="492"/>
      <c r="H2195" s="492"/>
    </row>
    <row r="2196" spans="1:8" s="495" customFormat="1" ht="20.100000000000001" customHeight="1">
      <c r="A2196" s="491"/>
      <c r="B2196" s="491"/>
      <c r="C2196" s="493"/>
      <c r="D2196" s="494"/>
      <c r="E2196" s="492"/>
      <c r="F2196" s="492"/>
      <c r="G2196" s="492"/>
      <c r="H2196" s="492"/>
    </row>
    <row r="2197" spans="1:8" s="495" customFormat="1" ht="20.100000000000001" customHeight="1">
      <c r="A2197" s="491"/>
      <c r="B2197" s="491"/>
      <c r="C2197" s="493"/>
      <c r="D2197" s="494"/>
      <c r="E2197" s="492"/>
      <c r="F2197" s="492"/>
      <c r="G2197" s="492"/>
      <c r="H2197" s="492"/>
    </row>
    <row r="2198" spans="1:8" s="495" customFormat="1" ht="20.100000000000001" customHeight="1">
      <c r="A2198" s="491"/>
      <c r="B2198" s="491"/>
      <c r="C2198" s="493"/>
      <c r="D2198" s="494"/>
      <c r="E2198" s="492"/>
      <c r="F2198" s="492"/>
      <c r="G2198" s="492"/>
      <c r="H2198" s="492"/>
    </row>
    <row r="2199" spans="1:8" s="495" customFormat="1" ht="20.100000000000001" customHeight="1">
      <c r="A2199" s="491"/>
      <c r="B2199" s="491"/>
      <c r="C2199" s="493"/>
      <c r="D2199" s="494"/>
      <c r="E2199" s="492"/>
      <c r="F2199" s="492"/>
      <c r="G2199" s="492"/>
      <c r="H2199" s="492"/>
    </row>
  </sheetData>
  <sheetProtection password="84C1" sheet="1" objects="1" scenarios="1" formatCells="0" formatColumns="0" formatRows="0" autoFilter="0" pivotTables="0"/>
  <protectedRanges>
    <protectedRange password="CF7A" sqref="A18 B18:N19 B2:B13 B22:B25 B32:B47 E24:E25 E36:E41 E44:E45 B49:B50 E49:E50 B62:B63 B69:B74 B84:B89 E84:E85 E92:E95 B57:B60 B92:B107 E100:E107 B111:B120 E115:E120 E130:E133 E136:E137 B124:B139 B143:B188 B192:B193" name="区域1"/>
    <protectedRange password="CF7A" sqref="A2 A4 C2:H9 A6 A8" name="区域1_1"/>
    <protectedRange password="CF7A" sqref="C10:H11 A10" name="区域1_2"/>
    <protectedRange password="CF7A" sqref="A12 C12:H13" name="区域1_3"/>
    <protectedRange password="CF7A" sqref="A16:N16 B17:N17" name="区域1_4"/>
    <protectedRange password="CF7A" sqref="A14:N14 B15:N15 G20:H21 G24:H50 G84:G89 H80:H91 G55:H65 G92:H107 G111:H120 H121:H129 G130:H137 H138:H139 G66:G68 G69:H69 G71:H71 G70 G72 G73:H73 G74 H108:H110 H141:H144 G145:H187 H189:H191 G192:H192" name="区域1_5"/>
    <protectedRange password="CF7A" sqref="C26:F26 E27:F27 I26:N26 C20:F21 I20:N21 E61:F61" name="区域1_6"/>
    <protectedRange password="CF7A" sqref="C28:F28" name="区域1_7"/>
    <protectedRange password="CF7A" sqref="C29:F30" name="区域1_8"/>
    <protectedRange password="CF7A" sqref="C31:F31 C48:F48 C55:F55" name="区域1_9"/>
    <protectedRange password="CF7A" sqref="B80:F80" name="区域1_10"/>
    <protectedRange password="CF7A" sqref="C81:F81" name="区域1_11"/>
    <protectedRange password="CF7A" sqref="C82:F82" name="区域1_12"/>
    <protectedRange password="CF7A" sqref="C83:F83" name="区域1_13"/>
    <protectedRange sqref="A703:P1048576" name="可编辑！"/>
  </protectedRanges>
  <autoFilter ref="A1:P2141" xr:uid="{00000000-0009-0000-0000-000002000000}"/>
  <phoneticPr fontId="1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 filterMode="1"/>
  <dimension ref="A1:K1050"/>
  <sheetViews>
    <sheetView workbookViewId="0">
      <pane ySplit="1" topLeftCell="A1024" activePane="bottomLeft" state="frozen"/>
      <selection activeCell="D498" sqref="D498"/>
      <selection pane="bottomLeft" activeCell="J1037" sqref="J1037"/>
    </sheetView>
  </sheetViews>
  <sheetFormatPr defaultRowHeight="16.5"/>
  <cols>
    <col min="1" max="1" width="18.125" style="24" customWidth="1"/>
    <col min="2" max="2" width="15.75" style="24" customWidth="1"/>
    <col min="3" max="3" width="32" style="24" customWidth="1"/>
    <col min="4" max="4" width="14.375" style="24" bestFit="1" customWidth="1"/>
    <col min="5" max="5" width="11.75" style="24" customWidth="1"/>
    <col min="6" max="6" width="15.5" style="25" customWidth="1"/>
    <col min="7" max="7" width="12" style="24" customWidth="1"/>
    <col min="8" max="8" width="12.875" style="24" customWidth="1"/>
    <col min="9" max="9" width="16.5" style="25" customWidth="1"/>
    <col min="10" max="10" width="15.375" style="24" customWidth="1"/>
    <col min="11" max="11" width="14.75" style="24" customWidth="1"/>
    <col min="12" max="12" width="13" style="24" customWidth="1"/>
    <col min="13" max="13" width="12.125" style="24" bestFit="1" customWidth="1"/>
    <col min="14" max="16384" width="9" style="24"/>
  </cols>
  <sheetData>
    <row r="1" spans="1:10" s="27" customFormat="1" ht="24.95" customHeight="1">
      <c r="A1" s="26" t="s">
        <v>5851</v>
      </c>
      <c r="B1" s="27" t="s">
        <v>57</v>
      </c>
      <c r="C1" s="27" t="s">
        <v>58</v>
      </c>
      <c r="D1" s="28" t="s">
        <v>120</v>
      </c>
      <c r="E1" s="29" t="s">
        <v>121</v>
      </c>
      <c r="F1" s="30" t="s">
        <v>122</v>
      </c>
      <c r="G1" s="28" t="s">
        <v>123</v>
      </c>
      <c r="H1" s="31" t="s">
        <v>124</v>
      </c>
      <c r="I1" s="30" t="s">
        <v>125</v>
      </c>
      <c r="J1" s="27" t="s">
        <v>59</v>
      </c>
    </row>
    <row r="2" spans="1:10" s="38" customFormat="1" ht="24.95" hidden="1" customHeight="1">
      <c r="A2" s="22" t="s">
        <v>66</v>
      </c>
      <c r="B2" s="32" t="s">
        <v>60</v>
      </c>
      <c r="C2" s="33" t="s">
        <v>141</v>
      </c>
      <c r="D2" s="34">
        <v>42373</v>
      </c>
      <c r="E2" s="35">
        <v>1053.9676999999999</v>
      </c>
      <c r="F2" s="36">
        <v>4468729.22</v>
      </c>
      <c r="G2" s="34">
        <v>42376</v>
      </c>
      <c r="H2" s="35">
        <v>1053.9676999999999</v>
      </c>
      <c r="I2" s="36">
        <v>4468729.22</v>
      </c>
      <c r="J2" s="37" t="s">
        <v>142</v>
      </c>
    </row>
    <row r="3" spans="1:10" s="38" customFormat="1" ht="24.95" hidden="1" customHeight="1">
      <c r="A3" s="22" t="s">
        <v>138</v>
      </c>
      <c r="B3" s="32" t="s">
        <v>128</v>
      </c>
      <c r="C3" s="33" t="s">
        <v>139</v>
      </c>
      <c r="D3" s="34">
        <v>42373</v>
      </c>
      <c r="E3" s="35">
        <v>39.972000000000001</v>
      </c>
      <c r="F3" s="36">
        <v>413710.2</v>
      </c>
      <c r="G3" s="34">
        <v>42369</v>
      </c>
      <c r="H3" s="35">
        <v>39.972000000000001</v>
      </c>
      <c r="I3" s="36">
        <v>413710.2</v>
      </c>
      <c r="J3" s="37" t="s">
        <v>140</v>
      </c>
    </row>
    <row r="4" spans="1:10" s="38" customFormat="1" ht="24.95" hidden="1" customHeight="1">
      <c r="A4" s="32" t="s">
        <v>126</v>
      </c>
      <c r="B4" s="32" t="s">
        <v>128</v>
      </c>
      <c r="C4" s="17" t="s">
        <v>129</v>
      </c>
      <c r="D4" s="34">
        <v>42366</v>
      </c>
      <c r="E4" s="35">
        <v>40</v>
      </c>
      <c r="F4" s="36">
        <v>404000</v>
      </c>
      <c r="G4" s="34">
        <v>42366</v>
      </c>
      <c r="H4" s="35">
        <v>40</v>
      </c>
      <c r="I4" s="36">
        <v>404000</v>
      </c>
      <c r="J4" s="37" t="s">
        <v>143</v>
      </c>
    </row>
    <row r="5" spans="1:10" s="38" customFormat="1" ht="24.95" hidden="1" customHeight="1">
      <c r="A5" s="22" t="s">
        <v>72</v>
      </c>
      <c r="B5" s="32" t="s">
        <v>60</v>
      </c>
      <c r="C5" s="33" t="s">
        <v>144</v>
      </c>
      <c r="D5" s="34">
        <v>42373</v>
      </c>
      <c r="E5" s="35">
        <v>1254.9032</v>
      </c>
      <c r="F5" s="36">
        <v>5639641.8700000001</v>
      </c>
      <c r="G5" s="34">
        <v>42373</v>
      </c>
      <c r="H5" s="35">
        <v>1254.9032</v>
      </c>
      <c r="I5" s="36">
        <v>5639641.8700000001</v>
      </c>
      <c r="J5" s="37" t="s">
        <v>140</v>
      </c>
    </row>
    <row r="6" spans="1:10" s="38" customFormat="1" ht="24.95" hidden="1" customHeight="1">
      <c r="A6" s="22" t="s">
        <v>145</v>
      </c>
      <c r="B6" s="32" t="s">
        <v>60</v>
      </c>
      <c r="C6" s="33" t="s">
        <v>83</v>
      </c>
      <c r="D6" s="34">
        <v>42373</v>
      </c>
      <c r="E6" s="35">
        <v>140.77969999999999</v>
      </c>
      <c r="F6" s="36">
        <v>648853.64</v>
      </c>
      <c r="G6" s="34">
        <v>42373</v>
      </c>
      <c r="H6" s="35">
        <v>140.77969999999999</v>
      </c>
      <c r="I6" s="36">
        <v>648853.64</v>
      </c>
      <c r="J6" s="37" t="s">
        <v>140</v>
      </c>
    </row>
    <row r="7" spans="1:10" s="38" customFormat="1" ht="24.95" hidden="1" customHeight="1">
      <c r="A7" s="22" t="s">
        <v>146</v>
      </c>
      <c r="B7" s="32" t="s">
        <v>60</v>
      </c>
      <c r="C7" s="33" t="s">
        <v>83</v>
      </c>
      <c r="D7" s="34">
        <v>42373</v>
      </c>
      <c r="E7" s="35">
        <v>59.791800000000002</v>
      </c>
      <c r="F7" s="36">
        <v>251544.1</v>
      </c>
      <c r="G7" s="34">
        <v>42373</v>
      </c>
      <c r="H7" s="35">
        <v>59.791800000000002</v>
      </c>
      <c r="I7" s="36">
        <v>251544.1</v>
      </c>
      <c r="J7" s="37" t="s">
        <v>140</v>
      </c>
    </row>
    <row r="8" spans="1:10" s="38" customFormat="1" ht="24.95" hidden="1" customHeight="1">
      <c r="A8" s="22" t="s">
        <v>170</v>
      </c>
      <c r="B8" s="32" t="s">
        <v>103</v>
      </c>
      <c r="C8" s="33" t="s">
        <v>171</v>
      </c>
      <c r="D8" s="34">
        <v>42381</v>
      </c>
      <c r="E8" s="35">
        <v>39.951999999999998</v>
      </c>
      <c r="F8" s="36">
        <v>423091.68</v>
      </c>
      <c r="G8" s="34">
        <v>42381</v>
      </c>
      <c r="H8" s="35">
        <v>39.951999999999998</v>
      </c>
      <c r="I8" s="36">
        <v>423091.68</v>
      </c>
      <c r="J8" s="37" t="s">
        <v>140</v>
      </c>
    </row>
    <row r="9" spans="1:10" s="38" customFormat="1" ht="24.95" hidden="1" customHeight="1">
      <c r="A9" s="22" t="s">
        <v>65</v>
      </c>
      <c r="B9" s="32" t="s">
        <v>60</v>
      </c>
      <c r="C9" s="33" t="s">
        <v>83</v>
      </c>
      <c r="D9" s="34">
        <v>42384</v>
      </c>
      <c r="E9" s="35">
        <v>180.6978</v>
      </c>
      <c r="F9" s="36">
        <v>797692.02</v>
      </c>
      <c r="G9" s="34">
        <v>42384</v>
      </c>
      <c r="H9" s="35">
        <v>180.6978</v>
      </c>
      <c r="I9" s="36">
        <v>797692.02</v>
      </c>
      <c r="J9" s="37" t="s">
        <v>140</v>
      </c>
    </row>
    <row r="10" spans="1:10" s="38" customFormat="1" ht="24.95" hidden="1" customHeight="1">
      <c r="A10" s="22" t="s">
        <v>172</v>
      </c>
      <c r="B10" s="32" t="s">
        <v>173</v>
      </c>
      <c r="C10" s="33" t="s">
        <v>83</v>
      </c>
      <c r="D10" s="34">
        <v>42384</v>
      </c>
      <c r="E10" s="35">
        <v>115.116</v>
      </c>
      <c r="F10" s="36">
        <v>713719.2</v>
      </c>
      <c r="G10" s="34">
        <v>42384</v>
      </c>
      <c r="H10" s="35">
        <v>115.116</v>
      </c>
      <c r="I10" s="36">
        <v>713719.2</v>
      </c>
      <c r="J10" s="37" t="s">
        <v>140</v>
      </c>
    </row>
    <row r="11" spans="1:10" s="38" customFormat="1" ht="24.95" hidden="1" customHeight="1">
      <c r="A11" s="22" t="s">
        <v>174</v>
      </c>
      <c r="B11" s="32" t="s">
        <v>175</v>
      </c>
      <c r="C11" s="33" t="s">
        <v>83</v>
      </c>
      <c r="D11" s="34">
        <v>42384</v>
      </c>
      <c r="E11" s="35">
        <v>190.06800000000001</v>
      </c>
      <c r="F11" s="36">
        <v>1938693.6</v>
      </c>
      <c r="G11" s="34">
        <v>42384</v>
      </c>
      <c r="H11" s="35">
        <v>190.06800000000001</v>
      </c>
      <c r="I11" s="36">
        <v>1938693.6</v>
      </c>
      <c r="J11" s="37" t="s">
        <v>140</v>
      </c>
    </row>
    <row r="12" spans="1:10" s="38" customFormat="1" ht="24.95" hidden="1" customHeight="1">
      <c r="A12" s="32" t="s">
        <v>176</v>
      </c>
      <c r="B12" s="32" t="s">
        <v>60</v>
      </c>
      <c r="C12" s="32" t="s">
        <v>53</v>
      </c>
      <c r="D12" s="34">
        <v>42383</v>
      </c>
      <c r="E12" s="35">
        <v>60</v>
      </c>
      <c r="F12" s="36">
        <v>278712</v>
      </c>
      <c r="G12" s="34">
        <v>42383</v>
      </c>
      <c r="H12" s="35">
        <v>60</v>
      </c>
      <c r="I12" s="36">
        <v>278712</v>
      </c>
      <c r="J12" s="37" t="s">
        <v>177</v>
      </c>
    </row>
    <row r="13" spans="1:10" s="38" customFormat="1" ht="24.95" hidden="1" customHeight="1">
      <c r="A13" s="17" t="s">
        <v>88</v>
      </c>
      <c r="B13" s="17" t="s">
        <v>52</v>
      </c>
      <c r="C13" s="17" t="s">
        <v>53</v>
      </c>
      <c r="D13" s="34">
        <v>42383</v>
      </c>
      <c r="E13" s="35">
        <v>59.251100000000008</v>
      </c>
      <c r="F13" s="36">
        <v>231732.61391999992</v>
      </c>
      <c r="G13" s="34">
        <v>42383</v>
      </c>
      <c r="H13" s="35">
        <v>59.251100000000008</v>
      </c>
      <c r="I13" s="36">
        <v>231732.61391999992</v>
      </c>
      <c r="J13" s="37" t="s">
        <v>177</v>
      </c>
    </row>
    <row r="14" spans="1:10" s="38" customFormat="1" ht="24.95" hidden="1" customHeight="1">
      <c r="A14" s="22" t="s">
        <v>198</v>
      </c>
      <c r="B14" s="32" t="s">
        <v>199</v>
      </c>
      <c r="C14" s="33" t="s">
        <v>200</v>
      </c>
      <c r="D14" s="34">
        <v>42389</v>
      </c>
      <c r="E14" s="35">
        <v>39.923999999999999</v>
      </c>
      <c r="F14" s="36">
        <v>409221</v>
      </c>
      <c r="G14" s="34">
        <v>42389</v>
      </c>
      <c r="H14" s="35">
        <v>39.923999999999999</v>
      </c>
      <c r="I14" s="36">
        <v>409221</v>
      </c>
      <c r="J14" s="37" t="s">
        <v>201</v>
      </c>
    </row>
    <row r="15" spans="1:10" s="38" customFormat="1" ht="24.95" hidden="1" customHeight="1">
      <c r="A15" s="22" t="s">
        <v>202</v>
      </c>
      <c r="B15" s="32" t="s">
        <v>203</v>
      </c>
      <c r="C15" s="33" t="s">
        <v>204</v>
      </c>
      <c r="D15" s="34">
        <v>42389</v>
      </c>
      <c r="E15" s="35">
        <v>120</v>
      </c>
      <c r="F15" s="36">
        <v>486864</v>
      </c>
      <c r="G15" s="34">
        <v>42389</v>
      </c>
      <c r="H15" s="35">
        <v>120</v>
      </c>
      <c r="I15" s="36">
        <v>486864</v>
      </c>
      <c r="J15" s="37" t="s">
        <v>201</v>
      </c>
    </row>
    <row r="16" spans="1:10" s="38" customFormat="1" ht="24.95" hidden="1" customHeight="1">
      <c r="A16" s="45" t="s">
        <v>209</v>
      </c>
      <c r="B16" s="32" t="s">
        <v>52</v>
      </c>
      <c r="C16" s="17" t="s">
        <v>90</v>
      </c>
      <c r="D16" s="34">
        <v>42394</v>
      </c>
      <c r="E16" s="35">
        <v>200.93549999999999</v>
      </c>
      <c r="F16" s="36">
        <v>847727.79</v>
      </c>
      <c r="G16" s="34">
        <v>42394</v>
      </c>
      <c r="H16" s="35">
        <v>200.93549999999999</v>
      </c>
      <c r="I16" s="36">
        <v>847727.79</v>
      </c>
      <c r="J16" s="37" t="s">
        <v>143</v>
      </c>
    </row>
    <row r="17" spans="1:10" s="38" customFormat="1" ht="24.95" hidden="1" customHeight="1">
      <c r="A17" s="22" t="s">
        <v>261</v>
      </c>
      <c r="B17" s="32" t="s">
        <v>262</v>
      </c>
      <c r="C17" s="33" t="s">
        <v>263</v>
      </c>
      <c r="D17" s="34">
        <v>42396</v>
      </c>
      <c r="E17" s="35">
        <v>60.697800000000001</v>
      </c>
      <c r="F17" s="36">
        <v>246263.11</v>
      </c>
      <c r="G17" s="34">
        <v>42396</v>
      </c>
      <c r="H17" s="35">
        <v>60.697800000000001</v>
      </c>
      <c r="I17" s="36">
        <v>246263.11</v>
      </c>
      <c r="J17" s="37" t="s">
        <v>264</v>
      </c>
    </row>
    <row r="18" spans="1:10" s="38" customFormat="1" ht="24.95" hidden="1" customHeight="1">
      <c r="A18" s="22" t="s">
        <v>265</v>
      </c>
      <c r="B18" s="32" t="s">
        <v>262</v>
      </c>
      <c r="C18" s="33" t="s">
        <v>266</v>
      </c>
      <c r="D18" s="34">
        <v>42397</v>
      </c>
      <c r="E18" s="35">
        <v>600</v>
      </c>
      <c r="F18" s="36">
        <v>2548800</v>
      </c>
      <c r="G18" s="34">
        <v>42397</v>
      </c>
      <c r="H18" s="35">
        <v>600</v>
      </c>
      <c r="I18" s="36">
        <v>2548800</v>
      </c>
      <c r="J18" s="37" t="s">
        <v>264</v>
      </c>
    </row>
    <row r="19" spans="1:10" s="38" customFormat="1" ht="24.95" hidden="1" customHeight="1">
      <c r="A19" s="22" t="s">
        <v>267</v>
      </c>
      <c r="B19" s="32" t="s">
        <v>268</v>
      </c>
      <c r="C19" s="33" t="s">
        <v>269</v>
      </c>
      <c r="D19" s="34">
        <v>42398</v>
      </c>
      <c r="E19" s="35">
        <v>120</v>
      </c>
      <c r="F19" s="36">
        <v>1230000</v>
      </c>
      <c r="G19" s="34">
        <v>42398</v>
      </c>
      <c r="H19" s="35">
        <v>120</v>
      </c>
      <c r="I19" s="36">
        <v>1230000</v>
      </c>
      <c r="J19" s="37" t="s">
        <v>264</v>
      </c>
    </row>
    <row r="20" spans="1:10" s="38" customFormat="1" ht="24.95" hidden="1" customHeight="1">
      <c r="A20" s="22" t="s">
        <v>179</v>
      </c>
      <c r="B20" s="32" t="s">
        <v>52</v>
      </c>
      <c r="C20" s="33" t="s">
        <v>180</v>
      </c>
      <c r="D20" s="34">
        <v>42393</v>
      </c>
      <c r="E20" s="35">
        <v>480</v>
      </c>
      <c r="F20" s="36">
        <v>2112000</v>
      </c>
      <c r="G20" s="34">
        <v>42393</v>
      </c>
      <c r="H20" s="35">
        <v>480</v>
      </c>
      <c r="I20" s="36">
        <v>2112000</v>
      </c>
      <c r="J20" s="37" t="s">
        <v>143</v>
      </c>
    </row>
    <row r="21" spans="1:10" s="38" customFormat="1" ht="24.95" hidden="1" customHeight="1">
      <c r="A21" s="22" t="s">
        <v>260</v>
      </c>
      <c r="B21" s="32" t="s">
        <v>52</v>
      </c>
      <c r="C21" s="33" t="s">
        <v>180</v>
      </c>
      <c r="D21" s="34">
        <v>42414</v>
      </c>
      <c r="E21" s="35">
        <v>800</v>
      </c>
      <c r="F21" s="36">
        <v>3560000</v>
      </c>
      <c r="G21" s="34">
        <v>42414</v>
      </c>
      <c r="H21" s="35">
        <v>800</v>
      </c>
      <c r="I21" s="36">
        <v>3560000</v>
      </c>
      <c r="J21" s="37" t="s">
        <v>143</v>
      </c>
    </row>
    <row r="22" spans="1:10" s="38" customFormat="1" ht="24.95" hidden="1" customHeight="1">
      <c r="A22" s="22" t="s">
        <v>260</v>
      </c>
      <c r="B22" s="32" t="s">
        <v>52</v>
      </c>
      <c r="C22" s="33" t="s">
        <v>180</v>
      </c>
      <c r="D22" s="34">
        <v>42414</v>
      </c>
      <c r="E22" s="35">
        <v>307</v>
      </c>
      <c r="F22" s="36">
        <v>1335000</v>
      </c>
      <c r="G22" s="34">
        <v>42414</v>
      </c>
      <c r="H22" s="35">
        <v>307</v>
      </c>
      <c r="I22" s="36">
        <v>1335000</v>
      </c>
      <c r="J22" s="37" t="s">
        <v>143</v>
      </c>
    </row>
    <row r="23" spans="1:10" s="38" customFormat="1" ht="24.95" hidden="1" customHeight="1">
      <c r="A23" s="22" t="s">
        <v>183</v>
      </c>
      <c r="B23" s="32" t="s">
        <v>52</v>
      </c>
      <c r="C23" s="33" t="s">
        <v>53</v>
      </c>
      <c r="D23" s="34">
        <v>42414</v>
      </c>
      <c r="E23" s="35">
        <v>360</v>
      </c>
      <c r="F23" s="36">
        <v>1534680</v>
      </c>
      <c r="G23" s="34">
        <v>42414</v>
      </c>
      <c r="H23" s="35">
        <v>360</v>
      </c>
      <c r="I23" s="36">
        <v>1534680</v>
      </c>
      <c r="J23" s="37" t="s">
        <v>143</v>
      </c>
    </row>
    <row r="24" spans="1:10" s="38" customFormat="1" ht="24.95" hidden="1" customHeight="1">
      <c r="A24" s="22" t="s">
        <v>290</v>
      </c>
      <c r="B24" s="32" t="s">
        <v>291</v>
      </c>
      <c r="C24" s="33" t="s">
        <v>292</v>
      </c>
      <c r="D24" s="34">
        <v>42401</v>
      </c>
      <c r="E24" s="232">
        <v>4212.7957999999999</v>
      </c>
      <c r="F24" s="36">
        <v>1762514.87</v>
      </c>
      <c r="G24" s="34">
        <v>42402</v>
      </c>
      <c r="H24" s="35">
        <v>4212.7957999999999</v>
      </c>
      <c r="I24" s="36">
        <v>1762514.87</v>
      </c>
      <c r="J24" s="37" t="s">
        <v>143</v>
      </c>
    </row>
    <row r="25" spans="1:10" s="38" customFormat="1" ht="24.95" hidden="1" customHeight="1">
      <c r="A25" s="22" t="s">
        <v>270</v>
      </c>
      <c r="B25" s="32" t="s">
        <v>332</v>
      </c>
      <c r="C25" s="33" t="s">
        <v>333</v>
      </c>
      <c r="D25" s="34">
        <v>42418</v>
      </c>
      <c r="E25" s="35">
        <v>200</v>
      </c>
      <c r="F25" s="36">
        <v>2048000</v>
      </c>
      <c r="G25" s="34">
        <v>42418</v>
      </c>
      <c r="H25" s="35">
        <v>200</v>
      </c>
      <c r="I25" s="36">
        <v>2048000</v>
      </c>
      <c r="J25" s="37" t="s">
        <v>177</v>
      </c>
    </row>
    <row r="26" spans="1:10" s="38" customFormat="1" ht="24.95" hidden="1" customHeight="1">
      <c r="A26" s="49" t="s">
        <v>318</v>
      </c>
      <c r="B26" s="32" t="s">
        <v>52</v>
      </c>
      <c r="C26" s="16" t="s">
        <v>168</v>
      </c>
      <c r="D26" s="34">
        <v>42419</v>
      </c>
      <c r="E26" s="68">
        <v>1128.5029999999999</v>
      </c>
      <c r="F26" s="69">
        <v>5087880.1500000004</v>
      </c>
      <c r="G26" s="34">
        <v>42419</v>
      </c>
      <c r="H26" s="68">
        <v>1128.5029999999999</v>
      </c>
      <c r="I26" s="36">
        <v>5087880.1500000004</v>
      </c>
      <c r="J26" s="37" t="s">
        <v>335</v>
      </c>
    </row>
    <row r="27" spans="1:10" s="38" customFormat="1" ht="24.95" hidden="1" customHeight="1">
      <c r="A27" s="49" t="s">
        <v>319</v>
      </c>
      <c r="B27" s="32" t="s">
        <v>52</v>
      </c>
      <c r="C27" s="16" t="s">
        <v>168</v>
      </c>
      <c r="D27" s="34">
        <v>42419</v>
      </c>
      <c r="E27" s="68">
        <v>1626.47</v>
      </c>
      <c r="F27" s="69">
        <v>7243571.1699999999</v>
      </c>
      <c r="G27" s="34">
        <v>42419</v>
      </c>
      <c r="H27" s="68">
        <v>1626.47</v>
      </c>
      <c r="I27" s="36">
        <v>7243571.1699999999</v>
      </c>
      <c r="J27" s="37" t="s">
        <v>335</v>
      </c>
    </row>
    <row r="28" spans="1:10" s="38" customFormat="1" ht="24.95" hidden="1" customHeight="1">
      <c r="A28" s="22" t="s">
        <v>163</v>
      </c>
      <c r="B28" s="17" t="s">
        <v>148</v>
      </c>
      <c r="C28" s="16" t="s">
        <v>168</v>
      </c>
      <c r="D28" s="34">
        <v>42419</v>
      </c>
      <c r="E28" s="68">
        <v>126.22</v>
      </c>
      <c r="F28" s="69">
        <v>794177.86</v>
      </c>
      <c r="G28" s="34">
        <v>42419</v>
      </c>
      <c r="H28" s="68">
        <v>126.22</v>
      </c>
      <c r="I28" s="36">
        <v>794177.86</v>
      </c>
      <c r="J28" s="37" t="s">
        <v>335</v>
      </c>
    </row>
    <row r="29" spans="1:10" s="38" customFormat="1" ht="24.95" hidden="1" customHeight="1">
      <c r="A29" s="22" t="s">
        <v>169</v>
      </c>
      <c r="B29" s="17" t="s">
        <v>82</v>
      </c>
      <c r="C29" s="16" t="s">
        <v>168</v>
      </c>
      <c r="D29" s="34">
        <v>42419</v>
      </c>
      <c r="E29" s="68">
        <v>95.11</v>
      </c>
      <c r="F29" s="69">
        <v>965980.23</v>
      </c>
      <c r="G29" s="34">
        <v>42419</v>
      </c>
      <c r="H29" s="68">
        <v>95.11</v>
      </c>
      <c r="I29" s="36">
        <v>965980.23</v>
      </c>
      <c r="J29" s="37" t="s">
        <v>140</v>
      </c>
    </row>
    <row r="30" spans="1:10" s="38" customFormat="1" ht="24.95" hidden="1" customHeight="1">
      <c r="A30" s="22" t="s">
        <v>179</v>
      </c>
      <c r="B30" s="17" t="s">
        <v>52</v>
      </c>
      <c r="C30" s="16" t="s">
        <v>351</v>
      </c>
      <c r="D30" s="34">
        <v>42414</v>
      </c>
      <c r="E30" s="35">
        <v>129.27340000000001</v>
      </c>
      <c r="F30" s="36">
        <v>491442.18</v>
      </c>
      <c r="G30" s="34">
        <v>42414</v>
      </c>
      <c r="H30" s="35">
        <v>129.27340000000001</v>
      </c>
      <c r="I30" s="36">
        <v>491442.18</v>
      </c>
      <c r="J30" s="37" t="s">
        <v>143</v>
      </c>
    </row>
    <row r="31" spans="1:10" s="38" customFormat="1" ht="24.95" hidden="1" customHeight="1">
      <c r="A31" s="22" t="s">
        <v>277</v>
      </c>
      <c r="B31" s="17" t="s">
        <v>82</v>
      </c>
      <c r="C31" s="16" t="s">
        <v>259</v>
      </c>
      <c r="D31" s="34">
        <v>42423</v>
      </c>
      <c r="E31" s="35">
        <v>200</v>
      </c>
      <c r="F31" s="36">
        <v>2140000</v>
      </c>
      <c r="G31" s="34">
        <v>42423</v>
      </c>
      <c r="H31" s="35">
        <v>200</v>
      </c>
      <c r="I31" s="36">
        <v>2140000</v>
      </c>
      <c r="J31" s="37" t="s">
        <v>140</v>
      </c>
    </row>
    <row r="32" spans="1:10" s="38" customFormat="1" ht="24.95" hidden="1" customHeight="1">
      <c r="A32" s="22" t="s">
        <v>358</v>
      </c>
      <c r="B32" s="17" t="s">
        <v>52</v>
      </c>
      <c r="C32" s="16" t="s">
        <v>351</v>
      </c>
      <c r="D32" s="34">
        <v>42424</v>
      </c>
      <c r="E32" s="35">
        <v>328.50299999999999</v>
      </c>
      <c r="F32" s="36">
        <v>1334471.0900000001</v>
      </c>
      <c r="G32" s="34">
        <v>42424</v>
      </c>
      <c r="H32" s="35">
        <v>328.50299999999999</v>
      </c>
      <c r="I32" s="36">
        <v>1334471.0900000001</v>
      </c>
      <c r="J32" s="37" t="s">
        <v>143</v>
      </c>
    </row>
    <row r="33" spans="1:10" s="38" customFormat="1" ht="24.95" hidden="1" customHeight="1">
      <c r="A33" s="22" t="s">
        <v>371</v>
      </c>
      <c r="B33" s="17" t="s">
        <v>372</v>
      </c>
      <c r="C33" s="16" t="s">
        <v>373</v>
      </c>
      <c r="D33" s="34">
        <v>42425</v>
      </c>
      <c r="E33" s="35">
        <v>38.651699999999998</v>
      </c>
      <c r="F33" s="36">
        <v>160719.28</v>
      </c>
      <c r="G33" s="34">
        <v>42425</v>
      </c>
      <c r="H33" s="35">
        <v>38.651699999999998</v>
      </c>
      <c r="I33" s="36">
        <v>160719.28</v>
      </c>
      <c r="J33" s="37" t="s">
        <v>374</v>
      </c>
    </row>
    <row r="34" spans="1:10" s="38" customFormat="1" ht="24.95" hidden="1" customHeight="1">
      <c r="A34" s="22" t="s">
        <v>348</v>
      </c>
      <c r="B34" s="17" t="s">
        <v>375</v>
      </c>
      <c r="C34" s="16" t="s">
        <v>376</v>
      </c>
      <c r="D34" s="34">
        <v>42426</v>
      </c>
      <c r="E34" s="35">
        <v>60</v>
      </c>
      <c r="F34" s="36">
        <v>582000</v>
      </c>
      <c r="G34" s="34">
        <v>42426</v>
      </c>
      <c r="H34" s="35">
        <v>60</v>
      </c>
      <c r="I34" s="36">
        <v>582000</v>
      </c>
      <c r="J34" s="37" t="s">
        <v>374</v>
      </c>
    </row>
    <row r="35" spans="1:10" s="38" customFormat="1" ht="24.95" hidden="1" customHeight="1">
      <c r="A35" s="22" t="s">
        <v>377</v>
      </c>
      <c r="B35" s="17" t="s">
        <v>372</v>
      </c>
      <c r="C35" s="16" t="s">
        <v>373</v>
      </c>
      <c r="D35" s="34">
        <v>42426</v>
      </c>
      <c r="E35" s="35">
        <v>300</v>
      </c>
      <c r="F35" s="36">
        <v>1407000</v>
      </c>
      <c r="G35" s="34">
        <v>42426</v>
      </c>
      <c r="H35" s="35">
        <v>300</v>
      </c>
      <c r="I35" s="36">
        <v>1407000</v>
      </c>
      <c r="J35" s="37" t="s">
        <v>374</v>
      </c>
    </row>
    <row r="36" spans="1:10" s="38" customFormat="1" ht="24.95" hidden="1" customHeight="1">
      <c r="A36" s="22" t="s">
        <v>378</v>
      </c>
      <c r="B36" s="17" t="s">
        <v>372</v>
      </c>
      <c r="C36" s="16" t="s">
        <v>379</v>
      </c>
      <c r="D36" s="34">
        <v>42430</v>
      </c>
      <c r="E36" s="35">
        <v>18.5472</v>
      </c>
      <c r="F36" s="36">
        <v>74175.77</v>
      </c>
      <c r="G36" s="34">
        <v>42430</v>
      </c>
      <c r="H36" s="35">
        <v>18.5472</v>
      </c>
      <c r="I36" s="36">
        <v>74175.77</v>
      </c>
      <c r="J36" s="37" t="s">
        <v>374</v>
      </c>
    </row>
    <row r="37" spans="1:10" s="38" customFormat="1" ht="24.95" hidden="1" customHeight="1">
      <c r="A37" s="22" t="s">
        <v>380</v>
      </c>
      <c r="B37" s="17" t="s">
        <v>381</v>
      </c>
      <c r="C37" s="16" t="s">
        <v>379</v>
      </c>
      <c r="D37" s="34">
        <v>42430</v>
      </c>
      <c r="E37" s="35">
        <v>420</v>
      </c>
      <c r="F37" s="36">
        <v>1932420</v>
      </c>
      <c r="G37" s="34">
        <v>42430</v>
      </c>
      <c r="H37" s="35">
        <v>420</v>
      </c>
      <c r="I37" s="36">
        <v>1932420</v>
      </c>
      <c r="J37" s="37" t="s">
        <v>382</v>
      </c>
    </row>
    <row r="38" spans="1:10" s="38" customFormat="1" ht="24.95" hidden="1" customHeight="1">
      <c r="A38" s="22" t="s">
        <v>385</v>
      </c>
      <c r="B38" s="17" t="s">
        <v>386</v>
      </c>
      <c r="C38" s="16" t="s">
        <v>387</v>
      </c>
      <c r="D38" s="34">
        <v>42416</v>
      </c>
      <c r="E38" s="35">
        <v>7140.9735999999994</v>
      </c>
      <c r="F38" s="36">
        <v>3395181.2244000011</v>
      </c>
      <c r="G38" s="34">
        <v>42425</v>
      </c>
      <c r="H38" s="35">
        <v>7140.9735999999994</v>
      </c>
      <c r="I38" s="36">
        <v>3395181.2244000011</v>
      </c>
      <c r="J38" s="37" t="s">
        <v>388</v>
      </c>
    </row>
    <row r="39" spans="1:10" s="38" customFormat="1" ht="24.95" hidden="1" customHeight="1">
      <c r="A39" s="22" t="s">
        <v>389</v>
      </c>
      <c r="B39" s="17" t="s">
        <v>386</v>
      </c>
      <c r="C39" s="16" t="s">
        <v>390</v>
      </c>
      <c r="D39" s="34">
        <v>42416</v>
      </c>
      <c r="E39" s="68">
        <v>7053.9735999999994</v>
      </c>
      <c r="F39" s="69">
        <v>3463075.4026952037</v>
      </c>
      <c r="G39" s="34">
        <v>42422</v>
      </c>
      <c r="H39" s="68">
        <v>7053.9735999999994</v>
      </c>
      <c r="I39" s="36">
        <v>3463075.4026952037</v>
      </c>
      <c r="J39" s="37" t="s">
        <v>391</v>
      </c>
    </row>
    <row r="40" spans="1:10" s="38" customFormat="1" ht="24.95" hidden="1" customHeight="1">
      <c r="A40" s="22" t="s">
        <v>392</v>
      </c>
      <c r="B40" s="17" t="s">
        <v>393</v>
      </c>
      <c r="C40" s="16" t="s">
        <v>233</v>
      </c>
      <c r="D40" s="34">
        <v>42416</v>
      </c>
      <c r="E40" s="35">
        <v>9515.5030999999999</v>
      </c>
      <c r="F40" s="36">
        <v>3840973.4845599998</v>
      </c>
      <c r="G40" s="34">
        <v>42422</v>
      </c>
      <c r="H40" s="35">
        <v>9515.5030999999999</v>
      </c>
      <c r="I40" s="36">
        <v>3840973.4845599998</v>
      </c>
      <c r="J40" s="37" t="s">
        <v>143</v>
      </c>
    </row>
    <row r="41" spans="1:10" s="38" customFormat="1" ht="24.95" hidden="1" customHeight="1">
      <c r="A41" s="22" t="s">
        <v>394</v>
      </c>
      <c r="B41" s="17" t="s">
        <v>393</v>
      </c>
      <c r="C41" s="16" t="s">
        <v>387</v>
      </c>
      <c r="D41" s="34">
        <v>42422</v>
      </c>
      <c r="E41" s="35">
        <v>3559.1877999999997</v>
      </c>
      <c r="F41" s="36">
        <v>1356485.3558420001</v>
      </c>
      <c r="G41" s="34">
        <v>42425</v>
      </c>
      <c r="H41" s="35">
        <v>3559.1877999999997</v>
      </c>
      <c r="I41" s="36">
        <v>1356485.3558420001</v>
      </c>
      <c r="J41" s="37" t="s">
        <v>143</v>
      </c>
    </row>
    <row r="42" spans="1:10" s="38" customFormat="1" ht="24.95" hidden="1" customHeight="1">
      <c r="A42" s="22" t="s">
        <v>216</v>
      </c>
      <c r="B42" s="17" t="s">
        <v>393</v>
      </c>
      <c r="C42" s="16" t="s">
        <v>390</v>
      </c>
      <c r="D42" s="34">
        <v>42416</v>
      </c>
      <c r="E42" s="232">
        <v>4212.7957999999999</v>
      </c>
      <c r="F42" s="69">
        <v>1766067.1896353548</v>
      </c>
      <c r="G42" s="34">
        <v>42422</v>
      </c>
      <c r="H42" s="68">
        <v>4212.7957999999999</v>
      </c>
      <c r="I42" s="36">
        <v>1766067.1896353548</v>
      </c>
      <c r="J42" s="37" t="s">
        <v>395</v>
      </c>
    </row>
    <row r="43" spans="1:10" s="38" customFormat="1" ht="24.95" hidden="1" customHeight="1">
      <c r="A43" s="22" t="s">
        <v>285</v>
      </c>
      <c r="B43" s="17" t="s">
        <v>393</v>
      </c>
      <c r="C43" s="16" t="s">
        <v>390</v>
      </c>
      <c r="D43" s="34">
        <v>42416</v>
      </c>
      <c r="E43" s="35">
        <v>13074.6909</v>
      </c>
      <c r="F43" s="36">
        <v>5449260.3513446283</v>
      </c>
      <c r="G43" s="34">
        <v>42416</v>
      </c>
      <c r="H43" s="35">
        <v>13074.6909</v>
      </c>
      <c r="I43" s="36">
        <v>5449260.3513446283</v>
      </c>
      <c r="J43" s="37" t="s">
        <v>395</v>
      </c>
    </row>
    <row r="44" spans="1:10" s="38" customFormat="1" ht="24.95" hidden="1" customHeight="1">
      <c r="A44" s="22" t="s">
        <v>271</v>
      </c>
      <c r="B44" s="17" t="s">
        <v>240</v>
      </c>
      <c r="C44" s="16" t="s">
        <v>274</v>
      </c>
      <c r="D44" s="34">
        <v>42426</v>
      </c>
      <c r="E44" s="35">
        <v>60</v>
      </c>
      <c r="F44" s="36">
        <v>88386.599999999991</v>
      </c>
      <c r="G44" s="34">
        <v>42426</v>
      </c>
      <c r="H44" s="35">
        <v>60</v>
      </c>
      <c r="I44" s="36">
        <v>88386.599999999991</v>
      </c>
      <c r="J44" s="37" t="s">
        <v>401</v>
      </c>
    </row>
    <row r="45" spans="1:10" s="38" customFormat="1" ht="24.95" hidden="1" customHeight="1">
      <c r="A45" s="22" t="s">
        <v>358</v>
      </c>
      <c r="B45" s="17" t="s">
        <v>52</v>
      </c>
      <c r="C45" s="16" t="s">
        <v>351</v>
      </c>
      <c r="D45" s="34">
        <v>42433</v>
      </c>
      <c r="E45" s="35">
        <v>456.82600000000002</v>
      </c>
      <c r="F45" s="36">
        <v>2140230.38</v>
      </c>
      <c r="G45" s="34">
        <v>42433</v>
      </c>
      <c r="H45" s="35">
        <v>456.82600000000002</v>
      </c>
      <c r="I45" s="36">
        <v>2140230.38</v>
      </c>
      <c r="J45" s="37" t="s">
        <v>143</v>
      </c>
    </row>
    <row r="46" spans="1:10" s="38" customFormat="1" ht="24.95" hidden="1" customHeight="1">
      <c r="A46" s="22" t="s">
        <v>279</v>
      </c>
      <c r="B46" s="17" t="s">
        <v>85</v>
      </c>
      <c r="C46" s="16" t="s">
        <v>390</v>
      </c>
      <c r="D46" s="34">
        <v>42439</v>
      </c>
      <c r="E46" s="35">
        <v>59.984000000000002</v>
      </c>
      <c r="F46" s="36">
        <v>371185.18</v>
      </c>
      <c r="G46" s="34">
        <v>42439</v>
      </c>
      <c r="H46" s="35">
        <v>59.984000000000002</v>
      </c>
      <c r="I46" s="36">
        <v>371185.18</v>
      </c>
      <c r="J46" s="37" t="s">
        <v>140</v>
      </c>
    </row>
    <row r="47" spans="1:10" s="38" customFormat="1" ht="24.95" hidden="1" customHeight="1">
      <c r="A47" s="22" t="s">
        <v>283</v>
      </c>
      <c r="B47" s="17" t="s">
        <v>82</v>
      </c>
      <c r="C47" s="16" t="s">
        <v>390</v>
      </c>
      <c r="D47" s="34">
        <v>42439</v>
      </c>
      <c r="E47" s="35">
        <v>79.995999999999995</v>
      </c>
      <c r="F47" s="36">
        <v>902848.24</v>
      </c>
      <c r="G47" s="34">
        <v>42439</v>
      </c>
      <c r="H47" s="35">
        <v>79.995999999999995</v>
      </c>
      <c r="I47" s="36">
        <v>902848.24</v>
      </c>
      <c r="J47" s="37" t="s">
        <v>140</v>
      </c>
    </row>
    <row r="48" spans="1:10" s="38" customFormat="1" ht="24.95" hidden="1" customHeight="1">
      <c r="A48" s="22" t="s">
        <v>303</v>
      </c>
      <c r="B48" s="17" t="s">
        <v>52</v>
      </c>
      <c r="C48" s="16" t="s">
        <v>168</v>
      </c>
      <c r="D48" s="34">
        <v>42445</v>
      </c>
      <c r="E48" s="35">
        <v>2059.6507999999999</v>
      </c>
      <c r="F48" s="36">
        <v>9636299.5541022588</v>
      </c>
      <c r="G48" s="34">
        <v>42445</v>
      </c>
      <c r="H48" s="35">
        <v>2059.6507999999999</v>
      </c>
      <c r="I48" s="36">
        <v>9636299.5541022588</v>
      </c>
      <c r="J48" s="37" t="s">
        <v>140</v>
      </c>
    </row>
    <row r="49" spans="1:10" s="38" customFormat="1" ht="24.95" hidden="1" customHeight="1">
      <c r="A49" s="22" t="s">
        <v>361</v>
      </c>
      <c r="B49" s="17" t="s">
        <v>52</v>
      </c>
      <c r="C49" s="16" t="s">
        <v>479</v>
      </c>
      <c r="D49" s="34">
        <v>42450</v>
      </c>
      <c r="E49" s="35">
        <v>203.47710000000001</v>
      </c>
      <c r="F49" s="36">
        <v>931798.96</v>
      </c>
      <c r="G49" s="34">
        <v>42450</v>
      </c>
      <c r="H49" s="35">
        <v>203.47710000000001</v>
      </c>
      <c r="I49" s="36">
        <v>931798.96</v>
      </c>
      <c r="J49" s="37" t="s">
        <v>143</v>
      </c>
    </row>
    <row r="50" spans="1:10" s="38" customFormat="1" ht="24.95" hidden="1" customHeight="1">
      <c r="A50" s="22" t="s">
        <v>425</v>
      </c>
      <c r="B50" s="17" t="s">
        <v>52</v>
      </c>
      <c r="C50" s="16" t="s">
        <v>488</v>
      </c>
      <c r="D50" s="34">
        <v>42450</v>
      </c>
      <c r="E50" s="35">
        <v>460</v>
      </c>
      <c r="F50" s="36">
        <v>2309062</v>
      </c>
      <c r="G50" s="34">
        <v>42450</v>
      </c>
      <c r="H50" s="35">
        <v>460</v>
      </c>
      <c r="I50" s="36">
        <v>2309062</v>
      </c>
      <c r="J50" s="37" t="s">
        <v>264</v>
      </c>
    </row>
    <row r="51" spans="1:10" s="38" customFormat="1" ht="24.95" hidden="1" customHeight="1">
      <c r="A51" s="22" t="s">
        <v>316</v>
      </c>
      <c r="B51" s="17" t="s">
        <v>52</v>
      </c>
      <c r="C51" s="16" t="s">
        <v>489</v>
      </c>
      <c r="D51" s="34">
        <v>42451</v>
      </c>
      <c r="E51" s="35">
        <v>59.652500000000003</v>
      </c>
      <c r="F51" s="36">
        <v>244348.05</v>
      </c>
      <c r="G51" s="34">
        <v>42451</v>
      </c>
      <c r="H51" s="35">
        <v>59.652500000000003</v>
      </c>
      <c r="I51" s="36">
        <v>244348.05</v>
      </c>
      <c r="J51" s="37" t="s">
        <v>264</v>
      </c>
    </row>
    <row r="52" spans="1:10" s="38" customFormat="1" ht="24.95" hidden="1" customHeight="1">
      <c r="A52" s="22" t="s">
        <v>498</v>
      </c>
      <c r="B52" s="17" t="s">
        <v>52</v>
      </c>
      <c r="C52" s="16" t="s">
        <v>373</v>
      </c>
      <c r="D52" s="34">
        <v>42451</v>
      </c>
      <c r="E52" s="35">
        <v>200</v>
      </c>
      <c r="F52" s="36">
        <v>1028000</v>
      </c>
      <c r="G52" s="34">
        <v>42451</v>
      </c>
      <c r="H52" s="35">
        <v>200</v>
      </c>
      <c r="I52" s="36">
        <v>1028000</v>
      </c>
      <c r="J52" s="37" t="s">
        <v>143</v>
      </c>
    </row>
    <row r="53" spans="1:10" s="38" customFormat="1" ht="24.95" hidden="1" customHeight="1">
      <c r="A53" s="22" t="s">
        <v>312</v>
      </c>
      <c r="B53" s="17" t="s">
        <v>52</v>
      </c>
      <c r="C53" s="16" t="s">
        <v>379</v>
      </c>
      <c r="D53" s="34">
        <v>42453</v>
      </c>
      <c r="E53" s="35">
        <v>80.074600000000004</v>
      </c>
      <c r="F53" s="36">
        <v>361178.82</v>
      </c>
      <c r="G53" s="34">
        <v>42453</v>
      </c>
      <c r="H53" s="35">
        <v>80.074600000000004</v>
      </c>
      <c r="I53" s="36">
        <v>361178.82</v>
      </c>
      <c r="J53" s="37" t="s">
        <v>143</v>
      </c>
    </row>
    <row r="54" spans="1:10" s="38" customFormat="1" ht="24.95" hidden="1" customHeight="1">
      <c r="A54" s="22" t="s">
        <v>516</v>
      </c>
      <c r="B54" s="17" t="s">
        <v>517</v>
      </c>
      <c r="C54" s="16" t="s">
        <v>518</v>
      </c>
      <c r="D54" s="34">
        <v>42453</v>
      </c>
      <c r="E54" s="35">
        <v>70</v>
      </c>
      <c r="F54" s="36">
        <v>352947</v>
      </c>
      <c r="G54" s="34">
        <v>42453</v>
      </c>
      <c r="H54" s="35">
        <v>70</v>
      </c>
      <c r="I54" s="36">
        <v>352947</v>
      </c>
      <c r="J54" s="37" t="s">
        <v>519</v>
      </c>
    </row>
    <row r="55" spans="1:10" s="38" customFormat="1" ht="24.95" hidden="1" customHeight="1">
      <c r="A55" s="22" t="s">
        <v>520</v>
      </c>
      <c r="B55" s="17" t="s">
        <v>517</v>
      </c>
      <c r="C55" s="16" t="s">
        <v>521</v>
      </c>
      <c r="D55" s="34">
        <v>42457</v>
      </c>
      <c r="E55" s="35">
        <f>131.8-E56</f>
        <v>110.29700000000001</v>
      </c>
      <c r="F55" s="36">
        <v>612587.04</v>
      </c>
      <c r="G55" s="34">
        <v>42457</v>
      </c>
      <c r="H55" s="35">
        <f>131.8-H56</f>
        <v>110.29700000000001</v>
      </c>
      <c r="I55" s="36">
        <v>612587.04</v>
      </c>
      <c r="J55" s="37" t="s">
        <v>519</v>
      </c>
    </row>
    <row r="56" spans="1:10" s="38" customFormat="1" ht="24.95" hidden="1" customHeight="1">
      <c r="A56" s="22" t="s">
        <v>260</v>
      </c>
      <c r="B56" s="17" t="s">
        <v>52</v>
      </c>
      <c r="C56" s="16" t="s">
        <v>351</v>
      </c>
      <c r="D56" s="34">
        <v>42457</v>
      </c>
      <c r="E56" s="35">
        <v>21.503</v>
      </c>
      <c r="F56" s="36">
        <v>0</v>
      </c>
      <c r="G56" s="34">
        <v>42457</v>
      </c>
      <c r="H56" s="35">
        <v>21.503</v>
      </c>
      <c r="I56" s="36">
        <v>0</v>
      </c>
      <c r="J56" s="37" t="s">
        <v>143</v>
      </c>
    </row>
    <row r="57" spans="1:10" s="38" customFormat="1" ht="24.95" hidden="1" customHeight="1">
      <c r="A57" s="22" t="s">
        <v>520</v>
      </c>
      <c r="B57" s="17" t="s">
        <v>517</v>
      </c>
      <c r="C57" s="16" t="s">
        <v>521</v>
      </c>
      <c r="D57" s="34">
        <v>42457</v>
      </c>
      <c r="E57" s="35">
        <v>1000</v>
      </c>
      <c r="F57" s="36">
        <v>4579590</v>
      </c>
      <c r="G57" s="34">
        <v>42457</v>
      </c>
      <c r="H57" s="35">
        <v>1000</v>
      </c>
      <c r="I57" s="36">
        <v>4579590</v>
      </c>
      <c r="J57" s="37" t="s">
        <v>519</v>
      </c>
    </row>
    <row r="58" spans="1:10" s="38" customFormat="1" ht="24.95" hidden="1" customHeight="1">
      <c r="A58" s="22" t="s">
        <v>442</v>
      </c>
      <c r="B58" s="17" t="s">
        <v>52</v>
      </c>
      <c r="C58" s="16" t="s">
        <v>351</v>
      </c>
      <c r="D58" s="34">
        <v>42457</v>
      </c>
      <c r="E58" s="35">
        <v>500</v>
      </c>
      <c r="F58" s="36">
        <v>2504645</v>
      </c>
      <c r="G58" s="34">
        <v>42457</v>
      </c>
      <c r="H58" s="35">
        <v>500</v>
      </c>
      <c r="I58" s="36">
        <v>2504645</v>
      </c>
      <c r="J58" s="37" t="s">
        <v>143</v>
      </c>
    </row>
    <row r="59" spans="1:10" s="38" customFormat="1" ht="24.95" hidden="1" customHeight="1">
      <c r="A59" s="22" t="s">
        <v>444</v>
      </c>
      <c r="B59" s="17" t="s">
        <v>52</v>
      </c>
      <c r="C59" s="16" t="s">
        <v>373</v>
      </c>
      <c r="D59" s="34">
        <v>42457</v>
      </c>
      <c r="E59" s="35">
        <v>100</v>
      </c>
      <c r="F59" s="36">
        <v>519000</v>
      </c>
      <c r="G59" s="34">
        <v>42457</v>
      </c>
      <c r="H59" s="35">
        <v>100</v>
      </c>
      <c r="I59" s="36">
        <v>519000</v>
      </c>
      <c r="J59" s="37" t="s">
        <v>143</v>
      </c>
    </row>
    <row r="60" spans="1:10" s="38" customFormat="1" ht="24.95" hidden="1" customHeight="1">
      <c r="A60" s="22" t="s">
        <v>425</v>
      </c>
      <c r="B60" s="17" t="s">
        <v>52</v>
      </c>
      <c r="C60" s="16" t="s">
        <v>479</v>
      </c>
      <c r="D60" s="34">
        <v>42460</v>
      </c>
      <c r="E60" s="35">
        <v>40</v>
      </c>
      <c r="F60" s="36">
        <v>200788</v>
      </c>
      <c r="G60" s="34">
        <v>42460</v>
      </c>
      <c r="H60" s="35">
        <v>40</v>
      </c>
      <c r="I60" s="36">
        <v>200788</v>
      </c>
      <c r="J60" s="37" t="s">
        <v>143</v>
      </c>
    </row>
    <row r="61" spans="1:10" s="38" customFormat="1" ht="24.95" hidden="1" customHeight="1">
      <c r="A61" s="22" t="s">
        <v>577</v>
      </c>
      <c r="B61" s="17" t="s">
        <v>566</v>
      </c>
      <c r="C61" s="16" t="s">
        <v>578</v>
      </c>
      <c r="D61" s="34">
        <v>42433</v>
      </c>
      <c r="E61" s="35">
        <v>2367.0129999999999</v>
      </c>
      <c r="F61" s="36">
        <v>514547.64</v>
      </c>
      <c r="G61" s="34">
        <v>42436</v>
      </c>
      <c r="H61" s="35">
        <v>2367.0129999999999</v>
      </c>
      <c r="I61" s="36">
        <v>514547.64</v>
      </c>
      <c r="J61" s="37" t="s">
        <v>143</v>
      </c>
    </row>
    <row r="62" spans="1:10" s="38" customFormat="1" ht="24.95" hidden="1" customHeight="1">
      <c r="A62" s="22" t="s">
        <v>452</v>
      </c>
      <c r="B62" s="17" t="s">
        <v>203</v>
      </c>
      <c r="C62" s="16" t="s">
        <v>168</v>
      </c>
      <c r="D62" s="34">
        <v>42466</v>
      </c>
      <c r="E62" s="35">
        <v>1370.2449999999999</v>
      </c>
      <c r="F62" s="36">
        <v>7153330.2999999998</v>
      </c>
      <c r="G62" s="34">
        <v>42466</v>
      </c>
      <c r="H62" s="35">
        <v>1370.2449999999999</v>
      </c>
      <c r="I62" s="36">
        <v>7153330.2999999998</v>
      </c>
      <c r="J62" s="37" t="s">
        <v>140</v>
      </c>
    </row>
    <row r="63" spans="1:10" s="38" customFormat="1" ht="24.95" hidden="1" customHeight="1">
      <c r="A63" s="22" t="s">
        <v>516</v>
      </c>
      <c r="B63" s="17" t="s">
        <v>517</v>
      </c>
      <c r="C63" s="16" t="s">
        <v>379</v>
      </c>
      <c r="D63" s="34">
        <v>42468</v>
      </c>
      <c r="E63" s="35">
        <v>200</v>
      </c>
      <c r="F63" s="36">
        <v>1008400</v>
      </c>
      <c r="G63" s="34">
        <v>42468</v>
      </c>
      <c r="H63" s="35">
        <v>200</v>
      </c>
      <c r="I63" s="36">
        <v>1008400</v>
      </c>
      <c r="J63" s="37" t="s">
        <v>143</v>
      </c>
    </row>
    <row r="64" spans="1:10" s="38" customFormat="1" ht="24.95" hidden="1" customHeight="1">
      <c r="A64" s="22" t="s">
        <v>284</v>
      </c>
      <c r="B64" s="17" t="s">
        <v>52</v>
      </c>
      <c r="C64" s="16" t="s">
        <v>168</v>
      </c>
      <c r="D64" s="34">
        <v>42471</v>
      </c>
      <c r="E64" s="35">
        <v>1439.7546</v>
      </c>
      <c r="F64" s="36">
        <v>6901046.1058263956</v>
      </c>
      <c r="G64" s="34">
        <v>42471</v>
      </c>
      <c r="H64" s="35">
        <v>1439.7546</v>
      </c>
      <c r="I64" s="36">
        <v>6901046.1058263956</v>
      </c>
      <c r="J64" s="37" t="s">
        <v>140</v>
      </c>
    </row>
    <row r="65" spans="1:10" s="38" customFormat="1" ht="25.5" hidden="1" customHeight="1">
      <c r="A65" s="22" t="s">
        <v>465</v>
      </c>
      <c r="B65" s="17" t="s">
        <v>52</v>
      </c>
      <c r="C65" s="16" t="s">
        <v>373</v>
      </c>
      <c r="D65" s="34">
        <v>42473</v>
      </c>
      <c r="E65" s="35">
        <v>237.41399999999999</v>
      </c>
      <c r="F65" s="36">
        <v>1182331.79</v>
      </c>
      <c r="G65" s="34">
        <v>42473</v>
      </c>
      <c r="H65" s="35">
        <v>237.41399999999999</v>
      </c>
      <c r="I65" s="36">
        <v>1182331.79</v>
      </c>
      <c r="J65" s="37" t="s">
        <v>143</v>
      </c>
    </row>
    <row r="66" spans="1:10" s="38" customFormat="1" ht="24.95" hidden="1" customHeight="1">
      <c r="A66" s="22" t="s">
        <v>276</v>
      </c>
      <c r="B66" s="17" t="s">
        <v>52</v>
      </c>
      <c r="C66" s="16" t="s">
        <v>351</v>
      </c>
      <c r="D66" s="34">
        <v>42474</v>
      </c>
      <c r="E66" s="35">
        <v>511.09320000000002</v>
      </c>
      <c r="F66" s="36">
        <v>2326584.4300000002</v>
      </c>
      <c r="G66" s="34">
        <v>42474</v>
      </c>
      <c r="H66" s="35">
        <v>511.09320000000002</v>
      </c>
      <c r="I66" s="36">
        <v>2326584.4300000002</v>
      </c>
      <c r="J66" s="37" t="s">
        <v>143</v>
      </c>
    </row>
    <row r="67" spans="1:10" s="38" customFormat="1" ht="24.95" hidden="1" customHeight="1">
      <c r="A67" s="22" t="s">
        <v>453</v>
      </c>
      <c r="B67" s="17" t="s">
        <v>52</v>
      </c>
      <c r="C67" s="16" t="s">
        <v>630</v>
      </c>
      <c r="D67" s="34">
        <v>42475</v>
      </c>
      <c r="E67" s="35">
        <v>1068.0696</v>
      </c>
      <c r="F67" s="36">
        <v>5660768.8799999999</v>
      </c>
      <c r="G67" s="34">
        <v>42475</v>
      </c>
      <c r="H67" s="35">
        <v>1068.0696</v>
      </c>
      <c r="I67" s="36">
        <v>5660768.8799999999</v>
      </c>
      <c r="J67" s="37" t="s">
        <v>140</v>
      </c>
    </row>
    <row r="68" spans="1:10" s="38" customFormat="1" ht="24.95" hidden="1" customHeight="1">
      <c r="A68" s="22" t="s">
        <v>635</v>
      </c>
      <c r="B68" s="17" t="s">
        <v>636</v>
      </c>
      <c r="C68" s="16" t="s">
        <v>637</v>
      </c>
      <c r="D68" s="34">
        <v>42478</v>
      </c>
      <c r="E68" s="35">
        <v>500</v>
      </c>
      <c r="F68" s="36">
        <v>2504645</v>
      </c>
      <c r="G68" s="34">
        <v>42478</v>
      </c>
      <c r="H68" s="35">
        <v>500</v>
      </c>
      <c r="I68" s="36">
        <v>2504645</v>
      </c>
      <c r="J68" s="37" t="s">
        <v>143</v>
      </c>
    </row>
    <row r="69" spans="1:10" s="38" customFormat="1" ht="24.95" hidden="1" customHeight="1">
      <c r="A69" s="22" t="s">
        <v>454</v>
      </c>
      <c r="B69" s="17" t="s">
        <v>173</v>
      </c>
      <c r="C69" s="16" t="s">
        <v>168</v>
      </c>
      <c r="D69" s="34">
        <v>42478</v>
      </c>
      <c r="E69" s="35">
        <v>60.084000000000003</v>
      </c>
      <c r="F69" s="36">
        <v>378055.29</v>
      </c>
      <c r="G69" s="34">
        <v>42478</v>
      </c>
      <c r="H69" s="35">
        <v>60.084000000000003</v>
      </c>
      <c r="I69" s="36">
        <v>378055.29</v>
      </c>
      <c r="J69" s="37" t="s">
        <v>140</v>
      </c>
    </row>
    <row r="70" spans="1:10" s="38" customFormat="1" ht="24.95" hidden="1" customHeight="1">
      <c r="A70" s="22" t="s">
        <v>455</v>
      </c>
      <c r="B70" s="17" t="s">
        <v>203</v>
      </c>
      <c r="C70" s="16" t="s">
        <v>379</v>
      </c>
      <c r="D70" s="34">
        <v>42478</v>
      </c>
      <c r="E70" s="35">
        <v>165.5078</v>
      </c>
      <c r="F70" s="36">
        <v>825830.73</v>
      </c>
      <c r="G70" s="34">
        <v>42478</v>
      </c>
      <c r="H70" s="35">
        <v>165.5078</v>
      </c>
      <c r="I70" s="36">
        <v>825830.73</v>
      </c>
      <c r="J70" s="37" t="s">
        <v>143</v>
      </c>
    </row>
    <row r="71" spans="1:10" s="38" customFormat="1" ht="24.95" hidden="1" customHeight="1">
      <c r="A71" s="22" t="s">
        <v>396</v>
      </c>
      <c r="B71" s="17" t="s">
        <v>291</v>
      </c>
      <c r="C71" s="16" t="s">
        <v>168</v>
      </c>
      <c r="D71" s="34">
        <v>42466</v>
      </c>
      <c r="E71" s="35">
        <v>2367.0129999999999</v>
      </c>
      <c r="F71" s="36">
        <v>541134.34</v>
      </c>
      <c r="G71" s="34">
        <v>42466</v>
      </c>
      <c r="H71" s="35">
        <v>2367.0129999999999</v>
      </c>
      <c r="I71" s="70">
        <v>541134.34</v>
      </c>
      <c r="J71" s="37" t="s">
        <v>140</v>
      </c>
    </row>
    <row r="72" spans="1:10" s="38" customFormat="1" ht="24.95" hidden="1" customHeight="1">
      <c r="A72" s="22" t="s">
        <v>572</v>
      </c>
      <c r="B72" s="17" t="s">
        <v>291</v>
      </c>
      <c r="C72" s="16" t="s">
        <v>168</v>
      </c>
      <c r="D72" s="34">
        <v>42478</v>
      </c>
      <c r="E72" s="68">
        <v>2440.0149999999999</v>
      </c>
      <c r="F72" s="69">
        <v>611454.42000000004</v>
      </c>
      <c r="G72" s="34">
        <v>42478</v>
      </c>
      <c r="H72" s="68">
        <v>2440.0149999999999</v>
      </c>
      <c r="I72" s="69">
        <v>611454.42000000004</v>
      </c>
      <c r="J72" s="37" t="s">
        <v>140</v>
      </c>
    </row>
    <row r="73" spans="1:10" s="38" customFormat="1" ht="24.95" hidden="1" customHeight="1">
      <c r="A73" s="22" t="s">
        <v>574</v>
      </c>
      <c r="B73" s="17" t="s">
        <v>291</v>
      </c>
      <c r="C73" s="16" t="s">
        <v>168</v>
      </c>
      <c r="D73" s="34">
        <v>42479</v>
      </c>
      <c r="E73" s="68">
        <v>4671.6779999999999</v>
      </c>
      <c r="F73" s="69">
        <v>2082438.51</v>
      </c>
      <c r="G73" s="34">
        <v>42479</v>
      </c>
      <c r="H73" s="68">
        <v>4671.6779999999999</v>
      </c>
      <c r="I73" s="69">
        <v>2082438.51</v>
      </c>
      <c r="J73" s="37" t="s">
        <v>140</v>
      </c>
    </row>
    <row r="74" spans="1:10" s="38" customFormat="1" ht="24.95" hidden="1" customHeight="1">
      <c r="A74" s="22" t="s">
        <v>591</v>
      </c>
      <c r="B74" s="17" t="s">
        <v>291</v>
      </c>
      <c r="C74" s="16" t="s">
        <v>286</v>
      </c>
      <c r="D74" s="34">
        <v>42474</v>
      </c>
      <c r="E74" s="35">
        <v>2440.0149999999999</v>
      </c>
      <c r="F74" s="36">
        <v>587799.61</v>
      </c>
      <c r="G74" s="34">
        <v>42474</v>
      </c>
      <c r="H74" s="35">
        <v>2440.0149999999999</v>
      </c>
      <c r="I74" s="36">
        <v>587799.61</v>
      </c>
      <c r="J74" s="37" t="s">
        <v>143</v>
      </c>
    </row>
    <row r="75" spans="1:10" s="38" customFormat="1" ht="24.95" hidden="1" customHeight="1">
      <c r="A75" s="22" t="s">
        <v>452</v>
      </c>
      <c r="B75" s="17" t="s">
        <v>203</v>
      </c>
      <c r="C75" s="16" t="s">
        <v>168</v>
      </c>
      <c r="D75" s="34">
        <v>42485</v>
      </c>
      <c r="E75" s="35">
        <v>80.653400000000005</v>
      </c>
      <c r="F75" s="36">
        <v>392062.48</v>
      </c>
      <c r="G75" s="34">
        <v>42485</v>
      </c>
      <c r="H75" s="35">
        <v>80.653400000000005</v>
      </c>
      <c r="I75" s="36">
        <v>392062.48</v>
      </c>
      <c r="J75" s="37" t="s">
        <v>140</v>
      </c>
    </row>
    <row r="76" spans="1:10" s="38" customFormat="1" ht="24.95" hidden="1" customHeight="1">
      <c r="A76" s="22" t="s">
        <v>723</v>
      </c>
      <c r="B76" s="17" t="s">
        <v>724</v>
      </c>
      <c r="C76" s="16" t="s">
        <v>725</v>
      </c>
      <c r="D76" s="34">
        <v>42488</v>
      </c>
      <c r="E76" s="35">
        <v>54.363799999999998</v>
      </c>
      <c r="F76" s="36">
        <v>246714.01</v>
      </c>
      <c r="G76" s="34">
        <v>42488</v>
      </c>
      <c r="H76" s="35">
        <v>54.363799999999998</v>
      </c>
      <c r="I76" s="36">
        <v>246714.01</v>
      </c>
      <c r="J76" s="37" t="s">
        <v>726</v>
      </c>
    </row>
    <row r="77" spans="1:10" s="38" customFormat="1" ht="24.95" hidden="1" customHeight="1">
      <c r="A77" s="22" t="s">
        <v>727</v>
      </c>
      <c r="B77" s="17" t="s">
        <v>724</v>
      </c>
      <c r="C77" s="16" t="s">
        <v>725</v>
      </c>
      <c r="D77" s="34">
        <v>42488</v>
      </c>
      <c r="E77" s="35">
        <v>489.99599999999998</v>
      </c>
      <c r="F77" s="36">
        <v>2726438.83</v>
      </c>
      <c r="G77" s="34">
        <v>42488</v>
      </c>
      <c r="H77" s="35">
        <v>489.99599999999998</v>
      </c>
      <c r="I77" s="36">
        <v>2726438.83</v>
      </c>
      <c r="J77" s="37" t="s">
        <v>726</v>
      </c>
    </row>
    <row r="78" spans="1:10" s="38" customFormat="1" ht="24.95" hidden="1" customHeight="1">
      <c r="A78" s="22" t="s">
        <v>425</v>
      </c>
      <c r="B78" s="17" t="s">
        <v>52</v>
      </c>
      <c r="C78" s="16" t="s">
        <v>479</v>
      </c>
      <c r="D78" s="34">
        <v>42489</v>
      </c>
      <c r="E78" s="35">
        <v>277.4581</v>
      </c>
      <c r="F78" s="36">
        <v>1334780.55</v>
      </c>
      <c r="G78" s="34">
        <v>42489</v>
      </c>
      <c r="H78" s="35">
        <v>277.4581</v>
      </c>
      <c r="I78" s="36">
        <v>1334780.55</v>
      </c>
      <c r="J78" s="37" t="s">
        <v>143</v>
      </c>
    </row>
    <row r="79" spans="1:10" s="38" customFormat="1" ht="24.95" hidden="1" customHeight="1">
      <c r="A79" s="22" t="s">
        <v>597</v>
      </c>
      <c r="B79" s="17" t="s">
        <v>52</v>
      </c>
      <c r="C79" s="16" t="s">
        <v>479</v>
      </c>
      <c r="D79" s="34">
        <v>42489</v>
      </c>
      <c r="E79" s="35">
        <v>600</v>
      </c>
      <c r="F79" s="36">
        <v>3334728</v>
      </c>
      <c r="G79" s="34">
        <v>42489</v>
      </c>
      <c r="H79" s="35">
        <v>600</v>
      </c>
      <c r="I79" s="36">
        <v>3334728</v>
      </c>
      <c r="J79" s="37" t="s">
        <v>143</v>
      </c>
    </row>
    <row r="80" spans="1:10" s="38" customFormat="1" ht="24.95" hidden="1" customHeight="1">
      <c r="A80" s="22" t="s">
        <v>229</v>
      </c>
      <c r="B80" s="17" t="s">
        <v>230</v>
      </c>
      <c r="C80" s="16" t="s">
        <v>222</v>
      </c>
      <c r="D80" s="34">
        <v>42486</v>
      </c>
      <c r="E80" s="35">
        <v>1919.7999</v>
      </c>
      <c r="F80" s="36">
        <v>915854.21</v>
      </c>
      <c r="G80" s="34">
        <v>42487</v>
      </c>
      <c r="H80" s="35">
        <v>1919.7999</v>
      </c>
      <c r="I80" s="36">
        <v>915854.21</v>
      </c>
      <c r="J80" s="37" t="s">
        <v>388</v>
      </c>
    </row>
    <row r="81" spans="1:10" s="38" customFormat="1" ht="24.95" hidden="1" customHeight="1">
      <c r="A81" s="22" t="s">
        <v>573</v>
      </c>
      <c r="B81" s="17" t="s">
        <v>93</v>
      </c>
      <c r="C81" s="16" t="s">
        <v>233</v>
      </c>
      <c r="D81" s="34">
        <v>42479</v>
      </c>
      <c r="E81" s="230">
        <v>4671.6782999999996</v>
      </c>
      <c r="F81" s="36">
        <v>1976068.950284</v>
      </c>
      <c r="G81" s="34">
        <v>42480</v>
      </c>
      <c r="H81" s="35">
        <v>4671.6782999999996</v>
      </c>
      <c r="I81" s="36">
        <v>1976068.950284</v>
      </c>
      <c r="J81" s="37" t="s">
        <v>143</v>
      </c>
    </row>
    <row r="82" spans="1:10" s="38" customFormat="1" ht="24.95" hidden="1" customHeight="1">
      <c r="A82" s="22" t="s">
        <v>232</v>
      </c>
      <c r="B82" s="17" t="s">
        <v>230</v>
      </c>
      <c r="C82" s="16" t="s">
        <v>733</v>
      </c>
      <c r="D82" s="34">
        <v>42493</v>
      </c>
      <c r="E82" s="35">
        <v>1919.8</v>
      </c>
      <c r="F82" s="36">
        <v>939844.24</v>
      </c>
      <c r="G82" s="34">
        <v>42493</v>
      </c>
      <c r="H82" s="35">
        <v>1919.8</v>
      </c>
      <c r="I82" s="36">
        <v>939844.24</v>
      </c>
      <c r="J82" s="37" t="s">
        <v>140</v>
      </c>
    </row>
    <row r="83" spans="1:10" s="38" customFormat="1" ht="24.95" hidden="1" customHeight="1">
      <c r="A83" s="22" t="s">
        <v>746</v>
      </c>
      <c r="B83" s="17" t="s">
        <v>747</v>
      </c>
      <c r="C83" s="16" t="s">
        <v>748</v>
      </c>
      <c r="D83" s="34">
        <v>42492</v>
      </c>
      <c r="E83" s="35">
        <v>100</v>
      </c>
      <c r="F83" s="36">
        <v>40000</v>
      </c>
      <c r="G83" s="34">
        <v>42493</v>
      </c>
      <c r="H83" s="35">
        <v>100</v>
      </c>
      <c r="I83" s="36">
        <v>40000</v>
      </c>
      <c r="J83" s="37" t="s">
        <v>749</v>
      </c>
    </row>
    <row r="84" spans="1:10" s="38" customFormat="1" ht="24.95" hidden="1" customHeight="1">
      <c r="A84" s="22" t="s">
        <v>453</v>
      </c>
      <c r="B84" s="17" t="s">
        <v>750</v>
      </c>
      <c r="C84" s="16" t="s">
        <v>751</v>
      </c>
      <c r="D84" s="34">
        <v>42494</v>
      </c>
      <c r="E84" s="35">
        <v>386.91520000000003</v>
      </c>
      <c r="F84" s="36">
        <v>2050650.56</v>
      </c>
      <c r="G84" s="34">
        <v>42494</v>
      </c>
      <c r="H84" s="35">
        <v>386.91520000000003</v>
      </c>
      <c r="I84" s="36">
        <v>2050650.56</v>
      </c>
      <c r="J84" s="37" t="s">
        <v>140</v>
      </c>
    </row>
    <row r="85" spans="1:10" s="38" customFormat="1" ht="24.95" hidden="1" customHeight="1">
      <c r="A85" s="22" t="s">
        <v>752</v>
      </c>
      <c r="B85" s="17" t="s">
        <v>753</v>
      </c>
      <c r="C85" s="16" t="s">
        <v>754</v>
      </c>
      <c r="D85" s="34">
        <v>42494</v>
      </c>
      <c r="E85" s="35">
        <v>79.8964</v>
      </c>
      <c r="F85" s="36">
        <v>467393.94</v>
      </c>
      <c r="G85" s="34">
        <v>42494</v>
      </c>
      <c r="H85" s="35">
        <v>79.8964</v>
      </c>
      <c r="I85" s="36">
        <v>467393.94</v>
      </c>
      <c r="J85" s="37" t="s">
        <v>755</v>
      </c>
    </row>
    <row r="86" spans="1:10" s="38" customFormat="1" ht="24.95" hidden="1" customHeight="1">
      <c r="A86" s="22" t="s">
        <v>756</v>
      </c>
      <c r="B86" s="17" t="s">
        <v>757</v>
      </c>
      <c r="C86" s="16" t="s">
        <v>758</v>
      </c>
      <c r="D86" s="34">
        <v>42493</v>
      </c>
      <c r="E86" s="35">
        <v>60</v>
      </c>
      <c r="F86" s="36">
        <v>91198.8</v>
      </c>
      <c r="G86" s="34">
        <v>42493</v>
      </c>
      <c r="H86" s="35">
        <v>60</v>
      </c>
      <c r="I86" s="36">
        <v>91198.8</v>
      </c>
      <c r="J86" s="37" t="s">
        <v>759</v>
      </c>
    </row>
    <row r="87" spans="1:10" s="38" customFormat="1" ht="24.95" hidden="1" customHeight="1">
      <c r="A87" s="22" t="s">
        <v>760</v>
      </c>
      <c r="B87" s="17" t="s">
        <v>761</v>
      </c>
      <c r="C87" s="16" t="s">
        <v>762</v>
      </c>
      <c r="D87" s="34">
        <v>42493</v>
      </c>
      <c r="E87" s="35">
        <v>140</v>
      </c>
      <c r="F87" s="36">
        <v>212797.2</v>
      </c>
      <c r="G87" s="34">
        <v>42493</v>
      </c>
      <c r="H87" s="35">
        <v>140</v>
      </c>
      <c r="I87" s="36">
        <v>212797.2</v>
      </c>
      <c r="J87" s="37" t="s">
        <v>759</v>
      </c>
    </row>
    <row r="88" spans="1:10" s="38" customFormat="1" ht="24.95" hidden="1" customHeight="1">
      <c r="A88" s="22" t="s">
        <v>769</v>
      </c>
      <c r="B88" s="17" t="s">
        <v>770</v>
      </c>
      <c r="C88" s="16" t="s">
        <v>771</v>
      </c>
      <c r="D88" s="34">
        <v>42494</v>
      </c>
      <c r="E88" s="35">
        <v>208.13499999999999</v>
      </c>
      <c r="F88" s="36">
        <v>2247989.9900000002</v>
      </c>
      <c r="G88" s="34">
        <v>42494</v>
      </c>
      <c r="H88" s="35">
        <v>208.13499999999999</v>
      </c>
      <c r="I88" s="36">
        <v>2247989.9900000002</v>
      </c>
      <c r="J88" s="37" t="s">
        <v>755</v>
      </c>
    </row>
    <row r="89" spans="1:10" s="38" customFormat="1" ht="24.95" hidden="1" customHeight="1">
      <c r="A89" s="22" t="s">
        <v>772</v>
      </c>
      <c r="B89" s="17" t="s">
        <v>773</v>
      </c>
      <c r="C89" s="16" t="s">
        <v>771</v>
      </c>
      <c r="D89" s="34">
        <v>42494</v>
      </c>
      <c r="E89" s="35">
        <v>1696.482</v>
      </c>
      <c r="F89" s="36">
        <v>9921848.6699999999</v>
      </c>
      <c r="G89" s="34">
        <v>42494</v>
      </c>
      <c r="H89" s="35">
        <v>1696.482</v>
      </c>
      <c r="I89" s="36">
        <v>9921848.6699999999</v>
      </c>
      <c r="J89" s="37" t="s">
        <v>755</v>
      </c>
    </row>
    <row r="90" spans="1:10" s="38" customFormat="1" ht="24.95" hidden="1" customHeight="1">
      <c r="A90" s="22" t="s">
        <v>545</v>
      </c>
      <c r="B90" s="17" t="s">
        <v>52</v>
      </c>
      <c r="C90" s="16" t="s">
        <v>754</v>
      </c>
      <c r="D90" s="34">
        <v>42496</v>
      </c>
      <c r="E90" s="35">
        <v>790.11810000000003</v>
      </c>
      <c r="F90" s="36">
        <v>4622190.8899999997</v>
      </c>
      <c r="G90" s="34">
        <v>42496</v>
      </c>
      <c r="H90" s="35">
        <v>790.11810000000003</v>
      </c>
      <c r="I90" s="36">
        <v>4622190.8899999997</v>
      </c>
      <c r="J90" s="37" t="s">
        <v>140</v>
      </c>
    </row>
    <row r="91" spans="1:10" s="38" customFormat="1" ht="24.95" hidden="1" customHeight="1">
      <c r="A91" s="22" t="s">
        <v>817</v>
      </c>
      <c r="B91" s="17" t="s">
        <v>818</v>
      </c>
      <c r="C91" s="16" t="s">
        <v>819</v>
      </c>
      <c r="D91" s="34">
        <v>42499</v>
      </c>
      <c r="E91" s="35">
        <v>454.98</v>
      </c>
      <c r="F91" s="36">
        <v>2279732.7999999998</v>
      </c>
      <c r="G91" s="34">
        <v>42499</v>
      </c>
      <c r="H91" s="35">
        <v>454.98</v>
      </c>
      <c r="I91" s="36">
        <v>2279732.7999999998</v>
      </c>
      <c r="J91" s="37" t="s">
        <v>820</v>
      </c>
    </row>
    <row r="92" spans="1:10" s="38" customFormat="1" ht="24.95" hidden="1" customHeight="1">
      <c r="A92" s="22" t="s">
        <v>821</v>
      </c>
      <c r="B92" s="17" t="s">
        <v>822</v>
      </c>
      <c r="C92" s="16" t="s">
        <v>819</v>
      </c>
      <c r="D92" s="34">
        <v>42499</v>
      </c>
      <c r="E92" s="35"/>
      <c r="F92" s="36">
        <v>-528.91</v>
      </c>
      <c r="G92" s="34">
        <v>42499</v>
      </c>
      <c r="H92" s="35"/>
      <c r="I92" s="36">
        <v>-528.91</v>
      </c>
      <c r="J92" s="37" t="s">
        <v>820</v>
      </c>
    </row>
    <row r="93" spans="1:10" s="38" customFormat="1" ht="24.95" hidden="1" customHeight="1">
      <c r="A93" s="22" t="s">
        <v>276</v>
      </c>
      <c r="B93" s="17" t="s">
        <v>203</v>
      </c>
      <c r="C93" s="16" t="s">
        <v>180</v>
      </c>
      <c r="D93" s="34">
        <v>42499</v>
      </c>
      <c r="E93" s="35"/>
      <c r="F93" s="36">
        <v>-528.91</v>
      </c>
      <c r="G93" s="34">
        <v>42499</v>
      </c>
      <c r="H93" s="35"/>
      <c r="I93" s="36">
        <v>-528.91</v>
      </c>
      <c r="J93" s="37" t="s">
        <v>143</v>
      </c>
    </row>
    <row r="94" spans="1:10" s="38" customFormat="1" ht="24.95" hidden="1" customHeight="1">
      <c r="A94" s="22" t="s">
        <v>574</v>
      </c>
      <c r="B94" s="17" t="s">
        <v>843</v>
      </c>
      <c r="C94" s="16" t="s">
        <v>168</v>
      </c>
      <c r="D94" s="34">
        <v>42493</v>
      </c>
      <c r="E94" s="68">
        <v>3783.3177999999998</v>
      </c>
      <c r="F94" s="69">
        <v>1672225.55</v>
      </c>
      <c r="G94" s="34">
        <v>42493</v>
      </c>
      <c r="H94" s="68">
        <v>3783.3177999999998</v>
      </c>
      <c r="I94" s="69">
        <v>1672225.55</v>
      </c>
      <c r="J94" s="37" t="s">
        <v>844</v>
      </c>
    </row>
    <row r="95" spans="1:10" s="38" customFormat="1" ht="24.95" hidden="1" customHeight="1">
      <c r="A95" s="22" t="s">
        <v>863</v>
      </c>
      <c r="B95" s="17" t="s">
        <v>864</v>
      </c>
      <c r="C95" s="16" t="s">
        <v>865</v>
      </c>
      <c r="D95" s="34">
        <v>42494</v>
      </c>
      <c r="E95" s="191">
        <v>3783.3177999999998</v>
      </c>
      <c r="F95" s="36">
        <v>1585952.2792290002</v>
      </c>
      <c r="G95" s="34">
        <v>42499</v>
      </c>
      <c r="H95" s="35">
        <v>3783.3177999999998</v>
      </c>
      <c r="I95" s="36">
        <v>1585952.2792290002</v>
      </c>
      <c r="J95" s="37" t="s">
        <v>866</v>
      </c>
    </row>
    <row r="96" spans="1:10" s="38" customFormat="1" ht="24.95" hidden="1" customHeight="1">
      <c r="A96" s="22" t="s">
        <v>546</v>
      </c>
      <c r="B96" s="17" t="s">
        <v>52</v>
      </c>
      <c r="C96" s="16" t="s">
        <v>53</v>
      </c>
      <c r="D96" s="34">
        <v>42503</v>
      </c>
      <c r="E96" s="35">
        <v>200</v>
      </c>
      <c r="F96" s="36">
        <v>1116200</v>
      </c>
      <c r="G96" s="34">
        <v>42503</v>
      </c>
      <c r="H96" s="35">
        <v>200</v>
      </c>
      <c r="I96" s="36">
        <v>1116200</v>
      </c>
      <c r="J96" s="37" t="s">
        <v>143</v>
      </c>
    </row>
    <row r="97" spans="1:10" s="38" customFormat="1" ht="24.95" hidden="1" customHeight="1">
      <c r="A97" s="22" t="s">
        <v>664</v>
      </c>
      <c r="B97" s="17" t="s">
        <v>240</v>
      </c>
      <c r="C97" s="16" t="s">
        <v>210</v>
      </c>
      <c r="D97" s="34">
        <v>42507</v>
      </c>
      <c r="E97" s="35">
        <v>60</v>
      </c>
      <c r="F97" s="36">
        <v>607380</v>
      </c>
      <c r="G97" s="34">
        <v>42507</v>
      </c>
      <c r="H97" s="35">
        <v>60</v>
      </c>
      <c r="I97" s="36">
        <v>607380</v>
      </c>
      <c r="J97" s="37" t="s">
        <v>143</v>
      </c>
    </row>
    <row r="98" spans="1:10" s="38" customFormat="1" ht="24.95" hidden="1" customHeight="1">
      <c r="A98" s="22" t="s">
        <v>546</v>
      </c>
      <c r="B98" s="17" t="s">
        <v>402</v>
      </c>
      <c r="C98" s="16" t="s">
        <v>53</v>
      </c>
      <c r="D98" s="34">
        <v>42509</v>
      </c>
      <c r="E98" s="35">
        <v>101.3396</v>
      </c>
      <c r="F98" s="36">
        <v>563506.19999999995</v>
      </c>
      <c r="G98" s="34">
        <v>42509</v>
      </c>
      <c r="H98" s="35">
        <v>101.3396</v>
      </c>
      <c r="I98" s="36">
        <v>563506.19999999995</v>
      </c>
      <c r="J98" s="37" t="s">
        <v>143</v>
      </c>
    </row>
    <row r="99" spans="1:10" s="38" customFormat="1" ht="24.95" hidden="1" customHeight="1">
      <c r="A99" s="22" t="s">
        <v>774</v>
      </c>
      <c r="B99" s="17" t="s">
        <v>93</v>
      </c>
      <c r="C99" s="16" t="s">
        <v>233</v>
      </c>
      <c r="D99" s="34">
        <v>42507</v>
      </c>
      <c r="E99" s="173">
        <v>4748.8582999999999</v>
      </c>
      <c r="F99" s="36">
        <v>2515465.3024030002</v>
      </c>
      <c r="G99" s="34">
        <v>42514</v>
      </c>
      <c r="H99" s="35">
        <v>4748.8582999999999</v>
      </c>
      <c r="I99" s="36">
        <v>2515465.3024030002</v>
      </c>
      <c r="J99" s="37" t="s">
        <v>143</v>
      </c>
    </row>
    <row r="100" spans="1:10" s="38" customFormat="1" ht="24.95" hidden="1" customHeight="1">
      <c r="A100" s="22" t="s">
        <v>730</v>
      </c>
      <c r="B100" s="17" t="s">
        <v>93</v>
      </c>
      <c r="C100" s="16" t="s">
        <v>321</v>
      </c>
      <c r="D100" s="34">
        <v>42507</v>
      </c>
      <c r="E100" s="68">
        <v>4748.8580000000002</v>
      </c>
      <c r="F100" s="69">
        <v>2636006.7400535084</v>
      </c>
      <c r="G100" s="34">
        <v>42507</v>
      </c>
      <c r="H100" s="68">
        <v>4748.8580000000002</v>
      </c>
      <c r="I100" s="69">
        <v>2636006.7400000002</v>
      </c>
      <c r="J100" s="37" t="s">
        <v>140</v>
      </c>
    </row>
    <row r="101" spans="1:10" s="38" customFormat="1" ht="24.95" hidden="1" customHeight="1">
      <c r="A101" s="22" t="s">
        <v>648</v>
      </c>
      <c r="B101" s="17" t="s">
        <v>230</v>
      </c>
      <c r="C101" s="16" t="s">
        <v>321</v>
      </c>
      <c r="D101" s="34">
        <v>42509</v>
      </c>
      <c r="E101" s="35">
        <v>17236.562999999998</v>
      </c>
      <c r="F101" s="36">
        <v>8448011.1799999997</v>
      </c>
      <c r="G101" s="34">
        <v>42509</v>
      </c>
      <c r="H101" s="35">
        <v>17236.562999999998</v>
      </c>
      <c r="I101" s="36">
        <v>8448011.1799999997</v>
      </c>
      <c r="J101" s="37" t="s">
        <v>140</v>
      </c>
    </row>
    <row r="102" spans="1:10" s="38" customFormat="1" ht="24.95" hidden="1" customHeight="1">
      <c r="A102" s="22" t="s">
        <v>699</v>
      </c>
      <c r="B102" s="17" t="s">
        <v>240</v>
      </c>
      <c r="C102" s="16" t="s">
        <v>715</v>
      </c>
      <c r="D102" s="34">
        <v>42514</v>
      </c>
      <c r="E102" s="35">
        <v>140</v>
      </c>
      <c r="F102" s="36">
        <v>1376200</v>
      </c>
      <c r="G102" s="34">
        <v>42514</v>
      </c>
      <c r="H102" s="35">
        <v>140</v>
      </c>
      <c r="I102" s="36">
        <v>1376200</v>
      </c>
      <c r="J102" s="37" t="s">
        <v>143</v>
      </c>
    </row>
    <row r="103" spans="1:10" s="38" customFormat="1" ht="24.95" hidden="1" customHeight="1">
      <c r="A103" s="22" t="s">
        <v>889</v>
      </c>
      <c r="B103" s="17" t="s">
        <v>52</v>
      </c>
      <c r="C103" s="16" t="s">
        <v>212</v>
      </c>
      <c r="D103" s="34">
        <v>42516</v>
      </c>
      <c r="E103" s="35">
        <v>420</v>
      </c>
      <c r="F103" s="36">
        <v>2134024.2000000002</v>
      </c>
      <c r="G103" s="34">
        <v>42516</v>
      </c>
      <c r="H103" s="35">
        <v>420</v>
      </c>
      <c r="I103" s="36">
        <v>2134024.2000000002</v>
      </c>
      <c r="J103" s="37" t="s">
        <v>143</v>
      </c>
    </row>
    <row r="104" spans="1:10" s="38" customFormat="1" ht="24.95" hidden="1" customHeight="1">
      <c r="A104" s="22" t="s">
        <v>685</v>
      </c>
      <c r="B104" s="17" t="s">
        <v>52</v>
      </c>
      <c r="C104" s="16" t="s">
        <v>90</v>
      </c>
      <c r="D104" s="34">
        <v>42520</v>
      </c>
      <c r="E104" s="35">
        <v>200</v>
      </c>
      <c r="F104" s="36">
        <v>1111576</v>
      </c>
      <c r="G104" s="34">
        <v>42520</v>
      </c>
      <c r="H104" s="35">
        <v>200</v>
      </c>
      <c r="I104" s="36">
        <v>1111576</v>
      </c>
      <c r="J104" s="37" t="s">
        <v>143</v>
      </c>
    </row>
    <row r="105" spans="1:10" s="38" customFormat="1" ht="24.95" hidden="1" customHeight="1">
      <c r="A105" s="22" t="s">
        <v>958</v>
      </c>
      <c r="B105" s="17" t="s">
        <v>240</v>
      </c>
      <c r="C105" s="16" t="s">
        <v>869</v>
      </c>
      <c r="D105" s="34">
        <v>42520</v>
      </c>
      <c r="E105" s="35">
        <v>80</v>
      </c>
      <c r="F105" s="36">
        <v>784000</v>
      </c>
      <c r="G105" s="34">
        <v>42520</v>
      </c>
      <c r="H105" s="35">
        <v>80</v>
      </c>
      <c r="I105" s="36">
        <v>784000</v>
      </c>
      <c r="J105" s="37" t="s">
        <v>143</v>
      </c>
    </row>
    <row r="106" spans="1:10" s="38" customFormat="1" ht="24.95" hidden="1" customHeight="1">
      <c r="A106" s="22" t="s">
        <v>933</v>
      </c>
      <c r="B106" s="17" t="s">
        <v>240</v>
      </c>
      <c r="C106" s="16" t="s">
        <v>869</v>
      </c>
      <c r="D106" s="34">
        <v>42520</v>
      </c>
      <c r="E106" s="35">
        <v>70</v>
      </c>
      <c r="F106" s="36">
        <v>686000</v>
      </c>
      <c r="G106" s="34">
        <v>42520</v>
      </c>
      <c r="H106" s="35">
        <v>70</v>
      </c>
      <c r="I106" s="36">
        <v>686000</v>
      </c>
      <c r="J106" s="37" t="s">
        <v>143</v>
      </c>
    </row>
    <row r="107" spans="1:10" s="38" customFormat="1" ht="24.95" hidden="1" customHeight="1">
      <c r="A107" s="22" t="s">
        <v>695</v>
      </c>
      <c r="B107" s="17" t="s">
        <v>60</v>
      </c>
      <c r="C107" s="16" t="s">
        <v>210</v>
      </c>
      <c r="D107" s="34">
        <v>42520</v>
      </c>
      <c r="E107" s="35">
        <v>297.8</v>
      </c>
      <c r="F107" s="36">
        <v>1690015</v>
      </c>
      <c r="G107" s="34">
        <v>42520</v>
      </c>
      <c r="H107" s="35">
        <v>297.8</v>
      </c>
      <c r="I107" s="36">
        <v>1690015</v>
      </c>
      <c r="J107" s="37" t="s">
        <v>143</v>
      </c>
    </row>
    <row r="108" spans="1:10" s="38" customFormat="1" ht="24.95" hidden="1" customHeight="1">
      <c r="A108" s="22" t="s">
        <v>982</v>
      </c>
      <c r="B108" s="17" t="s">
        <v>240</v>
      </c>
      <c r="C108" s="16" t="s">
        <v>210</v>
      </c>
      <c r="D108" s="34">
        <v>42522</v>
      </c>
      <c r="E108" s="35">
        <v>160</v>
      </c>
      <c r="F108" s="36">
        <v>1592000</v>
      </c>
      <c r="G108" s="34">
        <v>42522</v>
      </c>
      <c r="H108" s="35">
        <v>160</v>
      </c>
      <c r="I108" s="36">
        <v>1592000</v>
      </c>
      <c r="J108" s="37" t="s">
        <v>143</v>
      </c>
    </row>
    <row r="109" spans="1:10" s="38" customFormat="1" ht="24.95" hidden="1" customHeight="1">
      <c r="A109" s="22" t="s">
        <v>965</v>
      </c>
      <c r="B109" s="17" t="s">
        <v>240</v>
      </c>
      <c r="C109" s="16" t="s">
        <v>992</v>
      </c>
      <c r="D109" s="34">
        <v>42520</v>
      </c>
      <c r="E109" s="35">
        <v>40</v>
      </c>
      <c r="F109" s="36">
        <v>60800</v>
      </c>
      <c r="G109" s="34">
        <v>42520</v>
      </c>
      <c r="H109" s="35">
        <v>40</v>
      </c>
      <c r="I109" s="36">
        <v>60800</v>
      </c>
      <c r="J109" s="37" t="s">
        <v>993</v>
      </c>
    </row>
    <row r="110" spans="1:10" s="38" customFormat="1" ht="24.95" hidden="1" customHeight="1">
      <c r="A110" s="22" t="s">
        <v>1003</v>
      </c>
      <c r="B110" s="17" t="s">
        <v>1004</v>
      </c>
      <c r="C110" s="16" t="s">
        <v>222</v>
      </c>
      <c r="D110" s="34">
        <v>42510</v>
      </c>
      <c r="E110" s="35">
        <v>17236.5625</v>
      </c>
      <c r="F110" s="36">
        <v>8163765.0700000003</v>
      </c>
      <c r="G110" s="34">
        <v>42515</v>
      </c>
      <c r="H110" s="35">
        <v>15872</v>
      </c>
      <c r="I110" s="36">
        <v>7475712</v>
      </c>
      <c r="J110" s="37" t="s">
        <v>1005</v>
      </c>
    </row>
    <row r="111" spans="1:10" s="38" customFormat="1" ht="24.95" hidden="1" customHeight="1">
      <c r="A111" s="22" t="s">
        <v>1009</v>
      </c>
      <c r="B111" s="17" t="s">
        <v>1010</v>
      </c>
      <c r="C111" s="16" t="s">
        <v>1011</v>
      </c>
      <c r="D111" s="34">
        <v>42524</v>
      </c>
      <c r="E111" s="35">
        <v>698.90329999999994</v>
      </c>
      <c r="F111" s="36">
        <v>4088584.31</v>
      </c>
      <c r="G111" s="34">
        <v>42524</v>
      </c>
      <c r="H111" s="35">
        <v>698.90329999999994</v>
      </c>
      <c r="I111" s="36">
        <v>4088584.31</v>
      </c>
      <c r="J111" s="37" t="s">
        <v>140</v>
      </c>
    </row>
    <row r="112" spans="1:10" s="38" customFormat="1" ht="24.95" hidden="1" customHeight="1">
      <c r="A112" s="22" t="s">
        <v>1025</v>
      </c>
      <c r="B112" s="17" t="s">
        <v>1026</v>
      </c>
      <c r="C112" s="16" t="s">
        <v>1027</v>
      </c>
      <c r="D112" s="34">
        <v>42524</v>
      </c>
      <c r="E112" s="35">
        <v>515.42960000000005</v>
      </c>
      <c r="F112" s="36">
        <v>2809091.32</v>
      </c>
      <c r="G112" s="34">
        <v>42524</v>
      </c>
      <c r="H112" s="35">
        <v>515.42960000000005</v>
      </c>
      <c r="I112" s="36">
        <v>2809091.32</v>
      </c>
      <c r="J112" s="37" t="s">
        <v>1028</v>
      </c>
    </row>
    <row r="113" spans="1:10" s="38" customFormat="1" ht="24.95" hidden="1" customHeight="1">
      <c r="A113" s="22" t="s">
        <v>1029</v>
      </c>
      <c r="B113" s="17" t="s">
        <v>1026</v>
      </c>
      <c r="C113" s="16" t="s">
        <v>1030</v>
      </c>
      <c r="D113" s="34">
        <v>42527</v>
      </c>
      <c r="E113" s="35">
        <v>877.57090000000005</v>
      </c>
      <c r="F113" s="36">
        <v>4635158.51</v>
      </c>
      <c r="G113" s="34">
        <v>42527</v>
      </c>
      <c r="H113" s="35">
        <v>877.57090000000005</v>
      </c>
      <c r="I113" s="36">
        <v>4635158.51</v>
      </c>
      <c r="J113" s="37" t="s">
        <v>1028</v>
      </c>
    </row>
    <row r="114" spans="1:10" s="38" customFormat="1" ht="24.95" hidden="1" customHeight="1">
      <c r="A114" s="22" t="s">
        <v>1031</v>
      </c>
      <c r="B114" s="17" t="s">
        <v>1032</v>
      </c>
      <c r="C114" s="16" t="s">
        <v>1030</v>
      </c>
      <c r="D114" s="34">
        <v>42527</v>
      </c>
      <c r="E114" s="35">
        <v>252.39709999999999</v>
      </c>
      <c r="F114" s="36">
        <v>2688534.31</v>
      </c>
      <c r="G114" s="34">
        <v>42527</v>
      </c>
      <c r="H114" s="35">
        <v>252.39709999999999</v>
      </c>
      <c r="I114" s="36">
        <v>2688534.31</v>
      </c>
      <c r="J114" s="37" t="s">
        <v>1028</v>
      </c>
    </row>
    <row r="115" spans="1:10" s="38" customFormat="1" ht="24.95" hidden="1" customHeight="1">
      <c r="A115" s="22" t="s">
        <v>1033</v>
      </c>
      <c r="B115" s="17" t="s">
        <v>1026</v>
      </c>
      <c r="C115" s="16" t="s">
        <v>1034</v>
      </c>
      <c r="D115" s="34">
        <v>42527</v>
      </c>
      <c r="E115" s="35">
        <v>365</v>
      </c>
      <c r="F115" s="36">
        <v>2026553</v>
      </c>
      <c r="G115" s="34">
        <v>42527</v>
      </c>
      <c r="H115" s="35">
        <v>365</v>
      </c>
      <c r="I115" s="36">
        <v>2026553</v>
      </c>
      <c r="J115" s="37" t="s">
        <v>1035</v>
      </c>
    </row>
    <row r="116" spans="1:10" s="38" customFormat="1" ht="24.95" hidden="1" customHeight="1">
      <c r="A116" s="22" t="s">
        <v>1041</v>
      </c>
      <c r="B116" s="17" t="s">
        <v>1042</v>
      </c>
      <c r="C116" s="16" t="s">
        <v>1043</v>
      </c>
      <c r="D116" s="34">
        <v>42527</v>
      </c>
      <c r="E116" s="35">
        <v>71.688999999999993</v>
      </c>
      <c r="F116" s="36">
        <v>359655.39</v>
      </c>
      <c r="G116" s="34">
        <v>42527</v>
      </c>
      <c r="H116" s="35">
        <v>71.688999999999993</v>
      </c>
      <c r="I116" s="36">
        <v>359655.39</v>
      </c>
      <c r="J116" s="37" t="s">
        <v>1044</v>
      </c>
    </row>
    <row r="117" spans="1:10" s="38" customFormat="1" ht="24.95" hidden="1" customHeight="1">
      <c r="A117" s="22" t="s">
        <v>1045</v>
      </c>
      <c r="B117" s="17" t="s">
        <v>1042</v>
      </c>
      <c r="C117" s="16" t="s">
        <v>1046</v>
      </c>
      <c r="D117" s="34">
        <v>42527</v>
      </c>
      <c r="E117" s="35">
        <v>200</v>
      </c>
      <c r="F117" s="36">
        <v>1016202</v>
      </c>
      <c r="G117" s="34">
        <v>42527</v>
      </c>
      <c r="H117" s="35">
        <v>200</v>
      </c>
      <c r="I117" s="36">
        <v>1016202</v>
      </c>
      <c r="J117" s="37" t="s">
        <v>1044</v>
      </c>
    </row>
    <row r="118" spans="1:10" s="38" customFormat="1" ht="24.95" hidden="1" customHeight="1">
      <c r="A118" s="22" t="s">
        <v>597</v>
      </c>
      <c r="B118" s="17" t="s">
        <v>60</v>
      </c>
      <c r="C118" s="16" t="s">
        <v>90</v>
      </c>
      <c r="D118" s="34">
        <v>42528</v>
      </c>
      <c r="E118" s="35">
        <v>79.150000000000006</v>
      </c>
      <c r="F118" s="36">
        <v>409539.96</v>
      </c>
      <c r="G118" s="34">
        <v>42528</v>
      </c>
      <c r="H118" s="35">
        <v>79.150000000000006</v>
      </c>
      <c r="I118" s="36">
        <v>409539.96</v>
      </c>
      <c r="J118" s="37" t="s">
        <v>143</v>
      </c>
    </row>
    <row r="119" spans="1:10" s="38" customFormat="1" ht="24.95" hidden="1" customHeight="1">
      <c r="A119" s="22" t="s">
        <v>685</v>
      </c>
      <c r="B119" s="17" t="s">
        <v>60</v>
      </c>
      <c r="C119" s="16" t="s">
        <v>90</v>
      </c>
      <c r="D119" s="34">
        <v>42528</v>
      </c>
      <c r="E119" s="35">
        <v>42.46</v>
      </c>
      <c r="F119" s="36">
        <v>265596.80000000005</v>
      </c>
      <c r="G119" s="34">
        <v>42528</v>
      </c>
      <c r="H119" s="35">
        <v>42.46</v>
      </c>
      <c r="I119" s="36">
        <v>265596.80000000005</v>
      </c>
      <c r="J119" s="37" t="s">
        <v>143</v>
      </c>
    </row>
    <row r="120" spans="1:10" s="38" customFormat="1" ht="24.95" hidden="1" customHeight="1">
      <c r="A120" s="22" t="s">
        <v>276</v>
      </c>
      <c r="B120" s="17" t="s">
        <v>430</v>
      </c>
      <c r="C120" s="16" t="s">
        <v>180</v>
      </c>
      <c r="D120" s="34">
        <v>42533</v>
      </c>
      <c r="E120" s="35"/>
      <c r="F120" s="36">
        <v>6087.92</v>
      </c>
      <c r="G120" s="34"/>
      <c r="H120" s="35"/>
      <c r="I120" s="36">
        <v>6087.92</v>
      </c>
      <c r="J120" s="37" t="s">
        <v>177</v>
      </c>
    </row>
    <row r="121" spans="1:10" s="38" customFormat="1" ht="24.95" hidden="1" customHeight="1">
      <c r="A121" s="22" t="s">
        <v>634</v>
      </c>
      <c r="B121" s="17" t="s">
        <v>430</v>
      </c>
      <c r="C121" s="16" t="s">
        <v>180</v>
      </c>
      <c r="D121" s="34">
        <v>42533</v>
      </c>
      <c r="E121" s="35">
        <v>476.24970000000002</v>
      </c>
      <c r="F121" s="36">
        <v>2644233.81</v>
      </c>
      <c r="G121" s="34">
        <v>42533</v>
      </c>
      <c r="H121" s="35">
        <v>476.24970000000002</v>
      </c>
      <c r="I121" s="36">
        <v>2644233.81</v>
      </c>
      <c r="J121" s="37" t="s">
        <v>177</v>
      </c>
    </row>
    <row r="122" spans="1:10" s="38" customFormat="1" ht="24.95" hidden="1" customHeight="1">
      <c r="A122" s="22" t="s">
        <v>1074</v>
      </c>
      <c r="B122" s="17" t="s">
        <v>1075</v>
      </c>
      <c r="C122" s="16" t="s">
        <v>1076</v>
      </c>
      <c r="D122" s="34">
        <v>42524</v>
      </c>
      <c r="E122" s="35">
        <v>100</v>
      </c>
      <c r="F122" s="36">
        <v>10900</v>
      </c>
      <c r="G122" s="34">
        <v>42524</v>
      </c>
      <c r="H122" s="35">
        <v>100</v>
      </c>
      <c r="I122" s="36">
        <v>10900</v>
      </c>
      <c r="J122" s="37" t="s">
        <v>401</v>
      </c>
    </row>
    <row r="123" spans="1:10" s="297" customFormat="1" ht="24.95" hidden="1" customHeight="1">
      <c r="A123" s="334" t="s">
        <v>903</v>
      </c>
      <c r="B123" s="335" t="s">
        <v>93</v>
      </c>
      <c r="C123" s="336" t="s">
        <v>321</v>
      </c>
      <c r="D123" s="284">
        <v>42535</v>
      </c>
      <c r="E123" s="191">
        <v>4336.4639999999999</v>
      </c>
      <c r="F123" s="70">
        <v>2516581.3199999998</v>
      </c>
      <c r="G123" s="284">
        <v>42535</v>
      </c>
      <c r="H123" s="191">
        <v>4336.4639999999999</v>
      </c>
      <c r="I123" s="70">
        <v>2516581.3199999998</v>
      </c>
      <c r="J123" s="296" t="s">
        <v>391</v>
      </c>
    </row>
    <row r="124" spans="1:10" s="38" customFormat="1" ht="24.95" hidden="1" customHeight="1">
      <c r="A124" s="22" t="s">
        <v>904</v>
      </c>
      <c r="B124" s="17" t="s">
        <v>93</v>
      </c>
      <c r="C124" s="16" t="s">
        <v>321</v>
      </c>
      <c r="D124" s="34">
        <v>42535</v>
      </c>
      <c r="E124" s="68">
        <v>8388.1929999999993</v>
      </c>
      <c r="F124" s="69">
        <v>4216214.25</v>
      </c>
      <c r="G124" s="34">
        <v>42535</v>
      </c>
      <c r="H124" s="68">
        <v>8388.1929999999993</v>
      </c>
      <c r="I124" s="69">
        <v>4216214.25</v>
      </c>
      <c r="J124" s="37" t="s">
        <v>391</v>
      </c>
    </row>
    <row r="125" spans="1:10" s="38" customFormat="1" ht="24.95" hidden="1" customHeight="1">
      <c r="A125" s="22" t="s">
        <v>998</v>
      </c>
      <c r="B125" s="17" t="s">
        <v>93</v>
      </c>
      <c r="C125" s="16" t="s">
        <v>233</v>
      </c>
      <c r="D125" s="34">
        <v>42535</v>
      </c>
      <c r="E125" s="35">
        <v>6881.3330999999998</v>
      </c>
      <c r="F125" s="36">
        <v>3648386.5198999997</v>
      </c>
      <c r="G125" s="34">
        <v>42537</v>
      </c>
      <c r="H125" s="35">
        <v>6881.3330999999998</v>
      </c>
      <c r="I125" s="36">
        <v>3648386.5198999997</v>
      </c>
      <c r="J125" s="37" t="s">
        <v>143</v>
      </c>
    </row>
    <row r="126" spans="1:10" s="38" customFormat="1" ht="24.95" hidden="1" customHeight="1">
      <c r="A126" s="22" t="s">
        <v>1008</v>
      </c>
      <c r="B126" s="17" t="s">
        <v>93</v>
      </c>
      <c r="C126" s="16" t="s">
        <v>101</v>
      </c>
      <c r="D126" s="34"/>
      <c r="E126" s="35"/>
      <c r="F126" s="36"/>
      <c r="G126" s="34">
        <v>42545</v>
      </c>
      <c r="H126" s="68">
        <v>12000</v>
      </c>
      <c r="I126" s="36">
        <v>6000000</v>
      </c>
      <c r="J126" s="37" t="s">
        <v>143</v>
      </c>
    </row>
    <row r="127" spans="1:10" s="38" customFormat="1" ht="24.95" hidden="1" customHeight="1">
      <c r="A127" s="22" t="s">
        <v>883</v>
      </c>
      <c r="B127" s="17" t="s">
        <v>60</v>
      </c>
      <c r="C127" s="16" t="s">
        <v>180</v>
      </c>
      <c r="D127" s="34">
        <v>42538</v>
      </c>
      <c r="E127" s="35">
        <v>400</v>
      </c>
      <c r="F127" s="36">
        <v>2064480</v>
      </c>
      <c r="G127" s="34">
        <v>42538</v>
      </c>
      <c r="H127" s="35">
        <v>400</v>
      </c>
      <c r="I127" s="36">
        <v>2064480</v>
      </c>
      <c r="J127" s="37" t="s">
        <v>143</v>
      </c>
    </row>
    <row r="128" spans="1:10" s="38" customFormat="1" ht="24.95" hidden="1" customHeight="1">
      <c r="A128" s="22" t="s">
        <v>1070</v>
      </c>
      <c r="B128" s="17" t="s">
        <v>240</v>
      </c>
      <c r="C128" s="16" t="s">
        <v>278</v>
      </c>
      <c r="D128" s="34">
        <v>42538</v>
      </c>
      <c r="E128" s="35">
        <v>105</v>
      </c>
      <c r="F128" s="36">
        <v>1034250</v>
      </c>
      <c r="G128" s="34">
        <v>42538</v>
      </c>
      <c r="H128" s="35">
        <v>105</v>
      </c>
      <c r="I128" s="36">
        <v>1034250</v>
      </c>
      <c r="J128" s="37" t="s">
        <v>143</v>
      </c>
    </row>
    <row r="129" spans="1:10" s="38" customFormat="1" ht="24.95" hidden="1" customHeight="1">
      <c r="A129" s="22" t="s">
        <v>811</v>
      </c>
      <c r="B129" s="17" t="s">
        <v>402</v>
      </c>
      <c r="C129" s="16" t="s">
        <v>204</v>
      </c>
      <c r="D129" s="34">
        <v>42538</v>
      </c>
      <c r="E129" s="35">
        <v>200</v>
      </c>
      <c r="F129" s="36">
        <v>1018220</v>
      </c>
      <c r="G129" s="34">
        <v>42538</v>
      </c>
      <c r="H129" s="35">
        <v>200</v>
      </c>
      <c r="I129" s="36">
        <v>1018220</v>
      </c>
      <c r="J129" s="37" t="s">
        <v>177</v>
      </c>
    </row>
    <row r="130" spans="1:10" s="38" customFormat="1" ht="24.95" hidden="1" customHeight="1">
      <c r="A130" s="22" t="s">
        <v>811</v>
      </c>
      <c r="B130" s="17" t="s">
        <v>402</v>
      </c>
      <c r="C130" s="16" t="s">
        <v>53</v>
      </c>
      <c r="D130" s="34">
        <v>42542</v>
      </c>
      <c r="E130" s="35">
        <v>54.86</v>
      </c>
      <c r="F130" s="36">
        <v>279297.75</v>
      </c>
      <c r="G130" s="34">
        <v>42542</v>
      </c>
      <c r="H130" s="35">
        <v>54.86</v>
      </c>
      <c r="I130" s="36">
        <v>279297.75</v>
      </c>
      <c r="J130" s="37" t="s">
        <v>143</v>
      </c>
    </row>
    <row r="131" spans="1:10" s="38" customFormat="1" ht="24.95" hidden="1" customHeight="1">
      <c r="A131" s="22" t="s">
        <v>1119</v>
      </c>
      <c r="B131" s="17" t="s">
        <v>60</v>
      </c>
      <c r="C131" s="16" t="s">
        <v>210</v>
      </c>
      <c r="D131" s="34">
        <v>42543</v>
      </c>
      <c r="E131" s="35">
        <v>233.16</v>
      </c>
      <c r="F131" s="36">
        <v>1159971</v>
      </c>
      <c r="G131" s="34">
        <v>42543</v>
      </c>
      <c r="H131" s="35">
        <v>233.16</v>
      </c>
      <c r="I131" s="36">
        <v>1159971</v>
      </c>
      <c r="J131" s="37" t="s">
        <v>143</v>
      </c>
    </row>
    <row r="132" spans="1:10" s="38" customFormat="1" ht="24.95" hidden="1" customHeight="1">
      <c r="A132" s="22" t="s">
        <v>1128</v>
      </c>
      <c r="B132" s="17" t="s">
        <v>445</v>
      </c>
      <c r="C132" s="16" t="s">
        <v>266</v>
      </c>
      <c r="D132" s="34">
        <v>42543</v>
      </c>
      <c r="E132" s="35">
        <v>200</v>
      </c>
      <c r="F132" s="36">
        <v>957462</v>
      </c>
      <c r="G132" s="34">
        <v>42543</v>
      </c>
      <c r="H132" s="35">
        <v>200</v>
      </c>
      <c r="I132" s="36">
        <v>957462</v>
      </c>
      <c r="J132" s="37" t="s">
        <v>1035</v>
      </c>
    </row>
    <row r="133" spans="1:10" s="38" customFormat="1" ht="24.95" hidden="1" customHeight="1">
      <c r="A133" s="22" t="s">
        <v>1058</v>
      </c>
      <c r="B133" s="17" t="s">
        <v>60</v>
      </c>
      <c r="C133" s="16" t="s">
        <v>212</v>
      </c>
      <c r="D133" s="34">
        <v>42545</v>
      </c>
      <c r="E133" s="35">
        <v>200</v>
      </c>
      <c r="F133" s="36">
        <v>957462</v>
      </c>
      <c r="G133" s="34">
        <v>42545</v>
      </c>
      <c r="H133" s="35">
        <v>200</v>
      </c>
      <c r="I133" s="36">
        <v>957462</v>
      </c>
      <c r="J133" s="37" t="s">
        <v>143</v>
      </c>
    </row>
    <row r="134" spans="1:10" s="38" customFormat="1" ht="24.95" hidden="1" customHeight="1">
      <c r="A134" s="22" t="s">
        <v>1137</v>
      </c>
      <c r="B134" s="17" t="s">
        <v>93</v>
      </c>
      <c r="C134" s="16" t="s">
        <v>101</v>
      </c>
      <c r="D134" s="34"/>
      <c r="E134" s="35"/>
      <c r="F134" s="36"/>
      <c r="G134" s="34">
        <v>42545</v>
      </c>
      <c r="H134" s="68">
        <v>4000</v>
      </c>
      <c r="I134" s="36">
        <v>2000000</v>
      </c>
      <c r="J134" s="37" t="s">
        <v>143</v>
      </c>
    </row>
    <row r="135" spans="1:10" s="38" customFormat="1" ht="24.95" hidden="1" customHeight="1">
      <c r="A135" s="22" t="s">
        <v>1143</v>
      </c>
      <c r="B135" s="17" t="s">
        <v>240</v>
      </c>
      <c r="C135" s="16" t="s">
        <v>278</v>
      </c>
      <c r="D135" s="34">
        <v>42545</v>
      </c>
      <c r="E135" s="35">
        <v>80</v>
      </c>
      <c r="F135" s="36">
        <v>788000</v>
      </c>
      <c r="G135" s="34">
        <v>42545</v>
      </c>
      <c r="H135" s="35">
        <v>80</v>
      </c>
      <c r="I135" s="36">
        <v>788000</v>
      </c>
      <c r="J135" s="37" t="s">
        <v>143</v>
      </c>
    </row>
    <row r="136" spans="1:10" s="38" customFormat="1" ht="24.95" hidden="1" customHeight="1">
      <c r="A136" s="22" t="s">
        <v>1157</v>
      </c>
      <c r="B136" s="17" t="s">
        <v>1158</v>
      </c>
      <c r="C136" s="16" t="s">
        <v>1159</v>
      </c>
      <c r="D136" s="34">
        <v>42548</v>
      </c>
      <c r="E136" s="35">
        <v>72</v>
      </c>
      <c r="F136" s="35">
        <v>707040</v>
      </c>
      <c r="G136" s="34">
        <v>42548</v>
      </c>
      <c r="H136" s="35">
        <v>72</v>
      </c>
      <c r="I136" s="35">
        <v>707040</v>
      </c>
      <c r="J136" s="37" t="s">
        <v>143</v>
      </c>
    </row>
    <row r="137" spans="1:10" s="38" customFormat="1" ht="24.95" hidden="1" customHeight="1">
      <c r="A137" s="22" t="s">
        <v>1160</v>
      </c>
      <c r="B137" s="17" t="s">
        <v>1158</v>
      </c>
      <c r="C137" s="16" t="s">
        <v>1159</v>
      </c>
      <c r="D137" s="34">
        <v>42548</v>
      </c>
      <c r="E137" s="35">
        <v>37</v>
      </c>
      <c r="F137" s="35">
        <v>364450</v>
      </c>
      <c r="G137" s="34">
        <v>42548</v>
      </c>
      <c r="H137" s="35">
        <v>37</v>
      </c>
      <c r="I137" s="35">
        <v>364450</v>
      </c>
      <c r="J137" s="37" t="s">
        <v>143</v>
      </c>
    </row>
    <row r="138" spans="1:10" s="38" customFormat="1" ht="24.95" hidden="1" customHeight="1">
      <c r="A138" s="22" t="s">
        <v>729</v>
      </c>
      <c r="B138" s="17" t="s">
        <v>1158</v>
      </c>
      <c r="C138" s="16" t="s">
        <v>274</v>
      </c>
      <c r="D138" s="34">
        <v>42522</v>
      </c>
      <c r="E138" s="35">
        <v>160</v>
      </c>
      <c r="F138" s="35">
        <v>244380.80000000002</v>
      </c>
      <c r="G138" s="34">
        <v>42522</v>
      </c>
      <c r="H138" s="35">
        <v>160</v>
      </c>
      <c r="I138" s="35">
        <v>244380.80000000002</v>
      </c>
      <c r="J138" s="37" t="s">
        <v>1163</v>
      </c>
    </row>
    <row r="139" spans="1:10" s="38" customFormat="1" ht="24.95" hidden="1" customHeight="1">
      <c r="A139" s="22" t="s">
        <v>1164</v>
      </c>
      <c r="B139" s="17" t="s">
        <v>1158</v>
      </c>
      <c r="C139" s="16" t="s">
        <v>1165</v>
      </c>
      <c r="D139" s="34">
        <v>42516</v>
      </c>
      <c r="E139" s="35">
        <v>40</v>
      </c>
      <c r="F139" s="35">
        <v>61095.200000000004</v>
      </c>
      <c r="G139" s="34">
        <v>42516</v>
      </c>
      <c r="H139" s="35">
        <v>40</v>
      </c>
      <c r="I139" s="35">
        <v>61095.200000000004</v>
      </c>
      <c r="J139" s="37" t="s">
        <v>1166</v>
      </c>
    </row>
    <row r="140" spans="1:10" s="38" customFormat="1" ht="24.95" hidden="1" customHeight="1">
      <c r="A140" s="22" t="s">
        <v>1167</v>
      </c>
      <c r="B140" s="17" t="s">
        <v>1158</v>
      </c>
      <c r="C140" s="16" t="s">
        <v>1165</v>
      </c>
      <c r="D140" s="34">
        <v>42545</v>
      </c>
      <c r="E140" s="35">
        <v>40</v>
      </c>
      <c r="F140" s="35">
        <v>60207.200000000004</v>
      </c>
      <c r="G140" s="34">
        <v>42545</v>
      </c>
      <c r="H140" s="35">
        <v>40</v>
      </c>
      <c r="I140" s="35">
        <v>60207.200000000004</v>
      </c>
      <c r="J140" s="37" t="s">
        <v>1166</v>
      </c>
    </row>
    <row r="141" spans="1:10" s="38" customFormat="1" ht="24.95" hidden="1" customHeight="1">
      <c r="A141" s="22" t="s">
        <v>1168</v>
      </c>
      <c r="B141" s="17" t="s">
        <v>1158</v>
      </c>
      <c r="C141" s="16" t="s">
        <v>1165</v>
      </c>
      <c r="D141" s="34">
        <v>42545</v>
      </c>
      <c r="E141" s="35">
        <v>60</v>
      </c>
      <c r="F141" s="35">
        <v>90310.8</v>
      </c>
      <c r="G141" s="34">
        <v>42545</v>
      </c>
      <c r="H141" s="35">
        <v>60</v>
      </c>
      <c r="I141" s="35">
        <v>90310.8</v>
      </c>
      <c r="J141" s="37" t="s">
        <v>1166</v>
      </c>
    </row>
    <row r="142" spans="1:10" s="38" customFormat="1" ht="24.95" hidden="1" customHeight="1">
      <c r="A142" s="22" t="s">
        <v>1169</v>
      </c>
      <c r="B142" s="17" t="s">
        <v>1158</v>
      </c>
      <c r="C142" s="16" t="s">
        <v>1165</v>
      </c>
      <c r="D142" s="34">
        <v>42545</v>
      </c>
      <c r="E142" s="35">
        <v>60</v>
      </c>
      <c r="F142" s="35">
        <v>90310.8</v>
      </c>
      <c r="G142" s="34">
        <v>42545</v>
      </c>
      <c r="H142" s="35">
        <v>60</v>
      </c>
      <c r="I142" s="35">
        <v>90310.8</v>
      </c>
      <c r="J142" s="37" t="s">
        <v>1166</v>
      </c>
    </row>
    <row r="143" spans="1:10" s="38" customFormat="1" ht="24.95" hidden="1" customHeight="1">
      <c r="A143" s="22" t="s">
        <v>1170</v>
      </c>
      <c r="B143" s="17" t="s">
        <v>1158</v>
      </c>
      <c r="C143" s="16" t="s">
        <v>1165</v>
      </c>
      <c r="D143" s="34">
        <v>42545</v>
      </c>
      <c r="E143" s="35">
        <v>40</v>
      </c>
      <c r="F143" s="35">
        <v>60207.200000000004</v>
      </c>
      <c r="G143" s="34">
        <v>42545</v>
      </c>
      <c r="H143" s="35">
        <v>40</v>
      </c>
      <c r="I143" s="35">
        <v>60207.200000000004</v>
      </c>
      <c r="J143" s="37" t="s">
        <v>1166</v>
      </c>
    </row>
    <row r="144" spans="1:10" s="38" customFormat="1" ht="24.95" hidden="1" customHeight="1">
      <c r="A144" s="22" t="s">
        <v>1171</v>
      </c>
      <c r="B144" s="17" t="s">
        <v>194</v>
      </c>
      <c r="C144" s="16" t="s">
        <v>1172</v>
      </c>
      <c r="D144" s="34">
        <v>42544</v>
      </c>
      <c r="E144" s="35">
        <v>40</v>
      </c>
      <c r="F144" s="35">
        <v>60800</v>
      </c>
      <c r="G144" s="34">
        <v>42544</v>
      </c>
      <c r="H144" s="35">
        <v>40</v>
      </c>
      <c r="I144" s="35">
        <v>60800</v>
      </c>
      <c r="J144" s="37" t="s">
        <v>1173</v>
      </c>
    </row>
    <row r="145" spans="1:10" s="38" customFormat="1" ht="24.95" hidden="1" customHeight="1">
      <c r="A145" s="22" t="s">
        <v>1174</v>
      </c>
      <c r="B145" s="17" t="s">
        <v>194</v>
      </c>
      <c r="C145" s="16" t="s">
        <v>1172</v>
      </c>
      <c r="D145" s="34">
        <v>42544</v>
      </c>
      <c r="E145" s="35">
        <v>160</v>
      </c>
      <c r="F145" s="35">
        <v>242400</v>
      </c>
      <c r="G145" s="34">
        <v>42544</v>
      </c>
      <c r="H145" s="35">
        <v>160</v>
      </c>
      <c r="I145" s="35">
        <v>242400</v>
      </c>
      <c r="J145" s="37" t="s">
        <v>1173</v>
      </c>
    </row>
    <row r="146" spans="1:10" s="38" customFormat="1" ht="24.95" hidden="1" customHeight="1">
      <c r="A146" s="22" t="s">
        <v>1057</v>
      </c>
      <c r="B146" s="17" t="s">
        <v>1106</v>
      </c>
      <c r="C146" s="16" t="s">
        <v>379</v>
      </c>
      <c r="D146" s="34">
        <v>42550</v>
      </c>
      <c r="E146" s="35">
        <v>300</v>
      </c>
      <c r="F146" s="35">
        <v>1439130</v>
      </c>
      <c r="G146" s="34">
        <v>42550</v>
      </c>
      <c r="H146" s="35">
        <v>300</v>
      </c>
      <c r="I146" s="35">
        <v>1439130</v>
      </c>
      <c r="J146" s="37" t="s">
        <v>143</v>
      </c>
    </row>
    <row r="147" spans="1:10" s="38" customFormat="1" ht="24.95" hidden="1" customHeight="1">
      <c r="A147" s="22" t="s">
        <v>903</v>
      </c>
      <c r="B147" s="17" t="s">
        <v>218</v>
      </c>
      <c r="C147" s="16" t="s">
        <v>168</v>
      </c>
      <c r="D147" s="34">
        <v>42550</v>
      </c>
      <c r="E147" s="68">
        <v>5262.44</v>
      </c>
      <c r="F147" s="68">
        <v>2995377.69</v>
      </c>
      <c r="G147" s="34">
        <v>42552</v>
      </c>
      <c r="H147" s="68">
        <v>5262.44</v>
      </c>
      <c r="I147" s="68">
        <v>2995377.69</v>
      </c>
      <c r="J147" s="37" t="s">
        <v>140</v>
      </c>
    </row>
    <row r="148" spans="1:10" s="38" customFormat="1" ht="24.95" hidden="1" customHeight="1">
      <c r="A148" s="22" t="s">
        <v>904</v>
      </c>
      <c r="B148" s="17" t="s">
        <v>218</v>
      </c>
      <c r="C148" s="16" t="s">
        <v>1196</v>
      </c>
      <c r="D148" s="34">
        <v>42550</v>
      </c>
      <c r="E148" s="68">
        <v>5211</v>
      </c>
      <c r="F148" s="68">
        <v>2828005.52</v>
      </c>
      <c r="G148" s="34">
        <v>42552</v>
      </c>
      <c r="H148" s="68">
        <v>5211</v>
      </c>
      <c r="I148" s="68">
        <v>2828005.52</v>
      </c>
      <c r="J148" s="37" t="s">
        <v>140</v>
      </c>
    </row>
    <row r="149" spans="1:10" s="38" customFormat="1" ht="24.95" hidden="1" customHeight="1">
      <c r="A149" s="22" t="s">
        <v>1198</v>
      </c>
      <c r="B149" s="17" t="s">
        <v>1199</v>
      </c>
      <c r="C149" s="16" t="s">
        <v>1197</v>
      </c>
      <c r="D149" s="34">
        <v>42549</v>
      </c>
      <c r="E149" s="35">
        <v>2552.0410000000002</v>
      </c>
      <c r="F149" s="35">
        <v>1282706.8500000001</v>
      </c>
      <c r="G149" s="34"/>
      <c r="H149" s="35"/>
      <c r="I149" s="35"/>
      <c r="J149" s="37"/>
    </row>
    <row r="150" spans="1:10" s="38" customFormat="1" ht="24.95" hidden="1" customHeight="1">
      <c r="A150" s="22" t="s">
        <v>1200</v>
      </c>
      <c r="B150" s="17" t="s">
        <v>1199</v>
      </c>
      <c r="C150" s="16" t="s">
        <v>1201</v>
      </c>
      <c r="D150" s="34">
        <v>42549</v>
      </c>
      <c r="E150" s="35">
        <v>13764.7225</v>
      </c>
      <c r="F150" s="35">
        <v>6969573.6100000003</v>
      </c>
      <c r="G150" s="34">
        <v>42549</v>
      </c>
      <c r="H150" s="68">
        <v>1764.7225000000001</v>
      </c>
      <c r="I150" s="35">
        <v>969573.61</v>
      </c>
      <c r="J150" s="37" t="s">
        <v>1203</v>
      </c>
    </row>
    <row r="151" spans="1:10" s="38" customFormat="1" ht="24.95" hidden="1" customHeight="1">
      <c r="A151" s="22" t="s">
        <v>1202</v>
      </c>
      <c r="B151" s="17" t="s">
        <v>1199</v>
      </c>
      <c r="C151" s="16" t="s">
        <v>1201</v>
      </c>
      <c r="D151" s="34">
        <v>42549</v>
      </c>
      <c r="E151" s="35">
        <v>6944.4479000000001</v>
      </c>
      <c r="F151" s="35">
        <v>3429898.47</v>
      </c>
      <c r="G151" s="34">
        <v>42549</v>
      </c>
      <c r="H151" s="35">
        <v>2944.4479000000001</v>
      </c>
      <c r="I151" s="35">
        <v>1429898.47</v>
      </c>
      <c r="J151" s="37" t="s">
        <v>1203</v>
      </c>
    </row>
    <row r="152" spans="1:10" s="38" customFormat="1" ht="24.95" hidden="1" customHeight="1">
      <c r="A152" s="22" t="s">
        <v>1055</v>
      </c>
      <c r="B152" s="17" t="s">
        <v>603</v>
      </c>
      <c r="C152" s="16" t="s">
        <v>630</v>
      </c>
      <c r="D152" s="34">
        <v>42557</v>
      </c>
      <c r="E152" s="35">
        <v>488.35750000000002</v>
      </c>
      <c r="F152" s="35">
        <v>2515046.2799999998</v>
      </c>
      <c r="G152" s="34">
        <v>42557</v>
      </c>
      <c r="H152" s="35">
        <v>488.35750000000002</v>
      </c>
      <c r="I152" s="35">
        <v>2515046.2799999998</v>
      </c>
      <c r="J152" s="37" t="s">
        <v>140</v>
      </c>
    </row>
    <row r="153" spans="1:10" s="38" customFormat="1" ht="24.95" hidden="1" customHeight="1">
      <c r="A153" s="22" t="s">
        <v>1253</v>
      </c>
      <c r="B153" s="17" t="s">
        <v>1254</v>
      </c>
      <c r="C153" s="16" t="s">
        <v>1255</v>
      </c>
      <c r="D153" s="34">
        <v>42557</v>
      </c>
      <c r="E153" s="35">
        <v>109.3202</v>
      </c>
      <c r="F153" s="35">
        <v>595789.64</v>
      </c>
      <c r="G153" s="34">
        <v>42557</v>
      </c>
      <c r="H153" s="35">
        <v>109.3202</v>
      </c>
      <c r="I153" s="35">
        <v>595789.64</v>
      </c>
      <c r="J153" s="37" t="s">
        <v>1256</v>
      </c>
    </row>
    <row r="154" spans="1:10" s="38" customFormat="1" ht="24.95" hidden="1" customHeight="1">
      <c r="A154" s="22" t="s">
        <v>1257</v>
      </c>
      <c r="B154" s="17" t="s">
        <v>1254</v>
      </c>
      <c r="C154" s="16" t="s">
        <v>1258</v>
      </c>
      <c r="D154" s="34">
        <v>42559</v>
      </c>
      <c r="E154" s="35">
        <v>37.861499999999999</v>
      </c>
      <c r="F154" s="173">
        <v>200712.48</v>
      </c>
      <c r="G154" s="34">
        <v>42559</v>
      </c>
      <c r="H154" s="35">
        <v>37.861499999999999</v>
      </c>
      <c r="I154" s="35">
        <v>200712.48</v>
      </c>
      <c r="J154" s="37" t="s">
        <v>1256</v>
      </c>
    </row>
    <row r="155" spans="1:10" s="38" customFormat="1" ht="24.95" hidden="1" customHeight="1">
      <c r="A155" s="22" t="s">
        <v>1259</v>
      </c>
      <c r="B155" s="17" t="s">
        <v>1260</v>
      </c>
      <c r="C155" s="16" t="s">
        <v>1258</v>
      </c>
      <c r="D155" s="34">
        <v>42559</v>
      </c>
      <c r="E155" s="35">
        <v>285.32810000000001</v>
      </c>
      <c r="F155" s="173">
        <v>3027219.25</v>
      </c>
      <c r="G155" s="34">
        <v>42562</v>
      </c>
      <c r="H155" s="35">
        <v>285.32810000000001</v>
      </c>
      <c r="I155" s="35">
        <v>3027219.25</v>
      </c>
      <c r="J155" s="37" t="s">
        <v>1256</v>
      </c>
    </row>
    <row r="156" spans="1:10" s="38" customFormat="1" ht="24.95" hidden="1" customHeight="1">
      <c r="A156" s="22" t="s">
        <v>1261</v>
      </c>
      <c r="B156" s="17" t="s">
        <v>1254</v>
      </c>
      <c r="C156" s="16" t="s">
        <v>1258</v>
      </c>
      <c r="D156" s="34">
        <v>42559</v>
      </c>
      <c r="E156" s="35">
        <v>931.32899999999995</v>
      </c>
      <c r="F156" s="173">
        <v>4641720.6500000004</v>
      </c>
      <c r="G156" s="34">
        <v>42562</v>
      </c>
      <c r="H156" s="35">
        <v>931.32899999999995</v>
      </c>
      <c r="I156" s="35">
        <v>4641720.6500000004</v>
      </c>
      <c r="J156" s="37" t="s">
        <v>1256</v>
      </c>
    </row>
    <row r="157" spans="1:10" s="38" customFormat="1" ht="24.95" hidden="1" customHeight="1">
      <c r="A157" s="22" t="s">
        <v>1262</v>
      </c>
      <c r="B157" s="17" t="s">
        <v>1260</v>
      </c>
      <c r="C157" s="16" t="s">
        <v>1258</v>
      </c>
      <c r="D157" s="34">
        <v>42559</v>
      </c>
      <c r="E157" s="35">
        <v>208.92410000000001</v>
      </c>
      <c r="F157" s="173">
        <v>2233159.2200000002</v>
      </c>
      <c r="G157" s="34">
        <v>42562</v>
      </c>
      <c r="H157" s="35">
        <v>208.92410000000001</v>
      </c>
      <c r="I157" s="35">
        <v>2233159.2200000002</v>
      </c>
      <c r="J157" s="37" t="s">
        <v>1256</v>
      </c>
    </row>
    <row r="158" spans="1:10" s="38" customFormat="1" ht="24.95" hidden="1" customHeight="1">
      <c r="A158" s="22" t="s">
        <v>1263</v>
      </c>
      <c r="B158" s="17" t="s">
        <v>1264</v>
      </c>
      <c r="C158" s="16" t="s">
        <v>1258</v>
      </c>
      <c r="D158" s="34">
        <v>42559</v>
      </c>
      <c r="E158" s="35">
        <v>80.442999999999998</v>
      </c>
      <c r="F158" s="173">
        <v>573112.53</v>
      </c>
      <c r="G158" s="34">
        <v>42562</v>
      </c>
      <c r="H158" s="35">
        <v>80.442999999999998</v>
      </c>
      <c r="I158" s="35">
        <v>573112.53</v>
      </c>
      <c r="J158" s="37" t="s">
        <v>1256</v>
      </c>
    </row>
    <row r="159" spans="1:10" s="38" customFormat="1" ht="24.95" hidden="1" customHeight="1">
      <c r="A159" s="22" t="s">
        <v>1285</v>
      </c>
      <c r="B159" s="17" t="s">
        <v>1286</v>
      </c>
      <c r="C159" s="16" t="s">
        <v>1287</v>
      </c>
      <c r="D159" s="34">
        <v>42558</v>
      </c>
      <c r="E159" s="35">
        <v>120</v>
      </c>
      <c r="F159" s="35">
        <v>1188000</v>
      </c>
      <c r="G159" s="34">
        <v>42558</v>
      </c>
      <c r="H159" s="35">
        <v>120</v>
      </c>
      <c r="I159" s="35">
        <v>1188000</v>
      </c>
      <c r="J159" s="37" t="s">
        <v>1288</v>
      </c>
    </row>
    <row r="160" spans="1:10" s="38" customFormat="1" ht="24.95" hidden="1" customHeight="1">
      <c r="A160" s="22" t="s">
        <v>1289</v>
      </c>
      <c r="B160" s="17" t="s">
        <v>1290</v>
      </c>
      <c r="C160" s="16" t="s">
        <v>1291</v>
      </c>
      <c r="D160" s="34">
        <v>42562</v>
      </c>
      <c r="E160" s="35">
        <v>40.572400000000002</v>
      </c>
      <c r="F160" s="35">
        <v>188946.47</v>
      </c>
      <c r="G160" s="34">
        <v>42562</v>
      </c>
      <c r="H160" s="35">
        <v>40.572400000000002</v>
      </c>
      <c r="I160" s="35">
        <v>188946.47</v>
      </c>
      <c r="J160" s="37" t="s">
        <v>1288</v>
      </c>
    </row>
    <row r="161" spans="1:10" s="38" customFormat="1" ht="24.95" hidden="1" customHeight="1">
      <c r="A161" s="22" t="s">
        <v>1292</v>
      </c>
      <c r="B161" s="17" t="s">
        <v>1290</v>
      </c>
      <c r="C161" s="16" t="s">
        <v>1291</v>
      </c>
      <c r="D161" s="34">
        <v>42562</v>
      </c>
      <c r="E161" s="35">
        <v>104.62949999999999</v>
      </c>
      <c r="F161" s="35">
        <v>486330.03</v>
      </c>
      <c r="G161" s="34">
        <v>42562</v>
      </c>
      <c r="H161" s="35">
        <v>104.62949999999999</v>
      </c>
      <c r="I161" s="35">
        <v>486330.03</v>
      </c>
      <c r="J161" s="37" t="s">
        <v>1288</v>
      </c>
    </row>
    <row r="162" spans="1:10" s="38" customFormat="1" ht="24.95" hidden="1" customHeight="1">
      <c r="A162" s="22" t="s">
        <v>1119</v>
      </c>
      <c r="B162" s="17" t="s">
        <v>603</v>
      </c>
      <c r="C162" s="16" t="s">
        <v>195</v>
      </c>
      <c r="D162" s="34">
        <v>42562</v>
      </c>
      <c r="E162" s="35">
        <v>72.116500000000002</v>
      </c>
      <c r="F162" s="35">
        <v>325484.82</v>
      </c>
      <c r="G162" s="34">
        <v>42562</v>
      </c>
      <c r="H162" s="35">
        <v>72.116500000000002</v>
      </c>
      <c r="I162" s="35">
        <v>325484.82</v>
      </c>
      <c r="J162" s="37" t="s">
        <v>143</v>
      </c>
    </row>
    <row r="163" spans="1:10" s="38" customFormat="1" ht="24.95" hidden="1" customHeight="1">
      <c r="A163" s="22" t="s">
        <v>922</v>
      </c>
      <c r="B163" s="17" t="s">
        <v>603</v>
      </c>
      <c r="C163" s="16" t="s">
        <v>479</v>
      </c>
      <c r="D163" s="34">
        <v>42562</v>
      </c>
      <c r="E163" s="35">
        <v>114.31</v>
      </c>
      <c r="F163" s="35">
        <v>590556.05000000005</v>
      </c>
      <c r="G163" s="34">
        <v>42562</v>
      </c>
      <c r="H163" s="35">
        <v>114.31</v>
      </c>
      <c r="I163" s="35">
        <v>590556.05000000005</v>
      </c>
      <c r="J163" s="37" t="s">
        <v>143</v>
      </c>
    </row>
    <row r="164" spans="1:10" s="38" customFormat="1" ht="24.95" hidden="1" customHeight="1">
      <c r="A164" s="22" t="s">
        <v>632</v>
      </c>
      <c r="B164" s="17" t="s">
        <v>603</v>
      </c>
      <c r="C164" s="16" t="s">
        <v>621</v>
      </c>
      <c r="D164" s="34">
        <v>42562</v>
      </c>
      <c r="E164" s="35">
        <v>19.977</v>
      </c>
      <c r="F164" s="35">
        <v>113868.9</v>
      </c>
      <c r="G164" s="34">
        <v>42562</v>
      </c>
      <c r="H164" s="35">
        <v>19.977</v>
      </c>
      <c r="I164" s="35">
        <v>113868.9</v>
      </c>
      <c r="J164" s="37" t="s">
        <v>140</v>
      </c>
    </row>
    <row r="165" spans="1:10" s="38" customFormat="1" ht="24.95" hidden="1" customHeight="1">
      <c r="A165" s="22" t="s">
        <v>1325</v>
      </c>
      <c r="B165" s="17" t="s">
        <v>1326</v>
      </c>
      <c r="C165" s="16" t="s">
        <v>1327</v>
      </c>
      <c r="D165" s="34">
        <v>42565</v>
      </c>
      <c r="E165" s="35">
        <v>126.6994</v>
      </c>
      <c r="F165" s="35">
        <v>603567.05000000005</v>
      </c>
      <c r="G165" s="34">
        <v>42565</v>
      </c>
      <c r="H165" s="35">
        <v>126.6994</v>
      </c>
      <c r="I165" s="35">
        <v>603567.05000000005</v>
      </c>
      <c r="J165" s="37" t="s">
        <v>1328</v>
      </c>
    </row>
    <row r="166" spans="1:10" s="38" customFormat="1" ht="24.95" hidden="1" customHeight="1">
      <c r="A166" s="22" t="s">
        <v>1329</v>
      </c>
      <c r="B166" s="17" t="s">
        <v>1326</v>
      </c>
      <c r="C166" s="16" t="s">
        <v>1330</v>
      </c>
      <c r="D166" s="34">
        <v>42565</v>
      </c>
      <c r="E166" s="35">
        <v>110.4435</v>
      </c>
      <c r="F166" s="35">
        <v>570020.99</v>
      </c>
      <c r="G166" s="34">
        <v>42565</v>
      </c>
      <c r="H166" s="35">
        <v>110.4435</v>
      </c>
      <c r="I166" s="35">
        <v>570020.99</v>
      </c>
      <c r="J166" s="37" t="s">
        <v>1328</v>
      </c>
    </row>
    <row r="167" spans="1:10" s="38" customFormat="1" ht="24.95" hidden="1" customHeight="1">
      <c r="A167" s="22" t="s">
        <v>1331</v>
      </c>
      <c r="B167" s="17" t="s">
        <v>1326</v>
      </c>
      <c r="C167" s="16" t="s">
        <v>1330</v>
      </c>
      <c r="D167" s="34">
        <v>42565</v>
      </c>
      <c r="E167" s="35">
        <v>183.08199999999999</v>
      </c>
      <c r="F167" s="35">
        <v>894813.28</v>
      </c>
      <c r="G167" s="34">
        <v>42565</v>
      </c>
      <c r="H167" s="35">
        <v>183.08199999999999</v>
      </c>
      <c r="I167" s="35">
        <v>894813.28</v>
      </c>
      <c r="J167" s="37" t="s">
        <v>1328</v>
      </c>
    </row>
    <row r="168" spans="1:10" s="38" customFormat="1" ht="24.95" hidden="1" customHeight="1">
      <c r="A168" s="22" t="s">
        <v>1332</v>
      </c>
      <c r="B168" s="17" t="s">
        <v>1333</v>
      </c>
      <c r="C168" s="16" t="s">
        <v>1334</v>
      </c>
      <c r="D168" s="34">
        <v>42563</v>
      </c>
      <c r="E168" s="35">
        <v>25</v>
      </c>
      <c r="F168" s="35">
        <v>261000</v>
      </c>
      <c r="G168" s="34">
        <v>42563</v>
      </c>
      <c r="H168" s="35">
        <v>25</v>
      </c>
      <c r="I168" s="35">
        <v>261000</v>
      </c>
      <c r="J168" s="37" t="s">
        <v>1335</v>
      </c>
    </row>
    <row r="169" spans="1:10" s="38" customFormat="1" ht="24.95" hidden="1" customHeight="1">
      <c r="A169" s="136" t="s">
        <v>1361</v>
      </c>
      <c r="B169" s="33" t="s">
        <v>1362</v>
      </c>
      <c r="C169" s="16" t="s">
        <v>1363</v>
      </c>
      <c r="D169" s="137">
        <v>42552</v>
      </c>
      <c r="E169" s="35">
        <v>2552.0410000000002</v>
      </c>
      <c r="F169" s="35">
        <v>1282706.8500000001</v>
      </c>
      <c r="G169" s="137">
        <v>42552</v>
      </c>
      <c r="H169" s="35">
        <v>2552.0410000000002</v>
      </c>
      <c r="I169" s="35">
        <v>1282706.8500000001</v>
      </c>
      <c r="J169" s="37" t="s">
        <v>374</v>
      </c>
    </row>
    <row r="170" spans="1:10" s="38" customFormat="1" ht="24.95" hidden="1" customHeight="1">
      <c r="A170" s="22" t="s">
        <v>1462</v>
      </c>
      <c r="B170" s="17" t="s">
        <v>1450</v>
      </c>
      <c r="C170" s="16" t="s">
        <v>101</v>
      </c>
      <c r="D170" s="34">
        <v>42571</v>
      </c>
      <c r="E170" s="35">
        <v>7627.960500000001</v>
      </c>
      <c r="F170" s="35">
        <v>3884704.25</v>
      </c>
      <c r="G170" s="34">
        <v>42572</v>
      </c>
      <c r="H170" s="148">
        <v>7627.960500000001</v>
      </c>
      <c r="I170" s="35">
        <v>3884704.25</v>
      </c>
      <c r="J170" s="37" t="s">
        <v>1460</v>
      </c>
    </row>
    <row r="171" spans="1:10" s="38" customFormat="1" ht="24.95" hidden="1" customHeight="1">
      <c r="A171" s="22" t="s">
        <v>1153</v>
      </c>
      <c r="B171" s="17" t="s">
        <v>757</v>
      </c>
      <c r="C171" s="16" t="s">
        <v>1151</v>
      </c>
      <c r="D171" s="34">
        <v>42569</v>
      </c>
      <c r="E171" s="35">
        <v>112</v>
      </c>
      <c r="F171" s="35">
        <v>1103200</v>
      </c>
      <c r="G171" s="34">
        <v>42569</v>
      </c>
      <c r="H171" s="35">
        <v>112</v>
      </c>
      <c r="I171" s="35">
        <v>1103200</v>
      </c>
      <c r="J171" s="37" t="s">
        <v>820</v>
      </c>
    </row>
    <row r="172" spans="1:10" s="38" customFormat="1" ht="24.95" hidden="1" customHeight="1">
      <c r="A172" s="22" t="s">
        <v>1413</v>
      </c>
      <c r="B172" s="17" t="s">
        <v>1414</v>
      </c>
      <c r="C172" s="16" t="s">
        <v>1415</v>
      </c>
      <c r="D172" s="34">
        <v>42569</v>
      </c>
      <c r="E172" s="35">
        <v>37</v>
      </c>
      <c r="F172" s="35">
        <v>368150</v>
      </c>
      <c r="G172" s="34">
        <v>42569</v>
      </c>
      <c r="H172" s="35">
        <v>37</v>
      </c>
      <c r="I172" s="35">
        <v>368150</v>
      </c>
      <c r="J172" s="37" t="s">
        <v>1416</v>
      </c>
    </row>
    <row r="173" spans="1:10" s="38" customFormat="1" ht="24.95" hidden="1" customHeight="1">
      <c r="A173" s="22" t="s">
        <v>1417</v>
      </c>
      <c r="B173" s="17" t="s">
        <v>1414</v>
      </c>
      <c r="C173" s="16" t="s">
        <v>1418</v>
      </c>
      <c r="D173" s="34">
        <v>42571</v>
      </c>
      <c r="E173" s="35">
        <v>37</v>
      </c>
      <c r="F173" s="35">
        <v>372960</v>
      </c>
      <c r="G173" s="34">
        <v>42571</v>
      </c>
      <c r="H173" s="35">
        <v>37</v>
      </c>
      <c r="I173" s="35">
        <v>372960</v>
      </c>
      <c r="J173" s="37" t="s">
        <v>1419</v>
      </c>
    </row>
    <row r="174" spans="1:10" s="38" customFormat="1" ht="24.95" hidden="1" customHeight="1">
      <c r="A174" s="22" t="s">
        <v>983</v>
      </c>
      <c r="B174" s="17" t="s">
        <v>240</v>
      </c>
      <c r="C174" s="16" t="s">
        <v>474</v>
      </c>
      <c r="D174" s="34">
        <v>42559</v>
      </c>
      <c r="E174" s="35">
        <v>120</v>
      </c>
      <c r="F174" s="35">
        <v>181735.2</v>
      </c>
      <c r="G174" s="34">
        <v>42559</v>
      </c>
      <c r="H174" s="35">
        <v>120</v>
      </c>
      <c r="I174" s="35">
        <v>181735.2</v>
      </c>
      <c r="J174" s="37" t="s">
        <v>401</v>
      </c>
    </row>
    <row r="175" spans="1:10" s="38" customFormat="1" ht="24.95" hidden="1" customHeight="1">
      <c r="A175" s="22" t="s">
        <v>1390</v>
      </c>
      <c r="B175" s="17" t="s">
        <v>60</v>
      </c>
      <c r="C175" s="16" t="s">
        <v>1446</v>
      </c>
      <c r="D175" s="34">
        <v>42576</v>
      </c>
      <c r="E175" s="35">
        <v>500</v>
      </c>
      <c r="F175" s="35">
        <v>2370440</v>
      </c>
      <c r="G175" s="34">
        <v>42576</v>
      </c>
      <c r="H175" s="35">
        <v>500</v>
      </c>
      <c r="I175" s="35">
        <v>2370440</v>
      </c>
      <c r="J175" s="37" t="s">
        <v>143</v>
      </c>
    </row>
    <row r="176" spans="1:10" s="38" customFormat="1" ht="24.95" hidden="1" customHeight="1">
      <c r="A176" s="22" t="s">
        <v>1449</v>
      </c>
      <c r="B176" s="17" t="s">
        <v>1450</v>
      </c>
      <c r="C176" s="16" t="s">
        <v>168</v>
      </c>
      <c r="D176" s="34">
        <v>42566</v>
      </c>
      <c r="E176" s="68">
        <v>3533.0129999999999</v>
      </c>
      <c r="F176" s="68">
        <v>1841359.77</v>
      </c>
      <c r="G176" s="34">
        <v>42566</v>
      </c>
      <c r="H176" s="68">
        <v>3533.0129999999999</v>
      </c>
      <c r="I176" s="68">
        <v>1841359.77</v>
      </c>
      <c r="J176" s="37" t="s">
        <v>1451</v>
      </c>
    </row>
    <row r="177" spans="1:10" s="38" customFormat="1" ht="24.95" hidden="1" customHeight="1">
      <c r="A177" s="22" t="s">
        <v>1452</v>
      </c>
      <c r="B177" s="17" t="s">
        <v>1450</v>
      </c>
      <c r="C177" s="16" t="s">
        <v>168</v>
      </c>
      <c r="D177" s="34">
        <v>42569</v>
      </c>
      <c r="E177" s="68">
        <v>9300.518</v>
      </c>
      <c r="F177" s="68">
        <v>4882325.9000000004</v>
      </c>
      <c r="G177" s="34">
        <v>42569</v>
      </c>
      <c r="H177" s="68">
        <v>9300.518</v>
      </c>
      <c r="I177" s="68">
        <v>4882325.9000000004</v>
      </c>
      <c r="J177" s="37" t="s">
        <v>1451</v>
      </c>
    </row>
    <row r="178" spans="1:10" s="38" customFormat="1" ht="24.95" hidden="1" customHeight="1">
      <c r="A178" s="22" t="s">
        <v>1453</v>
      </c>
      <c r="B178" s="17" t="s">
        <v>1450</v>
      </c>
      <c r="C178" s="16" t="s">
        <v>168</v>
      </c>
      <c r="D178" s="34">
        <v>42569</v>
      </c>
      <c r="E178" s="68">
        <v>3801.5540000000001</v>
      </c>
      <c r="F178" s="68">
        <v>2018757.48</v>
      </c>
      <c r="G178" s="34">
        <v>42569</v>
      </c>
      <c r="H178" s="68">
        <v>3801.5540000000001</v>
      </c>
      <c r="I178" s="68">
        <v>2018757.48</v>
      </c>
      <c r="J178" s="37" t="s">
        <v>1451</v>
      </c>
    </row>
    <row r="179" spans="1:10" s="38" customFormat="1" ht="24.95" hidden="1" customHeight="1">
      <c r="A179" s="22" t="s">
        <v>1453</v>
      </c>
      <c r="B179" s="17" t="s">
        <v>1450</v>
      </c>
      <c r="C179" s="16" t="s">
        <v>168</v>
      </c>
      <c r="D179" s="34">
        <v>42571</v>
      </c>
      <c r="E179" s="68">
        <v>7627.9610000000002</v>
      </c>
      <c r="F179" s="68">
        <v>4109433.63</v>
      </c>
      <c r="G179" s="34">
        <v>42571</v>
      </c>
      <c r="H179" s="68">
        <v>7627.9610000000002</v>
      </c>
      <c r="I179" s="68">
        <v>4109433.63</v>
      </c>
      <c r="J179" s="37" t="s">
        <v>1451</v>
      </c>
    </row>
    <row r="180" spans="1:10" s="38" customFormat="1" ht="24.95" hidden="1" customHeight="1">
      <c r="A180" s="22" t="s">
        <v>1459</v>
      </c>
      <c r="B180" s="17" t="s">
        <v>1450</v>
      </c>
      <c r="C180" s="16" t="s">
        <v>220</v>
      </c>
      <c r="D180" s="34">
        <v>42565</v>
      </c>
      <c r="E180" s="173">
        <v>3533.0129999999999</v>
      </c>
      <c r="F180" s="35">
        <v>1757503.41</v>
      </c>
      <c r="G180" s="34">
        <v>42569</v>
      </c>
      <c r="H180" s="35">
        <v>3533.0129999999999</v>
      </c>
      <c r="I180" s="35">
        <v>1757503.41</v>
      </c>
      <c r="J180" s="37" t="s">
        <v>1460</v>
      </c>
    </row>
    <row r="181" spans="1:10" s="38" customFormat="1" ht="24.95" hidden="1" customHeight="1">
      <c r="A181" s="22" t="s">
        <v>1518</v>
      </c>
      <c r="B181" s="17" t="s">
        <v>1516</v>
      </c>
      <c r="C181" s="16" t="s">
        <v>101</v>
      </c>
      <c r="D181" s="34">
        <v>42578</v>
      </c>
      <c r="E181" s="231">
        <v>2124.9670000000001</v>
      </c>
      <c r="F181" s="35">
        <v>1079228.24</v>
      </c>
      <c r="G181" s="34">
        <v>42579</v>
      </c>
      <c r="H181" s="148">
        <v>2124.9670000000001</v>
      </c>
      <c r="I181" s="35">
        <v>1079228.24</v>
      </c>
      <c r="J181" s="37" t="s">
        <v>1519</v>
      </c>
    </row>
    <row r="182" spans="1:10" s="38" customFormat="1" ht="24.95" hidden="1" customHeight="1">
      <c r="A182" s="22" t="s">
        <v>1372</v>
      </c>
      <c r="B182" s="17" t="s">
        <v>1373</v>
      </c>
      <c r="C182" s="16" t="s">
        <v>101</v>
      </c>
      <c r="D182" s="34">
        <v>42556</v>
      </c>
      <c r="E182" s="35">
        <v>2356.0700999999999</v>
      </c>
      <c r="F182" s="35">
        <v>1178294.22</v>
      </c>
      <c r="G182" s="34">
        <v>42557</v>
      </c>
      <c r="H182" s="148">
        <v>2356.0700999999999</v>
      </c>
      <c r="I182" s="35">
        <v>1178294.22</v>
      </c>
      <c r="J182" s="37" t="s">
        <v>143</v>
      </c>
    </row>
    <row r="183" spans="1:10" s="38" customFormat="1" ht="24.95" hidden="1" customHeight="1">
      <c r="A183" s="22" t="s">
        <v>2369</v>
      </c>
      <c r="B183" s="22" t="s">
        <v>1465</v>
      </c>
      <c r="C183" s="16" t="s">
        <v>1468</v>
      </c>
      <c r="D183" s="34">
        <v>42565</v>
      </c>
      <c r="E183" s="35">
        <v>900</v>
      </c>
      <c r="F183" s="36">
        <f>E183*390</f>
        <v>351000</v>
      </c>
      <c r="G183" s="34">
        <v>42565</v>
      </c>
      <c r="H183" s="35">
        <v>900</v>
      </c>
      <c r="I183" s="36">
        <f>H183*390</f>
        <v>351000</v>
      </c>
      <c r="J183" s="37" t="s">
        <v>1469</v>
      </c>
    </row>
    <row r="184" spans="1:10" s="38" customFormat="1" ht="24.95" hidden="1" customHeight="1">
      <c r="A184" s="22" t="s">
        <v>2370</v>
      </c>
      <c r="B184" s="17" t="s">
        <v>747</v>
      </c>
      <c r="C184" s="16" t="s">
        <v>748</v>
      </c>
      <c r="D184" s="34">
        <v>42576</v>
      </c>
      <c r="E184" s="35">
        <v>900</v>
      </c>
      <c r="F184" s="36">
        <f>E184*390</f>
        <v>351000</v>
      </c>
      <c r="G184" s="34">
        <v>42576</v>
      </c>
      <c r="H184" s="35">
        <v>900</v>
      </c>
      <c r="I184" s="36">
        <f>H184*390</f>
        <v>351000</v>
      </c>
      <c r="J184" s="37" t="s">
        <v>388</v>
      </c>
    </row>
    <row r="185" spans="1:10" s="38" customFormat="1" ht="24.95" hidden="1" customHeight="1">
      <c r="A185" s="22" t="s">
        <v>1308</v>
      </c>
      <c r="B185" s="17" t="s">
        <v>240</v>
      </c>
      <c r="C185" s="16" t="s">
        <v>474</v>
      </c>
      <c r="D185" s="34">
        <v>42576</v>
      </c>
      <c r="E185" s="35">
        <v>200</v>
      </c>
      <c r="F185" s="35">
        <v>303502</v>
      </c>
      <c r="G185" s="34">
        <v>42576</v>
      </c>
      <c r="H185" s="35">
        <v>200</v>
      </c>
      <c r="I185" s="36">
        <v>303502</v>
      </c>
      <c r="J185" s="37" t="s">
        <v>401</v>
      </c>
    </row>
    <row r="186" spans="1:10" s="38" customFormat="1" ht="24.95" hidden="1" customHeight="1">
      <c r="A186" s="22" t="s">
        <v>1473</v>
      </c>
      <c r="B186" s="17" t="s">
        <v>240</v>
      </c>
      <c r="C186" s="16" t="s">
        <v>992</v>
      </c>
      <c r="D186" s="34">
        <v>42573</v>
      </c>
      <c r="E186" s="35">
        <v>200</v>
      </c>
      <c r="F186" s="35">
        <v>304000</v>
      </c>
      <c r="G186" s="34">
        <v>42573</v>
      </c>
      <c r="H186" s="35">
        <v>200</v>
      </c>
      <c r="I186" s="36">
        <v>304000</v>
      </c>
      <c r="J186" s="37" t="s">
        <v>1472</v>
      </c>
    </row>
    <row r="187" spans="1:10" s="38" customFormat="1" ht="24.95" hidden="1" customHeight="1">
      <c r="A187" s="22" t="s">
        <v>1293</v>
      </c>
      <c r="B187" s="17" t="s">
        <v>60</v>
      </c>
      <c r="C187" s="16" t="s">
        <v>210</v>
      </c>
      <c r="D187" s="34">
        <v>42578</v>
      </c>
      <c r="E187" s="35">
        <v>237.8</v>
      </c>
      <c r="F187" s="35">
        <v>1164031</v>
      </c>
      <c r="G187" s="34">
        <v>42578</v>
      </c>
      <c r="H187" s="35">
        <v>237.8</v>
      </c>
      <c r="I187" s="36">
        <v>1164031</v>
      </c>
      <c r="J187" s="37" t="s">
        <v>143</v>
      </c>
    </row>
    <row r="188" spans="1:10" s="38" customFormat="1" ht="24.95" hidden="1" customHeight="1">
      <c r="A188" s="22" t="s">
        <v>1356</v>
      </c>
      <c r="B188" s="17" t="s">
        <v>430</v>
      </c>
      <c r="C188" s="16" t="s">
        <v>210</v>
      </c>
      <c r="D188" s="34">
        <v>42578</v>
      </c>
      <c r="E188" s="35">
        <v>118.88</v>
      </c>
      <c r="F188" s="35">
        <v>575973.6</v>
      </c>
      <c r="G188" s="34">
        <v>42578</v>
      </c>
      <c r="H188" s="35">
        <v>118.88</v>
      </c>
      <c r="I188" s="36">
        <v>575973.6</v>
      </c>
      <c r="J188" s="37" t="s">
        <v>143</v>
      </c>
    </row>
    <row r="189" spans="1:10" s="38" customFormat="1" ht="24.95" hidden="1" customHeight="1">
      <c r="A189" s="22" t="s">
        <v>1217</v>
      </c>
      <c r="B189" s="17" t="s">
        <v>175</v>
      </c>
      <c r="C189" s="16" t="s">
        <v>321</v>
      </c>
      <c r="D189" s="34">
        <v>42578</v>
      </c>
      <c r="E189" s="35">
        <v>70.932000000000002</v>
      </c>
      <c r="F189" s="173">
        <v>761893.46</v>
      </c>
      <c r="G189" s="34">
        <v>42578</v>
      </c>
      <c r="H189" s="68">
        <v>70.932000000000002</v>
      </c>
      <c r="I189" s="36">
        <v>761893.46</v>
      </c>
      <c r="J189" s="37" t="s">
        <v>140</v>
      </c>
    </row>
    <row r="190" spans="1:10" s="38" customFormat="1" ht="24.95" hidden="1" customHeight="1">
      <c r="A190" s="22" t="s">
        <v>1501</v>
      </c>
      <c r="B190" s="17" t="s">
        <v>1502</v>
      </c>
      <c r="C190" s="16" t="s">
        <v>1503</v>
      </c>
      <c r="D190" s="34">
        <v>42578</v>
      </c>
      <c r="E190" s="35">
        <v>78.185000000000002</v>
      </c>
      <c r="F190" s="173">
        <v>557025.52</v>
      </c>
      <c r="G190" s="34">
        <v>42578</v>
      </c>
      <c r="H190" s="68">
        <v>78.185000000000002</v>
      </c>
      <c r="I190" s="36">
        <v>557025.52</v>
      </c>
      <c r="J190" s="37" t="s">
        <v>1504</v>
      </c>
    </row>
    <row r="191" spans="1:10" s="38" customFormat="1" ht="24.95" hidden="1" customHeight="1">
      <c r="A191" s="22" t="s">
        <v>1505</v>
      </c>
      <c r="B191" s="17" t="s">
        <v>1506</v>
      </c>
      <c r="C191" s="16" t="s">
        <v>1503</v>
      </c>
      <c r="D191" s="34">
        <v>42578</v>
      </c>
      <c r="E191" s="35">
        <v>834.95100000000002</v>
      </c>
      <c r="F191" s="173">
        <v>4127791.66</v>
      </c>
      <c r="G191" s="34">
        <v>42578</v>
      </c>
      <c r="H191" s="68">
        <v>834.95100000000002</v>
      </c>
      <c r="I191" s="36">
        <v>4127791.66</v>
      </c>
      <c r="J191" s="37" t="s">
        <v>1504</v>
      </c>
    </row>
    <row r="192" spans="1:10" s="38" customFormat="1" ht="24.95" hidden="1" customHeight="1">
      <c r="A192" s="22" t="s">
        <v>1389</v>
      </c>
      <c r="B192" s="17" t="s">
        <v>1508</v>
      </c>
      <c r="C192" s="16" t="s">
        <v>1509</v>
      </c>
      <c r="D192" s="34">
        <v>42580</v>
      </c>
      <c r="E192" s="35">
        <v>500</v>
      </c>
      <c r="F192" s="35">
        <v>2394875</v>
      </c>
      <c r="G192" s="34">
        <v>42580</v>
      </c>
      <c r="H192" s="35">
        <v>500</v>
      </c>
      <c r="I192" s="36">
        <v>2394875</v>
      </c>
      <c r="J192" s="37" t="s">
        <v>1510</v>
      </c>
    </row>
    <row r="193" spans="1:10" s="38" customFormat="1" ht="24.95" hidden="1" customHeight="1">
      <c r="A193" s="22" t="s">
        <v>1220</v>
      </c>
      <c r="B193" s="17" t="s">
        <v>60</v>
      </c>
      <c r="C193" s="16" t="s">
        <v>144</v>
      </c>
      <c r="D193" s="34">
        <v>42583</v>
      </c>
      <c r="E193" s="35">
        <v>684.92619999999999</v>
      </c>
      <c r="F193" s="35">
        <v>3458877.31</v>
      </c>
      <c r="G193" s="34">
        <v>42583</v>
      </c>
      <c r="H193" s="35">
        <v>684.92619999999999</v>
      </c>
      <c r="I193" s="36">
        <v>3458877.31</v>
      </c>
      <c r="J193" s="37" t="s">
        <v>140</v>
      </c>
    </row>
    <row r="194" spans="1:10" s="38" customFormat="1" ht="24.95" hidden="1" customHeight="1">
      <c r="A194" s="22" t="s">
        <v>1515</v>
      </c>
      <c r="B194" s="17" t="s">
        <v>1516</v>
      </c>
      <c r="C194" s="16" t="s">
        <v>321</v>
      </c>
      <c r="D194" s="34">
        <v>42583</v>
      </c>
      <c r="E194" s="231">
        <v>2124.9670000000001</v>
      </c>
      <c r="F194" s="68">
        <v>1141835.3999999999</v>
      </c>
      <c r="G194" s="34">
        <v>42583</v>
      </c>
      <c r="H194" s="68">
        <v>2124.9670000000001</v>
      </c>
      <c r="I194" s="36">
        <v>1141835.3999999999</v>
      </c>
      <c r="J194" s="37" t="s">
        <v>1517</v>
      </c>
    </row>
    <row r="195" spans="1:10" s="38" customFormat="1" ht="24.95" hidden="1" customHeight="1">
      <c r="A195" s="22" t="s">
        <v>1462</v>
      </c>
      <c r="B195" s="17" t="s">
        <v>1450</v>
      </c>
      <c r="C195" s="16" t="s">
        <v>101</v>
      </c>
      <c r="D195" s="34">
        <v>42565</v>
      </c>
      <c r="E195" s="232">
        <v>3801.5536999999999</v>
      </c>
      <c r="F195" s="35">
        <v>1906729.64</v>
      </c>
      <c r="G195" s="34">
        <v>42566</v>
      </c>
      <c r="H195" s="148">
        <v>3801.5536999999999</v>
      </c>
      <c r="I195" s="36">
        <v>1906729.64</v>
      </c>
      <c r="J195" s="37" t="s">
        <v>1460</v>
      </c>
    </row>
    <row r="196" spans="1:10" s="38" customFormat="1" ht="24.95" hidden="1" customHeight="1">
      <c r="A196" s="22" t="s">
        <v>1561</v>
      </c>
      <c r="B196" s="17" t="s">
        <v>1562</v>
      </c>
      <c r="C196" s="16" t="s">
        <v>1563</v>
      </c>
      <c r="D196" s="34">
        <v>42590</v>
      </c>
      <c r="E196" s="35">
        <v>251.23650000000001</v>
      </c>
      <c r="F196" s="35">
        <v>1268744.33</v>
      </c>
      <c r="G196" s="34">
        <v>42590</v>
      </c>
      <c r="H196" s="35">
        <v>251.23650000000001</v>
      </c>
      <c r="I196" s="36">
        <v>1268744.33</v>
      </c>
      <c r="J196" s="37" t="s">
        <v>1564</v>
      </c>
    </row>
    <row r="197" spans="1:10" s="38" customFormat="1" ht="24.95" hidden="1" customHeight="1">
      <c r="A197" s="22" t="s">
        <v>1565</v>
      </c>
      <c r="B197" s="17" t="s">
        <v>1566</v>
      </c>
      <c r="C197" s="16" t="s">
        <v>1567</v>
      </c>
      <c r="D197" s="34">
        <v>42590</v>
      </c>
      <c r="E197" s="35">
        <v>71.960999999999999</v>
      </c>
      <c r="F197" s="173">
        <v>772946.14</v>
      </c>
      <c r="G197" s="34">
        <v>42590</v>
      </c>
      <c r="H197" s="68">
        <v>71.960999999999999</v>
      </c>
      <c r="I197" s="36">
        <v>772946.14</v>
      </c>
      <c r="J197" s="37" t="s">
        <v>1564</v>
      </c>
    </row>
    <row r="198" spans="1:10" s="38" customFormat="1" ht="24.95" hidden="1" customHeight="1">
      <c r="A198" s="22" t="s">
        <v>1568</v>
      </c>
      <c r="B198" s="17" t="s">
        <v>1562</v>
      </c>
      <c r="C198" s="16" t="s">
        <v>1567</v>
      </c>
      <c r="D198" s="34">
        <v>42590</v>
      </c>
      <c r="E198" s="35">
        <v>488.26900000000001</v>
      </c>
      <c r="F198" s="173">
        <v>2407826.6</v>
      </c>
      <c r="G198" s="34">
        <v>42590</v>
      </c>
      <c r="H198" s="68">
        <v>488.26900000000001</v>
      </c>
      <c r="I198" s="36">
        <v>2407826.6</v>
      </c>
      <c r="J198" s="37" t="s">
        <v>1564</v>
      </c>
    </row>
    <row r="199" spans="1:10" s="38" customFormat="1" ht="24.95" hidden="1" customHeight="1">
      <c r="A199" s="22" t="s">
        <v>1442</v>
      </c>
      <c r="B199" s="17" t="s">
        <v>60</v>
      </c>
      <c r="C199" s="16" t="s">
        <v>195</v>
      </c>
      <c r="D199" s="34">
        <v>42597</v>
      </c>
      <c r="E199" s="35">
        <v>148.6</v>
      </c>
      <c r="F199" s="35">
        <v>764547</v>
      </c>
      <c r="G199" s="34">
        <v>42597</v>
      </c>
      <c r="H199" s="35">
        <v>148.6</v>
      </c>
      <c r="I199" s="36">
        <v>764547</v>
      </c>
      <c r="J199" s="37" t="s">
        <v>143</v>
      </c>
    </row>
    <row r="200" spans="1:10" s="38" customFormat="1" ht="24.95" hidden="1" customHeight="1">
      <c r="A200" s="22" t="s">
        <v>1602</v>
      </c>
      <c r="B200" s="17" t="s">
        <v>1603</v>
      </c>
      <c r="C200" s="16" t="s">
        <v>1604</v>
      </c>
      <c r="D200" s="34">
        <v>42598</v>
      </c>
      <c r="E200" s="68">
        <v>15863.583699999999</v>
      </c>
      <c r="F200" s="35">
        <v>8774015.4900000002</v>
      </c>
      <c r="G200" s="34">
        <v>42598</v>
      </c>
      <c r="H200" s="35">
        <v>15863.583699999999</v>
      </c>
      <c r="I200" s="36">
        <v>8774015.4900000002</v>
      </c>
      <c r="J200" s="37" t="s">
        <v>1605</v>
      </c>
    </row>
    <row r="201" spans="1:10" s="38" customFormat="1" ht="24.95" hidden="1" customHeight="1">
      <c r="A201" s="22" t="s">
        <v>1531</v>
      </c>
      <c r="B201" s="17" t="s">
        <v>1603</v>
      </c>
      <c r="C201" s="16" t="s">
        <v>1606</v>
      </c>
      <c r="D201" s="34">
        <v>42598</v>
      </c>
      <c r="E201" s="68">
        <v>4741.1949000000004</v>
      </c>
      <c r="F201" s="35">
        <v>2449987.2999999998</v>
      </c>
      <c r="G201" s="34">
        <v>42598</v>
      </c>
      <c r="H201" s="35">
        <v>4741.1949000000004</v>
      </c>
      <c r="I201" s="36">
        <v>2449987.2999999998</v>
      </c>
      <c r="J201" s="37" t="s">
        <v>1607</v>
      </c>
    </row>
    <row r="202" spans="1:10" s="38" customFormat="1" ht="24.95" hidden="1" customHeight="1">
      <c r="A202" s="22" t="s">
        <v>1608</v>
      </c>
      <c r="B202" s="17" t="s">
        <v>1603</v>
      </c>
      <c r="C202" s="16" t="s">
        <v>1606</v>
      </c>
      <c r="D202" s="34">
        <v>42598</v>
      </c>
      <c r="E202" s="68">
        <v>8890.4282000000003</v>
      </c>
      <c r="F202" s="35">
        <v>4572344.75</v>
      </c>
      <c r="G202" s="34">
        <v>42598</v>
      </c>
      <c r="H202" s="35">
        <v>8890.4282000000003</v>
      </c>
      <c r="I202" s="36">
        <v>4572344.75</v>
      </c>
      <c r="J202" s="37" t="s">
        <v>1607</v>
      </c>
    </row>
    <row r="203" spans="1:10" s="38" customFormat="1" ht="24.95" hidden="1" customHeight="1">
      <c r="A203" s="22" t="s">
        <v>1949</v>
      </c>
      <c r="B203" s="17" t="s">
        <v>1621</v>
      </c>
      <c r="C203" s="16" t="s">
        <v>222</v>
      </c>
      <c r="D203" s="34">
        <v>42592</v>
      </c>
      <c r="E203" s="35">
        <v>2021.8227999999999</v>
      </c>
      <c r="F203" s="35">
        <v>1011954.5</v>
      </c>
      <c r="G203" s="34">
        <v>42600</v>
      </c>
      <c r="H203" s="35">
        <v>3386.3853000000017</v>
      </c>
      <c r="I203" s="36">
        <v>1700007.57</v>
      </c>
      <c r="J203" s="37" t="s">
        <v>388</v>
      </c>
    </row>
    <row r="204" spans="1:10" s="38" customFormat="1" ht="24.95" hidden="1" customHeight="1">
      <c r="A204" s="22" t="s">
        <v>2371</v>
      </c>
      <c r="B204" s="17" t="s">
        <v>1623</v>
      </c>
      <c r="C204" s="16" t="s">
        <v>737</v>
      </c>
      <c r="D204" s="34">
        <v>42587</v>
      </c>
      <c r="E204" s="35">
        <v>900</v>
      </c>
      <c r="F204" s="36">
        <v>351000</v>
      </c>
      <c r="G204" s="34">
        <v>42587</v>
      </c>
      <c r="H204" s="35">
        <v>900</v>
      </c>
      <c r="I204" s="36">
        <v>351000</v>
      </c>
      <c r="J204" s="37" t="s">
        <v>1622</v>
      </c>
    </row>
    <row r="205" spans="1:10" s="38" customFormat="1" ht="24.95" hidden="1" customHeight="1">
      <c r="A205" s="22" t="s">
        <v>1625</v>
      </c>
      <c r="B205" s="17" t="s">
        <v>230</v>
      </c>
      <c r="C205" s="16" t="s">
        <v>321</v>
      </c>
      <c r="D205" s="34">
        <v>42592</v>
      </c>
      <c r="E205" s="35">
        <v>2021.8230000000001</v>
      </c>
      <c r="F205" s="173">
        <v>1044800.61</v>
      </c>
      <c r="G205" s="34">
        <v>42592</v>
      </c>
      <c r="H205" s="68">
        <v>2021.8230000000001</v>
      </c>
      <c r="I205" s="36">
        <v>1044800.61</v>
      </c>
      <c r="J205" s="37" t="s">
        <v>1626</v>
      </c>
    </row>
    <row r="206" spans="1:10" s="38" customFormat="1" ht="24.95" hidden="1" customHeight="1">
      <c r="A206" s="22" t="s">
        <v>1534</v>
      </c>
      <c r="B206" s="17" t="s">
        <v>1380</v>
      </c>
      <c r="C206" s="16" t="s">
        <v>220</v>
      </c>
      <c r="D206" s="34">
        <v>42601</v>
      </c>
      <c r="E206" s="68">
        <v>2231.9605999999999</v>
      </c>
      <c r="F206" s="35">
        <v>1165195.03</v>
      </c>
      <c r="G206" s="34">
        <v>42601</v>
      </c>
      <c r="H206" s="35">
        <v>2231.9605999999999</v>
      </c>
      <c r="I206" s="36">
        <v>1165195.03</v>
      </c>
      <c r="J206" s="37" t="s">
        <v>143</v>
      </c>
    </row>
    <row r="207" spans="1:10" s="38" customFormat="1" ht="24.95" hidden="1" customHeight="1">
      <c r="A207" s="22" t="s">
        <v>1220</v>
      </c>
      <c r="B207" s="17" t="s">
        <v>60</v>
      </c>
      <c r="C207" s="16" t="s">
        <v>630</v>
      </c>
      <c r="D207" s="34">
        <v>42601</v>
      </c>
      <c r="E207" s="35">
        <v>467.90219999999999</v>
      </c>
      <c r="F207" s="35">
        <v>2357318.56</v>
      </c>
      <c r="G207" s="34">
        <v>42601</v>
      </c>
      <c r="H207" s="35">
        <v>467.90219999999999</v>
      </c>
      <c r="I207" s="36">
        <v>2357318.56</v>
      </c>
      <c r="J207" s="37" t="s">
        <v>140</v>
      </c>
    </row>
    <row r="208" spans="1:10" s="38" customFormat="1" ht="24.95" hidden="1" customHeight="1">
      <c r="A208" s="22" t="s">
        <v>1497</v>
      </c>
      <c r="B208" s="17" t="s">
        <v>60</v>
      </c>
      <c r="C208" s="16" t="s">
        <v>630</v>
      </c>
      <c r="D208" s="34">
        <v>42601</v>
      </c>
      <c r="E208" s="35">
        <v>621.83100000000002</v>
      </c>
      <c r="F208" s="35">
        <v>4228450.79</v>
      </c>
      <c r="G208" s="34">
        <v>42601</v>
      </c>
      <c r="H208" s="35">
        <v>621.83100000000002</v>
      </c>
      <c r="I208" s="36">
        <v>4228450.79</v>
      </c>
      <c r="J208" s="37" t="s">
        <v>140</v>
      </c>
    </row>
    <row r="209" spans="1:10" s="38" customFormat="1" ht="24.95" hidden="1" customHeight="1">
      <c r="A209" s="22" t="s">
        <v>1390</v>
      </c>
      <c r="B209" s="17" t="s">
        <v>60</v>
      </c>
      <c r="C209" s="16" t="s">
        <v>1392</v>
      </c>
      <c r="D209" s="34">
        <v>42604</v>
      </c>
      <c r="E209" s="35">
        <v>200</v>
      </c>
      <c r="F209" s="35">
        <v>948176</v>
      </c>
      <c r="G209" s="34">
        <v>42604</v>
      </c>
      <c r="H209" s="35">
        <v>200</v>
      </c>
      <c r="I209" s="36">
        <v>948176</v>
      </c>
      <c r="J209" s="37" t="s">
        <v>143</v>
      </c>
    </row>
    <row r="210" spans="1:10" s="38" customFormat="1" ht="24.95" hidden="1" customHeight="1">
      <c r="A210" s="22" t="s">
        <v>1570</v>
      </c>
      <c r="B210" s="17" t="s">
        <v>60</v>
      </c>
      <c r="C210" s="16" t="s">
        <v>1392</v>
      </c>
      <c r="D210" s="34">
        <v>42604</v>
      </c>
      <c r="E210" s="35">
        <v>350</v>
      </c>
      <c r="F210" s="35">
        <v>2258025</v>
      </c>
      <c r="G210" s="34">
        <v>42604</v>
      </c>
      <c r="H210" s="35">
        <v>350</v>
      </c>
      <c r="I210" s="36">
        <v>2258025</v>
      </c>
      <c r="J210" s="37" t="s">
        <v>143</v>
      </c>
    </row>
    <row r="211" spans="1:10" s="38" customFormat="1" ht="24.95" hidden="1" customHeight="1">
      <c r="A211" s="22" t="s">
        <v>1713</v>
      </c>
      <c r="B211" s="17" t="s">
        <v>1714</v>
      </c>
      <c r="C211" s="16" t="s">
        <v>1715</v>
      </c>
      <c r="D211" s="34">
        <v>42605</v>
      </c>
      <c r="E211" s="35">
        <v>263.27879999999999</v>
      </c>
      <c r="F211" s="68">
        <v>1303552.06</v>
      </c>
      <c r="G211" s="34">
        <v>42605</v>
      </c>
      <c r="H211" s="68">
        <v>263.27879999999999</v>
      </c>
      <c r="I211" s="36">
        <v>1303552.06</v>
      </c>
      <c r="J211" s="37" t="s">
        <v>140</v>
      </c>
    </row>
    <row r="212" spans="1:10" s="38" customFormat="1" ht="24.95" hidden="1" customHeight="1">
      <c r="A212" s="22" t="s">
        <v>1716</v>
      </c>
      <c r="B212" s="17" t="s">
        <v>1714</v>
      </c>
      <c r="C212" s="16" t="s">
        <v>1715</v>
      </c>
      <c r="D212" s="34">
        <v>42605</v>
      </c>
      <c r="E212" s="35">
        <v>189.12200000000001</v>
      </c>
      <c r="F212" s="68">
        <v>993209.6</v>
      </c>
      <c r="G212" s="34">
        <v>42605</v>
      </c>
      <c r="H212" s="68">
        <v>189.12200000000001</v>
      </c>
      <c r="I212" s="36">
        <v>993209.6</v>
      </c>
      <c r="J212" s="37" t="s">
        <v>1717</v>
      </c>
    </row>
    <row r="213" spans="1:10" s="38" customFormat="1" ht="24.95" hidden="1" customHeight="1">
      <c r="A213" s="22" t="s">
        <v>1718</v>
      </c>
      <c r="B213" s="17" t="s">
        <v>1714</v>
      </c>
      <c r="C213" s="16" t="s">
        <v>1715</v>
      </c>
      <c r="D213" s="34">
        <v>42605</v>
      </c>
      <c r="E213" s="35">
        <v>412.73599999999999</v>
      </c>
      <c r="F213" s="68">
        <v>2778555.11</v>
      </c>
      <c r="G213" s="34">
        <v>42605</v>
      </c>
      <c r="H213" s="68">
        <v>412.73599999999999</v>
      </c>
      <c r="I213" s="36">
        <v>2778555.11</v>
      </c>
      <c r="J213" s="37" t="s">
        <v>1717</v>
      </c>
    </row>
    <row r="214" spans="1:10" s="38" customFormat="1" ht="24.95" hidden="1" customHeight="1">
      <c r="A214" s="22" t="s">
        <v>1613</v>
      </c>
      <c r="B214" s="17" t="s">
        <v>1480</v>
      </c>
      <c r="C214" s="16" t="s">
        <v>902</v>
      </c>
      <c r="D214" s="34">
        <v>42608</v>
      </c>
      <c r="E214" s="68">
        <v>4444.4206000000004</v>
      </c>
      <c r="F214" s="35">
        <v>2268722.67</v>
      </c>
      <c r="G214" s="34">
        <v>42608</v>
      </c>
      <c r="H214" s="35">
        <v>4444.4206000000004</v>
      </c>
      <c r="I214" s="36">
        <v>2268722.67</v>
      </c>
      <c r="J214" s="37" t="s">
        <v>143</v>
      </c>
    </row>
    <row r="215" spans="1:10" s="38" customFormat="1" ht="24.95" hidden="1" customHeight="1">
      <c r="A215" s="22" t="s">
        <v>1598</v>
      </c>
      <c r="B215" s="17" t="s">
        <v>240</v>
      </c>
      <c r="C215" s="16" t="s">
        <v>1094</v>
      </c>
      <c r="D215" s="34">
        <v>42608</v>
      </c>
      <c r="E215" s="35">
        <v>38</v>
      </c>
      <c r="F215" s="35">
        <v>380000</v>
      </c>
      <c r="G215" s="34">
        <v>42608</v>
      </c>
      <c r="H215" s="35">
        <v>38</v>
      </c>
      <c r="I215" s="36">
        <v>380000</v>
      </c>
      <c r="J215" s="37" t="s">
        <v>143</v>
      </c>
    </row>
    <row r="216" spans="1:10" s="38" customFormat="1" ht="24.95" hidden="1" customHeight="1">
      <c r="A216" s="22" t="s">
        <v>1947</v>
      </c>
      <c r="B216" s="17" t="s">
        <v>430</v>
      </c>
      <c r="C216" s="16" t="s">
        <v>1392</v>
      </c>
      <c r="D216" s="34">
        <v>42611</v>
      </c>
      <c r="E216" s="35">
        <v>180</v>
      </c>
      <c r="F216" s="35">
        <v>1173600</v>
      </c>
      <c r="G216" s="34">
        <v>42611</v>
      </c>
      <c r="H216" s="35">
        <v>180</v>
      </c>
      <c r="I216" s="36">
        <v>1173600</v>
      </c>
      <c r="J216" s="37" t="s">
        <v>749</v>
      </c>
    </row>
    <row r="217" spans="1:10" s="38" customFormat="1" ht="24.95" hidden="1" customHeight="1">
      <c r="A217" s="22" t="s">
        <v>1946</v>
      </c>
      <c r="B217" s="17" t="s">
        <v>1786</v>
      </c>
      <c r="C217" s="16" t="s">
        <v>1784</v>
      </c>
      <c r="D217" s="34">
        <v>42611</v>
      </c>
      <c r="E217" s="35">
        <v>495.31</v>
      </c>
      <c r="F217" s="35">
        <v>3259205.6</v>
      </c>
      <c r="G217" s="34">
        <v>42611</v>
      </c>
      <c r="H217" s="35">
        <v>495.31</v>
      </c>
      <c r="I217" s="36">
        <v>3259205.6</v>
      </c>
      <c r="J217" s="37" t="s">
        <v>1787</v>
      </c>
    </row>
    <row r="218" spans="1:10" s="38" customFormat="1" ht="24.95" hidden="1" customHeight="1">
      <c r="A218" s="22" t="s">
        <v>1611</v>
      </c>
      <c r="B218" s="17" t="s">
        <v>1788</v>
      </c>
      <c r="C218" s="16" t="s">
        <v>1789</v>
      </c>
      <c r="D218" s="34">
        <v>42611</v>
      </c>
      <c r="E218" s="35">
        <v>38</v>
      </c>
      <c r="F218" s="35">
        <v>395200</v>
      </c>
      <c r="G218" s="34">
        <v>42611</v>
      </c>
      <c r="H218" s="35">
        <v>38</v>
      </c>
      <c r="I218" s="36">
        <v>395200</v>
      </c>
      <c r="J218" s="37" t="s">
        <v>1790</v>
      </c>
    </row>
    <row r="219" spans="1:10" s="38" customFormat="1" ht="24.95" hidden="1" customHeight="1">
      <c r="A219" s="22" t="s">
        <v>1951</v>
      </c>
      <c r="B219" s="17" t="s">
        <v>1788</v>
      </c>
      <c r="C219" s="16" t="s">
        <v>1950</v>
      </c>
      <c r="D219" s="34">
        <v>42611</v>
      </c>
      <c r="E219" s="35">
        <v>38</v>
      </c>
      <c r="F219" s="35">
        <v>395200</v>
      </c>
      <c r="G219" s="34">
        <v>42611</v>
      </c>
      <c r="H219" s="35">
        <v>38</v>
      </c>
      <c r="I219" s="36">
        <v>395200</v>
      </c>
      <c r="J219" s="37" t="s">
        <v>1787</v>
      </c>
    </row>
    <row r="220" spans="1:10" s="38" customFormat="1" ht="24.95" hidden="1" customHeight="1">
      <c r="A220" s="22" t="s">
        <v>1551</v>
      </c>
      <c r="B220" s="17" t="s">
        <v>747</v>
      </c>
      <c r="C220" s="16" t="s">
        <v>1076</v>
      </c>
      <c r="D220" s="34">
        <v>42576</v>
      </c>
      <c r="E220" s="35">
        <v>1000</v>
      </c>
      <c r="F220" s="36">
        <v>107000</v>
      </c>
      <c r="G220" s="34">
        <v>42576</v>
      </c>
      <c r="H220" s="35">
        <v>1000</v>
      </c>
      <c r="I220" s="36">
        <v>107000</v>
      </c>
      <c r="J220" s="37" t="s">
        <v>401</v>
      </c>
    </row>
    <row r="221" spans="1:10" s="38" customFormat="1" ht="24.95" hidden="1" customHeight="1">
      <c r="A221" s="22" t="s">
        <v>1590</v>
      </c>
      <c r="B221" s="17" t="s">
        <v>747</v>
      </c>
      <c r="C221" s="16" t="s">
        <v>1076</v>
      </c>
      <c r="D221" s="34">
        <v>42583</v>
      </c>
      <c r="E221" s="35">
        <v>1000</v>
      </c>
      <c r="F221" s="36">
        <v>107000</v>
      </c>
      <c r="G221" s="34">
        <v>42583</v>
      </c>
      <c r="H221" s="35">
        <v>1000</v>
      </c>
      <c r="I221" s="36">
        <v>107000</v>
      </c>
      <c r="J221" s="37" t="s">
        <v>401</v>
      </c>
    </row>
    <row r="222" spans="1:10" hidden="1">
      <c r="A222" s="22" t="s">
        <v>2372</v>
      </c>
      <c r="B222" s="22" t="s">
        <v>747</v>
      </c>
      <c r="C222" s="16" t="s">
        <v>748</v>
      </c>
      <c r="D222" s="34">
        <v>42607</v>
      </c>
      <c r="E222" s="35">
        <v>900</v>
      </c>
      <c r="F222" s="36">
        <f>E222*390</f>
        <v>351000</v>
      </c>
      <c r="G222" s="34">
        <v>42607</v>
      </c>
      <c r="H222" s="35">
        <v>900</v>
      </c>
      <c r="I222" s="36">
        <f>H222*390</f>
        <v>351000</v>
      </c>
      <c r="J222" s="37" t="s">
        <v>388</v>
      </c>
    </row>
    <row r="223" spans="1:10" s="38" customFormat="1" ht="24.95" hidden="1" customHeight="1">
      <c r="A223" s="22" t="s">
        <v>1628</v>
      </c>
      <c r="B223" s="17" t="s">
        <v>747</v>
      </c>
      <c r="C223" s="16" t="s">
        <v>1076</v>
      </c>
      <c r="D223" s="34">
        <v>42596</v>
      </c>
      <c r="E223" s="35">
        <v>1000</v>
      </c>
      <c r="F223" s="36">
        <v>107000</v>
      </c>
      <c r="G223" s="34">
        <v>42596</v>
      </c>
      <c r="H223" s="35">
        <v>1000</v>
      </c>
      <c r="I223" s="36">
        <v>107000</v>
      </c>
      <c r="J223" s="37" t="s">
        <v>401</v>
      </c>
    </row>
    <row r="224" spans="1:10" s="38" customFormat="1" ht="24.95" hidden="1" customHeight="1">
      <c r="A224" s="22" t="s">
        <v>1811</v>
      </c>
      <c r="B224" s="17" t="s">
        <v>747</v>
      </c>
      <c r="C224" s="16" t="s">
        <v>1076</v>
      </c>
      <c r="D224" s="34">
        <v>42611</v>
      </c>
      <c r="E224" s="35">
        <v>1000</v>
      </c>
      <c r="F224" s="36">
        <v>107000</v>
      </c>
      <c r="G224" s="34">
        <v>42611</v>
      </c>
      <c r="H224" s="35">
        <v>1000</v>
      </c>
      <c r="I224" s="36">
        <v>107000</v>
      </c>
      <c r="J224" s="37" t="s">
        <v>401</v>
      </c>
    </row>
    <row r="225" spans="1:10" s="38" customFormat="1" ht="24.95" hidden="1" customHeight="1">
      <c r="A225" s="22" t="s">
        <v>1814</v>
      </c>
      <c r="B225" s="17" t="s">
        <v>1815</v>
      </c>
      <c r="C225" s="16" t="s">
        <v>1816</v>
      </c>
      <c r="D225" s="34">
        <v>42612</v>
      </c>
      <c r="E225" s="35">
        <v>140</v>
      </c>
      <c r="F225" s="36">
        <f>E225*1535</f>
        <v>214900</v>
      </c>
      <c r="G225" s="34">
        <v>42612</v>
      </c>
      <c r="H225" s="35">
        <v>140</v>
      </c>
      <c r="I225" s="36">
        <f>H225*1535</f>
        <v>214900</v>
      </c>
      <c r="J225" s="37" t="s">
        <v>1817</v>
      </c>
    </row>
    <row r="226" spans="1:10" s="38" customFormat="1" ht="24.95" hidden="1" customHeight="1">
      <c r="A226" s="22" t="s">
        <v>1813</v>
      </c>
      <c r="B226" s="17" t="s">
        <v>240</v>
      </c>
      <c r="C226" s="16" t="s">
        <v>992</v>
      </c>
      <c r="D226" s="34">
        <v>42606</v>
      </c>
      <c r="E226" s="35">
        <v>60</v>
      </c>
      <c r="F226" s="36">
        <f>E226*1535</f>
        <v>92100</v>
      </c>
      <c r="G226" s="34">
        <v>42606</v>
      </c>
      <c r="H226" s="35">
        <v>60</v>
      </c>
      <c r="I226" s="36">
        <f>H226*1535</f>
        <v>92100</v>
      </c>
      <c r="J226" s="37" t="s">
        <v>1472</v>
      </c>
    </row>
    <row r="227" spans="1:10" s="38" customFormat="1" ht="24.95" hidden="1" customHeight="1">
      <c r="A227" s="22" t="s">
        <v>1750</v>
      </c>
      <c r="B227" s="17" t="s">
        <v>240</v>
      </c>
      <c r="C227" s="16" t="s">
        <v>474</v>
      </c>
      <c r="D227" s="34">
        <v>42606</v>
      </c>
      <c r="E227" s="35">
        <v>60</v>
      </c>
      <c r="F227" s="36">
        <f>E227*1515.05</f>
        <v>90903</v>
      </c>
      <c r="G227" s="34">
        <v>42606</v>
      </c>
      <c r="H227" s="35">
        <v>60</v>
      </c>
      <c r="I227" s="36">
        <f>H227*1515.05</f>
        <v>90903</v>
      </c>
      <c r="J227" s="37" t="s">
        <v>401</v>
      </c>
    </row>
    <row r="228" spans="1:10" s="38" customFormat="1" ht="24.95" hidden="1" customHeight="1">
      <c r="A228" s="22" t="s">
        <v>1407</v>
      </c>
      <c r="B228" s="17" t="s">
        <v>1380</v>
      </c>
      <c r="C228" s="16" t="s">
        <v>144</v>
      </c>
      <c r="D228" s="34">
        <v>42607</v>
      </c>
      <c r="E228" s="68">
        <v>4444.4206000000004</v>
      </c>
      <c r="F228" s="36">
        <v>2424008.12</v>
      </c>
      <c r="G228" s="34">
        <v>42614</v>
      </c>
      <c r="H228" s="35">
        <v>4444.4206000000004</v>
      </c>
      <c r="I228" s="36">
        <v>2424008.12</v>
      </c>
      <c r="J228" s="37" t="s">
        <v>140</v>
      </c>
    </row>
    <row r="229" spans="1:10" s="38" customFormat="1" ht="24.95" hidden="1" customHeight="1">
      <c r="A229" s="22" t="s">
        <v>1596</v>
      </c>
      <c r="B229" s="17" t="s">
        <v>1380</v>
      </c>
      <c r="C229" s="16" t="s">
        <v>144</v>
      </c>
      <c r="D229" s="34">
        <v>42613</v>
      </c>
      <c r="E229" s="68">
        <v>2642.1945999999998</v>
      </c>
      <c r="F229" s="36">
        <v>1528668.1</v>
      </c>
      <c r="G229" s="34">
        <v>42614</v>
      </c>
      <c r="H229" s="35">
        <v>2642.1945999999998</v>
      </c>
      <c r="I229" s="36">
        <v>1528668.1</v>
      </c>
      <c r="J229" s="37" t="s">
        <v>140</v>
      </c>
    </row>
    <row r="230" spans="1:10" s="38" customFormat="1" ht="24.95" hidden="1" customHeight="1">
      <c r="A230" s="22" t="s">
        <v>1219</v>
      </c>
      <c r="B230" s="17" t="s">
        <v>60</v>
      </c>
      <c r="C230" s="16" t="s">
        <v>321</v>
      </c>
      <c r="D230" s="34">
        <v>42613</v>
      </c>
      <c r="E230" s="35">
        <v>40.375999999999998</v>
      </c>
      <c r="F230" s="175">
        <v>192036.14744351961</v>
      </c>
      <c r="G230" s="34">
        <v>42614</v>
      </c>
      <c r="H230" s="68">
        <v>40.375999999999998</v>
      </c>
      <c r="I230" s="36">
        <v>192036.14744351961</v>
      </c>
      <c r="J230" s="37" t="s">
        <v>140</v>
      </c>
    </row>
    <row r="231" spans="1:10" s="38" customFormat="1" ht="24.95" hidden="1" customHeight="1">
      <c r="A231" s="22" t="s">
        <v>1496</v>
      </c>
      <c r="B231" s="17" t="s">
        <v>60</v>
      </c>
      <c r="C231" s="16" t="s">
        <v>321</v>
      </c>
      <c r="D231" s="34">
        <v>42613</v>
      </c>
      <c r="E231" s="35">
        <v>412.15800000000002</v>
      </c>
      <c r="F231" s="175">
        <v>2777121.4823622671</v>
      </c>
      <c r="G231" s="34">
        <v>42614</v>
      </c>
      <c r="H231" s="68">
        <v>412.15800000000002</v>
      </c>
      <c r="I231" s="36">
        <v>2777121.4823622671</v>
      </c>
      <c r="J231" s="37" t="s">
        <v>140</v>
      </c>
    </row>
    <row r="232" spans="1:10" s="38" customFormat="1" ht="24.95" hidden="1" customHeight="1">
      <c r="A232" s="22" t="s">
        <v>1834</v>
      </c>
      <c r="B232" s="17" t="s">
        <v>82</v>
      </c>
      <c r="C232" s="16" t="s">
        <v>321</v>
      </c>
      <c r="D232" s="34">
        <v>42613</v>
      </c>
      <c r="E232" s="35">
        <v>149.69</v>
      </c>
      <c r="F232" s="175">
        <v>1658278.0420134759</v>
      </c>
      <c r="G232" s="34">
        <v>42614</v>
      </c>
      <c r="H232" s="68">
        <v>149.69</v>
      </c>
      <c r="I232" s="36">
        <v>1658278.0420134759</v>
      </c>
      <c r="J232" s="37" t="s">
        <v>335</v>
      </c>
    </row>
    <row r="233" spans="1:10" s="38" customFormat="1" ht="24.95" hidden="1" customHeight="1">
      <c r="A233" s="22" t="s">
        <v>1543</v>
      </c>
      <c r="B233" s="17" t="s">
        <v>85</v>
      </c>
      <c r="C233" s="16" t="s">
        <v>321</v>
      </c>
      <c r="D233" s="34">
        <v>42613</v>
      </c>
      <c r="E233" s="35">
        <v>80.661000000000001</v>
      </c>
      <c r="F233" s="175">
        <v>583457.49108204513</v>
      </c>
      <c r="G233" s="34">
        <v>42614</v>
      </c>
      <c r="H233" s="68">
        <v>80.661000000000001</v>
      </c>
      <c r="I233" s="36">
        <v>583457.49108204513</v>
      </c>
      <c r="J233" s="37" t="s">
        <v>335</v>
      </c>
    </row>
    <row r="234" spans="1:10" s="38" customFormat="1" ht="24.95" hidden="1" customHeight="1">
      <c r="A234" s="22" t="s">
        <v>1835</v>
      </c>
      <c r="B234" s="17" t="s">
        <v>291</v>
      </c>
      <c r="C234" s="16" t="s">
        <v>292</v>
      </c>
      <c r="D234" s="34">
        <v>42614</v>
      </c>
      <c r="E234" s="68">
        <v>4000</v>
      </c>
      <c r="F234" s="36">
        <v>2000000</v>
      </c>
      <c r="G234" s="34">
        <v>42614</v>
      </c>
      <c r="H234" s="35">
        <v>4000</v>
      </c>
      <c r="I234" s="36">
        <v>2000000</v>
      </c>
      <c r="J234" s="37" t="s">
        <v>726</v>
      </c>
    </row>
    <row r="235" spans="1:10" s="38" customFormat="1" ht="24.95" hidden="1" customHeight="1">
      <c r="A235" s="22" t="s">
        <v>1889</v>
      </c>
      <c r="B235" s="17" t="s">
        <v>1836</v>
      </c>
      <c r="C235" s="16" t="s">
        <v>1837</v>
      </c>
      <c r="D235" s="34">
        <v>42614</v>
      </c>
      <c r="E235" s="68">
        <v>1500</v>
      </c>
      <c r="F235" s="36">
        <v>840000</v>
      </c>
      <c r="G235" s="34">
        <v>42614</v>
      </c>
      <c r="H235" s="35">
        <v>1500</v>
      </c>
      <c r="I235" s="36">
        <v>840000</v>
      </c>
      <c r="J235" s="37" t="s">
        <v>1838</v>
      </c>
    </row>
    <row r="236" spans="1:10" s="38" customFormat="1" ht="24.95" hidden="1" customHeight="1">
      <c r="A236" s="22" t="s">
        <v>1839</v>
      </c>
      <c r="B236" s="17" t="s">
        <v>1840</v>
      </c>
      <c r="C236" s="16" t="s">
        <v>1837</v>
      </c>
      <c r="D236" s="34">
        <v>42614</v>
      </c>
      <c r="E236" s="68">
        <v>2000</v>
      </c>
      <c r="F236" s="36">
        <v>1000000</v>
      </c>
      <c r="G236" s="34">
        <v>42614</v>
      </c>
      <c r="H236" s="35">
        <v>2000</v>
      </c>
      <c r="I236" s="36">
        <v>1000000</v>
      </c>
      <c r="J236" s="37" t="s">
        <v>1838</v>
      </c>
    </row>
    <row r="237" spans="1:10" s="38" customFormat="1" ht="24.95" hidden="1" customHeight="1">
      <c r="A237" s="22" t="s">
        <v>1868</v>
      </c>
      <c r="B237" s="17" t="s">
        <v>1869</v>
      </c>
      <c r="C237" s="16" t="s">
        <v>1870</v>
      </c>
      <c r="D237" s="34">
        <v>42615</v>
      </c>
      <c r="E237" s="68">
        <v>2642.1945999999998</v>
      </c>
      <c r="F237" s="36">
        <v>1427736.27</v>
      </c>
      <c r="G237" s="34">
        <v>42615</v>
      </c>
      <c r="H237" s="35">
        <v>2642.1945999999998</v>
      </c>
      <c r="I237" s="36">
        <v>1427736.27</v>
      </c>
      <c r="J237" s="37" t="s">
        <v>1871</v>
      </c>
    </row>
    <row r="238" spans="1:10" s="38" customFormat="1" ht="24.95" hidden="1" customHeight="1">
      <c r="A238" s="22" t="s">
        <v>1251</v>
      </c>
      <c r="B238" s="17" t="s">
        <v>1872</v>
      </c>
      <c r="C238" s="16" t="s">
        <v>1873</v>
      </c>
      <c r="D238" s="34">
        <v>42615</v>
      </c>
      <c r="E238" s="35">
        <v>486</v>
      </c>
      <c r="F238" s="36">
        <v>2325441.96</v>
      </c>
      <c r="G238" s="34">
        <v>42615</v>
      </c>
      <c r="H238" s="35">
        <v>486</v>
      </c>
      <c r="I238" s="36">
        <v>2325441.96</v>
      </c>
      <c r="J238" s="37" t="s">
        <v>1871</v>
      </c>
    </row>
    <row r="239" spans="1:10" s="38" customFormat="1" ht="24.95" hidden="1" customHeight="1">
      <c r="A239" s="22" t="s">
        <v>1324</v>
      </c>
      <c r="B239" s="17" t="s">
        <v>1874</v>
      </c>
      <c r="C239" s="16" t="s">
        <v>1873</v>
      </c>
      <c r="D239" s="34">
        <v>42615</v>
      </c>
      <c r="E239" s="35">
        <v>266.39999999999998</v>
      </c>
      <c r="F239" s="36">
        <v>1274667.44</v>
      </c>
      <c r="G239" s="34">
        <v>42615</v>
      </c>
      <c r="H239" s="35">
        <v>266.39999999999998</v>
      </c>
      <c r="I239" s="36">
        <v>1274667.44</v>
      </c>
      <c r="J239" s="37" t="s">
        <v>1871</v>
      </c>
    </row>
    <row r="240" spans="1:10" s="38" customFormat="1" ht="24.95" hidden="1" customHeight="1">
      <c r="A240" s="22" t="s">
        <v>1696</v>
      </c>
      <c r="B240" s="17" t="s">
        <v>60</v>
      </c>
      <c r="C240" s="16" t="s">
        <v>180</v>
      </c>
      <c r="D240" s="34">
        <v>42618</v>
      </c>
      <c r="E240" s="35">
        <v>451.85</v>
      </c>
      <c r="F240" s="36">
        <v>2937025</v>
      </c>
      <c r="G240" s="34">
        <v>42618</v>
      </c>
      <c r="H240" s="35">
        <v>451.85</v>
      </c>
      <c r="I240" s="36">
        <v>2937025</v>
      </c>
      <c r="J240" s="37" t="s">
        <v>388</v>
      </c>
    </row>
    <row r="241" spans="1:10" s="38" customFormat="1" ht="24.95" hidden="1" customHeight="1">
      <c r="A241" s="145" t="s">
        <v>1595</v>
      </c>
      <c r="B241" s="169" t="s">
        <v>1380</v>
      </c>
      <c r="C241" s="169" t="s">
        <v>144</v>
      </c>
      <c r="D241" s="34">
        <v>42618</v>
      </c>
      <c r="E241" s="68">
        <v>6453.3020999999999</v>
      </c>
      <c r="F241" s="69">
        <v>3727850.28</v>
      </c>
      <c r="G241" s="34">
        <v>42618</v>
      </c>
      <c r="H241" s="68">
        <v>6453.3020999999999</v>
      </c>
      <c r="I241" s="36">
        <v>3727850.28</v>
      </c>
      <c r="J241" s="37" t="s">
        <v>140</v>
      </c>
    </row>
    <row r="242" spans="1:10" s="168" customFormat="1" ht="24.95" hidden="1" customHeight="1">
      <c r="A242" s="145" t="s">
        <v>1886</v>
      </c>
      <c r="B242" s="169" t="s">
        <v>60</v>
      </c>
      <c r="C242" s="169" t="s">
        <v>144</v>
      </c>
      <c r="D242" s="34">
        <v>42618</v>
      </c>
      <c r="E242" s="68">
        <v>123.6236</v>
      </c>
      <c r="F242" s="69">
        <v>624299.18999999994</v>
      </c>
      <c r="G242" s="34">
        <v>42618</v>
      </c>
      <c r="H242" s="68">
        <v>123.6236</v>
      </c>
      <c r="I242" s="36">
        <v>624299.18999999994</v>
      </c>
      <c r="J242" s="167" t="s">
        <v>140</v>
      </c>
    </row>
    <row r="243" spans="1:10" s="168" customFormat="1" ht="24.95" hidden="1" customHeight="1">
      <c r="A243" s="145" t="s">
        <v>1887</v>
      </c>
      <c r="B243" s="169" t="s">
        <v>60</v>
      </c>
      <c r="C243" s="169" t="s">
        <v>144</v>
      </c>
      <c r="D243" s="34">
        <v>42618</v>
      </c>
      <c r="E243" s="68">
        <v>601.22810000000004</v>
      </c>
      <c r="F243" s="69">
        <v>4088351.07</v>
      </c>
      <c r="G243" s="34">
        <v>42618</v>
      </c>
      <c r="H243" s="68">
        <v>601.22810000000004</v>
      </c>
      <c r="I243" s="36">
        <v>4088351.07</v>
      </c>
      <c r="J243" s="167" t="s">
        <v>140</v>
      </c>
    </row>
    <row r="244" spans="1:10" s="168" customFormat="1" ht="24.95" hidden="1" customHeight="1">
      <c r="A244" s="145" t="s">
        <v>1890</v>
      </c>
      <c r="B244" s="169" t="s">
        <v>445</v>
      </c>
      <c r="C244" s="169" t="s">
        <v>144</v>
      </c>
      <c r="D244" s="34">
        <v>42618</v>
      </c>
      <c r="E244" s="68">
        <v>0</v>
      </c>
      <c r="F244" s="69">
        <v>42471</v>
      </c>
      <c r="G244" s="34">
        <v>42618</v>
      </c>
      <c r="H244" s="68">
        <v>0</v>
      </c>
      <c r="I244" s="36">
        <v>42471</v>
      </c>
      <c r="J244" s="167" t="s">
        <v>140</v>
      </c>
    </row>
    <row r="245" spans="1:10" s="168" customFormat="1" ht="24.95" hidden="1" customHeight="1">
      <c r="A245" s="145" t="s">
        <v>1896</v>
      </c>
      <c r="B245" s="17" t="s">
        <v>93</v>
      </c>
      <c r="C245" s="169" t="s">
        <v>321</v>
      </c>
      <c r="D245" s="34">
        <v>42619</v>
      </c>
      <c r="E245" s="170">
        <v>4737.3696999999993</v>
      </c>
      <c r="F245" s="174">
        <v>2522935.4916012678</v>
      </c>
      <c r="G245" s="34">
        <v>42619</v>
      </c>
      <c r="H245" s="170">
        <v>4737.3696999999993</v>
      </c>
      <c r="I245" s="36">
        <v>2522935.4916012678</v>
      </c>
      <c r="J245" s="167" t="s">
        <v>140</v>
      </c>
    </row>
    <row r="246" spans="1:10" s="38" customFormat="1" ht="24.95" hidden="1" customHeight="1">
      <c r="A246" s="22" t="s">
        <v>1390</v>
      </c>
      <c r="B246" s="17" t="s">
        <v>60</v>
      </c>
      <c r="C246" s="16" t="s">
        <v>1446</v>
      </c>
      <c r="D246" s="34">
        <v>42621</v>
      </c>
      <c r="E246" s="35">
        <v>91.726900000000001</v>
      </c>
      <c r="F246" s="36">
        <v>415296.51</v>
      </c>
      <c r="G246" s="34">
        <v>42621</v>
      </c>
      <c r="H246" s="35">
        <v>91.726900000000001</v>
      </c>
      <c r="I246" s="36">
        <v>415296.51</v>
      </c>
      <c r="J246" s="37" t="s">
        <v>143</v>
      </c>
    </row>
    <row r="247" spans="1:10" s="168" customFormat="1" ht="24.95" hidden="1" customHeight="1">
      <c r="A247" s="145" t="s">
        <v>1783</v>
      </c>
      <c r="B247" s="169" t="s">
        <v>60</v>
      </c>
      <c r="C247" s="169" t="s">
        <v>210</v>
      </c>
      <c r="D247" s="34">
        <v>42621</v>
      </c>
      <c r="E247" s="170">
        <v>79.962599999999995</v>
      </c>
      <c r="F247" s="69">
        <v>364937.44</v>
      </c>
      <c r="G247" s="34">
        <v>42621</v>
      </c>
      <c r="H247" s="170">
        <v>79.962599999999995</v>
      </c>
      <c r="I247" s="36">
        <v>364937.44</v>
      </c>
      <c r="J247" s="167" t="s">
        <v>143</v>
      </c>
    </row>
    <row r="248" spans="1:10" s="168" customFormat="1" ht="24.95" hidden="1" customHeight="1">
      <c r="A248" s="145" t="s">
        <v>1411</v>
      </c>
      <c r="B248" s="169" t="s">
        <v>60</v>
      </c>
      <c r="C248" s="169" t="s">
        <v>210</v>
      </c>
      <c r="D248" s="34">
        <v>42621</v>
      </c>
      <c r="E248" s="170">
        <v>40.522100000000002</v>
      </c>
      <c r="F248" s="69">
        <v>187066.46</v>
      </c>
      <c r="G248" s="34">
        <v>42621</v>
      </c>
      <c r="H248" s="170">
        <v>40.522100000000002</v>
      </c>
      <c r="I248" s="36">
        <v>187066.46</v>
      </c>
      <c r="J248" s="167" t="s">
        <v>143</v>
      </c>
    </row>
    <row r="249" spans="1:10" s="38" customFormat="1" ht="24.95" hidden="1" customHeight="1">
      <c r="A249" s="145" t="s">
        <v>1595</v>
      </c>
      <c r="B249" s="169" t="s">
        <v>1380</v>
      </c>
      <c r="C249" s="169" t="s">
        <v>144</v>
      </c>
      <c r="D249" s="34">
        <v>42622</v>
      </c>
      <c r="E249" s="68">
        <v>2708.6977000000002</v>
      </c>
      <c r="F249" s="69">
        <v>1552083.78</v>
      </c>
      <c r="G249" s="34">
        <v>42622</v>
      </c>
      <c r="H249" s="68">
        <v>2708.6977000000002</v>
      </c>
      <c r="I249" s="36">
        <v>1552083.78</v>
      </c>
      <c r="J249" s="37" t="s">
        <v>140</v>
      </c>
    </row>
    <row r="250" spans="1:10" s="168" customFormat="1" ht="24.95" hidden="1" customHeight="1">
      <c r="A250" s="145" t="s">
        <v>1919</v>
      </c>
      <c r="B250" s="169" t="s">
        <v>1276</v>
      </c>
      <c r="C250" s="169" t="s">
        <v>1364</v>
      </c>
      <c r="D250" s="34">
        <v>42622</v>
      </c>
      <c r="E250" s="68">
        <v>70.399000000000001</v>
      </c>
      <c r="F250" s="174">
        <v>348786.66</v>
      </c>
      <c r="G250" s="34">
        <v>42622</v>
      </c>
      <c r="H250" s="68">
        <v>70.399000000000001</v>
      </c>
      <c r="I250" s="36">
        <v>348786.66</v>
      </c>
      <c r="J250" s="37" t="s">
        <v>140</v>
      </c>
    </row>
    <row r="251" spans="1:10" s="168" customFormat="1" ht="24.75" hidden="1" customHeight="1">
      <c r="A251" s="145" t="s">
        <v>1920</v>
      </c>
      <c r="B251" s="169" t="s">
        <v>1276</v>
      </c>
      <c r="C251" s="169" t="s">
        <v>1364</v>
      </c>
      <c r="D251" s="34">
        <v>42622</v>
      </c>
      <c r="E251" s="68">
        <v>122.087</v>
      </c>
      <c r="F251" s="174">
        <v>822623.46</v>
      </c>
      <c r="G251" s="34">
        <v>42622</v>
      </c>
      <c r="H251" s="68">
        <v>122.087</v>
      </c>
      <c r="I251" s="36">
        <v>822623.46</v>
      </c>
      <c r="J251" s="37" t="s">
        <v>140</v>
      </c>
    </row>
    <row r="252" spans="1:10" s="168" customFormat="1" ht="21" hidden="1" customHeight="1">
      <c r="A252" s="145" t="s">
        <v>1897</v>
      </c>
      <c r="B252" s="169" t="s">
        <v>1921</v>
      </c>
      <c r="C252" s="169" t="s">
        <v>1364</v>
      </c>
      <c r="D252" s="34">
        <v>42622</v>
      </c>
      <c r="E252" s="68">
        <v>78.798000000000002</v>
      </c>
      <c r="F252" s="174">
        <v>872931.79</v>
      </c>
      <c r="G252" s="34">
        <v>42622</v>
      </c>
      <c r="H252" s="68">
        <v>78.798000000000002</v>
      </c>
      <c r="I252" s="36">
        <v>872931.79</v>
      </c>
      <c r="J252" s="37" t="s">
        <v>140</v>
      </c>
    </row>
    <row r="253" spans="1:10" s="168" customFormat="1" ht="24.95" hidden="1" customHeight="1">
      <c r="A253" s="145" t="s">
        <v>1922</v>
      </c>
      <c r="B253" s="169" t="s">
        <v>60</v>
      </c>
      <c r="C253" s="169" t="s">
        <v>83</v>
      </c>
      <c r="D253" s="34">
        <v>42622</v>
      </c>
      <c r="E253" s="68">
        <v>483.17930000000001</v>
      </c>
      <c r="F253" s="69">
        <v>3271943.89</v>
      </c>
      <c r="G253" s="34">
        <v>42622</v>
      </c>
      <c r="H253" s="68">
        <v>483.17930000000001</v>
      </c>
      <c r="I253" s="36">
        <v>3271943.89</v>
      </c>
      <c r="J253" s="37" t="s">
        <v>140</v>
      </c>
    </row>
    <row r="254" spans="1:10" s="168" customFormat="1" ht="24.95" hidden="1" customHeight="1">
      <c r="A254" s="145" t="s">
        <v>1275</v>
      </c>
      <c r="B254" s="169" t="s">
        <v>93</v>
      </c>
      <c r="C254" s="169" t="s">
        <v>233</v>
      </c>
      <c r="D254" s="34">
        <v>42622</v>
      </c>
      <c r="E254" s="68">
        <v>737.37</v>
      </c>
      <c r="F254" s="69">
        <v>390460.83</v>
      </c>
      <c r="G254" s="34">
        <v>42622</v>
      </c>
      <c r="H254" s="68">
        <v>737.37</v>
      </c>
      <c r="I254" s="36">
        <v>390460.83</v>
      </c>
      <c r="J254" s="37" t="s">
        <v>143</v>
      </c>
    </row>
    <row r="255" spans="1:10" s="168" customFormat="1" ht="24.95" hidden="1" customHeight="1">
      <c r="A255" s="145" t="s">
        <v>1538</v>
      </c>
      <c r="B255" s="169" t="s">
        <v>1380</v>
      </c>
      <c r="C255" s="169" t="s">
        <v>101</v>
      </c>
      <c r="D255" s="34">
        <v>42625</v>
      </c>
      <c r="E255" s="68">
        <v>2708.6977000000002</v>
      </c>
      <c r="F255" s="69">
        <v>1448611.53</v>
      </c>
      <c r="G255" s="34">
        <v>42625</v>
      </c>
      <c r="H255" s="68">
        <v>2708.6977000000002</v>
      </c>
      <c r="I255" s="36">
        <v>1448611.53</v>
      </c>
      <c r="J255" s="37" t="s">
        <v>143</v>
      </c>
    </row>
    <row r="256" spans="1:10" s="168" customFormat="1" ht="24.95" hidden="1" customHeight="1">
      <c r="A256" s="145" t="s">
        <v>1538</v>
      </c>
      <c r="B256" s="169" t="s">
        <v>1380</v>
      </c>
      <c r="C256" s="169" t="s">
        <v>101</v>
      </c>
      <c r="D256" s="34">
        <v>42625</v>
      </c>
      <c r="E256" s="68">
        <v>5109.9048000000003</v>
      </c>
      <c r="F256" s="69">
        <v>2748309.4</v>
      </c>
      <c r="G256" s="34">
        <v>42625</v>
      </c>
      <c r="H256" s="68">
        <v>5109.9048000000003</v>
      </c>
      <c r="I256" s="36">
        <v>2748309.4</v>
      </c>
      <c r="J256" s="37" t="s">
        <v>143</v>
      </c>
    </row>
    <row r="257" spans="1:10" s="38" customFormat="1" ht="24.95" hidden="1" customHeight="1">
      <c r="A257" s="22" t="s">
        <v>1928</v>
      </c>
      <c r="B257" s="17" t="s">
        <v>1929</v>
      </c>
      <c r="C257" s="16" t="s">
        <v>1930</v>
      </c>
      <c r="D257" s="34">
        <v>42625</v>
      </c>
      <c r="E257" s="35">
        <v>140</v>
      </c>
      <c r="F257" s="35">
        <v>663600</v>
      </c>
      <c r="G257" s="34">
        <v>42625</v>
      </c>
      <c r="H257" s="35">
        <v>140</v>
      </c>
      <c r="I257" s="36">
        <v>663600</v>
      </c>
      <c r="J257" s="37" t="s">
        <v>143</v>
      </c>
    </row>
    <row r="258" spans="1:10" s="38" customFormat="1" ht="24.95" hidden="1" customHeight="1">
      <c r="A258" s="22" t="s">
        <v>1754</v>
      </c>
      <c r="B258" s="17" t="s">
        <v>402</v>
      </c>
      <c r="C258" s="16" t="s">
        <v>379</v>
      </c>
      <c r="D258" s="34">
        <v>42625</v>
      </c>
      <c r="E258" s="35">
        <v>150</v>
      </c>
      <c r="F258" s="35">
        <v>978000</v>
      </c>
      <c r="G258" s="34">
        <v>42625</v>
      </c>
      <c r="H258" s="35">
        <v>150</v>
      </c>
      <c r="I258" s="36">
        <v>978000</v>
      </c>
      <c r="J258" s="37" t="s">
        <v>388</v>
      </c>
    </row>
    <row r="259" spans="1:10" s="168" customFormat="1" ht="24.75" hidden="1" customHeight="1">
      <c r="A259" s="145" t="s">
        <v>1942</v>
      </c>
      <c r="B259" s="169" t="s">
        <v>430</v>
      </c>
      <c r="C259" s="169" t="s">
        <v>144</v>
      </c>
      <c r="D259" s="34">
        <v>42626</v>
      </c>
      <c r="E259" s="68">
        <v>463.54610000000002</v>
      </c>
      <c r="F259" s="174">
        <v>3151433.48</v>
      </c>
      <c r="G259" s="34">
        <v>42626</v>
      </c>
      <c r="H259" s="68">
        <v>463.54610000000002</v>
      </c>
      <c r="I259" s="36">
        <v>3151433.48</v>
      </c>
      <c r="J259" s="37" t="s">
        <v>140</v>
      </c>
    </row>
    <row r="260" spans="1:10" s="168" customFormat="1" ht="24.75" hidden="1" customHeight="1">
      <c r="A260" s="145" t="s">
        <v>1887</v>
      </c>
      <c r="B260" s="169" t="s">
        <v>430</v>
      </c>
      <c r="C260" s="169" t="s">
        <v>144</v>
      </c>
      <c r="D260" s="34">
        <v>42626</v>
      </c>
      <c r="E260" s="68">
        <v>288.55700000000002</v>
      </c>
      <c r="F260" s="174">
        <v>1962867.6</v>
      </c>
      <c r="G260" s="34">
        <v>42626</v>
      </c>
      <c r="H260" s="68">
        <v>288.55700000000002</v>
      </c>
      <c r="I260" s="36">
        <v>1962867.6</v>
      </c>
      <c r="J260" s="37" t="s">
        <v>140</v>
      </c>
    </row>
    <row r="261" spans="1:10" s="38" customFormat="1" ht="24.95" hidden="1" customHeight="1">
      <c r="A261" s="22" t="s">
        <v>1961</v>
      </c>
      <c r="B261" s="17" t="s">
        <v>1962</v>
      </c>
      <c r="C261" s="16" t="s">
        <v>195</v>
      </c>
      <c r="D261" s="34">
        <v>42627</v>
      </c>
      <c r="E261" s="35">
        <v>62.4131</v>
      </c>
      <c r="F261" s="35">
        <v>272605.43</v>
      </c>
      <c r="G261" s="34">
        <v>42627</v>
      </c>
      <c r="H261" s="35">
        <v>62.4131</v>
      </c>
      <c r="I261" s="36">
        <v>272605.43</v>
      </c>
      <c r="J261" s="37" t="s">
        <v>143</v>
      </c>
    </row>
    <row r="262" spans="1:10" s="168" customFormat="1" ht="24.75" hidden="1" customHeight="1">
      <c r="A262" s="145" t="s">
        <v>1965</v>
      </c>
      <c r="B262" s="169" t="s">
        <v>1966</v>
      </c>
      <c r="C262" s="169" t="s">
        <v>1967</v>
      </c>
      <c r="D262" s="34">
        <v>42632</v>
      </c>
      <c r="E262" s="68">
        <v>62.735900000000001</v>
      </c>
      <c r="F262" s="174">
        <v>402254.36</v>
      </c>
      <c r="G262" s="34">
        <v>42632</v>
      </c>
      <c r="H262" s="68">
        <v>62.735900000000001</v>
      </c>
      <c r="I262" s="36">
        <v>402254.36</v>
      </c>
      <c r="J262" s="37" t="s">
        <v>143</v>
      </c>
    </row>
    <row r="263" spans="1:10" s="168" customFormat="1" ht="24.75" hidden="1" customHeight="1">
      <c r="A263" s="145" t="s">
        <v>1968</v>
      </c>
      <c r="B263" s="169" t="s">
        <v>1966</v>
      </c>
      <c r="C263" s="169" t="s">
        <v>1967</v>
      </c>
      <c r="D263" s="34">
        <v>42632</v>
      </c>
      <c r="E263" s="68">
        <v>13.294499999999999</v>
      </c>
      <c r="F263" s="174">
        <v>74628.33</v>
      </c>
      <c r="G263" s="34">
        <v>42632</v>
      </c>
      <c r="H263" s="68">
        <v>13.294499999999999</v>
      </c>
      <c r="I263" s="36">
        <v>74628.33</v>
      </c>
      <c r="J263" s="37" t="s">
        <v>388</v>
      </c>
    </row>
    <row r="264" spans="1:10" s="168" customFormat="1" ht="24.95" hidden="1" customHeight="1">
      <c r="A264" s="145" t="s">
        <v>1490</v>
      </c>
      <c r="B264" s="169" t="s">
        <v>60</v>
      </c>
      <c r="C264" s="169" t="s">
        <v>180</v>
      </c>
      <c r="D264" s="34">
        <v>42632</v>
      </c>
      <c r="E264" s="170">
        <v>362</v>
      </c>
      <c r="F264" s="69">
        <v>2328365.9</v>
      </c>
      <c r="G264" s="34">
        <v>42632</v>
      </c>
      <c r="H264" s="170">
        <v>362</v>
      </c>
      <c r="I264" s="36">
        <v>2328365.9</v>
      </c>
      <c r="J264" s="167" t="s">
        <v>388</v>
      </c>
    </row>
    <row r="265" spans="1:10" s="168" customFormat="1" ht="24.95" hidden="1" customHeight="1">
      <c r="A265" s="145" t="s">
        <v>1901</v>
      </c>
      <c r="B265" s="169" t="s">
        <v>60</v>
      </c>
      <c r="C265" s="169" t="s">
        <v>180</v>
      </c>
      <c r="D265" s="34">
        <v>42632</v>
      </c>
      <c r="E265" s="170">
        <v>181</v>
      </c>
      <c r="F265" s="69">
        <v>1164182.95</v>
      </c>
      <c r="G265" s="34">
        <v>42632</v>
      </c>
      <c r="H265" s="170">
        <v>181</v>
      </c>
      <c r="I265" s="36">
        <v>1164182.95</v>
      </c>
      <c r="J265" s="167" t="s">
        <v>388</v>
      </c>
    </row>
    <row r="266" spans="1:10" s="168" customFormat="1" ht="24.95" hidden="1" customHeight="1">
      <c r="A266" s="145" t="s">
        <v>1902</v>
      </c>
      <c r="B266" s="169" t="s">
        <v>60</v>
      </c>
      <c r="C266" s="169" t="s">
        <v>180</v>
      </c>
      <c r="D266" s="34">
        <v>42632</v>
      </c>
      <c r="E266" s="170">
        <v>181</v>
      </c>
      <c r="F266" s="69">
        <v>1164182.95</v>
      </c>
      <c r="G266" s="34">
        <v>42632</v>
      </c>
      <c r="H266" s="170">
        <v>181</v>
      </c>
      <c r="I266" s="36">
        <v>1164182.95</v>
      </c>
      <c r="J266" s="167" t="s">
        <v>388</v>
      </c>
    </row>
    <row r="267" spans="1:10" s="168" customFormat="1" ht="24.95" hidden="1" customHeight="1">
      <c r="A267" s="145" t="s">
        <v>1738</v>
      </c>
      <c r="B267" s="169" t="s">
        <v>60</v>
      </c>
      <c r="C267" s="169" t="s">
        <v>1304</v>
      </c>
      <c r="D267" s="34">
        <v>42633</v>
      </c>
      <c r="E267" s="170">
        <v>202.12799999999999</v>
      </c>
      <c r="F267" s="69">
        <v>1330000</v>
      </c>
      <c r="G267" s="34">
        <v>42633</v>
      </c>
      <c r="H267" s="170">
        <v>202.12799999999999</v>
      </c>
      <c r="I267" s="36">
        <v>1330000</v>
      </c>
      <c r="J267" s="167" t="s">
        <v>143</v>
      </c>
    </row>
    <row r="268" spans="1:10" s="168" customFormat="1" ht="24.95" hidden="1" customHeight="1">
      <c r="A268" s="145" t="s">
        <v>1922</v>
      </c>
      <c r="B268" s="169" t="s">
        <v>60</v>
      </c>
      <c r="C268" s="169" t="s">
        <v>83</v>
      </c>
      <c r="D268" s="34">
        <v>42655</v>
      </c>
      <c r="E268" s="68">
        <v>111.8304</v>
      </c>
      <c r="F268" s="69">
        <v>740115.95</v>
      </c>
      <c r="G268" s="34">
        <v>42655</v>
      </c>
      <c r="H268" s="170">
        <v>111.8304</v>
      </c>
      <c r="I268" s="36">
        <v>740115.95</v>
      </c>
      <c r="J268" s="37" t="s">
        <v>140</v>
      </c>
    </row>
    <row r="269" spans="1:10" s="168" customFormat="1" ht="24.95" hidden="1" customHeight="1">
      <c r="A269" s="145" t="s">
        <v>2018</v>
      </c>
      <c r="B269" s="169" t="s">
        <v>60</v>
      </c>
      <c r="C269" s="169" t="s">
        <v>321</v>
      </c>
      <c r="D269" s="34">
        <v>42636</v>
      </c>
      <c r="E269" s="170">
        <v>775.91899999999998</v>
      </c>
      <c r="F269" s="69">
        <v>4758881.57</v>
      </c>
      <c r="G269" s="34">
        <v>42636</v>
      </c>
      <c r="H269" s="170">
        <v>775.91899999999998</v>
      </c>
      <c r="I269" s="36">
        <v>4758881.57</v>
      </c>
      <c r="J269" s="37" t="s">
        <v>140</v>
      </c>
    </row>
    <row r="270" spans="1:10" s="168" customFormat="1" ht="24.75" hidden="1" customHeight="1">
      <c r="A270" s="145" t="s">
        <v>2020</v>
      </c>
      <c r="B270" s="169" t="s">
        <v>240</v>
      </c>
      <c r="C270" s="169" t="s">
        <v>75</v>
      </c>
      <c r="D270" s="34">
        <v>42631</v>
      </c>
      <c r="E270" s="68">
        <v>36</v>
      </c>
      <c r="F270" s="174">
        <v>403200</v>
      </c>
      <c r="G270" s="34">
        <v>42631</v>
      </c>
      <c r="H270" s="68">
        <v>36</v>
      </c>
      <c r="I270" s="36">
        <v>403200</v>
      </c>
      <c r="J270" s="37" t="s">
        <v>140</v>
      </c>
    </row>
    <row r="271" spans="1:10" s="168" customFormat="1" ht="24.95" hidden="1" customHeight="1">
      <c r="A271" s="145" t="s">
        <v>1738</v>
      </c>
      <c r="B271" s="169" t="s">
        <v>60</v>
      </c>
      <c r="C271" s="169" t="s">
        <v>1304</v>
      </c>
      <c r="D271" s="34">
        <v>42636</v>
      </c>
      <c r="E271" s="68">
        <v>60.168500000000002</v>
      </c>
      <c r="F271" s="69">
        <v>357522.71</v>
      </c>
      <c r="G271" s="34">
        <v>42636</v>
      </c>
      <c r="H271" s="68">
        <v>60.168500000000002</v>
      </c>
      <c r="I271" s="36">
        <v>357522.71</v>
      </c>
      <c r="J271" s="167" t="s">
        <v>143</v>
      </c>
    </row>
    <row r="272" spans="1:10" s="168" customFormat="1" ht="24.95" hidden="1" customHeight="1">
      <c r="A272" s="145" t="s">
        <v>2024</v>
      </c>
      <c r="B272" s="169" t="s">
        <v>60</v>
      </c>
      <c r="C272" s="169" t="s">
        <v>210</v>
      </c>
      <c r="D272" s="34">
        <v>42636</v>
      </c>
      <c r="E272" s="68">
        <v>481.9409</v>
      </c>
      <c r="F272" s="69">
        <v>3028051.87</v>
      </c>
      <c r="G272" s="34">
        <v>42636</v>
      </c>
      <c r="H272" s="68">
        <v>481.9409</v>
      </c>
      <c r="I272" s="36">
        <v>3028051.87</v>
      </c>
      <c r="J272" s="37" t="s">
        <v>388</v>
      </c>
    </row>
    <row r="273" spans="1:11" s="168" customFormat="1" ht="24.95" hidden="1" customHeight="1">
      <c r="A273" s="145" t="s">
        <v>2025</v>
      </c>
      <c r="B273" s="169" t="s">
        <v>1380</v>
      </c>
      <c r="C273" s="169" t="s">
        <v>2026</v>
      </c>
      <c r="D273" s="34">
        <v>42655</v>
      </c>
      <c r="E273" s="68">
        <v>7416.7846</v>
      </c>
      <c r="F273" s="69">
        <v>4128957.71</v>
      </c>
      <c r="G273" s="34">
        <v>42655</v>
      </c>
      <c r="H273" s="68">
        <v>7416.7846</v>
      </c>
      <c r="I273" s="36">
        <v>4128957.71</v>
      </c>
      <c r="J273" s="167" t="s">
        <v>140</v>
      </c>
    </row>
    <row r="274" spans="1:11" s="168" customFormat="1" ht="24.95" hidden="1" customHeight="1">
      <c r="A274" s="145" t="s">
        <v>1594</v>
      </c>
      <c r="B274" s="17" t="s">
        <v>93</v>
      </c>
      <c r="C274" s="169" t="s">
        <v>321</v>
      </c>
      <c r="D274" s="34">
        <v>42651</v>
      </c>
      <c r="E274" s="170">
        <v>4386.7763999999997</v>
      </c>
      <c r="F274" s="69">
        <v>2497756.3199889655</v>
      </c>
      <c r="G274" s="34">
        <v>42651</v>
      </c>
      <c r="H274" s="170">
        <v>4386.7763999999997</v>
      </c>
      <c r="I274" s="36">
        <v>2497756.3199889655</v>
      </c>
      <c r="J274" s="167" t="s">
        <v>140</v>
      </c>
      <c r="K274" s="168">
        <f>I274*1.0092</f>
        <v>2520735.6781328642</v>
      </c>
    </row>
    <row r="275" spans="1:11" s="168" customFormat="1" ht="24.95" hidden="1" customHeight="1">
      <c r="A275" s="145" t="s">
        <v>2033</v>
      </c>
      <c r="B275" s="169" t="s">
        <v>2034</v>
      </c>
      <c r="C275" s="169" t="s">
        <v>2035</v>
      </c>
      <c r="D275" s="34">
        <v>42639</v>
      </c>
      <c r="E275" s="68">
        <v>7416.7846</v>
      </c>
      <c r="F275" s="69">
        <v>3845636.54</v>
      </c>
      <c r="G275" s="34">
        <v>42639</v>
      </c>
      <c r="H275" s="68">
        <v>7416.7846</v>
      </c>
      <c r="I275" s="36">
        <v>3845636.54</v>
      </c>
      <c r="J275" s="37" t="s">
        <v>2036</v>
      </c>
    </row>
    <row r="276" spans="1:11" s="168" customFormat="1" ht="24.95" hidden="1" customHeight="1">
      <c r="A276" s="145" t="s">
        <v>1490</v>
      </c>
      <c r="B276" s="169" t="s">
        <v>2037</v>
      </c>
      <c r="C276" s="169" t="s">
        <v>2038</v>
      </c>
      <c r="D276" s="34">
        <v>42639</v>
      </c>
      <c r="E276" s="68">
        <v>172.24449999999999</v>
      </c>
      <c r="F276" s="69">
        <v>1107868.01</v>
      </c>
      <c r="G276" s="34">
        <v>42639</v>
      </c>
      <c r="H276" s="68">
        <v>172.24449999999999</v>
      </c>
      <c r="I276" s="36">
        <v>1107868.01</v>
      </c>
      <c r="J276" s="37" t="s">
        <v>2039</v>
      </c>
    </row>
    <row r="277" spans="1:11" s="168" customFormat="1" ht="24.95" hidden="1" customHeight="1">
      <c r="A277" s="145" t="s">
        <v>1808</v>
      </c>
      <c r="B277" s="169" t="s">
        <v>402</v>
      </c>
      <c r="C277" s="169" t="s">
        <v>53</v>
      </c>
      <c r="D277" s="34">
        <v>42640</v>
      </c>
      <c r="E277" s="68">
        <v>58.51</v>
      </c>
      <c r="F277" s="69">
        <v>381515.19</v>
      </c>
      <c r="G277" s="34">
        <v>42640</v>
      </c>
      <c r="H277" s="68">
        <v>58.51</v>
      </c>
      <c r="I277" s="36">
        <v>381515.19</v>
      </c>
      <c r="J277" s="37" t="s">
        <v>388</v>
      </c>
    </row>
    <row r="278" spans="1:11" s="168" customFormat="1" ht="24.95" hidden="1" customHeight="1">
      <c r="A278" s="145" t="s">
        <v>2008</v>
      </c>
      <c r="B278" s="169" t="s">
        <v>402</v>
      </c>
      <c r="C278" s="169" t="s">
        <v>53</v>
      </c>
      <c r="D278" s="34">
        <v>42640</v>
      </c>
      <c r="E278" s="68">
        <v>60</v>
      </c>
      <c r="F278" s="69">
        <v>353659.52</v>
      </c>
      <c r="G278" s="34">
        <v>42640</v>
      </c>
      <c r="H278" s="68">
        <v>60</v>
      </c>
      <c r="I278" s="36">
        <v>353659.52</v>
      </c>
      <c r="J278" s="37" t="s">
        <v>143</v>
      </c>
    </row>
    <row r="279" spans="1:11" s="168" customFormat="1" ht="24.95" hidden="1" customHeight="1">
      <c r="A279" s="145" t="s">
        <v>1400</v>
      </c>
      <c r="B279" s="169" t="s">
        <v>60</v>
      </c>
      <c r="C279" s="169" t="s">
        <v>180</v>
      </c>
      <c r="D279" s="34">
        <v>42640</v>
      </c>
      <c r="E279" s="68">
        <v>383.90729999999996</v>
      </c>
      <c r="F279" s="69">
        <v>1782301.3308874997</v>
      </c>
      <c r="G279" s="34">
        <v>42640</v>
      </c>
      <c r="H279" s="68">
        <v>383.90729999999996</v>
      </c>
      <c r="I279" s="36">
        <v>1782301.3308874997</v>
      </c>
      <c r="J279" s="37" t="s">
        <v>143</v>
      </c>
    </row>
    <row r="280" spans="1:11" s="168" customFormat="1" ht="24.95" hidden="1" customHeight="1">
      <c r="A280" s="145" t="s">
        <v>1973</v>
      </c>
      <c r="B280" s="169" t="s">
        <v>60</v>
      </c>
      <c r="C280" s="169" t="s">
        <v>180</v>
      </c>
      <c r="D280" s="34">
        <v>42640</v>
      </c>
      <c r="E280" s="68">
        <v>85</v>
      </c>
      <c r="F280" s="69">
        <v>501018.05</v>
      </c>
      <c r="G280" s="34">
        <v>42640</v>
      </c>
      <c r="H280" s="68">
        <v>85</v>
      </c>
      <c r="I280" s="36">
        <v>501018.05</v>
      </c>
      <c r="J280" s="37" t="s">
        <v>143</v>
      </c>
    </row>
    <row r="281" spans="1:11" s="168" customFormat="1" ht="24.95" hidden="1" customHeight="1">
      <c r="A281" s="145" t="s">
        <v>2061</v>
      </c>
      <c r="B281" s="169" t="s">
        <v>240</v>
      </c>
      <c r="C281" s="169" t="s">
        <v>2062</v>
      </c>
      <c r="D281" s="34">
        <v>42641</v>
      </c>
      <c r="E281" s="68">
        <v>38</v>
      </c>
      <c r="F281" s="69">
        <v>410400</v>
      </c>
      <c r="G281" s="34">
        <v>42641</v>
      </c>
      <c r="H281" s="68">
        <v>38</v>
      </c>
      <c r="I281" s="36">
        <v>410400</v>
      </c>
      <c r="J281" s="37" t="s">
        <v>388</v>
      </c>
    </row>
    <row r="282" spans="1:11" s="168" customFormat="1" ht="24.95" hidden="1" customHeight="1">
      <c r="A282" s="145" t="s">
        <v>2073</v>
      </c>
      <c r="B282" s="169" t="s">
        <v>2074</v>
      </c>
      <c r="C282" s="169" t="s">
        <v>2075</v>
      </c>
      <c r="D282" s="34">
        <v>42642</v>
      </c>
      <c r="E282" s="68">
        <v>2386.7763999999997</v>
      </c>
      <c r="F282" s="69">
        <v>1355266.4741119999</v>
      </c>
      <c r="G282" s="34">
        <v>42642</v>
      </c>
      <c r="H282" s="68">
        <v>2386.7763999999997</v>
      </c>
      <c r="I282" s="36">
        <v>1355266.4741119999</v>
      </c>
      <c r="J282" s="37" t="s">
        <v>388</v>
      </c>
    </row>
    <row r="283" spans="1:11" s="168" customFormat="1" ht="24.95" hidden="1" customHeight="1">
      <c r="A283" s="145" t="s">
        <v>2053</v>
      </c>
      <c r="B283" s="169" t="s">
        <v>402</v>
      </c>
      <c r="C283" s="169" t="s">
        <v>53</v>
      </c>
      <c r="D283" s="34">
        <v>42642</v>
      </c>
      <c r="E283" s="68">
        <v>1.2768999999999999</v>
      </c>
      <c r="F283" s="69">
        <v>6176.12</v>
      </c>
      <c r="G283" s="34">
        <v>42642</v>
      </c>
      <c r="H283" s="68">
        <v>1.2768999999999999</v>
      </c>
      <c r="I283" s="36">
        <v>6176.12</v>
      </c>
      <c r="J283" s="37" t="s">
        <v>143</v>
      </c>
    </row>
    <row r="284" spans="1:11" s="168" customFormat="1" ht="24.95" hidden="1" customHeight="1">
      <c r="A284" s="145" t="s">
        <v>1891</v>
      </c>
      <c r="B284" s="169" t="s">
        <v>60</v>
      </c>
      <c r="C284" s="169" t="s">
        <v>210</v>
      </c>
      <c r="D284" s="34">
        <v>42643</v>
      </c>
      <c r="E284" s="68">
        <v>148.91999999999999</v>
      </c>
      <c r="F284" s="69">
        <v>877734.48</v>
      </c>
      <c r="G284" s="34">
        <v>42643</v>
      </c>
      <c r="H284" s="68">
        <v>148.91999999999999</v>
      </c>
      <c r="I284" s="36">
        <v>877734.48</v>
      </c>
      <c r="J284" s="37" t="s">
        <v>143</v>
      </c>
    </row>
    <row r="285" spans="1:11" s="168" customFormat="1" ht="24.95" hidden="1" customHeight="1">
      <c r="A285" s="145" t="s">
        <v>2018</v>
      </c>
      <c r="B285" s="169" t="s">
        <v>60</v>
      </c>
      <c r="C285" s="169" t="s">
        <v>321</v>
      </c>
      <c r="D285" s="34">
        <v>42651</v>
      </c>
      <c r="E285" s="68">
        <v>350.96600000000001</v>
      </c>
      <c r="F285" s="69">
        <v>2155212.46</v>
      </c>
      <c r="G285" s="34">
        <v>42651</v>
      </c>
      <c r="H285" s="68">
        <v>350.96600000000001</v>
      </c>
      <c r="I285" s="36">
        <v>2155212.46</v>
      </c>
      <c r="J285" s="37" t="s">
        <v>140</v>
      </c>
      <c r="K285" s="168">
        <f>I285*1.0092</f>
        <v>2175040.414632</v>
      </c>
    </row>
    <row r="286" spans="1:11" s="168" customFormat="1" ht="24.95" hidden="1" customHeight="1">
      <c r="A286" s="145" t="s">
        <v>1941</v>
      </c>
      <c r="B286" s="169" t="s">
        <v>60</v>
      </c>
      <c r="C286" s="169" t="s">
        <v>90</v>
      </c>
      <c r="D286" s="34">
        <v>42651</v>
      </c>
      <c r="E286" s="68">
        <v>340</v>
      </c>
      <c r="F286" s="69">
        <v>2003960</v>
      </c>
      <c r="G286" s="34">
        <v>42651</v>
      </c>
      <c r="H286" s="68">
        <v>340</v>
      </c>
      <c r="I286" s="36">
        <v>2003960</v>
      </c>
      <c r="J286" s="37" t="s">
        <v>143</v>
      </c>
    </row>
    <row r="287" spans="1:11" s="168" customFormat="1" ht="24.95" hidden="1" customHeight="1">
      <c r="A287" s="145" t="s">
        <v>1809</v>
      </c>
      <c r="B287" s="169" t="s">
        <v>747</v>
      </c>
      <c r="C287" s="169" t="s">
        <v>1076</v>
      </c>
      <c r="D287" s="34">
        <v>42625</v>
      </c>
      <c r="E287" s="68">
        <v>1000</v>
      </c>
      <c r="F287" s="69">
        <f>107000-909.5</f>
        <v>106090.5</v>
      </c>
      <c r="G287" s="34">
        <v>42625</v>
      </c>
      <c r="H287" s="68">
        <v>1000</v>
      </c>
      <c r="I287" s="36">
        <f>107000-909.5</f>
        <v>106090.5</v>
      </c>
      <c r="J287" s="37" t="s">
        <v>401</v>
      </c>
    </row>
    <row r="288" spans="1:11" s="168" customFormat="1" ht="24.95" hidden="1" customHeight="1">
      <c r="A288" s="145" t="s">
        <v>1810</v>
      </c>
      <c r="B288" s="169" t="s">
        <v>747</v>
      </c>
      <c r="C288" s="169" t="s">
        <v>1076</v>
      </c>
      <c r="D288" s="34">
        <v>42639</v>
      </c>
      <c r="E288" s="68">
        <v>1000</v>
      </c>
      <c r="F288" s="69">
        <v>107000</v>
      </c>
      <c r="G288" s="34">
        <v>42639</v>
      </c>
      <c r="H288" s="68">
        <v>1000</v>
      </c>
      <c r="I288" s="36">
        <v>107000</v>
      </c>
      <c r="J288" s="37" t="s">
        <v>401</v>
      </c>
    </row>
    <row r="289" spans="1:10" s="168" customFormat="1" ht="24.95" hidden="1" customHeight="1">
      <c r="A289" s="145" t="s">
        <v>2367</v>
      </c>
      <c r="B289" s="169" t="s">
        <v>747</v>
      </c>
      <c r="C289" s="169" t="s">
        <v>748</v>
      </c>
      <c r="D289" s="34">
        <v>42625</v>
      </c>
      <c r="E289" s="68">
        <v>900</v>
      </c>
      <c r="F289" s="36">
        <v>351000</v>
      </c>
      <c r="G289" s="34">
        <v>42625</v>
      </c>
      <c r="H289" s="68">
        <v>900</v>
      </c>
      <c r="I289" s="36">
        <v>351000</v>
      </c>
      <c r="J289" s="37" t="s">
        <v>388</v>
      </c>
    </row>
    <row r="290" spans="1:10" s="168" customFormat="1" ht="24.95" hidden="1" customHeight="1">
      <c r="A290" s="145" t="s">
        <v>2368</v>
      </c>
      <c r="B290" s="169" t="s">
        <v>747</v>
      </c>
      <c r="C290" s="169" t="s">
        <v>748</v>
      </c>
      <c r="D290" s="34">
        <v>42636</v>
      </c>
      <c r="E290" s="68">
        <v>900</v>
      </c>
      <c r="F290" s="36">
        <v>351000</v>
      </c>
      <c r="G290" s="34">
        <v>42636</v>
      </c>
      <c r="H290" s="68">
        <v>900</v>
      </c>
      <c r="I290" s="36">
        <v>351000</v>
      </c>
      <c r="J290" s="37" t="s">
        <v>388</v>
      </c>
    </row>
    <row r="291" spans="1:10" s="168" customFormat="1" ht="24.95" hidden="1" customHeight="1">
      <c r="A291" s="145" t="s">
        <v>2120</v>
      </c>
      <c r="B291" s="169" t="s">
        <v>240</v>
      </c>
      <c r="C291" s="169" t="s">
        <v>474</v>
      </c>
      <c r="D291" s="34">
        <v>42612</v>
      </c>
      <c r="E291" s="68">
        <v>140</v>
      </c>
      <c r="F291" s="69">
        <f>E291*1515.05</f>
        <v>212107</v>
      </c>
      <c r="G291" s="34">
        <v>42612</v>
      </c>
      <c r="H291" s="68">
        <v>140</v>
      </c>
      <c r="I291" s="69">
        <f>H291*1515.05</f>
        <v>212107</v>
      </c>
      <c r="J291" s="37" t="s">
        <v>401</v>
      </c>
    </row>
    <row r="292" spans="1:10" s="168" customFormat="1" ht="24.95" hidden="1" customHeight="1">
      <c r="A292" s="145" t="s">
        <v>1595</v>
      </c>
      <c r="B292" s="169" t="s">
        <v>1380</v>
      </c>
      <c r="C292" s="169" t="s">
        <v>144</v>
      </c>
      <c r="D292" s="34">
        <v>42655</v>
      </c>
      <c r="E292" s="68">
        <v>2757.4650999999999</v>
      </c>
      <c r="F292" s="69">
        <v>1616702.5</v>
      </c>
      <c r="G292" s="34">
        <v>42655</v>
      </c>
      <c r="H292" s="68">
        <v>2757.4650999999999</v>
      </c>
      <c r="I292" s="69">
        <v>1616702.5</v>
      </c>
      <c r="J292" s="37" t="s">
        <v>140</v>
      </c>
    </row>
    <row r="293" spans="1:10" s="168" customFormat="1" ht="24.95" hidden="1" customHeight="1">
      <c r="A293" s="145" t="s">
        <v>1971</v>
      </c>
      <c r="B293" s="169" t="s">
        <v>1380</v>
      </c>
      <c r="C293" s="169" t="s">
        <v>144</v>
      </c>
      <c r="D293" s="34">
        <v>42655</v>
      </c>
      <c r="E293" s="68">
        <v>4986.4326000000001</v>
      </c>
      <c r="F293" s="69">
        <v>2701385.46</v>
      </c>
      <c r="G293" s="34">
        <v>42655</v>
      </c>
      <c r="H293" s="68">
        <v>4986.4326000000001</v>
      </c>
      <c r="I293" s="69">
        <v>2701385.46</v>
      </c>
      <c r="J293" s="37" t="s">
        <v>140</v>
      </c>
    </row>
    <row r="294" spans="1:10" s="229" customFormat="1" ht="24.95" hidden="1" customHeight="1">
      <c r="A294" s="157" t="s">
        <v>1865</v>
      </c>
      <c r="B294" s="237" t="s">
        <v>1380</v>
      </c>
      <c r="C294" s="237" t="s">
        <v>101</v>
      </c>
      <c r="D294" s="238">
        <v>42657</v>
      </c>
      <c r="E294" s="239">
        <v>7743.8977000000004</v>
      </c>
      <c r="F294" s="240">
        <v>4022271.04</v>
      </c>
      <c r="G294" s="238">
        <v>42657</v>
      </c>
      <c r="H294" s="239">
        <v>7743.8977000000004</v>
      </c>
      <c r="I294" s="69">
        <v>4022271.04</v>
      </c>
      <c r="J294" s="241" t="s">
        <v>143</v>
      </c>
    </row>
    <row r="295" spans="1:10" s="168" customFormat="1" ht="24.95" hidden="1" customHeight="1">
      <c r="A295" s="145" t="s">
        <v>1970</v>
      </c>
      <c r="B295" s="169" t="s">
        <v>93</v>
      </c>
      <c r="C295" s="169" t="s">
        <v>321</v>
      </c>
      <c r="D295" s="34">
        <v>42657</v>
      </c>
      <c r="E295" s="68">
        <v>957.6</v>
      </c>
      <c r="F295" s="69">
        <v>549348.23</v>
      </c>
      <c r="G295" s="34">
        <v>42657</v>
      </c>
      <c r="H295" s="68">
        <v>957.6</v>
      </c>
      <c r="I295" s="69">
        <v>549348.23</v>
      </c>
      <c r="J295" s="37" t="s">
        <v>140</v>
      </c>
    </row>
    <row r="296" spans="1:10" s="168" customFormat="1" ht="24.95" hidden="1" customHeight="1">
      <c r="A296" s="145" t="s">
        <v>1970</v>
      </c>
      <c r="B296" s="17" t="s">
        <v>93</v>
      </c>
      <c r="C296" s="169" t="s">
        <v>321</v>
      </c>
      <c r="D296" s="34">
        <v>42660</v>
      </c>
      <c r="E296" s="68">
        <v>3057.6709999999998</v>
      </c>
      <c r="F296" s="69">
        <v>1762838.77</v>
      </c>
      <c r="G296" s="34">
        <v>42660</v>
      </c>
      <c r="H296" s="68">
        <v>3057.6709999999998</v>
      </c>
      <c r="I296" s="69">
        <v>1762838.77</v>
      </c>
      <c r="J296" s="167" t="s">
        <v>140</v>
      </c>
    </row>
    <row r="297" spans="1:10" s="168" customFormat="1" ht="24.95" hidden="1" customHeight="1">
      <c r="A297" s="145" t="s">
        <v>1971</v>
      </c>
      <c r="B297" s="169" t="s">
        <v>1380</v>
      </c>
      <c r="C297" s="169" t="s">
        <v>144</v>
      </c>
      <c r="D297" s="34">
        <v>42660</v>
      </c>
      <c r="E297" s="68">
        <v>2821.4767999999999</v>
      </c>
      <c r="F297" s="69">
        <v>1679454.67</v>
      </c>
      <c r="G297" s="34">
        <v>42660</v>
      </c>
      <c r="H297" s="68">
        <v>2821.4767999999999</v>
      </c>
      <c r="I297" s="69">
        <v>1679454.67</v>
      </c>
      <c r="J297" s="167" t="s">
        <v>140</v>
      </c>
    </row>
    <row r="298" spans="1:10" s="168" customFormat="1" ht="24.95" hidden="1" customHeight="1">
      <c r="A298" s="145" t="s">
        <v>1513</v>
      </c>
      <c r="B298" s="17" t="s">
        <v>60</v>
      </c>
      <c r="C298" s="169" t="s">
        <v>321</v>
      </c>
      <c r="D298" s="34">
        <v>42663</v>
      </c>
      <c r="E298" s="68">
        <v>143.108</v>
      </c>
      <c r="F298" s="69">
        <v>707792.68</v>
      </c>
      <c r="G298" s="34">
        <v>42663</v>
      </c>
      <c r="H298" s="68">
        <v>143.108</v>
      </c>
      <c r="I298" s="69">
        <v>707792.68</v>
      </c>
      <c r="J298" s="167" t="s">
        <v>140</v>
      </c>
    </row>
    <row r="299" spans="1:10" s="168" customFormat="1" ht="24.95" hidden="1" customHeight="1">
      <c r="A299" s="145" t="s">
        <v>2018</v>
      </c>
      <c r="B299" s="17" t="s">
        <v>60</v>
      </c>
      <c r="C299" s="169" t="s">
        <v>321</v>
      </c>
      <c r="D299" s="34">
        <v>42663</v>
      </c>
      <c r="E299" s="68">
        <v>160.376</v>
      </c>
      <c r="F299" s="69">
        <v>983712.15</v>
      </c>
      <c r="G299" s="34">
        <v>42663</v>
      </c>
      <c r="H299" s="68">
        <v>160.376</v>
      </c>
      <c r="I299" s="69">
        <v>983712.15</v>
      </c>
      <c r="J299" s="167" t="s">
        <v>140</v>
      </c>
    </row>
    <row r="300" spans="1:10" s="168" customFormat="1" ht="24.95" hidden="1" customHeight="1">
      <c r="A300" s="145" t="s">
        <v>2132</v>
      </c>
      <c r="B300" s="17" t="s">
        <v>60</v>
      </c>
      <c r="C300" s="169" t="s">
        <v>321</v>
      </c>
      <c r="D300" s="34">
        <v>42663</v>
      </c>
      <c r="E300" s="68">
        <v>506.79599999999999</v>
      </c>
      <c r="F300" s="69">
        <v>3761440.84</v>
      </c>
      <c r="G300" s="34">
        <v>42663</v>
      </c>
      <c r="H300" s="68">
        <v>506.79599999999999</v>
      </c>
      <c r="I300" s="69">
        <v>3761440.84</v>
      </c>
      <c r="J300" s="167" t="s">
        <v>140</v>
      </c>
    </row>
    <row r="301" spans="1:10" s="168" customFormat="1" ht="24.95" hidden="1" customHeight="1">
      <c r="A301" s="145" t="s">
        <v>1215</v>
      </c>
      <c r="B301" s="17" t="s">
        <v>60</v>
      </c>
      <c r="C301" s="169" t="s">
        <v>90</v>
      </c>
      <c r="D301" s="34">
        <v>42669</v>
      </c>
      <c r="E301" s="68">
        <v>6.5171000000000001</v>
      </c>
      <c r="F301" s="69">
        <v>-264212.8</v>
      </c>
      <c r="G301" s="34">
        <v>42669</v>
      </c>
      <c r="H301" s="68">
        <v>6.5171000000000001</v>
      </c>
      <c r="I301" s="69">
        <v>-264212.8</v>
      </c>
      <c r="J301" s="167" t="s">
        <v>143</v>
      </c>
    </row>
    <row r="302" spans="1:10" s="168" customFormat="1" ht="24.95" hidden="1" customHeight="1">
      <c r="A302" s="145" t="s">
        <v>1226</v>
      </c>
      <c r="B302" s="17" t="s">
        <v>60</v>
      </c>
      <c r="C302" s="169" t="s">
        <v>90</v>
      </c>
      <c r="D302" s="34">
        <v>42669</v>
      </c>
      <c r="E302" s="68">
        <v>284.90530000000001</v>
      </c>
      <c r="F302" s="69">
        <v>1334714.45</v>
      </c>
      <c r="G302" s="34">
        <v>42669</v>
      </c>
      <c r="H302" s="68">
        <v>284.90530000000001</v>
      </c>
      <c r="I302" s="69">
        <v>1334714.45</v>
      </c>
      <c r="J302" s="167" t="s">
        <v>143</v>
      </c>
    </row>
    <row r="303" spans="1:10" s="168" customFormat="1" ht="24.95" hidden="1" customHeight="1">
      <c r="A303" s="145" t="s">
        <v>2209</v>
      </c>
      <c r="B303" s="17" t="s">
        <v>2210</v>
      </c>
      <c r="C303" s="169" t="s">
        <v>2211</v>
      </c>
      <c r="D303" s="34">
        <v>42664</v>
      </c>
      <c r="E303" s="68">
        <v>4015.2701999999999</v>
      </c>
      <c r="F303" s="69">
        <v>2126718.42</v>
      </c>
      <c r="G303" s="34">
        <v>42664</v>
      </c>
      <c r="H303" s="68">
        <v>4015.2701999999999</v>
      </c>
      <c r="I303" s="69">
        <v>2126718.42</v>
      </c>
      <c r="J303" s="167" t="s">
        <v>143</v>
      </c>
    </row>
    <row r="304" spans="1:10" s="168" customFormat="1" ht="24.95" hidden="1" customHeight="1">
      <c r="A304" s="145" t="s">
        <v>2012</v>
      </c>
      <c r="B304" s="17" t="s">
        <v>240</v>
      </c>
      <c r="C304" s="169" t="s">
        <v>2065</v>
      </c>
      <c r="D304" s="34">
        <v>42664</v>
      </c>
      <c r="E304" s="68">
        <v>100</v>
      </c>
      <c r="F304" s="69">
        <v>1110000</v>
      </c>
      <c r="G304" s="34">
        <v>42664</v>
      </c>
      <c r="H304" s="68">
        <v>100</v>
      </c>
      <c r="I304" s="69">
        <v>1110000</v>
      </c>
      <c r="J304" s="167" t="s">
        <v>143</v>
      </c>
    </row>
    <row r="305" spans="1:10" s="168" customFormat="1" ht="24.95" hidden="1" customHeight="1">
      <c r="A305" s="145" t="s">
        <v>2008</v>
      </c>
      <c r="B305" s="17" t="s">
        <v>402</v>
      </c>
      <c r="C305" s="169" t="s">
        <v>53</v>
      </c>
      <c r="D305" s="34">
        <v>42664</v>
      </c>
      <c r="E305" s="68">
        <v>260</v>
      </c>
      <c r="F305" s="69">
        <v>1532524.5</v>
      </c>
      <c r="G305" s="34">
        <v>42664</v>
      </c>
      <c r="H305" s="68">
        <v>260</v>
      </c>
      <c r="I305" s="69">
        <v>1532524.5</v>
      </c>
      <c r="J305" s="167" t="s">
        <v>143</v>
      </c>
    </row>
    <row r="306" spans="1:10" s="168" customFormat="1" ht="24.95" hidden="1" customHeight="1">
      <c r="A306" s="145" t="s">
        <v>2224</v>
      </c>
      <c r="B306" s="17" t="s">
        <v>93</v>
      </c>
      <c r="C306" s="169" t="s">
        <v>292</v>
      </c>
      <c r="D306" s="34">
        <v>42667</v>
      </c>
      <c r="E306" s="68">
        <v>4000</v>
      </c>
      <c r="F306" s="69">
        <v>2262720</v>
      </c>
      <c r="G306" s="34">
        <v>42667</v>
      </c>
      <c r="H306" s="68">
        <v>4000</v>
      </c>
      <c r="I306" s="69">
        <v>2262720</v>
      </c>
      <c r="J306" s="167" t="s">
        <v>374</v>
      </c>
    </row>
    <row r="307" spans="1:10" s="168" customFormat="1" ht="24.95" hidden="1" customHeight="1">
      <c r="A307" s="145" t="s">
        <v>2242</v>
      </c>
      <c r="B307" s="17" t="s">
        <v>2243</v>
      </c>
      <c r="C307" s="169" t="s">
        <v>2244</v>
      </c>
      <c r="D307" s="34">
        <v>42667</v>
      </c>
      <c r="E307" s="68">
        <v>629.26</v>
      </c>
      <c r="F307" s="69">
        <v>3708858.44</v>
      </c>
      <c r="G307" s="34">
        <v>42667</v>
      </c>
      <c r="H307" s="68">
        <v>629.26</v>
      </c>
      <c r="I307" s="69">
        <v>3708858.44</v>
      </c>
      <c r="J307" s="167" t="s">
        <v>2245</v>
      </c>
    </row>
    <row r="308" spans="1:10" s="168" customFormat="1" ht="24.95" hidden="1" customHeight="1">
      <c r="A308" s="145" t="s">
        <v>2102</v>
      </c>
      <c r="B308" s="17" t="s">
        <v>60</v>
      </c>
      <c r="C308" s="169" t="s">
        <v>90</v>
      </c>
      <c r="D308" s="34">
        <v>42669</v>
      </c>
      <c r="E308" s="68">
        <v>160</v>
      </c>
      <c r="F308" s="69">
        <v>1143283.2</v>
      </c>
      <c r="G308" s="34">
        <v>42669</v>
      </c>
      <c r="H308" s="68">
        <v>160</v>
      </c>
      <c r="I308" s="69">
        <v>1143283.2</v>
      </c>
      <c r="J308" s="167" t="s">
        <v>143</v>
      </c>
    </row>
    <row r="309" spans="1:10" s="168" customFormat="1" ht="24.95" hidden="1" customHeight="1">
      <c r="A309" s="145" t="s">
        <v>2251</v>
      </c>
      <c r="B309" s="17" t="s">
        <v>2252</v>
      </c>
      <c r="C309" s="169" t="s">
        <v>2253</v>
      </c>
      <c r="D309" s="34">
        <v>42669</v>
      </c>
      <c r="E309" s="68">
        <v>60</v>
      </c>
      <c r="F309" s="69">
        <v>630000</v>
      </c>
      <c r="G309" s="34">
        <v>42669</v>
      </c>
      <c r="H309" s="68">
        <v>60</v>
      </c>
      <c r="I309" s="69">
        <v>630000</v>
      </c>
      <c r="J309" s="167" t="s">
        <v>2254</v>
      </c>
    </row>
    <row r="310" spans="1:10" s="168" customFormat="1" ht="24.95" hidden="1" customHeight="1">
      <c r="A310" s="145" t="s">
        <v>2255</v>
      </c>
      <c r="B310" s="17" t="s">
        <v>2256</v>
      </c>
      <c r="C310" s="169" t="s">
        <v>2257</v>
      </c>
      <c r="D310" s="34">
        <v>42674</v>
      </c>
      <c r="E310" s="68">
        <v>111.4374</v>
      </c>
      <c r="F310" s="69">
        <v>513306.3</v>
      </c>
      <c r="G310" s="34">
        <v>42674</v>
      </c>
      <c r="H310" s="68">
        <v>111.4374</v>
      </c>
      <c r="I310" s="69">
        <v>513306.3</v>
      </c>
      <c r="J310" s="167" t="s">
        <v>143</v>
      </c>
    </row>
    <row r="311" spans="1:10" s="168" customFormat="1" ht="24.95" hidden="1" customHeight="1">
      <c r="A311" s="145" t="s">
        <v>2258</v>
      </c>
      <c r="B311" s="17" t="s">
        <v>445</v>
      </c>
      <c r="C311" s="169" t="s">
        <v>180</v>
      </c>
      <c r="D311" s="34">
        <v>42674</v>
      </c>
      <c r="E311" s="68">
        <v>59.754900000000006</v>
      </c>
      <c r="F311" s="69">
        <v>366459.49</v>
      </c>
      <c r="G311" s="34">
        <v>42674</v>
      </c>
      <c r="H311" s="68">
        <v>59.754900000000006</v>
      </c>
      <c r="I311" s="69">
        <v>366459.49</v>
      </c>
      <c r="J311" s="167" t="s">
        <v>749</v>
      </c>
    </row>
    <row r="312" spans="1:10" s="168" customFormat="1" ht="24.95" hidden="1" customHeight="1">
      <c r="A312" s="145" t="s">
        <v>2259</v>
      </c>
      <c r="B312" s="17" t="s">
        <v>445</v>
      </c>
      <c r="C312" s="169" t="s">
        <v>180</v>
      </c>
      <c r="D312" s="34">
        <v>42674</v>
      </c>
      <c r="E312" s="68">
        <v>43</v>
      </c>
      <c r="F312" s="69">
        <v>263706.5</v>
      </c>
      <c r="G312" s="34">
        <v>42674</v>
      </c>
      <c r="H312" s="68">
        <v>43</v>
      </c>
      <c r="I312" s="69">
        <v>263706.5</v>
      </c>
      <c r="J312" s="167" t="s">
        <v>749</v>
      </c>
    </row>
    <row r="313" spans="1:10" s="168" customFormat="1" ht="24.75" hidden="1" customHeight="1">
      <c r="A313" s="145" t="s">
        <v>2260</v>
      </c>
      <c r="B313" s="17" t="s">
        <v>445</v>
      </c>
      <c r="C313" s="169" t="s">
        <v>180</v>
      </c>
      <c r="D313" s="34">
        <v>42674</v>
      </c>
      <c r="E313" s="68">
        <v>11.2006</v>
      </c>
      <c r="F313" s="69">
        <v>49302.39</v>
      </c>
      <c r="G313" s="34">
        <v>42674</v>
      </c>
      <c r="H313" s="68">
        <v>11.2006</v>
      </c>
      <c r="I313" s="69">
        <v>49302.39</v>
      </c>
      <c r="J313" s="167" t="s">
        <v>749</v>
      </c>
    </row>
    <row r="314" spans="1:10" s="168" customFormat="1" ht="24.95" hidden="1" customHeight="1">
      <c r="A314" s="145" t="s">
        <v>1886</v>
      </c>
      <c r="B314" s="17" t="s">
        <v>60</v>
      </c>
      <c r="C314" s="169" t="s">
        <v>144</v>
      </c>
      <c r="D314" s="34">
        <v>42675</v>
      </c>
      <c r="E314" s="68">
        <v>103.4791</v>
      </c>
      <c r="F314" s="69">
        <v>212513.79</v>
      </c>
      <c r="G314" s="34">
        <v>42675</v>
      </c>
      <c r="H314" s="68">
        <v>103.4791</v>
      </c>
      <c r="I314" s="69">
        <v>212513.79</v>
      </c>
      <c r="J314" s="167" t="s">
        <v>140</v>
      </c>
    </row>
    <row r="315" spans="1:10" s="168" customFormat="1" ht="24.95" hidden="1" customHeight="1">
      <c r="A315" s="145" t="s">
        <v>2099</v>
      </c>
      <c r="B315" s="17" t="s">
        <v>60</v>
      </c>
      <c r="C315" s="169" t="s">
        <v>144</v>
      </c>
      <c r="D315" s="34">
        <v>42675</v>
      </c>
      <c r="E315" s="68">
        <v>1299.3426999999999</v>
      </c>
      <c r="F315" s="69">
        <v>8053185.6799999997</v>
      </c>
      <c r="G315" s="34">
        <v>42675</v>
      </c>
      <c r="H315" s="68">
        <v>1299.3426999999999</v>
      </c>
      <c r="I315" s="69">
        <v>8053185.6799999997</v>
      </c>
      <c r="J315" s="167" t="s">
        <v>140</v>
      </c>
    </row>
    <row r="316" spans="1:10" s="168" customFormat="1" ht="24.95" hidden="1" customHeight="1">
      <c r="A316" s="145" t="s">
        <v>2277</v>
      </c>
      <c r="B316" s="17" t="s">
        <v>2032</v>
      </c>
      <c r="C316" s="169" t="s">
        <v>2278</v>
      </c>
      <c r="D316" s="34">
        <v>42675</v>
      </c>
      <c r="E316" s="68">
        <v>6585.8671999999997</v>
      </c>
      <c r="F316" s="69">
        <v>3908481.08</v>
      </c>
      <c r="G316" s="34">
        <v>42675</v>
      </c>
      <c r="H316" s="68">
        <v>6585.8671999999997</v>
      </c>
      <c r="I316" s="69">
        <v>3908481.08</v>
      </c>
      <c r="J316" s="167" t="s">
        <v>140</v>
      </c>
    </row>
    <row r="317" spans="1:10" s="168" customFormat="1" ht="24.95" hidden="1" customHeight="1">
      <c r="A317" s="42" t="s">
        <v>1891</v>
      </c>
      <c r="B317" s="18" t="s">
        <v>603</v>
      </c>
      <c r="C317" s="18" t="s">
        <v>195</v>
      </c>
      <c r="D317" s="34">
        <v>42674</v>
      </c>
      <c r="E317" s="68">
        <v>215.52279999999999</v>
      </c>
      <c r="F317" s="69">
        <v>1271156.99</v>
      </c>
      <c r="G317" s="34">
        <v>42674</v>
      </c>
      <c r="H317" s="68">
        <v>215.52279999999999</v>
      </c>
      <c r="I317" s="69">
        <v>1271156.99</v>
      </c>
      <c r="J317" s="167" t="s">
        <v>143</v>
      </c>
    </row>
    <row r="318" spans="1:10" s="168" customFormat="1" ht="24.95" hidden="1" customHeight="1">
      <c r="A318" s="42" t="s">
        <v>2279</v>
      </c>
      <c r="B318" s="18" t="s">
        <v>2280</v>
      </c>
      <c r="C318" s="18" t="s">
        <v>2281</v>
      </c>
      <c r="D318" s="34">
        <v>42674</v>
      </c>
      <c r="E318" s="68">
        <v>277.66000000000003</v>
      </c>
      <c r="F318" s="69">
        <v>1981381.76</v>
      </c>
      <c r="G318" s="34">
        <v>42674</v>
      </c>
      <c r="H318" s="68">
        <v>277.66000000000003</v>
      </c>
      <c r="I318" s="69">
        <v>1981381.76</v>
      </c>
      <c r="J318" s="167" t="s">
        <v>388</v>
      </c>
    </row>
    <row r="319" spans="1:10" s="168" customFormat="1" ht="24.95" hidden="1" customHeight="1">
      <c r="A319" s="42" t="s">
        <v>2177</v>
      </c>
      <c r="B319" s="18" t="s">
        <v>603</v>
      </c>
      <c r="C319" s="18" t="s">
        <v>351</v>
      </c>
      <c r="D319" s="34">
        <v>42674</v>
      </c>
      <c r="E319" s="68">
        <v>565</v>
      </c>
      <c r="F319" s="69">
        <v>4042744.52</v>
      </c>
      <c r="G319" s="34">
        <v>42674</v>
      </c>
      <c r="H319" s="68">
        <v>565</v>
      </c>
      <c r="I319" s="69">
        <v>4042744.52</v>
      </c>
      <c r="J319" s="167" t="s">
        <v>388</v>
      </c>
    </row>
    <row r="320" spans="1:10" s="168" customFormat="1" ht="24.95" hidden="1" customHeight="1">
      <c r="A320" s="42" t="s">
        <v>1865</v>
      </c>
      <c r="B320" s="18" t="s">
        <v>1272</v>
      </c>
      <c r="C320" s="18" t="s">
        <v>902</v>
      </c>
      <c r="D320" s="34">
        <v>42674</v>
      </c>
      <c r="E320" s="68">
        <v>2821.4767999999999</v>
      </c>
      <c r="F320" s="69">
        <v>1574784.21</v>
      </c>
      <c r="G320" s="34">
        <v>42674</v>
      </c>
      <c r="H320" s="68">
        <v>2821.4767999999999</v>
      </c>
      <c r="I320" s="69">
        <v>1574784.21</v>
      </c>
      <c r="J320" s="167" t="s">
        <v>143</v>
      </c>
    </row>
    <row r="321" spans="1:10" s="168" customFormat="1" ht="24.95" hidden="1" customHeight="1">
      <c r="A321" s="42" t="s">
        <v>1865</v>
      </c>
      <c r="B321" s="18" t="s">
        <v>1272</v>
      </c>
      <c r="C321" s="18" t="s">
        <v>902</v>
      </c>
      <c r="D321" s="34">
        <v>42674</v>
      </c>
      <c r="E321" s="68">
        <v>3571</v>
      </c>
      <c r="F321" s="69">
        <v>2000000</v>
      </c>
      <c r="G321" s="34">
        <v>42674</v>
      </c>
      <c r="H321" s="68">
        <v>3571</v>
      </c>
      <c r="I321" s="69">
        <v>2000000</v>
      </c>
      <c r="J321" s="167" t="s">
        <v>143</v>
      </c>
    </row>
    <row r="322" spans="1:10" s="168" customFormat="1" ht="24.95" hidden="1" customHeight="1">
      <c r="A322" s="42" t="s">
        <v>2064</v>
      </c>
      <c r="B322" s="18" t="s">
        <v>194</v>
      </c>
      <c r="C322" s="18" t="s">
        <v>1638</v>
      </c>
      <c r="D322" s="34">
        <v>42674</v>
      </c>
      <c r="E322" s="68">
        <v>100</v>
      </c>
      <c r="F322" s="69">
        <v>1120000</v>
      </c>
      <c r="G322" s="34">
        <v>42674</v>
      </c>
      <c r="H322" s="68">
        <v>100</v>
      </c>
      <c r="I322" s="69">
        <v>1120000</v>
      </c>
      <c r="J322" s="167" t="s">
        <v>140</v>
      </c>
    </row>
    <row r="323" spans="1:10" s="168" customFormat="1" ht="24.95" hidden="1" customHeight="1">
      <c r="A323" s="42" t="s">
        <v>2192</v>
      </c>
      <c r="B323" s="18" t="s">
        <v>2194</v>
      </c>
      <c r="C323" s="18" t="s">
        <v>1638</v>
      </c>
      <c r="D323" s="34">
        <v>42674</v>
      </c>
      <c r="E323" s="68">
        <v>60</v>
      </c>
      <c r="F323" s="69">
        <v>633000</v>
      </c>
      <c r="G323" s="34">
        <v>42674</v>
      </c>
      <c r="H323" s="68">
        <v>60</v>
      </c>
      <c r="I323" s="69">
        <v>633000</v>
      </c>
      <c r="J323" s="167" t="s">
        <v>140</v>
      </c>
    </row>
    <row r="324" spans="1:10" s="168" customFormat="1" ht="24.95" hidden="1" customHeight="1">
      <c r="A324" s="42" t="s">
        <v>2303</v>
      </c>
      <c r="B324" s="18" t="s">
        <v>2304</v>
      </c>
      <c r="C324" s="18" t="s">
        <v>2305</v>
      </c>
      <c r="D324" s="34">
        <v>42678</v>
      </c>
      <c r="E324" s="68">
        <v>49.82</v>
      </c>
      <c r="F324" s="69">
        <v>385053.51</v>
      </c>
      <c r="G324" s="34">
        <v>42678</v>
      </c>
      <c r="H324" s="68">
        <v>49.82</v>
      </c>
      <c r="I324" s="69">
        <v>385053.51</v>
      </c>
      <c r="J324" s="167" t="s">
        <v>140</v>
      </c>
    </row>
    <row r="325" spans="1:10" s="168" customFormat="1" ht="24.95" hidden="1" customHeight="1">
      <c r="A325" s="42" t="s">
        <v>2306</v>
      </c>
      <c r="B325" s="18" t="s">
        <v>2307</v>
      </c>
      <c r="C325" s="18" t="s">
        <v>2305</v>
      </c>
      <c r="D325" s="34">
        <v>42678</v>
      </c>
      <c r="E325" s="68">
        <v>63.017000000000003</v>
      </c>
      <c r="F325" s="69">
        <v>802386.49</v>
      </c>
      <c r="G325" s="34">
        <v>42678</v>
      </c>
      <c r="H325" s="68">
        <v>63.017000000000003</v>
      </c>
      <c r="I325" s="69">
        <v>802386.49</v>
      </c>
      <c r="J325" s="167" t="s">
        <v>140</v>
      </c>
    </row>
    <row r="326" spans="1:10" s="168" customFormat="1" ht="24.95" hidden="1" customHeight="1">
      <c r="A326" s="42" t="s">
        <v>2171</v>
      </c>
      <c r="B326" s="18" t="s">
        <v>2308</v>
      </c>
      <c r="C326" s="18" t="s">
        <v>2305</v>
      </c>
      <c r="D326" s="34">
        <v>42678</v>
      </c>
      <c r="E326" s="68">
        <v>1013.175</v>
      </c>
      <c r="F326" s="69">
        <v>7527015.2400000002</v>
      </c>
      <c r="G326" s="34">
        <v>42678</v>
      </c>
      <c r="H326" s="68">
        <v>1013.175</v>
      </c>
      <c r="I326" s="69">
        <v>7527015.2400000002</v>
      </c>
      <c r="J326" s="167" t="s">
        <v>140</v>
      </c>
    </row>
    <row r="327" spans="1:10" s="168" customFormat="1" ht="24.95" hidden="1" customHeight="1">
      <c r="A327" s="42" t="s">
        <v>1970</v>
      </c>
      <c r="B327" s="18" t="s">
        <v>218</v>
      </c>
      <c r="C327" s="18" t="s">
        <v>168</v>
      </c>
      <c r="D327" s="34">
        <v>42678</v>
      </c>
      <c r="E327" s="68">
        <v>5393.5</v>
      </c>
      <c r="F327" s="69">
        <v>3196176.06</v>
      </c>
      <c r="G327" s="34">
        <v>42678</v>
      </c>
      <c r="H327" s="68">
        <v>5393.5</v>
      </c>
      <c r="I327" s="69">
        <v>3196176.06</v>
      </c>
      <c r="J327" s="167" t="s">
        <v>140</v>
      </c>
    </row>
    <row r="328" spans="1:10" s="168" customFormat="1" ht="24.95" hidden="1" customHeight="1">
      <c r="A328" s="42" t="s">
        <v>2331</v>
      </c>
      <c r="B328" s="18" t="s">
        <v>2332</v>
      </c>
      <c r="C328" s="18" t="s">
        <v>2333</v>
      </c>
      <c r="D328" s="34">
        <v>42681</v>
      </c>
      <c r="E328" s="68">
        <v>55.333199999999998</v>
      </c>
      <c r="F328" s="69">
        <v>323722.81</v>
      </c>
      <c r="G328" s="34">
        <v>42681</v>
      </c>
      <c r="H328" s="68">
        <v>55.333199999999998</v>
      </c>
      <c r="I328" s="69">
        <v>323722.81</v>
      </c>
      <c r="J328" s="167" t="s">
        <v>143</v>
      </c>
    </row>
    <row r="329" spans="1:10" s="168" customFormat="1" ht="24.95" hidden="1" customHeight="1">
      <c r="A329" s="42" t="s">
        <v>2334</v>
      </c>
      <c r="B329" s="18" t="s">
        <v>2332</v>
      </c>
      <c r="C329" s="18" t="s">
        <v>2333</v>
      </c>
      <c r="D329" s="34">
        <v>42681</v>
      </c>
      <c r="E329" s="68">
        <v>240</v>
      </c>
      <c r="F329" s="69">
        <v>1714926</v>
      </c>
      <c r="G329" s="34">
        <v>42681</v>
      </c>
      <c r="H329" s="68">
        <v>240</v>
      </c>
      <c r="I329" s="69">
        <v>1714926</v>
      </c>
      <c r="J329" s="167" t="s">
        <v>388</v>
      </c>
    </row>
    <row r="330" spans="1:10" s="168" customFormat="1" ht="24.95" hidden="1" customHeight="1">
      <c r="A330" s="42" t="s">
        <v>2343</v>
      </c>
      <c r="B330" s="18" t="s">
        <v>846</v>
      </c>
      <c r="C330" s="18" t="s">
        <v>2344</v>
      </c>
      <c r="D330" s="34">
        <v>42681</v>
      </c>
      <c r="E330" s="68">
        <v>1393.4999</v>
      </c>
      <c r="F330" s="69">
        <v>798186.89</v>
      </c>
      <c r="G330" s="34">
        <v>42681</v>
      </c>
      <c r="H330" s="68">
        <v>1393.4999</v>
      </c>
      <c r="I330" s="69">
        <v>798186.89</v>
      </c>
      <c r="J330" s="167" t="s">
        <v>143</v>
      </c>
    </row>
    <row r="331" spans="1:10" s="168" customFormat="1" ht="24.95" hidden="1" customHeight="1">
      <c r="A331" s="42" t="s">
        <v>2345</v>
      </c>
      <c r="B331" s="18" t="s">
        <v>1406</v>
      </c>
      <c r="C331" s="18" t="s">
        <v>630</v>
      </c>
      <c r="D331" s="34">
        <v>42682</v>
      </c>
      <c r="E331" s="68">
        <v>1265.9418000000001</v>
      </c>
      <c r="F331" s="69">
        <v>732559.14</v>
      </c>
      <c r="G331" s="34">
        <v>42682</v>
      </c>
      <c r="H331" s="68">
        <v>1265.9418000000001</v>
      </c>
      <c r="I331" s="69">
        <v>732559.14</v>
      </c>
      <c r="J331" s="167" t="s">
        <v>140</v>
      </c>
    </row>
    <row r="332" spans="1:10" s="168" customFormat="1" ht="24.95" hidden="1" customHeight="1">
      <c r="A332" s="42" t="s">
        <v>2346</v>
      </c>
      <c r="B332" s="18" t="s">
        <v>2347</v>
      </c>
      <c r="C332" s="18" t="s">
        <v>2348</v>
      </c>
      <c r="D332" s="34">
        <v>42682</v>
      </c>
      <c r="E332" s="68">
        <v>142.4949</v>
      </c>
      <c r="F332" s="69">
        <v>883468.38</v>
      </c>
      <c r="G332" s="34">
        <v>42682</v>
      </c>
      <c r="H332" s="68">
        <v>142.4949</v>
      </c>
      <c r="I332" s="69">
        <v>883468.38</v>
      </c>
      <c r="J332" s="167" t="s">
        <v>2349</v>
      </c>
    </row>
    <row r="333" spans="1:10" s="168" customFormat="1" ht="24.95" hidden="1" customHeight="1">
      <c r="A333" s="42" t="s">
        <v>2350</v>
      </c>
      <c r="B333" s="18" t="s">
        <v>2347</v>
      </c>
      <c r="C333" s="18" t="s">
        <v>2348</v>
      </c>
      <c r="D333" s="34">
        <v>42682</v>
      </c>
      <c r="E333" s="68">
        <v>400.86689999999999</v>
      </c>
      <c r="F333" s="69">
        <v>3022516.36</v>
      </c>
      <c r="G333" s="34">
        <v>42682</v>
      </c>
      <c r="H333" s="68">
        <v>400.86689999999999</v>
      </c>
      <c r="I333" s="69">
        <v>3022516.36</v>
      </c>
      <c r="J333" s="167" t="s">
        <v>2349</v>
      </c>
    </row>
    <row r="334" spans="1:10" s="168" customFormat="1" ht="24.95" hidden="1" customHeight="1">
      <c r="A334" s="145" t="s">
        <v>2354</v>
      </c>
      <c r="B334" s="17" t="s">
        <v>240</v>
      </c>
      <c r="C334" s="169" t="s">
        <v>104</v>
      </c>
      <c r="D334" s="34">
        <v>42656</v>
      </c>
      <c r="E334" s="68">
        <v>120</v>
      </c>
      <c r="F334" s="69">
        <v>205200</v>
      </c>
      <c r="G334" s="34">
        <v>42656</v>
      </c>
      <c r="H334" s="68">
        <v>120</v>
      </c>
      <c r="I334" s="69">
        <v>205200</v>
      </c>
      <c r="J334" s="37" t="s">
        <v>1472</v>
      </c>
    </row>
    <row r="335" spans="1:10" s="168" customFormat="1" ht="24.95" hidden="1" customHeight="1">
      <c r="A335" s="145" t="s">
        <v>2355</v>
      </c>
      <c r="B335" s="17" t="s">
        <v>240</v>
      </c>
      <c r="C335" s="169" t="s">
        <v>104</v>
      </c>
      <c r="D335" s="34">
        <v>42674</v>
      </c>
      <c r="E335" s="68">
        <v>200</v>
      </c>
      <c r="F335" s="69">
        <v>319000</v>
      </c>
      <c r="G335" s="34">
        <v>42674</v>
      </c>
      <c r="H335" s="68">
        <v>200</v>
      </c>
      <c r="I335" s="69">
        <v>319000</v>
      </c>
      <c r="J335" s="37" t="s">
        <v>1472</v>
      </c>
    </row>
    <row r="336" spans="1:10" s="168" customFormat="1" ht="24.95" hidden="1" customHeight="1">
      <c r="A336" s="145" t="s">
        <v>2356</v>
      </c>
      <c r="B336" s="17" t="s">
        <v>240</v>
      </c>
      <c r="C336" s="169" t="s">
        <v>992</v>
      </c>
      <c r="D336" s="34">
        <v>42671</v>
      </c>
      <c r="E336" s="68">
        <v>200</v>
      </c>
      <c r="F336" s="69">
        <f>351000-1485</f>
        <v>349515</v>
      </c>
      <c r="G336" s="34">
        <v>42671</v>
      </c>
      <c r="H336" s="68">
        <v>200</v>
      </c>
      <c r="I336" s="69">
        <f>351000-1485</f>
        <v>349515</v>
      </c>
      <c r="J336" s="37" t="s">
        <v>1472</v>
      </c>
    </row>
    <row r="337" spans="1:10" s="168" customFormat="1" ht="24.95" hidden="1" customHeight="1">
      <c r="A337" s="145" t="s">
        <v>2357</v>
      </c>
      <c r="B337" s="17" t="s">
        <v>240</v>
      </c>
      <c r="C337" s="169" t="s">
        <v>474</v>
      </c>
      <c r="D337" s="34">
        <v>42656</v>
      </c>
      <c r="E337" s="68">
        <v>120</v>
      </c>
      <c r="F337" s="69">
        <v>184527.6</v>
      </c>
      <c r="G337" s="34">
        <v>42656</v>
      </c>
      <c r="H337" s="68">
        <v>120</v>
      </c>
      <c r="I337" s="69">
        <v>184527.6</v>
      </c>
      <c r="J337" s="37" t="s">
        <v>401</v>
      </c>
    </row>
    <row r="338" spans="1:10" s="168" customFormat="1" ht="24.95" hidden="1" customHeight="1">
      <c r="A338" s="145" t="s">
        <v>2358</v>
      </c>
      <c r="B338" s="17" t="s">
        <v>240</v>
      </c>
      <c r="C338" s="169" t="s">
        <v>474</v>
      </c>
      <c r="D338" s="34">
        <v>42674</v>
      </c>
      <c r="E338" s="68">
        <v>200</v>
      </c>
      <c r="F338" s="69">
        <v>327000</v>
      </c>
      <c r="G338" s="34">
        <v>42674</v>
      </c>
      <c r="H338" s="68">
        <v>200</v>
      </c>
      <c r="I338" s="69">
        <v>327000</v>
      </c>
      <c r="J338" s="37" t="s">
        <v>401</v>
      </c>
    </row>
    <row r="339" spans="1:10" s="168" customFormat="1" ht="24.95" hidden="1" customHeight="1">
      <c r="A339" s="145" t="s">
        <v>2359</v>
      </c>
      <c r="B339" s="17" t="s">
        <v>240</v>
      </c>
      <c r="C339" s="169" t="s">
        <v>474</v>
      </c>
      <c r="D339" s="34">
        <v>42671</v>
      </c>
      <c r="E339" s="68">
        <v>200</v>
      </c>
      <c r="F339" s="69">
        <v>320308</v>
      </c>
      <c r="G339" s="34">
        <v>42671</v>
      </c>
      <c r="H339" s="68">
        <v>200</v>
      </c>
      <c r="I339" s="69">
        <v>320308</v>
      </c>
      <c r="J339" s="37" t="s">
        <v>401</v>
      </c>
    </row>
    <row r="340" spans="1:10" s="168" customFormat="1" ht="24.95" hidden="1" customHeight="1">
      <c r="A340" s="145" t="s">
        <v>2363</v>
      </c>
      <c r="B340" s="17" t="s">
        <v>747</v>
      </c>
      <c r="C340" s="169" t="s">
        <v>748</v>
      </c>
      <c r="D340" s="34">
        <v>42671</v>
      </c>
      <c r="E340" s="68">
        <v>100</v>
      </c>
      <c r="F340" s="69">
        <v>39000</v>
      </c>
      <c r="G340" s="34">
        <v>42671</v>
      </c>
      <c r="H340" s="68">
        <v>100</v>
      </c>
      <c r="I340" s="69">
        <v>39000</v>
      </c>
      <c r="J340" s="37" t="s">
        <v>388</v>
      </c>
    </row>
    <row r="341" spans="1:10" s="168" customFormat="1" ht="24.95" hidden="1" customHeight="1">
      <c r="A341" s="145" t="s">
        <v>2365</v>
      </c>
      <c r="B341" s="17" t="s">
        <v>747</v>
      </c>
      <c r="C341" s="169" t="s">
        <v>748</v>
      </c>
      <c r="D341" s="34">
        <v>42671</v>
      </c>
      <c r="E341" s="68">
        <v>100</v>
      </c>
      <c r="F341" s="69">
        <v>39000</v>
      </c>
      <c r="G341" s="34">
        <v>42671</v>
      </c>
      <c r="H341" s="68">
        <v>100</v>
      </c>
      <c r="I341" s="69">
        <v>39000</v>
      </c>
      <c r="J341" s="37" t="s">
        <v>388</v>
      </c>
    </row>
    <row r="342" spans="1:10" s="168" customFormat="1" ht="24.95" hidden="1" customHeight="1">
      <c r="A342" s="145" t="s">
        <v>2367</v>
      </c>
      <c r="B342" s="17" t="s">
        <v>747</v>
      </c>
      <c r="C342" s="169" t="s">
        <v>748</v>
      </c>
      <c r="D342" s="34">
        <v>42625</v>
      </c>
      <c r="E342" s="68">
        <v>100</v>
      </c>
      <c r="F342" s="69">
        <v>39000</v>
      </c>
      <c r="G342" s="34">
        <v>42625</v>
      </c>
      <c r="H342" s="68">
        <v>100</v>
      </c>
      <c r="I342" s="69">
        <v>39000</v>
      </c>
      <c r="J342" s="37" t="s">
        <v>388</v>
      </c>
    </row>
    <row r="343" spans="1:10" s="168" customFormat="1" ht="24.95" hidden="1" customHeight="1">
      <c r="A343" s="145" t="s">
        <v>2364</v>
      </c>
      <c r="B343" s="17" t="s">
        <v>747</v>
      </c>
      <c r="C343" s="169" t="s">
        <v>748</v>
      </c>
      <c r="D343" s="34">
        <v>42636</v>
      </c>
      <c r="E343" s="68">
        <v>100</v>
      </c>
      <c r="F343" s="69">
        <v>33000</v>
      </c>
      <c r="G343" s="34">
        <v>42636</v>
      </c>
      <c r="H343" s="68">
        <v>100</v>
      </c>
      <c r="I343" s="69">
        <v>33000</v>
      </c>
      <c r="J343" s="37" t="s">
        <v>388</v>
      </c>
    </row>
    <row r="344" spans="1:10" s="168" customFormat="1" ht="24.95" hidden="1" customHeight="1">
      <c r="A344" s="145" t="s">
        <v>2267</v>
      </c>
      <c r="B344" s="17" t="s">
        <v>60</v>
      </c>
      <c r="C344" s="169" t="s">
        <v>1446</v>
      </c>
      <c r="D344" s="34">
        <v>42683</v>
      </c>
      <c r="E344" s="68">
        <v>320</v>
      </c>
      <c r="F344" s="69">
        <v>2280312</v>
      </c>
      <c r="G344" s="34">
        <v>42683</v>
      </c>
      <c r="H344" s="68">
        <v>320</v>
      </c>
      <c r="I344" s="69">
        <v>2280312</v>
      </c>
      <c r="J344" s="37" t="s">
        <v>388</v>
      </c>
    </row>
    <row r="345" spans="1:10" s="168" customFormat="1" ht="24.95" hidden="1" customHeight="1">
      <c r="A345" s="145" t="s">
        <v>1865</v>
      </c>
      <c r="B345" s="17" t="s">
        <v>1380</v>
      </c>
      <c r="C345" s="169" t="s">
        <v>101</v>
      </c>
      <c r="D345" s="34">
        <v>42683</v>
      </c>
      <c r="E345" s="68">
        <v>4280.8090000000002</v>
      </c>
      <c r="F345" s="69">
        <v>2449275.8199999998</v>
      </c>
      <c r="G345" s="34">
        <v>42683</v>
      </c>
      <c r="H345" s="68">
        <v>4280.8090000000002</v>
      </c>
      <c r="I345" s="69">
        <v>2449275.8199999998</v>
      </c>
      <c r="J345" s="37" t="s">
        <v>143</v>
      </c>
    </row>
    <row r="346" spans="1:10" s="168" customFormat="1" ht="24.95" hidden="1" customHeight="1">
      <c r="A346" s="145" t="s">
        <v>2102</v>
      </c>
      <c r="B346" s="17" t="s">
        <v>60</v>
      </c>
      <c r="C346" s="169" t="s">
        <v>90</v>
      </c>
      <c r="D346" s="34">
        <v>42685</v>
      </c>
      <c r="E346" s="68">
        <v>468.30889999999999</v>
      </c>
      <c r="F346" s="69">
        <v>3346316.8942169994</v>
      </c>
      <c r="G346" s="34">
        <v>42685</v>
      </c>
      <c r="H346" s="68">
        <v>468.30889999999999</v>
      </c>
      <c r="I346" s="69">
        <v>3346316.8942169994</v>
      </c>
      <c r="J346" s="37" t="s">
        <v>143</v>
      </c>
    </row>
    <row r="347" spans="1:10" s="168" customFormat="1" ht="24.95" hidden="1" customHeight="1">
      <c r="A347" s="145" t="s">
        <v>1941</v>
      </c>
      <c r="B347" s="17" t="s">
        <v>60</v>
      </c>
      <c r="C347" s="169" t="s">
        <v>90</v>
      </c>
      <c r="D347" s="34">
        <v>42685</v>
      </c>
      <c r="E347" s="68">
        <v>133.54570000000001</v>
      </c>
      <c r="F347" s="69">
        <v>780683.63</v>
      </c>
      <c r="G347" s="34">
        <v>42685</v>
      </c>
      <c r="H347" s="68">
        <v>133.54570000000001</v>
      </c>
      <c r="I347" s="69">
        <v>780683.63</v>
      </c>
      <c r="J347" s="37" t="s">
        <v>143</v>
      </c>
    </row>
    <row r="348" spans="1:10" s="168" customFormat="1" ht="24.95" hidden="1" customHeight="1">
      <c r="A348" s="42" t="s">
        <v>2423</v>
      </c>
      <c r="B348" s="18" t="s">
        <v>2424</v>
      </c>
      <c r="C348" s="18" t="s">
        <v>2425</v>
      </c>
      <c r="D348" s="34">
        <v>42691</v>
      </c>
      <c r="E348" s="68">
        <v>3500</v>
      </c>
      <c r="F348" s="69">
        <v>1597050</v>
      </c>
      <c r="G348" s="34">
        <v>42691</v>
      </c>
      <c r="H348" s="68">
        <v>3500</v>
      </c>
      <c r="I348" s="69">
        <v>1597050</v>
      </c>
      <c r="J348" s="167" t="s">
        <v>2426</v>
      </c>
    </row>
    <row r="349" spans="1:10" s="168" customFormat="1" ht="24.95" hidden="1" customHeight="1">
      <c r="A349" s="42" t="s">
        <v>2335</v>
      </c>
      <c r="B349" s="18" t="s">
        <v>218</v>
      </c>
      <c r="C349" s="18" t="s">
        <v>2337</v>
      </c>
      <c r="D349" s="34">
        <v>42691</v>
      </c>
      <c r="E349" s="68">
        <v>2314.81</v>
      </c>
      <c r="F349" s="69">
        <v>1499996.88</v>
      </c>
      <c r="G349" s="34">
        <v>42691</v>
      </c>
      <c r="H349" s="68">
        <v>2314.81</v>
      </c>
      <c r="I349" s="69">
        <v>1499996.88</v>
      </c>
      <c r="J349" s="167" t="s">
        <v>388</v>
      </c>
    </row>
    <row r="350" spans="1:10" s="168" customFormat="1" ht="24.95" hidden="1" customHeight="1">
      <c r="A350" s="42" t="s">
        <v>2351</v>
      </c>
      <c r="B350" s="18" t="s">
        <v>194</v>
      </c>
      <c r="C350" s="18" t="s">
        <v>195</v>
      </c>
      <c r="D350" s="34">
        <v>42691</v>
      </c>
      <c r="E350" s="68">
        <v>30</v>
      </c>
      <c r="F350" s="69">
        <v>400200</v>
      </c>
      <c r="G350" s="34">
        <v>42691</v>
      </c>
      <c r="H350" s="68">
        <v>30</v>
      </c>
      <c r="I350" s="69">
        <v>400200</v>
      </c>
      <c r="J350" s="167" t="s">
        <v>388</v>
      </c>
    </row>
    <row r="351" spans="1:10" s="168" customFormat="1" ht="24.95" hidden="1" customHeight="1">
      <c r="A351" s="42" t="s">
        <v>2088</v>
      </c>
      <c r="B351" s="18" t="s">
        <v>603</v>
      </c>
      <c r="C351" s="18" t="s">
        <v>195</v>
      </c>
      <c r="D351" s="34">
        <v>42691</v>
      </c>
      <c r="E351" s="68">
        <v>397.82</v>
      </c>
      <c r="F351" s="69">
        <v>2838843.52</v>
      </c>
      <c r="G351" s="34">
        <v>42691</v>
      </c>
      <c r="H351" s="68">
        <v>397.82</v>
      </c>
      <c r="I351" s="69">
        <v>2838843.52</v>
      </c>
      <c r="J351" s="167" t="s">
        <v>388</v>
      </c>
    </row>
    <row r="352" spans="1:10" s="168" customFormat="1" ht="24.95" hidden="1" customHeight="1">
      <c r="A352" s="42" t="s">
        <v>1876</v>
      </c>
      <c r="B352" s="18" t="s">
        <v>603</v>
      </c>
      <c r="C352" s="18" t="s">
        <v>351</v>
      </c>
      <c r="D352" s="34">
        <v>42692</v>
      </c>
      <c r="E352" s="68">
        <v>438.38199999999995</v>
      </c>
      <c r="F352" s="69">
        <v>2582438.4952599998</v>
      </c>
      <c r="G352" s="34">
        <v>42692</v>
      </c>
      <c r="H352" s="68">
        <v>438.38199999999995</v>
      </c>
      <c r="I352" s="69">
        <v>2582438.4952599998</v>
      </c>
      <c r="J352" s="167" t="s">
        <v>143</v>
      </c>
    </row>
    <row r="353" spans="1:10" s="168" customFormat="1" ht="24.95" hidden="1" customHeight="1">
      <c r="A353" s="42" t="s">
        <v>2172</v>
      </c>
      <c r="B353" s="18" t="s">
        <v>603</v>
      </c>
      <c r="C353" s="18" t="s">
        <v>630</v>
      </c>
      <c r="D353" s="34">
        <v>42696</v>
      </c>
      <c r="E353" s="68">
        <v>401.65699999999998</v>
      </c>
      <c r="F353" s="69">
        <v>3032510.35</v>
      </c>
      <c r="G353" s="34">
        <v>42696</v>
      </c>
      <c r="H353" s="68">
        <v>401.65699999999998</v>
      </c>
      <c r="I353" s="69">
        <v>3032510.35</v>
      </c>
      <c r="J353" s="167" t="s">
        <v>140</v>
      </c>
    </row>
    <row r="354" spans="1:10" s="168" customFormat="1" ht="24.95" hidden="1" customHeight="1">
      <c r="A354" s="42" t="s">
        <v>2150</v>
      </c>
      <c r="B354" s="18" t="s">
        <v>2456</v>
      </c>
      <c r="C354" s="18" t="s">
        <v>630</v>
      </c>
      <c r="D354" s="34">
        <v>42696</v>
      </c>
      <c r="E354" s="68">
        <v>3361.3807999999999</v>
      </c>
      <c r="F354" s="69">
        <v>1962230.88</v>
      </c>
      <c r="G354" s="34">
        <v>42696</v>
      </c>
      <c r="H354" s="68">
        <v>3361.3807999999999</v>
      </c>
      <c r="I354" s="69">
        <v>1962230.88</v>
      </c>
      <c r="J354" s="167" t="s">
        <v>140</v>
      </c>
    </row>
    <row r="355" spans="1:10" s="168" customFormat="1" ht="24.95" hidden="1" customHeight="1">
      <c r="A355" s="42" t="s">
        <v>2205</v>
      </c>
      <c r="B355" s="18" t="s">
        <v>2203</v>
      </c>
      <c r="C355" s="18" t="s">
        <v>630</v>
      </c>
      <c r="D355" s="34">
        <v>42696</v>
      </c>
      <c r="E355" s="68">
        <v>4214.0482000000002</v>
      </c>
      <c r="F355" s="69">
        <v>2209420</v>
      </c>
      <c r="G355" s="34">
        <v>42696</v>
      </c>
      <c r="H355" s="68">
        <v>4214.0482000000002</v>
      </c>
      <c r="I355" s="69">
        <v>2209420</v>
      </c>
      <c r="J355" s="167" t="s">
        <v>140</v>
      </c>
    </row>
    <row r="356" spans="1:10" s="168" customFormat="1" ht="24.95" hidden="1" customHeight="1">
      <c r="A356" s="42" t="s">
        <v>2215</v>
      </c>
      <c r="B356" s="18" t="s">
        <v>644</v>
      </c>
      <c r="C356" s="18" t="s">
        <v>168</v>
      </c>
      <c r="D356" s="34">
        <v>42698</v>
      </c>
      <c r="E356" s="68">
        <v>26.997</v>
      </c>
      <c r="F356" s="69">
        <v>208632.88</v>
      </c>
      <c r="G356" s="34">
        <v>42698</v>
      </c>
      <c r="H356" s="68">
        <v>26.997</v>
      </c>
      <c r="I356" s="69">
        <v>208632.88</v>
      </c>
      <c r="J356" s="167" t="s">
        <v>140</v>
      </c>
    </row>
    <row r="357" spans="1:10" s="168" customFormat="1" ht="24.95" hidden="1" customHeight="1">
      <c r="A357" s="42" t="s">
        <v>2306</v>
      </c>
      <c r="B357" s="18" t="s">
        <v>412</v>
      </c>
      <c r="C357" s="18" t="s">
        <v>168</v>
      </c>
      <c r="D357" s="34">
        <v>42698</v>
      </c>
      <c r="E357" s="68">
        <v>51.896000000000001</v>
      </c>
      <c r="F357" s="69">
        <v>660784.38</v>
      </c>
      <c r="G357" s="34">
        <v>42698</v>
      </c>
      <c r="H357" s="68">
        <v>51.896000000000001</v>
      </c>
      <c r="I357" s="69">
        <v>660784.38</v>
      </c>
      <c r="J357" s="167" t="s">
        <v>140</v>
      </c>
    </row>
    <row r="358" spans="1:10" s="168" customFormat="1" ht="24.95" hidden="1" customHeight="1">
      <c r="A358" s="42" t="s">
        <v>2132</v>
      </c>
      <c r="B358" s="18" t="s">
        <v>603</v>
      </c>
      <c r="C358" s="18" t="s">
        <v>168</v>
      </c>
      <c r="D358" s="34">
        <v>42698</v>
      </c>
      <c r="E358" s="68">
        <v>519.64400000000001</v>
      </c>
      <c r="F358" s="69">
        <v>3861802.17</v>
      </c>
      <c r="G358" s="34">
        <v>42698</v>
      </c>
      <c r="H358" s="68">
        <v>519.64400000000001</v>
      </c>
      <c r="I358" s="69">
        <v>3861802.17</v>
      </c>
      <c r="J358" s="167" t="s">
        <v>140</v>
      </c>
    </row>
    <row r="359" spans="1:10" s="168" customFormat="1" ht="24.95" hidden="1" customHeight="1">
      <c r="A359" s="42" t="s">
        <v>2458</v>
      </c>
      <c r="B359" s="18" t="s">
        <v>603</v>
      </c>
      <c r="C359" s="18" t="s">
        <v>168</v>
      </c>
      <c r="D359" s="34">
        <v>42698</v>
      </c>
      <c r="E359" s="68">
        <v>61.262999999999998</v>
      </c>
      <c r="F359" s="69">
        <v>503848.33</v>
      </c>
      <c r="G359" s="34">
        <v>42698</v>
      </c>
      <c r="H359" s="68">
        <v>61.262999999999998</v>
      </c>
      <c r="I359" s="69">
        <v>503848.33</v>
      </c>
      <c r="J359" s="167" t="s">
        <v>140</v>
      </c>
    </row>
    <row r="360" spans="1:10" s="168" customFormat="1" ht="24.95" hidden="1" customHeight="1">
      <c r="A360" s="42" t="s">
        <v>2461</v>
      </c>
      <c r="B360" s="18" t="s">
        <v>2462</v>
      </c>
      <c r="C360" s="18" t="s">
        <v>2463</v>
      </c>
      <c r="D360" s="34">
        <v>42698</v>
      </c>
      <c r="E360" s="68">
        <v>127.044</v>
      </c>
      <c r="F360" s="69">
        <v>903369.97</v>
      </c>
      <c r="G360" s="34">
        <v>42698</v>
      </c>
      <c r="H360" s="68">
        <v>127.044</v>
      </c>
      <c r="I360" s="69">
        <v>903369.97</v>
      </c>
      <c r="J360" s="167" t="s">
        <v>2464</v>
      </c>
    </row>
    <row r="361" spans="1:10" s="168" customFormat="1" ht="24.95" hidden="1" customHeight="1">
      <c r="A361" s="42" t="s">
        <v>2465</v>
      </c>
      <c r="B361" s="18" t="s">
        <v>2466</v>
      </c>
      <c r="C361" s="18" t="s">
        <v>2467</v>
      </c>
      <c r="D361" s="34">
        <v>42698</v>
      </c>
      <c r="E361" s="68">
        <v>8020</v>
      </c>
      <c r="F361" s="69">
        <v>4678306.5999999996</v>
      </c>
      <c r="G361" s="34">
        <v>42698</v>
      </c>
      <c r="H361" s="68">
        <v>8020</v>
      </c>
      <c r="I361" s="69">
        <v>4678306.5999999996</v>
      </c>
      <c r="J361" s="167" t="s">
        <v>2464</v>
      </c>
    </row>
    <row r="362" spans="1:10" s="168" customFormat="1" ht="24.95" hidden="1" customHeight="1">
      <c r="A362" s="42" t="s">
        <v>2465</v>
      </c>
      <c r="B362" s="18" t="s">
        <v>2466</v>
      </c>
      <c r="C362" s="18" t="s">
        <v>2467</v>
      </c>
      <c r="D362" s="34">
        <v>42698</v>
      </c>
      <c r="E362" s="68">
        <v>980</v>
      </c>
      <c r="F362" s="69">
        <v>571693.4</v>
      </c>
      <c r="G362" s="34">
        <v>42698</v>
      </c>
      <c r="H362" s="68">
        <v>980</v>
      </c>
      <c r="I362" s="69">
        <v>571693.4</v>
      </c>
      <c r="J362" s="167" t="s">
        <v>2464</v>
      </c>
    </row>
    <row r="363" spans="1:10" s="168" customFormat="1" ht="24.95" hidden="1" customHeight="1">
      <c r="A363" s="42" t="s">
        <v>2335</v>
      </c>
      <c r="B363" s="18" t="s">
        <v>2466</v>
      </c>
      <c r="C363" s="18" t="s">
        <v>2467</v>
      </c>
      <c r="D363" s="34">
        <v>42698</v>
      </c>
      <c r="E363" s="68">
        <v>700</v>
      </c>
      <c r="F363" s="69">
        <v>354682</v>
      </c>
      <c r="G363" s="34">
        <v>42698</v>
      </c>
      <c r="H363" s="68">
        <v>700</v>
      </c>
      <c r="I363" s="69">
        <v>354682</v>
      </c>
      <c r="J363" s="167" t="s">
        <v>2464</v>
      </c>
    </row>
    <row r="364" spans="1:10" s="168" customFormat="1" ht="24.95" hidden="1" customHeight="1">
      <c r="A364" s="42" t="s">
        <v>2335</v>
      </c>
      <c r="B364" s="18" t="s">
        <v>218</v>
      </c>
      <c r="C364" s="18" t="s">
        <v>2337</v>
      </c>
      <c r="D364" s="34">
        <v>42698</v>
      </c>
      <c r="E364" s="68">
        <v>1701.748</v>
      </c>
      <c r="F364" s="69">
        <v>772054.98929999955</v>
      </c>
      <c r="G364" s="34">
        <v>42698</v>
      </c>
      <c r="H364" s="68">
        <v>1701.748</v>
      </c>
      <c r="I364" s="69">
        <v>772054.98929999955</v>
      </c>
      <c r="J364" s="167" t="s">
        <v>388</v>
      </c>
    </row>
    <row r="365" spans="1:10" s="168" customFormat="1" ht="24.95" hidden="1" customHeight="1">
      <c r="A365" s="42" t="s">
        <v>2415</v>
      </c>
      <c r="B365" s="18" t="s">
        <v>218</v>
      </c>
      <c r="C365" s="18" t="s">
        <v>2337</v>
      </c>
      <c r="D365" s="34">
        <v>42702</v>
      </c>
      <c r="E365" s="68">
        <v>-1784.7140999999999</v>
      </c>
      <c r="F365" s="69">
        <v>-713642.07602200098</v>
      </c>
      <c r="G365" s="34">
        <v>42702</v>
      </c>
      <c r="H365" s="68">
        <v>-1784.7140999999999</v>
      </c>
      <c r="I365" s="69">
        <v>-713642.07602200098</v>
      </c>
      <c r="J365" s="167" t="s">
        <v>388</v>
      </c>
    </row>
    <row r="366" spans="1:10" s="168" customFormat="1" ht="24.95" hidden="1" customHeight="1">
      <c r="A366" s="42" t="s">
        <v>2415</v>
      </c>
      <c r="B366" s="18" t="s">
        <v>2468</v>
      </c>
      <c r="C366" s="18" t="s">
        <v>2469</v>
      </c>
      <c r="D366" s="34">
        <v>42698</v>
      </c>
      <c r="E366" s="68">
        <v>598.25199999999995</v>
      </c>
      <c r="F366" s="69">
        <v>393263.01070000045</v>
      </c>
      <c r="G366" s="34">
        <v>42698</v>
      </c>
      <c r="H366" s="68">
        <v>598.25199999999995</v>
      </c>
      <c r="I366" s="69">
        <v>393263.01070000045</v>
      </c>
      <c r="J366" s="167" t="s">
        <v>2470</v>
      </c>
    </row>
    <row r="367" spans="1:10" s="168" customFormat="1" ht="24.95" hidden="1" customHeight="1">
      <c r="A367" s="42" t="s">
        <v>2471</v>
      </c>
      <c r="B367" s="18" t="s">
        <v>2472</v>
      </c>
      <c r="C367" s="18" t="s">
        <v>2473</v>
      </c>
      <c r="D367" s="34">
        <v>42702</v>
      </c>
      <c r="E367" s="68">
        <v>714.04819999999995</v>
      </c>
      <c r="F367" s="69">
        <v>473306.3</v>
      </c>
      <c r="G367" s="34">
        <v>42702</v>
      </c>
      <c r="H367" s="68">
        <v>714.04819999999995</v>
      </c>
      <c r="I367" s="69">
        <v>473306.3</v>
      </c>
      <c r="J367" s="167" t="s">
        <v>2470</v>
      </c>
    </row>
    <row r="368" spans="1:10" s="168" customFormat="1" ht="24.95" hidden="1" customHeight="1">
      <c r="A368" s="42" t="s">
        <v>2474</v>
      </c>
      <c r="B368" s="18" t="s">
        <v>2475</v>
      </c>
      <c r="C368" s="18" t="s">
        <v>2476</v>
      </c>
      <c r="D368" s="34">
        <v>42702</v>
      </c>
      <c r="E368" s="68">
        <v>200</v>
      </c>
      <c r="F368" s="69">
        <v>1579640</v>
      </c>
      <c r="G368" s="34">
        <v>42702</v>
      </c>
      <c r="H368" s="68">
        <v>200</v>
      </c>
      <c r="I368" s="69">
        <v>1579640</v>
      </c>
      <c r="J368" s="167" t="s">
        <v>2470</v>
      </c>
    </row>
    <row r="369" spans="1:10" s="168" customFormat="1" ht="24.95" hidden="1" customHeight="1">
      <c r="A369" s="42" t="s">
        <v>3227</v>
      </c>
      <c r="B369" s="18" t="s">
        <v>218</v>
      </c>
      <c r="C369" s="18" t="s">
        <v>2337</v>
      </c>
      <c r="D369" s="34">
        <v>42702</v>
      </c>
      <c r="E369" s="68">
        <v>3500</v>
      </c>
      <c r="F369" s="69">
        <v>2205000</v>
      </c>
      <c r="G369" s="34">
        <v>42702</v>
      </c>
      <c r="H369" s="68">
        <v>3500</v>
      </c>
      <c r="I369" s="69">
        <v>2205000</v>
      </c>
      <c r="J369" s="167" t="s">
        <v>388</v>
      </c>
    </row>
    <row r="370" spans="1:10" s="168" customFormat="1" ht="24.95" hidden="1" customHeight="1">
      <c r="A370" s="42" t="s">
        <v>2132</v>
      </c>
      <c r="B370" s="18" t="s">
        <v>603</v>
      </c>
      <c r="C370" s="18" t="s">
        <v>168</v>
      </c>
      <c r="D370" s="34">
        <v>42713</v>
      </c>
      <c r="E370" s="68">
        <v>122.76</v>
      </c>
      <c r="F370" s="69">
        <v>902394.22</v>
      </c>
      <c r="G370" s="34">
        <v>42713</v>
      </c>
      <c r="H370" s="68">
        <v>122.76</v>
      </c>
      <c r="I370" s="69">
        <v>902394.22</v>
      </c>
      <c r="J370" s="167" t="s">
        <v>140</v>
      </c>
    </row>
    <row r="371" spans="1:10" s="168" customFormat="1" ht="24.95" hidden="1" customHeight="1">
      <c r="A371" s="42" t="s">
        <v>2458</v>
      </c>
      <c r="B371" s="18" t="s">
        <v>603</v>
      </c>
      <c r="C371" s="18" t="s">
        <v>168</v>
      </c>
      <c r="D371" s="34">
        <v>42713</v>
      </c>
      <c r="E371" s="68">
        <v>407.77300000000002</v>
      </c>
      <c r="F371" s="69">
        <v>3362033.62</v>
      </c>
      <c r="G371" s="34">
        <v>42713</v>
      </c>
      <c r="H371" s="68">
        <v>407.77300000000002</v>
      </c>
      <c r="I371" s="69">
        <v>3362033.62</v>
      </c>
      <c r="J371" s="167" t="s">
        <v>140</v>
      </c>
    </row>
    <row r="372" spans="1:10" s="168" customFormat="1" ht="24.95" hidden="1" customHeight="1">
      <c r="A372" s="42" t="s">
        <v>2500</v>
      </c>
      <c r="B372" s="18" t="s">
        <v>644</v>
      </c>
      <c r="C372" s="18" t="s">
        <v>168</v>
      </c>
      <c r="D372" s="34">
        <v>42713</v>
      </c>
      <c r="E372" s="68">
        <v>83.775999999999996</v>
      </c>
      <c r="F372" s="69">
        <v>730508.13</v>
      </c>
      <c r="G372" s="34">
        <v>42713</v>
      </c>
      <c r="H372" s="68">
        <v>83.775999999999996</v>
      </c>
      <c r="I372" s="69">
        <v>730508.13</v>
      </c>
      <c r="J372" s="167" t="s">
        <v>140</v>
      </c>
    </row>
    <row r="373" spans="1:10" s="168" customFormat="1" ht="24.95" hidden="1" customHeight="1">
      <c r="A373" s="42" t="s">
        <v>2501</v>
      </c>
      <c r="B373" s="18" t="s">
        <v>412</v>
      </c>
      <c r="C373" s="18" t="s">
        <v>168</v>
      </c>
      <c r="D373" s="34">
        <v>42713</v>
      </c>
      <c r="E373" s="68">
        <v>142.923</v>
      </c>
      <c r="F373" s="69">
        <v>1841061.24</v>
      </c>
      <c r="G373" s="34">
        <v>42713</v>
      </c>
      <c r="H373" s="68">
        <v>142.923</v>
      </c>
      <c r="I373" s="69">
        <v>1841061.24</v>
      </c>
      <c r="J373" s="167" t="s">
        <v>140</v>
      </c>
    </row>
    <row r="374" spans="1:10" s="168" customFormat="1" ht="24.95" hidden="1" customHeight="1">
      <c r="A374" s="42" t="s">
        <v>2301</v>
      </c>
      <c r="B374" s="18" t="s">
        <v>194</v>
      </c>
      <c r="C374" s="18" t="s">
        <v>2503</v>
      </c>
      <c r="D374" s="34">
        <v>42691</v>
      </c>
      <c r="E374" s="68">
        <v>32</v>
      </c>
      <c r="F374" s="69">
        <v>366400</v>
      </c>
      <c r="G374" s="34">
        <v>42691</v>
      </c>
      <c r="H374" s="68">
        <v>32</v>
      </c>
      <c r="I374" s="69">
        <v>366400</v>
      </c>
      <c r="J374" s="167" t="s">
        <v>140</v>
      </c>
    </row>
    <row r="375" spans="1:10" s="168" customFormat="1" ht="24.95" hidden="1" customHeight="1">
      <c r="A375" s="42" t="s">
        <v>2375</v>
      </c>
      <c r="B375" s="18" t="s">
        <v>194</v>
      </c>
      <c r="C375" s="18" t="s">
        <v>2503</v>
      </c>
      <c r="D375" s="34">
        <v>42691</v>
      </c>
      <c r="E375" s="68">
        <v>30</v>
      </c>
      <c r="F375" s="69">
        <v>406500</v>
      </c>
      <c r="G375" s="34">
        <v>42691</v>
      </c>
      <c r="H375" s="68">
        <v>30</v>
      </c>
      <c r="I375" s="69">
        <v>406500</v>
      </c>
      <c r="J375" s="167" t="s">
        <v>140</v>
      </c>
    </row>
    <row r="376" spans="1:10" s="168" customFormat="1" ht="24.95" hidden="1" customHeight="1">
      <c r="A376" s="42" t="s">
        <v>2391</v>
      </c>
      <c r="B376" s="18" t="s">
        <v>218</v>
      </c>
      <c r="C376" s="18" t="s">
        <v>168</v>
      </c>
      <c r="D376" s="34">
        <v>42718</v>
      </c>
      <c r="E376" s="68">
        <v>4716.558</v>
      </c>
      <c r="F376" s="69">
        <v>2768964.63</v>
      </c>
      <c r="G376" s="34">
        <v>42718</v>
      </c>
      <c r="H376" s="68">
        <v>4716.558</v>
      </c>
      <c r="I376" s="69">
        <v>2768964.63</v>
      </c>
      <c r="J376" s="167" t="s">
        <v>140</v>
      </c>
    </row>
    <row r="377" spans="1:10" s="168" customFormat="1" ht="24.95" hidden="1" customHeight="1">
      <c r="A377" s="42" t="s">
        <v>2419</v>
      </c>
      <c r="B377" s="18" t="s">
        <v>218</v>
      </c>
      <c r="C377" s="18" t="s">
        <v>168</v>
      </c>
      <c r="D377" s="34">
        <v>42718</v>
      </c>
      <c r="E377" s="68">
        <v>3591.92</v>
      </c>
      <c r="F377" s="69">
        <v>2465688.61</v>
      </c>
      <c r="G377" s="34">
        <v>42718</v>
      </c>
      <c r="H377" s="68">
        <v>3591.92</v>
      </c>
      <c r="I377" s="69">
        <v>2465688.61</v>
      </c>
      <c r="J377" s="167" t="s">
        <v>140</v>
      </c>
    </row>
    <row r="378" spans="1:10" s="168" customFormat="1" ht="24.95" hidden="1" customHeight="1">
      <c r="A378" s="42" t="s">
        <v>2504</v>
      </c>
      <c r="B378" s="18" t="s">
        <v>603</v>
      </c>
      <c r="C378" s="18" t="s">
        <v>630</v>
      </c>
      <c r="D378" s="34">
        <v>42718</v>
      </c>
      <c r="E378" s="68">
        <v>774.06010000000003</v>
      </c>
      <c r="F378" s="69">
        <v>6489967.3099999996</v>
      </c>
      <c r="G378" s="34">
        <v>42738</v>
      </c>
      <c r="H378" s="68">
        <v>774.06010000000003</v>
      </c>
      <c r="I378" s="69">
        <v>6489967.3099999996</v>
      </c>
      <c r="J378" s="167" t="s">
        <v>140</v>
      </c>
    </row>
    <row r="379" spans="1:10" s="168" customFormat="1" ht="24.95" hidden="1" customHeight="1">
      <c r="A379" s="42" t="s">
        <v>2438</v>
      </c>
      <c r="B379" s="18" t="s">
        <v>2203</v>
      </c>
      <c r="C379" s="18" t="s">
        <v>630</v>
      </c>
      <c r="D379" s="34">
        <v>42718</v>
      </c>
      <c r="E379" s="68">
        <v>4152.3092999999999</v>
      </c>
      <c r="F379" s="69">
        <v>2475149.63</v>
      </c>
      <c r="G379" s="34">
        <v>43099</v>
      </c>
      <c r="H379" s="68">
        <v>4152.3092999999999</v>
      </c>
      <c r="I379" s="69">
        <v>2475149.63</v>
      </c>
      <c r="J379" s="167" t="s">
        <v>140</v>
      </c>
    </row>
    <row r="380" spans="1:10" s="168" customFormat="1" ht="24.95" hidden="1" customHeight="1">
      <c r="A380" s="42" t="s">
        <v>2518</v>
      </c>
      <c r="B380" s="18" t="s">
        <v>194</v>
      </c>
      <c r="C380" s="18" t="s">
        <v>875</v>
      </c>
      <c r="D380" s="34">
        <v>42724</v>
      </c>
      <c r="E380" s="68">
        <v>120</v>
      </c>
      <c r="F380" s="69">
        <v>285164.69</v>
      </c>
      <c r="G380" s="34">
        <v>42724</v>
      </c>
      <c r="H380" s="68">
        <v>120</v>
      </c>
      <c r="I380" s="69">
        <v>285164.69</v>
      </c>
      <c r="J380" s="167" t="s">
        <v>1472</v>
      </c>
    </row>
    <row r="381" spans="1:10" s="168" customFormat="1" ht="24.95" hidden="1" customHeight="1">
      <c r="A381" s="42" t="s">
        <v>2267</v>
      </c>
      <c r="B381" s="18" t="s">
        <v>603</v>
      </c>
      <c r="C381" s="18" t="s">
        <v>1392</v>
      </c>
      <c r="D381" s="34">
        <v>42726</v>
      </c>
      <c r="E381" s="68">
        <v>56.064</v>
      </c>
      <c r="F381" s="69">
        <v>399510.9</v>
      </c>
      <c r="G381" s="34">
        <v>42726</v>
      </c>
      <c r="H381" s="68">
        <v>56.064</v>
      </c>
      <c r="I381" s="69">
        <v>399510.9</v>
      </c>
      <c r="J381" s="167" t="s">
        <v>388</v>
      </c>
    </row>
    <row r="382" spans="1:10" s="168" customFormat="1" ht="24.95" hidden="1" customHeight="1">
      <c r="A382" s="42" t="s">
        <v>2390</v>
      </c>
      <c r="B382" s="18" t="s">
        <v>603</v>
      </c>
      <c r="C382" s="18" t="s">
        <v>195</v>
      </c>
      <c r="D382" s="34">
        <v>42726</v>
      </c>
      <c r="E382" s="68">
        <v>407.44</v>
      </c>
      <c r="F382" s="69">
        <v>3217961.12</v>
      </c>
      <c r="G382" s="34">
        <v>42726</v>
      </c>
      <c r="H382" s="68">
        <v>407.44</v>
      </c>
      <c r="I382" s="69">
        <v>3217961.12</v>
      </c>
      <c r="J382" s="167" t="s">
        <v>388</v>
      </c>
    </row>
    <row r="383" spans="1:10" s="168" customFormat="1" ht="24.95" hidden="1" customHeight="1">
      <c r="A383" s="42" t="s">
        <v>2561</v>
      </c>
      <c r="B383" s="18" t="s">
        <v>2612</v>
      </c>
      <c r="C383" s="18" t="s">
        <v>3228</v>
      </c>
      <c r="D383" s="34">
        <v>42690</v>
      </c>
      <c r="E383" s="68">
        <v>4</v>
      </c>
      <c r="F383" s="69">
        <v>800</v>
      </c>
      <c r="G383" s="34">
        <v>42690</v>
      </c>
      <c r="H383" s="68">
        <v>4</v>
      </c>
      <c r="I383" s="69">
        <v>800</v>
      </c>
      <c r="J383" s="167" t="s">
        <v>401</v>
      </c>
    </row>
    <row r="384" spans="1:10" s="168" customFormat="1" ht="24.95" hidden="1" customHeight="1">
      <c r="A384" s="42" t="s">
        <v>2562</v>
      </c>
      <c r="B384" s="18" t="s">
        <v>2613</v>
      </c>
      <c r="C384" s="18" t="s">
        <v>3228</v>
      </c>
      <c r="D384" s="34">
        <v>42690</v>
      </c>
      <c r="E384" s="68">
        <v>4</v>
      </c>
      <c r="F384" s="69">
        <v>160</v>
      </c>
      <c r="G384" s="34">
        <v>42690</v>
      </c>
      <c r="H384" s="68">
        <v>4</v>
      </c>
      <c r="I384" s="69">
        <v>160</v>
      </c>
      <c r="J384" s="167" t="s">
        <v>401</v>
      </c>
    </row>
    <row r="385" spans="1:10" s="168" customFormat="1" ht="24.95" hidden="1" customHeight="1">
      <c r="A385" s="42" t="s">
        <v>2554</v>
      </c>
      <c r="B385" s="18" t="s">
        <v>2611</v>
      </c>
      <c r="C385" s="18" t="s">
        <v>3228</v>
      </c>
      <c r="D385" s="34">
        <v>42690</v>
      </c>
      <c r="E385" s="68">
        <v>4</v>
      </c>
      <c r="F385" s="69">
        <v>620</v>
      </c>
      <c r="G385" s="34">
        <v>42690</v>
      </c>
      <c r="H385" s="68">
        <v>4</v>
      </c>
      <c r="I385" s="69">
        <v>620</v>
      </c>
      <c r="J385" s="167" t="s">
        <v>401</v>
      </c>
    </row>
    <row r="386" spans="1:10" s="168" customFormat="1" ht="24.95" hidden="1" customHeight="1">
      <c r="A386" s="42" t="s">
        <v>2482</v>
      </c>
      <c r="B386" s="18" t="s">
        <v>194</v>
      </c>
      <c r="C386" s="18" t="s">
        <v>851</v>
      </c>
      <c r="D386" s="34">
        <v>42726</v>
      </c>
      <c r="E386" s="68">
        <v>64</v>
      </c>
      <c r="F386" s="69">
        <v>928000</v>
      </c>
      <c r="G386" s="34">
        <v>42726</v>
      </c>
      <c r="H386" s="68">
        <v>64</v>
      </c>
      <c r="I386" s="69">
        <v>928000</v>
      </c>
      <c r="J386" s="167" t="s">
        <v>388</v>
      </c>
    </row>
    <row r="387" spans="1:10" s="168" customFormat="1" ht="24.95" hidden="1" customHeight="1">
      <c r="A387" s="42" t="s">
        <v>2177</v>
      </c>
      <c r="B387" s="18" t="s">
        <v>603</v>
      </c>
      <c r="C387" s="18" t="s">
        <v>351</v>
      </c>
      <c r="D387" s="34">
        <v>42726</v>
      </c>
      <c r="E387" s="68">
        <v>310.89170000000001</v>
      </c>
      <c r="F387" s="69">
        <v>2217044.7419100008</v>
      </c>
      <c r="G387" s="34">
        <v>42726</v>
      </c>
      <c r="H387" s="68">
        <v>310.89170000000001</v>
      </c>
      <c r="I387" s="69">
        <v>2217044.7419100008</v>
      </c>
      <c r="J387" s="167" t="s">
        <v>388</v>
      </c>
    </row>
    <row r="388" spans="1:10" s="168" customFormat="1" ht="24.95" hidden="1" customHeight="1">
      <c r="A388" s="42" t="s">
        <v>2285</v>
      </c>
      <c r="B388" s="18" t="s">
        <v>1106</v>
      </c>
      <c r="C388" s="18" t="s">
        <v>379</v>
      </c>
      <c r="D388" s="34">
        <v>42731</v>
      </c>
      <c r="E388" s="68">
        <v>42.11</v>
      </c>
      <c r="F388" s="69">
        <v>300904.95</v>
      </c>
      <c r="G388" s="34">
        <v>42731</v>
      </c>
      <c r="H388" s="68">
        <v>42.11</v>
      </c>
      <c r="I388" s="69">
        <v>300904.95</v>
      </c>
      <c r="J388" s="167" t="s">
        <v>388</v>
      </c>
    </row>
    <row r="389" spans="1:10" s="168" customFormat="1" ht="24.95" hidden="1" customHeight="1">
      <c r="A389" s="42" t="s">
        <v>2566</v>
      </c>
      <c r="B389" s="18" t="s">
        <v>1106</v>
      </c>
      <c r="C389" s="18" t="s">
        <v>379</v>
      </c>
      <c r="D389" s="34">
        <v>42731</v>
      </c>
      <c r="E389" s="68">
        <v>7.06</v>
      </c>
      <c r="F389" s="69">
        <v>50444.18</v>
      </c>
      <c r="G389" s="34">
        <v>42731</v>
      </c>
      <c r="H389" s="68">
        <v>7.06</v>
      </c>
      <c r="I389" s="69">
        <v>50444.18</v>
      </c>
      <c r="J389" s="167" t="s">
        <v>388</v>
      </c>
    </row>
    <row r="390" spans="1:10" s="168" customFormat="1" ht="24.95" hidden="1" customHeight="1">
      <c r="A390" s="42" t="s">
        <v>1973</v>
      </c>
      <c r="B390" s="18" t="s">
        <v>603</v>
      </c>
      <c r="C390" s="18" t="s">
        <v>351</v>
      </c>
      <c r="D390" s="34">
        <v>42732</v>
      </c>
      <c r="E390" s="68">
        <v>363.13479999999998</v>
      </c>
      <c r="F390" s="69">
        <v>2137697.29</v>
      </c>
      <c r="G390" s="34">
        <v>42732</v>
      </c>
      <c r="H390" s="68">
        <v>363.13479999999998</v>
      </c>
      <c r="I390" s="69">
        <v>2137697.29</v>
      </c>
      <c r="J390" s="167" t="s">
        <v>143</v>
      </c>
    </row>
    <row r="391" spans="1:10" s="168" customFormat="1" ht="24.95" hidden="1" customHeight="1">
      <c r="A391" s="42" t="s">
        <v>2483</v>
      </c>
      <c r="B391" s="18" t="s">
        <v>2203</v>
      </c>
      <c r="C391" s="18" t="s">
        <v>630</v>
      </c>
      <c r="D391" s="34">
        <v>42732</v>
      </c>
      <c r="E391" s="68">
        <v>3926.4634000000001</v>
      </c>
      <c r="F391" s="69">
        <v>2616789.06</v>
      </c>
      <c r="G391" s="34">
        <v>42738</v>
      </c>
      <c r="H391" s="68">
        <v>3926.4634000000001</v>
      </c>
      <c r="I391" s="69">
        <v>2616789.06</v>
      </c>
      <c r="J391" s="167" t="s">
        <v>140</v>
      </c>
    </row>
    <row r="392" spans="1:10" s="168" customFormat="1" ht="24.95" hidden="1" customHeight="1">
      <c r="A392" s="42" t="s">
        <v>2458</v>
      </c>
      <c r="B392" s="18" t="s">
        <v>603</v>
      </c>
      <c r="C392" s="18" t="s">
        <v>168</v>
      </c>
      <c r="D392" s="34">
        <v>42732</v>
      </c>
      <c r="E392" s="68">
        <v>194.607</v>
      </c>
      <c r="F392" s="69">
        <v>1581158.1</v>
      </c>
      <c r="G392" s="34">
        <v>42738</v>
      </c>
      <c r="H392" s="68">
        <v>194.607</v>
      </c>
      <c r="I392" s="69">
        <v>1581158.1</v>
      </c>
      <c r="J392" s="167" t="s">
        <v>140</v>
      </c>
    </row>
    <row r="393" spans="1:10" s="168" customFormat="1" ht="24.95" hidden="1" customHeight="1">
      <c r="A393" s="42" t="s">
        <v>2572</v>
      </c>
      <c r="B393" s="18" t="s">
        <v>412</v>
      </c>
      <c r="C393" s="18" t="s">
        <v>168</v>
      </c>
      <c r="D393" s="34">
        <v>42732</v>
      </c>
      <c r="E393" s="68">
        <v>65.063000000000002</v>
      </c>
      <c r="F393" s="69">
        <v>1063752.97</v>
      </c>
      <c r="G393" s="34">
        <v>42738</v>
      </c>
      <c r="H393" s="68">
        <v>65.063000000000002</v>
      </c>
      <c r="I393" s="69">
        <v>1063752.97</v>
      </c>
      <c r="J393" s="167" t="s">
        <v>140</v>
      </c>
    </row>
    <row r="394" spans="1:10" s="168" customFormat="1" ht="24.95" hidden="1" customHeight="1">
      <c r="A394" s="42" t="s">
        <v>2437</v>
      </c>
      <c r="B394" s="18" t="s">
        <v>2203</v>
      </c>
      <c r="C394" s="18" t="s">
        <v>2204</v>
      </c>
      <c r="D394" s="34">
        <v>42732</v>
      </c>
      <c r="E394" s="68">
        <v>4152.3100000000004</v>
      </c>
      <c r="F394" s="69">
        <v>2308393.7000000002</v>
      </c>
      <c r="G394" s="34">
        <v>42732</v>
      </c>
      <c r="H394" s="68">
        <v>4152.3100000000004</v>
      </c>
      <c r="I394" s="69">
        <v>2308393.7000000002</v>
      </c>
      <c r="J394" s="167" t="s">
        <v>388</v>
      </c>
    </row>
    <row r="395" spans="1:10" s="168" customFormat="1" ht="24.95" hidden="1" customHeight="1">
      <c r="A395" s="42" t="s">
        <v>2458</v>
      </c>
      <c r="B395" s="18" t="s">
        <v>603</v>
      </c>
      <c r="C395" s="18" t="s">
        <v>168</v>
      </c>
      <c r="D395" s="34">
        <v>42739</v>
      </c>
      <c r="E395" s="68">
        <v>100.688</v>
      </c>
      <c r="F395" s="69">
        <v>804149.52</v>
      </c>
      <c r="G395" s="34">
        <v>42739</v>
      </c>
      <c r="H395" s="68">
        <v>100.688</v>
      </c>
      <c r="I395" s="69">
        <v>804149.52</v>
      </c>
      <c r="J395" s="167" t="s">
        <v>140</v>
      </c>
    </row>
    <row r="396" spans="1:10" s="168" customFormat="1" ht="24.95" hidden="1" customHeight="1">
      <c r="A396" s="42" t="s">
        <v>2572</v>
      </c>
      <c r="B396" s="18" t="s">
        <v>412</v>
      </c>
      <c r="C396" s="18" t="s">
        <v>168</v>
      </c>
      <c r="D396" s="34">
        <v>42739</v>
      </c>
      <c r="E396" s="68">
        <v>50.1</v>
      </c>
      <c r="F396" s="69">
        <v>819114.15</v>
      </c>
      <c r="G396" s="34">
        <v>42739</v>
      </c>
      <c r="H396" s="68">
        <v>50.1</v>
      </c>
      <c r="I396" s="69">
        <v>819114.15</v>
      </c>
      <c r="J396" s="167" t="s">
        <v>140</v>
      </c>
    </row>
    <row r="397" spans="1:10" s="168" customFormat="1" ht="24.95" hidden="1" customHeight="1">
      <c r="A397" s="42" t="s">
        <v>2483</v>
      </c>
      <c r="B397" s="18" t="s">
        <v>2203</v>
      </c>
      <c r="C397" s="18" t="s">
        <v>630</v>
      </c>
      <c r="D397" s="34">
        <v>42740</v>
      </c>
      <c r="E397" s="68">
        <v>3820.2483000000002</v>
      </c>
      <c r="F397" s="69">
        <v>2595974.4300000002</v>
      </c>
      <c r="G397" s="34">
        <v>42740</v>
      </c>
      <c r="H397" s="68">
        <v>3820.2483000000002</v>
      </c>
      <c r="I397" s="69">
        <v>2595974.4300000002</v>
      </c>
      <c r="J397" s="167" t="s">
        <v>140</v>
      </c>
    </row>
    <row r="398" spans="1:10" s="168" customFormat="1" ht="24.95" hidden="1" customHeight="1">
      <c r="A398" s="42" t="s">
        <v>2474</v>
      </c>
      <c r="B398" s="18" t="s">
        <v>603</v>
      </c>
      <c r="C398" s="18" t="s">
        <v>1392</v>
      </c>
      <c r="D398" s="34">
        <v>42744</v>
      </c>
      <c r="E398" s="68">
        <v>86.304500000000004</v>
      </c>
      <c r="F398" s="69">
        <v>660561.12</v>
      </c>
      <c r="G398" s="34">
        <v>42744</v>
      </c>
      <c r="H398" s="68">
        <v>86.304500000000004</v>
      </c>
      <c r="I398" s="69">
        <v>660561.12</v>
      </c>
      <c r="J398" s="167" t="s">
        <v>388</v>
      </c>
    </row>
    <row r="399" spans="1:10" s="168" customFormat="1" ht="24.95" hidden="1" customHeight="1">
      <c r="A399" s="42" t="s">
        <v>2483</v>
      </c>
      <c r="B399" s="18" t="s">
        <v>2203</v>
      </c>
      <c r="C399" s="18" t="s">
        <v>630</v>
      </c>
      <c r="D399" s="34">
        <v>42744</v>
      </c>
      <c r="E399" s="68"/>
      <c r="F399" s="69">
        <v>19632.32</v>
      </c>
      <c r="G399" s="34">
        <v>42744</v>
      </c>
      <c r="H399" s="68"/>
      <c r="I399" s="69">
        <v>19632.32</v>
      </c>
      <c r="J399" s="167" t="s">
        <v>140</v>
      </c>
    </row>
    <row r="400" spans="1:10" s="168" customFormat="1" ht="24.95" hidden="1" customHeight="1">
      <c r="A400" s="42" t="s">
        <v>2606</v>
      </c>
      <c r="B400" s="18" t="s">
        <v>2612</v>
      </c>
      <c r="C400" s="18" t="s">
        <v>2608</v>
      </c>
      <c r="D400" s="34">
        <v>42744</v>
      </c>
      <c r="E400" s="68">
        <v>4</v>
      </c>
      <c r="F400" s="69">
        <v>3200</v>
      </c>
      <c r="G400" s="34">
        <v>42744</v>
      </c>
      <c r="H400" s="68">
        <v>4</v>
      </c>
      <c r="I400" s="69">
        <v>3200</v>
      </c>
      <c r="J400" s="167" t="s">
        <v>388</v>
      </c>
    </row>
    <row r="401" spans="1:10" s="168" customFormat="1" ht="24.95" hidden="1" customHeight="1">
      <c r="A401" s="42" t="s">
        <v>2609</v>
      </c>
      <c r="B401" s="18" t="s">
        <v>2613</v>
      </c>
      <c r="C401" s="18" t="s">
        <v>2608</v>
      </c>
      <c r="D401" s="34">
        <v>42744</v>
      </c>
      <c r="E401" s="68">
        <v>4</v>
      </c>
      <c r="F401" s="69">
        <v>800</v>
      </c>
      <c r="G401" s="34">
        <v>42744</v>
      </c>
      <c r="H401" s="68">
        <v>4</v>
      </c>
      <c r="I401" s="69">
        <v>800</v>
      </c>
      <c r="J401" s="167" t="s">
        <v>388</v>
      </c>
    </row>
    <row r="402" spans="1:10" s="168" customFormat="1" ht="24.95" hidden="1" customHeight="1">
      <c r="A402" s="42" t="s">
        <v>2610</v>
      </c>
      <c r="B402" s="18" t="s">
        <v>2611</v>
      </c>
      <c r="C402" s="18" t="s">
        <v>2608</v>
      </c>
      <c r="D402" s="34">
        <v>42744</v>
      </c>
      <c r="E402" s="68">
        <v>4</v>
      </c>
      <c r="F402" s="69">
        <v>6240</v>
      </c>
      <c r="G402" s="34">
        <v>42744</v>
      </c>
      <c r="H402" s="68">
        <v>4</v>
      </c>
      <c r="I402" s="69">
        <v>6240</v>
      </c>
      <c r="J402" s="167" t="s">
        <v>388</v>
      </c>
    </row>
    <row r="403" spans="1:10" s="168" customFormat="1" ht="24.95" hidden="1" customHeight="1">
      <c r="A403" s="42" t="s">
        <v>2618</v>
      </c>
      <c r="B403" s="18" t="s">
        <v>194</v>
      </c>
      <c r="C403" s="18" t="s">
        <v>2503</v>
      </c>
      <c r="D403" s="34">
        <v>42745</v>
      </c>
      <c r="E403" s="68">
        <v>32</v>
      </c>
      <c r="F403" s="69">
        <v>503040</v>
      </c>
      <c r="G403" s="34">
        <v>42745</v>
      </c>
      <c r="H403" s="68">
        <v>32</v>
      </c>
      <c r="I403" s="69">
        <v>503040</v>
      </c>
      <c r="J403" s="167" t="s">
        <v>140</v>
      </c>
    </row>
    <row r="404" spans="1:10" s="168" customFormat="1" ht="24.95" hidden="1" customHeight="1">
      <c r="A404" s="42" t="s">
        <v>2155</v>
      </c>
      <c r="B404" s="18" t="s">
        <v>1272</v>
      </c>
      <c r="C404" s="18" t="s">
        <v>902</v>
      </c>
      <c r="D404" s="34">
        <v>42747</v>
      </c>
      <c r="E404" s="68">
        <v>3361.3807999999999</v>
      </c>
      <c r="F404" s="69">
        <v>2126014.5499999998</v>
      </c>
      <c r="G404" s="34">
        <v>42747</v>
      </c>
      <c r="H404" s="68">
        <v>3361.3807999999999</v>
      </c>
      <c r="I404" s="69">
        <v>2126014.5499999998</v>
      </c>
      <c r="J404" s="167" t="s">
        <v>143</v>
      </c>
    </row>
    <row r="405" spans="1:10" s="168" customFormat="1" ht="24.95" hidden="1" customHeight="1">
      <c r="A405" s="42" t="s">
        <v>2576</v>
      </c>
      <c r="B405" s="18" t="s">
        <v>194</v>
      </c>
      <c r="C405" s="18" t="s">
        <v>654</v>
      </c>
      <c r="D405" s="34">
        <v>42751</v>
      </c>
      <c r="E405" s="68">
        <v>32</v>
      </c>
      <c r="F405" s="69">
        <v>500800</v>
      </c>
      <c r="G405" s="34">
        <v>42751</v>
      </c>
      <c r="H405" s="68">
        <v>32</v>
      </c>
      <c r="I405" s="69">
        <v>500800</v>
      </c>
      <c r="J405" s="167" t="s">
        <v>388</v>
      </c>
    </row>
    <row r="406" spans="1:10" s="168" customFormat="1" ht="24.95" hidden="1" customHeight="1">
      <c r="A406" s="42" t="s">
        <v>2484</v>
      </c>
      <c r="B406" s="18" t="s">
        <v>2203</v>
      </c>
      <c r="C406" s="18" t="s">
        <v>2204</v>
      </c>
      <c r="D406" s="34">
        <v>42751</v>
      </c>
      <c r="E406" s="68">
        <v>5815.6</v>
      </c>
      <c r="F406" s="69">
        <v>3624863.48</v>
      </c>
      <c r="G406" s="34">
        <v>42751</v>
      </c>
      <c r="H406" s="68">
        <v>5815.6</v>
      </c>
      <c r="I406" s="69">
        <v>3624863.48</v>
      </c>
      <c r="J406" s="167" t="s">
        <v>388</v>
      </c>
    </row>
    <row r="407" spans="1:10" s="168" customFormat="1" ht="24.95" hidden="1" customHeight="1">
      <c r="A407" s="42" t="s">
        <v>2685</v>
      </c>
      <c r="B407" s="18" t="s">
        <v>2612</v>
      </c>
      <c r="C407" s="18" t="s">
        <v>2687</v>
      </c>
      <c r="D407" s="34">
        <v>42685</v>
      </c>
      <c r="E407" s="68">
        <v>20</v>
      </c>
      <c r="F407" s="69">
        <v>2500</v>
      </c>
      <c r="G407" s="34">
        <v>42685</v>
      </c>
      <c r="H407" s="68">
        <v>20</v>
      </c>
      <c r="I407" s="69">
        <v>2500</v>
      </c>
      <c r="J407" s="167" t="s">
        <v>401</v>
      </c>
    </row>
    <row r="408" spans="1:10" s="168" customFormat="1" ht="24.95" hidden="1" customHeight="1">
      <c r="A408" s="42" t="s">
        <v>2686</v>
      </c>
      <c r="B408" s="18" t="s">
        <v>2613</v>
      </c>
      <c r="C408" s="18" t="s">
        <v>2687</v>
      </c>
      <c r="D408" s="34">
        <v>42685</v>
      </c>
      <c r="E408" s="68">
        <v>20</v>
      </c>
      <c r="F408" s="69">
        <v>400</v>
      </c>
      <c r="G408" s="34">
        <v>42685</v>
      </c>
      <c r="H408" s="68">
        <v>20</v>
      </c>
      <c r="I408" s="69">
        <v>400</v>
      </c>
      <c r="J408" s="167" t="s">
        <v>401</v>
      </c>
    </row>
    <row r="409" spans="1:10" s="168" customFormat="1" ht="24.95" hidden="1" customHeight="1">
      <c r="A409" s="42" t="s">
        <v>2683</v>
      </c>
      <c r="B409" s="18" t="s">
        <v>2612</v>
      </c>
      <c r="C409" s="18" t="s">
        <v>2608</v>
      </c>
      <c r="D409" s="34">
        <v>42752</v>
      </c>
      <c r="E409" s="68">
        <v>20</v>
      </c>
      <c r="F409" s="69">
        <v>13000</v>
      </c>
      <c r="G409" s="34">
        <v>42752</v>
      </c>
      <c r="H409" s="68">
        <v>20</v>
      </c>
      <c r="I409" s="69">
        <v>13000</v>
      </c>
      <c r="J409" s="167" t="s">
        <v>388</v>
      </c>
    </row>
    <row r="410" spans="1:10" s="168" customFormat="1" ht="24.95" hidden="1" customHeight="1">
      <c r="A410" s="42" t="s">
        <v>2684</v>
      </c>
      <c r="B410" s="18" t="s">
        <v>2613</v>
      </c>
      <c r="C410" s="18" t="s">
        <v>2608</v>
      </c>
      <c r="D410" s="34">
        <v>42752</v>
      </c>
      <c r="E410" s="68">
        <v>20</v>
      </c>
      <c r="F410" s="69">
        <v>2500</v>
      </c>
      <c r="G410" s="34">
        <v>42752</v>
      </c>
      <c r="H410" s="68">
        <v>20</v>
      </c>
      <c r="I410" s="69">
        <v>2500</v>
      </c>
      <c r="J410" s="167" t="s">
        <v>388</v>
      </c>
    </row>
    <row r="411" spans="1:10" s="168" customFormat="1" ht="24.95" hidden="1" customHeight="1">
      <c r="A411" s="42" t="s">
        <v>2648</v>
      </c>
      <c r="B411" s="18" t="s">
        <v>194</v>
      </c>
      <c r="C411" s="18" t="s">
        <v>851</v>
      </c>
      <c r="D411" s="34">
        <v>42757</v>
      </c>
      <c r="E411" s="68">
        <v>96</v>
      </c>
      <c r="F411" s="69">
        <v>1267200</v>
      </c>
      <c r="G411" s="34">
        <v>42757</v>
      </c>
      <c r="H411" s="68">
        <v>96</v>
      </c>
      <c r="I411" s="69">
        <v>1267200</v>
      </c>
      <c r="J411" s="167" t="s">
        <v>143</v>
      </c>
    </row>
    <row r="412" spans="1:10" s="168" customFormat="1" ht="24.95" hidden="1" customHeight="1">
      <c r="A412" s="42" t="s">
        <v>2484</v>
      </c>
      <c r="B412" s="18" t="s">
        <v>2203</v>
      </c>
      <c r="C412" s="18" t="s">
        <v>2204</v>
      </c>
      <c r="D412" s="34">
        <v>42757</v>
      </c>
      <c r="E412" s="68">
        <v>617.9</v>
      </c>
      <c r="F412" s="69">
        <v>424126.56</v>
      </c>
      <c r="G412" s="34">
        <v>42757</v>
      </c>
      <c r="H412" s="68">
        <v>617.9</v>
      </c>
      <c r="I412" s="69">
        <v>424126.56</v>
      </c>
      <c r="J412" s="167" t="s">
        <v>388</v>
      </c>
    </row>
    <row r="413" spans="1:10" s="168" customFormat="1" ht="24.95" hidden="1" customHeight="1">
      <c r="A413" s="42" t="s">
        <v>2484</v>
      </c>
      <c r="B413" s="18" t="s">
        <v>2203</v>
      </c>
      <c r="C413" s="18" t="s">
        <v>2204</v>
      </c>
      <c r="D413" s="34">
        <v>42757</v>
      </c>
      <c r="E413" s="68">
        <v>1313.2</v>
      </c>
      <c r="F413" s="69">
        <v>818517.56</v>
      </c>
      <c r="G413" s="34">
        <v>42757</v>
      </c>
      <c r="H413" s="68">
        <v>1313.2116999999994</v>
      </c>
      <c r="I413" s="69">
        <v>818517.56</v>
      </c>
      <c r="J413" s="167" t="s">
        <v>388</v>
      </c>
    </row>
    <row r="414" spans="1:10" s="168" customFormat="1" ht="24.95" hidden="1" customHeight="1">
      <c r="A414" s="42" t="s">
        <v>2703</v>
      </c>
      <c r="B414" s="18" t="s">
        <v>603</v>
      </c>
      <c r="C414" s="18" t="s">
        <v>351</v>
      </c>
      <c r="D414" s="34">
        <v>42758</v>
      </c>
      <c r="E414" s="68">
        <v>600</v>
      </c>
      <c r="F414" s="69">
        <v>4740000</v>
      </c>
      <c r="G414" s="34">
        <v>42758</v>
      </c>
      <c r="H414" s="68">
        <v>600</v>
      </c>
      <c r="I414" s="69">
        <v>4740000</v>
      </c>
      <c r="J414" s="167" t="s">
        <v>388</v>
      </c>
    </row>
    <row r="415" spans="1:10" s="168" customFormat="1" ht="24.95" hidden="1" customHeight="1">
      <c r="A415" s="42" t="s">
        <v>2631</v>
      </c>
      <c r="B415" s="18" t="s">
        <v>644</v>
      </c>
      <c r="C415" s="18" t="s">
        <v>168</v>
      </c>
      <c r="D415" s="34">
        <v>42759</v>
      </c>
      <c r="E415" s="68">
        <v>83.825000000000003</v>
      </c>
      <c r="F415" s="69">
        <v>679437.67</v>
      </c>
      <c r="G415" s="34">
        <v>42769</v>
      </c>
      <c r="H415" s="68">
        <v>83.825000000000003</v>
      </c>
      <c r="I415" s="69">
        <v>679437.67</v>
      </c>
      <c r="J415" s="167" t="s">
        <v>140</v>
      </c>
    </row>
    <row r="416" spans="1:10" s="168" customFormat="1" ht="24.95" hidden="1" customHeight="1">
      <c r="A416" s="42" t="s">
        <v>2660</v>
      </c>
      <c r="B416" s="18" t="s">
        <v>412</v>
      </c>
      <c r="C416" s="18" t="s">
        <v>168</v>
      </c>
      <c r="D416" s="34">
        <v>42759</v>
      </c>
      <c r="E416" s="68">
        <v>124.965</v>
      </c>
      <c r="F416" s="69">
        <v>2327925.09</v>
      </c>
      <c r="G416" s="34">
        <v>42769</v>
      </c>
      <c r="H416" s="68">
        <v>124.965</v>
      </c>
      <c r="I416" s="69">
        <v>2327925.09</v>
      </c>
      <c r="J416" s="167" t="s">
        <v>140</v>
      </c>
    </row>
    <row r="417" spans="1:10" s="168" customFormat="1" ht="24.95" hidden="1" customHeight="1">
      <c r="A417" s="42" t="s">
        <v>2458</v>
      </c>
      <c r="B417" s="18" t="s">
        <v>603</v>
      </c>
      <c r="C417" s="18" t="s">
        <v>168</v>
      </c>
      <c r="D417" s="34">
        <v>42759</v>
      </c>
      <c r="E417" s="68">
        <v>307.11200000000002</v>
      </c>
      <c r="F417" s="69">
        <v>2470729.131985731</v>
      </c>
      <c r="G417" s="34">
        <v>42769</v>
      </c>
      <c r="H417" s="68">
        <v>307.11200000000002</v>
      </c>
      <c r="I417" s="69">
        <v>2470729.131985731</v>
      </c>
      <c r="J417" s="167" t="s">
        <v>140</v>
      </c>
    </row>
    <row r="418" spans="1:10" s="168" customFormat="1" ht="24.95" hidden="1" customHeight="1">
      <c r="A418" s="42" t="s">
        <v>2711</v>
      </c>
      <c r="B418" s="18" t="s">
        <v>603</v>
      </c>
      <c r="C418" s="18" t="s">
        <v>168</v>
      </c>
      <c r="D418" s="34">
        <v>42759</v>
      </c>
      <c r="E418" s="68">
        <v>121.837</v>
      </c>
      <c r="F418" s="69">
        <v>989351.08006341651</v>
      </c>
      <c r="G418" s="34">
        <v>42769</v>
      </c>
      <c r="H418" s="68">
        <v>121.837</v>
      </c>
      <c r="I418" s="69">
        <v>989351.08006341651</v>
      </c>
      <c r="J418" s="167" t="s">
        <v>140</v>
      </c>
    </row>
    <row r="419" spans="1:10" s="168" customFormat="1" ht="24.95" hidden="1" customHeight="1">
      <c r="A419" s="42" t="s">
        <v>2504</v>
      </c>
      <c r="B419" s="18" t="s">
        <v>603</v>
      </c>
      <c r="C419" s="18" t="s">
        <v>630</v>
      </c>
      <c r="D419" s="34">
        <v>42759</v>
      </c>
      <c r="E419" s="68">
        <v>122.399</v>
      </c>
      <c r="F419" s="69">
        <v>1028151.6</v>
      </c>
      <c r="G419" s="34">
        <v>42769</v>
      </c>
      <c r="H419" s="68">
        <v>122.399</v>
      </c>
      <c r="I419" s="69">
        <v>1028151.6</v>
      </c>
      <c r="J419" s="167" t="s">
        <v>140</v>
      </c>
    </row>
    <row r="420" spans="1:10" s="168" customFormat="1" ht="24.95" hidden="1" customHeight="1">
      <c r="A420" s="42" t="s">
        <v>2497</v>
      </c>
      <c r="B420" s="18" t="s">
        <v>603</v>
      </c>
      <c r="C420" s="18" t="s">
        <v>479</v>
      </c>
      <c r="D420" s="34">
        <v>42769</v>
      </c>
      <c r="E420" s="68">
        <v>300.50850000000003</v>
      </c>
      <c r="F420" s="69">
        <v>2376415.21</v>
      </c>
      <c r="G420" s="34">
        <v>42769</v>
      </c>
      <c r="H420" s="68">
        <v>300.50850000000003</v>
      </c>
      <c r="I420" s="69">
        <v>2376415.21</v>
      </c>
      <c r="J420" s="167" t="s">
        <v>388</v>
      </c>
    </row>
    <row r="421" spans="1:10" s="168" customFormat="1" ht="24.95" hidden="1" customHeight="1">
      <c r="A421" s="42" t="s">
        <v>2651</v>
      </c>
      <c r="B421" s="18" t="s">
        <v>2203</v>
      </c>
      <c r="C421" s="18" t="s">
        <v>630</v>
      </c>
      <c r="D421" s="34">
        <v>42772</v>
      </c>
      <c r="E421" s="68">
        <v>2924.6686</v>
      </c>
      <c r="F421" s="69">
        <v>2033644.21</v>
      </c>
      <c r="G421" s="34">
        <v>42772</v>
      </c>
      <c r="H421" s="68">
        <v>2924.6686</v>
      </c>
      <c r="I421" s="69">
        <v>2033644.21</v>
      </c>
      <c r="J421" s="167" t="s">
        <v>140</v>
      </c>
    </row>
    <row r="422" spans="1:10" s="168" customFormat="1" ht="24.95" hidden="1" customHeight="1">
      <c r="A422" s="42" t="s">
        <v>2419</v>
      </c>
      <c r="B422" s="18" t="s">
        <v>218</v>
      </c>
      <c r="C422" s="18" t="s">
        <v>168</v>
      </c>
      <c r="D422" s="34">
        <v>42776</v>
      </c>
      <c r="E422" s="68">
        <v>4221.6180000000004</v>
      </c>
      <c r="F422" s="69">
        <v>3050862.52</v>
      </c>
      <c r="G422" s="34">
        <v>42776</v>
      </c>
      <c r="H422" s="68">
        <v>4221.6180000000004</v>
      </c>
      <c r="I422" s="69">
        <v>3050862.52</v>
      </c>
      <c r="J422" s="167" t="s">
        <v>140</v>
      </c>
    </row>
    <row r="423" spans="1:10" s="168" customFormat="1" ht="24.95" hidden="1" customHeight="1">
      <c r="A423" s="42" t="s">
        <v>2580</v>
      </c>
      <c r="B423" s="18" t="s">
        <v>194</v>
      </c>
      <c r="C423" s="18" t="s">
        <v>2011</v>
      </c>
      <c r="D423" s="34">
        <v>42779</v>
      </c>
      <c r="E423" s="68">
        <v>128</v>
      </c>
      <c r="F423" s="69">
        <v>2066560</v>
      </c>
      <c r="G423" s="34">
        <v>42779</v>
      </c>
      <c r="H423" s="68">
        <v>128</v>
      </c>
      <c r="I423" s="69">
        <v>2066560</v>
      </c>
      <c r="J423" s="167" t="s">
        <v>388</v>
      </c>
    </row>
    <row r="424" spans="1:10" s="168" customFormat="1" ht="24.95" hidden="1" customHeight="1">
      <c r="A424" s="42" t="s">
        <v>2638</v>
      </c>
      <c r="B424" s="18" t="s">
        <v>412</v>
      </c>
      <c r="C424" s="18" t="s">
        <v>259</v>
      </c>
      <c r="D424" s="34">
        <v>42757</v>
      </c>
      <c r="E424" s="68">
        <v>128</v>
      </c>
      <c r="F424" s="69">
        <v>1740800</v>
      </c>
      <c r="G424" s="34">
        <v>42757</v>
      </c>
      <c r="H424" s="68">
        <v>128</v>
      </c>
      <c r="I424" s="69">
        <v>1740800</v>
      </c>
      <c r="J424" s="167" t="s">
        <v>140</v>
      </c>
    </row>
    <row r="425" spans="1:10" s="168" customFormat="1" ht="24.95" hidden="1" customHeight="1">
      <c r="A425" s="42" t="s">
        <v>2703</v>
      </c>
      <c r="B425" s="18" t="s">
        <v>603</v>
      </c>
      <c r="C425" s="18" t="s">
        <v>351</v>
      </c>
      <c r="D425" s="34">
        <v>42786</v>
      </c>
      <c r="E425" s="68">
        <v>185.1396</v>
      </c>
      <c r="F425" s="69">
        <v>1382143.98</v>
      </c>
      <c r="G425" s="34">
        <v>42786</v>
      </c>
      <c r="H425" s="68">
        <v>185.1396</v>
      </c>
      <c r="I425" s="69">
        <v>1382143.98</v>
      </c>
      <c r="J425" s="167" t="s">
        <v>388</v>
      </c>
    </row>
    <row r="426" spans="1:10" s="168" customFormat="1" ht="24.95" hidden="1" customHeight="1">
      <c r="A426" s="42" t="s">
        <v>2719</v>
      </c>
      <c r="B426" s="18" t="s">
        <v>194</v>
      </c>
      <c r="C426" s="18" t="s">
        <v>2336</v>
      </c>
      <c r="D426" s="34">
        <v>42788</v>
      </c>
      <c r="E426" s="68">
        <v>128</v>
      </c>
      <c r="F426" s="69">
        <v>1708800</v>
      </c>
      <c r="G426" s="34">
        <v>42788</v>
      </c>
      <c r="H426" s="68">
        <v>128</v>
      </c>
      <c r="I426" s="69">
        <v>1708800</v>
      </c>
      <c r="J426" s="167" t="s">
        <v>388</v>
      </c>
    </row>
    <row r="427" spans="1:10" s="168" customFormat="1" ht="24.95" hidden="1" customHeight="1">
      <c r="A427" s="42" t="s">
        <v>2756</v>
      </c>
      <c r="B427" s="18" t="s">
        <v>603</v>
      </c>
      <c r="C427" s="18" t="s">
        <v>1302</v>
      </c>
      <c r="D427" s="34">
        <v>42788</v>
      </c>
      <c r="E427" s="68">
        <v>144</v>
      </c>
      <c r="F427" s="69">
        <v>921600</v>
      </c>
      <c r="G427" s="34">
        <v>42788</v>
      </c>
      <c r="H427" s="68">
        <v>144</v>
      </c>
      <c r="I427" s="69">
        <v>921600</v>
      </c>
      <c r="J427" s="167" t="s">
        <v>388</v>
      </c>
    </row>
    <row r="428" spans="1:10" s="168" customFormat="1" ht="24.95" hidden="1" customHeight="1">
      <c r="A428" s="42" t="s">
        <v>2655</v>
      </c>
      <c r="B428" s="18" t="s">
        <v>603</v>
      </c>
      <c r="C428" s="18" t="s">
        <v>479</v>
      </c>
      <c r="D428" s="34">
        <v>42787</v>
      </c>
      <c r="E428" s="68">
        <v>245.97380000000001</v>
      </c>
      <c r="F428" s="69">
        <v>1820206.12</v>
      </c>
      <c r="G428" s="34">
        <v>42793</v>
      </c>
      <c r="H428" s="68">
        <v>245.97380000000001</v>
      </c>
      <c r="I428" s="69">
        <v>1820206.12</v>
      </c>
      <c r="J428" s="167" t="s">
        <v>388</v>
      </c>
    </row>
    <row r="429" spans="1:10" s="168" customFormat="1" ht="24.95" hidden="1" customHeight="1">
      <c r="A429" s="42" t="s">
        <v>2390</v>
      </c>
      <c r="B429" s="18" t="s">
        <v>603</v>
      </c>
      <c r="C429" s="18" t="s">
        <v>195</v>
      </c>
      <c r="D429" s="34">
        <v>42787</v>
      </c>
      <c r="E429" s="68">
        <v>188.51060000000001</v>
      </c>
      <c r="F429" s="69">
        <v>1477619.7368000001</v>
      </c>
      <c r="G429" s="34">
        <v>42793</v>
      </c>
      <c r="H429" s="68">
        <v>188.51060000000001</v>
      </c>
      <c r="I429" s="69">
        <v>1477619.7368000001</v>
      </c>
      <c r="J429" s="167" t="s">
        <v>388</v>
      </c>
    </row>
    <row r="430" spans="1:10" s="168" customFormat="1" ht="24.95" hidden="1" customHeight="1">
      <c r="A430" s="42" t="s">
        <v>2652</v>
      </c>
      <c r="B430" s="18" t="s">
        <v>194</v>
      </c>
      <c r="C430" s="18" t="s">
        <v>2653</v>
      </c>
      <c r="D430" s="34">
        <v>42787</v>
      </c>
      <c r="E430" s="68">
        <v>32</v>
      </c>
      <c r="F430" s="69">
        <v>416000</v>
      </c>
      <c r="G430" s="34">
        <v>42793</v>
      </c>
      <c r="H430" s="68">
        <v>32</v>
      </c>
      <c r="I430" s="69">
        <v>416000</v>
      </c>
      <c r="J430" s="167" t="s">
        <v>388</v>
      </c>
    </row>
    <row r="431" spans="1:10" s="168" customFormat="1" ht="24.95" hidden="1" customHeight="1">
      <c r="A431" s="42" t="s">
        <v>2639</v>
      </c>
      <c r="B431" s="18" t="s">
        <v>2203</v>
      </c>
      <c r="C431" s="18" t="s">
        <v>2204</v>
      </c>
      <c r="D431" s="34">
        <v>42793</v>
      </c>
      <c r="E431" s="68">
        <v>3500</v>
      </c>
      <c r="F431" s="69">
        <v>2334500</v>
      </c>
      <c r="G431" s="34">
        <v>42793</v>
      </c>
      <c r="H431" s="68">
        <v>3500</v>
      </c>
      <c r="I431" s="69">
        <v>2334500</v>
      </c>
      <c r="J431" s="167" t="s">
        <v>143</v>
      </c>
    </row>
    <row r="432" spans="1:10" s="168" customFormat="1" ht="24.95" hidden="1" customHeight="1">
      <c r="A432" s="42" t="s">
        <v>2697</v>
      </c>
      <c r="B432" s="18" t="s">
        <v>2203</v>
      </c>
      <c r="C432" s="18" t="s">
        <v>2204</v>
      </c>
      <c r="D432" s="34">
        <v>42793</v>
      </c>
      <c r="E432" s="68">
        <v>1575</v>
      </c>
      <c r="F432" s="69">
        <v>1052838</v>
      </c>
      <c r="G432" s="34">
        <v>42793</v>
      </c>
      <c r="H432" s="68">
        <v>1575</v>
      </c>
      <c r="I432" s="69">
        <v>1052838</v>
      </c>
      <c r="J432" s="167" t="s">
        <v>143</v>
      </c>
    </row>
    <row r="433" spans="1:10" s="168" customFormat="1" ht="24.95" hidden="1" customHeight="1">
      <c r="A433" s="42" t="s">
        <v>2717</v>
      </c>
      <c r="B433" s="18" t="s">
        <v>412</v>
      </c>
      <c r="C433" s="18" t="s">
        <v>168</v>
      </c>
      <c r="D433" s="34">
        <v>42790</v>
      </c>
      <c r="E433" s="68">
        <v>92.992999999999995</v>
      </c>
      <c r="F433" s="69">
        <v>1391393.48</v>
      </c>
      <c r="G433" s="34">
        <v>42790</v>
      </c>
      <c r="H433" s="68">
        <v>92.992999999999995</v>
      </c>
      <c r="I433" s="69">
        <v>1391393.48</v>
      </c>
      <c r="J433" s="167" t="s">
        <v>140</v>
      </c>
    </row>
    <row r="434" spans="1:10" s="168" customFormat="1" ht="24.95" hidden="1" customHeight="1">
      <c r="A434" s="42" t="s">
        <v>2704</v>
      </c>
      <c r="B434" s="18" t="s">
        <v>603</v>
      </c>
      <c r="C434" s="18" t="s">
        <v>168</v>
      </c>
      <c r="D434" s="34">
        <v>42790</v>
      </c>
      <c r="E434" s="68">
        <v>245.97399999999999</v>
      </c>
      <c r="F434" s="69">
        <v>1998598.06</v>
      </c>
      <c r="G434" s="34">
        <v>42790</v>
      </c>
      <c r="H434" s="68">
        <v>245.97399999999999</v>
      </c>
      <c r="I434" s="69">
        <v>1998598.06</v>
      </c>
      <c r="J434" s="167" t="s">
        <v>140</v>
      </c>
    </row>
    <row r="435" spans="1:10" s="168" customFormat="1" ht="24.95" hidden="1" customHeight="1">
      <c r="A435" s="42" t="s">
        <v>2759</v>
      </c>
      <c r="B435" s="18" t="s">
        <v>603</v>
      </c>
      <c r="C435" s="18" t="s">
        <v>168</v>
      </c>
      <c r="D435" s="34">
        <v>42790</v>
      </c>
      <c r="E435" s="68">
        <v>122.33</v>
      </c>
      <c r="F435" s="69">
        <v>884871.11</v>
      </c>
      <c r="G435" s="34">
        <v>42790</v>
      </c>
      <c r="H435" s="68">
        <v>122.33</v>
      </c>
      <c r="I435" s="69">
        <v>884871.11</v>
      </c>
      <c r="J435" s="167" t="s">
        <v>140</v>
      </c>
    </row>
    <row r="436" spans="1:10" s="168" customFormat="1" ht="24.95" hidden="1" customHeight="1">
      <c r="A436" s="42" t="s">
        <v>2366</v>
      </c>
      <c r="B436" s="18" t="s">
        <v>736</v>
      </c>
      <c r="C436" s="18" t="s">
        <v>737</v>
      </c>
      <c r="D436" s="34">
        <v>42736</v>
      </c>
      <c r="E436" s="68">
        <v>100</v>
      </c>
      <c r="F436" s="69">
        <v>39000</v>
      </c>
      <c r="G436" s="34">
        <v>42736</v>
      </c>
      <c r="H436" s="68">
        <v>100</v>
      </c>
      <c r="I436" s="69">
        <v>39000</v>
      </c>
      <c r="J436" s="167" t="s">
        <v>388</v>
      </c>
    </row>
    <row r="437" spans="1:10" s="168" customFormat="1" ht="24.95" hidden="1" customHeight="1">
      <c r="A437" s="42" t="s">
        <v>2368</v>
      </c>
      <c r="B437" s="18" t="s">
        <v>736</v>
      </c>
      <c r="C437" s="18" t="s">
        <v>737</v>
      </c>
      <c r="D437" s="34">
        <v>42736</v>
      </c>
      <c r="E437" s="68">
        <v>100</v>
      </c>
      <c r="F437" s="69">
        <v>39000</v>
      </c>
      <c r="G437" s="34">
        <v>42736</v>
      </c>
      <c r="H437" s="68">
        <v>100</v>
      </c>
      <c r="I437" s="69">
        <v>39000</v>
      </c>
      <c r="J437" s="167" t="s">
        <v>388</v>
      </c>
    </row>
    <row r="438" spans="1:10" s="168" customFormat="1" ht="24.95" hidden="1" customHeight="1">
      <c r="A438" s="42" t="s">
        <v>2789</v>
      </c>
      <c r="B438" s="18" t="s">
        <v>194</v>
      </c>
      <c r="C438" s="18" t="s">
        <v>2336</v>
      </c>
      <c r="D438" s="34">
        <v>42750</v>
      </c>
      <c r="E438" s="68">
        <v>200</v>
      </c>
      <c r="F438" s="69">
        <v>502000</v>
      </c>
      <c r="G438" s="34">
        <v>42750</v>
      </c>
      <c r="H438" s="68">
        <v>200</v>
      </c>
      <c r="I438" s="69">
        <v>502000</v>
      </c>
      <c r="J438" s="167" t="s">
        <v>1472</v>
      </c>
    </row>
    <row r="439" spans="1:10" s="168" customFormat="1" ht="24.95" hidden="1" customHeight="1">
      <c r="A439" s="42" t="s">
        <v>2791</v>
      </c>
      <c r="B439" s="18" t="s">
        <v>194</v>
      </c>
      <c r="C439" s="18" t="s">
        <v>875</v>
      </c>
      <c r="D439" s="34">
        <v>42757</v>
      </c>
      <c r="E439" s="68">
        <v>200</v>
      </c>
      <c r="F439" s="69">
        <v>490000</v>
      </c>
      <c r="G439" s="34">
        <v>42757</v>
      </c>
      <c r="H439" s="68">
        <v>200</v>
      </c>
      <c r="I439" s="69">
        <v>490000</v>
      </c>
      <c r="J439" s="167" t="s">
        <v>1472</v>
      </c>
    </row>
    <row r="440" spans="1:10" s="168" customFormat="1" ht="24.95" hidden="1" customHeight="1">
      <c r="A440" s="42" t="s">
        <v>2792</v>
      </c>
      <c r="B440" s="18" t="s">
        <v>194</v>
      </c>
      <c r="C440" s="18" t="s">
        <v>875</v>
      </c>
      <c r="D440" s="34">
        <v>42758</v>
      </c>
      <c r="E440" s="68">
        <v>300</v>
      </c>
      <c r="F440" s="69">
        <v>771000</v>
      </c>
      <c r="G440" s="34">
        <v>42758</v>
      </c>
      <c r="H440" s="68">
        <v>300</v>
      </c>
      <c r="I440" s="69">
        <v>771000</v>
      </c>
      <c r="J440" s="167" t="s">
        <v>1472</v>
      </c>
    </row>
    <row r="441" spans="1:10" s="168" customFormat="1" ht="24.95" hidden="1" customHeight="1">
      <c r="A441" s="42" t="s">
        <v>2519</v>
      </c>
      <c r="B441" s="18" t="s">
        <v>194</v>
      </c>
      <c r="C441" s="18" t="s">
        <v>274</v>
      </c>
      <c r="D441" s="34">
        <v>42724</v>
      </c>
      <c r="E441" s="68">
        <v>120</v>
      </c>
      <c r="F441" s="69">
        <v>238626</v>
      </c>
      <c r="G441" s="34">
        <v>42724</v>
      </c>
      <c r="H441" s="68">
        <v>120</v>
      </c>
      <c r="I441" s="69">
        <v>238626</v>
      </c>
      <c r="J441" s="167" t="s">
        <v>401</v>
      </c>
    </row>
    <row r="442" spans="1:10" s="168" customFormat="1" ht="24.95" hidden="1" customHeight="1">
      <c r="A442" s="42" t="s">
        <v>2793</v>
      </c>
      <c r="B442" s="18" t="s">
        <v>194</v>
      </c>
      <c r="C442" s="18" t="s">
        <v>2810</v>
      </c>
      <c r="D442" s="34">
        <v>42751</v>
      </c>
      <c r="E442" s="68">
        <v>200</v>
      </c>
      <c r="F442" s="69">
        <f>E442*2560</f>
        <v>512000</v>
      </c>
      <c r="G442" s="34">
        <v>42751</v>
      </c>
      <c r="H442" s="68">
        <v>200</v>
      </c>
      <c r="I442" s="69">
        <f>H442*2560</f>
        <v>512000</v>
      </c>
      <c r="J442" s="167" t="s">
        <v>401</v>
      </c>
    </row>
    <row r="443" spans="1:10" s="168" customFormat="1" ht="24.95" hidden="1" customHeight="1">
      <c r="A443" s="42" t="s">
        <v>2794</v>
      </c>
      <c r="B443" s="18" t="s">
        <v>194</v>
      </c>
      <c r="C443" s="18" t="s">
        <v>2810</v>
      </c>
      <c r="D443" s="34">
        <v>42758</v>
      </c>
      <c r="E443" s="68">
        <v>200</v>
      </c>
      <c r="F443" s="69">
        <v>512000</v>
      </c>
      <c r="G443" s="34">
        <v>42758</v>
      </c>
      <c r="H443" s="68">
        <v>200</v>
      </c>
      <c r="I443" s="69">
        <v>512000</v>
      </c>
      <c r="J443" s="167" t="s">
        <v>401</v>
      </c>
    </row>
    <row r="444" spans="1:10" s="168" customFormat="1" ht="24.95" hidden="1" customHeight="1">
      <c r="A444" s="42" t="s">
        <v>2795</v>
      </c>
      <c r="B444" s="18" t="s">
        <v>194</v>
      </c>
      <c r="C444" s="18" t="s">
        <v>2810</v>
      </c>
      <c r="D444" s="34">
        <v>42790</v>
      </c>
      <c r="E444" s="68">
        <v>300</v>
      </c>
      <c r="F444" s="69">
        <f>E444*2680</f>
        <v>804000</v>
      </c>
      <c r="G444" s="34">
        <v>42790</v>
      </c>
      <c r="H444" s="68">
        <v>300</v>
      </c>
      <c r="I444" s="69">
        <f>H444*2680</f>
        <v>804000</v>
      </c>
      <c r="J444" s="167" t="s">
        <v>401</v>
      </c>
    </row>
    <row r="445" spans="1:10" s="168" customFormat="1" ht="24.95" hidden="1" customHeight="1">
      <c r="A445" s="42" t="s">
        <v>2749</v>
      </c>
      <c r="B445" s="18" t="s">
        <v>194</v>
      </c>
      <c r="C445" s="18" t="s">
        <v>2011</v>
      </c>
      <c r="D445" s="34">
        <v>42800</v>
      </c>
      <c r="E445" s="68">
        <v>64</v>
      </c>
      <c r="F445" s="69">
        <v>821376</v>
      </c>
      <c r="G445" s="34">
        <v>42794</v>
      </c>
      <c r="H445" s="68">
        <v>64</v>
      </c>
      <c r="I445" s="69">
        <v>821376</v>
      </c>
      <c r="J445" s="167" t="s">
        <v>388</v>
      </c>
    </row>
    <row r="446" spans="1:10" s="168" customFormat="1" ht="24.95" hidden="1" customHeight="1">
      <c r="A446" s="42" t="s">
        <v>2798</v>
      </c>
      <c r="B446" s="18" t="s">
        <v>2761</v>
      </c>
      <c r="C446" s="18" t="s">
        <v>2797</v>
      </c>
      <c r="D446" s="34">
        <v>42801</v>
      </c>
      <c r="E446" s="68">
        <v>12750</v>
      </c>
      <c r="F446" s="69">
        <v>11666250</v>
      </c>
      <c r="G446" s="34">
        <v>42801</v>
      </c>
      <c r="H446" s="68">
        <v>12750</v>
      </c>
      <c r="I446" s="69">
        <v>11666250</v>
      </c>
      <c r="J446" s="167" t="s">
        <v>388</v>
      </c>
    </row>
    <row r="447" spans="1:10" s="168" customFormat="1" ht="24.95" hidden="1" customHeight="1">
      <c r="A447" s="42" t="s">
        <v>2651</v>
      </c>
      <c r="B447" s="18" t="s">
        <v>2203</v>
      </c>
      <c r="C447" s="18" t="s">
        <v>630</v>
      </c>
      <c r="D447" s="34">
        <v>42801</v>
      </c>
      <c r="E447" s="68">
        <v>1241.6289999999999</v>
      </c>
      <c r="F447" s="69">
        <v>853930.35</v>
      </c>
      <c r="G447" s="34">
        <v>42801</v>
      </c>
      <c r="H447" s="68">
        <v>1241.6289999999999</v>
      </c>
      <c r="I447" s="69">
        <v>853930.35</v>
      </c>
      <c r="J447" s="167" t="s">
        <v>140</v>
      </c>
    </row>
    <row r="448" spans="1:10" s="168" customFormat="1" ht="24.95" hidden="1" customHeight="1">
      <c r="A448" s="42" t="s">
        <v>2746</v>
      </c>
      <c r="B448" s="18" t="s">
        <v>2203</v>
      </c>
      <c r="C448" s="18" t="s">
        <v>630</v>
      </c>
      <c r="D448" s="34">
        <v>42801</v>
      </c>
      <c r="E448" s="68">
        <v>3883.6723999999999</v>
      </c>
      <c r="F448" s="69">
        <v>2788572.69</v>
      </c>
      <c r="G448" s="34">
        <v>42801</v>
      </c>
      <c r="H448" s="68">
        <v>3883.6723999999999</v>
      </c>
      <c r="I448" s="69">
        <v>2788572.69</v>
      </c>
      <c r="J448" s="167" t="s">
        <v>140</v>
      </c>
    </row>
    <row r="449" spans="1:10" s="168" customFormat="1" ht="24.95" hidden="1" customHeight="1">
      <c r="A449" s="42" t="s">
        <v>2566</v>
      </c>
      <c r="B449" s="18" t="s">
        <v>603</v>
      </c>
      <c r="C449" s="18" t="s">
        <v>379</v>
      </c>
      <c r="D449" s="34">
        <v>42802</v>
      </c>
      <c r="E449" s="68">
        <v>237.11</v>
      </c>
      <c r="F449" s="69">
        <v>1729231.24</v>
      </c>
      <c r="G449" s="34">
        <v>42802</v>
      </c>
      <c r="H449" s="68">
        <v>237.11</v>
      </c>
      <c r="I449" s="69">
        <v>1729231.24</v>
      </c>
      <c r="J449" s="167" t="s">
        <v>143</v>
      </c>
    </row>
    <row r="450" spans="1:10" s="168" customFormat="1" ht="24.95" hidden="1" customHeight="1">
      <c r="A450" s="42" t="s">
        <v>2639</v>
      </c>
      <c r="B450" s="18" t="s">
        <v>2203</v>
      </c>
      <c r="C450" s="18" t="s">
        <v>2204</v>
      </c>
      <c r="D450" s="34">
        <v>42803</v>
      </c>
      <c r="E450" s="68">
        <v>666.29759999999987</v>
      </c>
      <c r="F450" s="69">
        <v>373923.75726999994</v>
      </c>
      <c r="G450" s="34">
        <v>42803</v>
      </c>
      <c r="H450" s="68">
        <v>666.29759999999987</v>
      </c>
      <c r="I450" s="69">
        <v>373923.75726999994</v>
      </c>
      <c r="J450" s="167" t="s">
        <v>143</v>
      </c>
    </row>
    <row r="451" spans="1:10" s="168" customFormat="1" ht="24.95" hidden="1" customHeight="1">
      <c r="A451" s="42" t="s">
        <v>2697</v>
      </c>
      <c r="B451" s="18" t="s">
        <v>2203</v>
      </c>
      <c r="C451" s="18" t="s">
        <v>2204</v>
      </c>
      <c r="D451" s="34">
        <v>42803</v>
      </c>
      <c r="E451" s="68">
        <v>2308.6723999999999</v>
      </c>
      <c r="F451" s="69">
        <v>1501510.4088060004</v>
      </c>
      <c r="G451" s="34">
        <v>42803</v>
      </c>
      <c r="H451" s="68">
        <v>2308.6723999999999</v>
      </c>
      <c r="I451" s="69">
        <v>1501510.4088060004</v>
      </c>
      <c r="J451" s="167" t="s">
        <v>143</v>
      </c>
    </row>
    <row r="452" spans="1:10" s="168" customFormat="1" ht="24.95" hidden="1" customHeight="1">
      <c r="A452" s="42" t="s">
        <v>2799</v>
      </c>
      <c r="B452" s="18" t="s">
        <v>2203</v>
      </c>
      <c r="C452" s="18" t="s">
        <v>2204</v>
      </c>
      <c r="D452" s="34">
        <v>42803</v>
      </c>
      <c r="E452" s="68">
        <v>2035.0300000000002</v>
      </c>
      <c r="F452" s="69">
        <v>1631565.8339239997</v>
      </c>
      <c r="G452" s="34">
        <v>42803</v>
      </c>
      <c r="H452" s="68">
        <v>2035.0300000000002</v>
      </c>
      <c r="I452" s="69">
        <v>1631565.8339239997</v>
      </c>
      <c r="J452" s="167" t="s">
        <v>143</v>
      </c>
    </row>
    <row r="453" spans="1:10" s="168" customFormat="1" ht="24.95" hidden="1" customHeight="1">
      <c r="A453" s="42" t="s">
        <v>2717</v>
      </c>
      <c r="B453" s="18" t="s">
        <v>412</v>
      </c>
      <c r="C453" s="18" t="s">
        <v>168</v>
      </c>
      <c r="D453" s="34">
        <v>42804</v>
      </c>
      <c r="E453" s="68">
        <v>157.63499999999999</v>
      </c>
      <c r="F453" s="69">
        <v>2358589.48</v>
      </c>
      <c r="G453" s="34">
        <v>42804</v>
      </c>
      <c r="H453" s="68">
        <v>157.63499999999999</v>
      </c>
      <c r="I453" s="69">
        <v>2358589.48</v>
      </c>
      <c r="J453" s="167" t="s">
        <v>140</v>
      </c>
    </row>
    <row r="454" spans="1:10" s="168" customFormat="1" ht="24.95" hidden="1" customHeight="1">
      <c r="A454" s="42" t="s">
        <v>2759</v>
      </c>
      <c r="B454" s="18" t="s">
        <v>603</v>
      </c>
      <c r="C454" s="18" t="s">
        <v>168</v>
      </c>
      <c r="D454" s="34">
        <v>42804</v>
      </c>
      <c r="E454" s="68">
        <v>187.12299999999999</v>
      </c>
      <c r="F454" s="69">
        <v>1352810.05</v>
      </c>
      <c r="G454" s="34">
        <v>42804</v>
      </c>
      <c r="H454" s="68">
        <v>187.12299999999999</v>
      </c>
      <c r="I454" s="69">
        <v>1352810.05</v>
      </c>
      <c r="J454" s="167" t="s">
        <v>140</v>
      </c>
    </row>
    <row r="455" spans="1:10" s="168" customFormat="1" ht="24.95" hidden="1" customHeight="1">
      <c r="A455" s="42" t="s">
        <v>2756</v>
      </c>
      <c r="B455" s="18" t="s">
        <v>603</v>
      </c>
      <c r="C455" s="18" t="s">
        <v>1302</v>
      </c>
      <c r="D455" s="34">
        <v>42818</v>
      </c>
      <c r="E455" s="68">
        <v>43.122700000000002</v>
      </c>
      <c r="F455" s="69">
        <v>275245.46999999997</v>
      </c>
      <c r="G455" s="34">
        <v>42818</v>
      </c>
      <c r="H455" s="68">
        <v>43.122700000000002</v>
      </c>
      <c r="I455" s="69">
        <v>275245.46999999997</v>
      </c>
      <c r="J455" s="167" t="s">
        <v>388</v>
      </c>
    </row>
    <row r="456" spans="1:10" s="168" customFormat="1" ht="24.95" hidden="1" customHeight="1">
      <c r="A456" s="42" t="s">
        <v>2923</v>
      </c>
      <c r="B456" s="18" t="s">
        <v>194</v>
      </c>
      <c r="C456" s="18" t="s">
        <v>2932</v>
      </c>
      <c r="D456" s="34">
        <v>42822</v>
      </c>
      <c r="E456" s="68">
        <v>32</v>
      </c>
      <c r="F456" s="69">
        <v>425600</v>
      </c>
      <c r="G456" s="34">
        <v>42822</v>
      </c>
      <c r="H456" s="68">
        <v>32</v>
      </c>
      <c r="I456" s="69">
        <v>425600</v>
      </c>
      <c r="J456" s="167" t="s">
        <v>140</v>
      </c>
    </row>
    <row r="457" spans="1:10" s="168" customFormat="1" ht="24.95" hidden="1" customHeight="1">
      <c r="A457" s="42" t="s">
        <v>2799</v>
      </c>
      <c r="B457" s="18" t="s">
        <v>2203</v>
      </c>
      <c r="C457" s="18" t="s">
        <v>2204</v>
      </c>
      <c r="D457" s="34">
        <v>42823</v>
      </c>
      <c r="E457" s="68">
        <v>1503</v>
      </c>
      <c r="F457" s="69">
        <v>1052100</v>
      </c>
      <c r="G457" s="34">
        <v>42823</v>
      </c>
      <c r="H457" s="68">
        <v>1503</v>
      </c>
      <c r="I457" s="69">
        <v>1052100</v>
      </c>
      <c r="J457" s="167" t="s">
        <v>143</v>
      </c>
    </row>
    <row r="458" spans="1:10" s="168" customFormat="1" ht="24.95" hidden="1" customHeight="1">
      <c r="A458" s="42" t="s">
        <v>2875</v>
      </c>
      <c r="B458" s="18" t="s">
        <v>2761</v>
      </c>
      <c r="C458" s="18" t="s">
        <v>2938</v>
      </c>
      <c r="D458" s="34">
        <v>42824</v>
      </c>
      <c r="E458" s="68">
        <v>14560.7</v>
      </c>
      <c r="F458" s="69">
        <v>13584887.5</v>
      </c>
      <c r="G458" s="34">
        <v>42824</v>
      </c>
      <c r="H458" s="68">
        <v>14560.7</v>
      </c>
      <c r="I458" s="69">
        <v>13584887.5</v>
      </c>
      <c r="J458" s="167" t="s">
        <v>140</v>
      </c>
    </row>
    <row r="459" spans="1:10" s="168" customFormat="1" ht="24.95" hidden="1" customHeight="1">
      <c r="A459" s="42" t="s">
        <v>2798</v>
      </c>
      <c r="B459" s="18" t="s">
        <v>2761</v>
      </c>
      <c r="C459" s="18" t="s">
        <v>2797</v>
      </c>
      <c r="D459" s="34">
        <v>42825</v>
      </c>
      <c r="E459" s="68">
        <v>1810.7</v>
      </c>
      <c r="F459" s="69">
        <v>1656790.5</v>
      </c>
      <c r="G459" s="34">
        <v>42825</v>
      </c>
      <c r="H459" s="68">
        <v>1810.7</v>
      </c>
      <c r="I459" s="69">
        <v>1656790.5</v>
      </c>
      <c r="J459" s="167" t="s">
        <v>388</v>
      </c>
    </row>
    <row r="460" spans="1:10" s="168" customFormat="1" ht="24.95" hidden="1" customHeight="1">
      <c r="A460" s="42" t="s">
        <v>2785</v>
      </c>
      <c r="B460" s="18" t="s">
        <v>736</v>
      </c>
      <c r="C460" s="18" t="s">
        <v>737</v>
      </c>
      <c r="D460" s="34">
        <v>42795</v>
      </c>
      <c r="E460" s="68">
        <v>800</v>
      </c>
      <c r="F460" s="69">
        <f>E460*400</f>
        <v>320000</v>
      </c>
      <c r="G460" s="34">
        <v>42802</v>
      </c>
      <c r="H460" s="68">
        <v>800</v>
      </c>
      <c r="I460" s="69">
        <f>H460*400</f>
        <v>320000</v>
      </c>
      <c r="J460" s="167" t="s">
        <v>388</v>
      </c>
    </row>
    <row r="461" spans="1:10" s="168" customFormat="1" ht="24.95" hidden="1" customHeight="1">
      <c r="A461" s="42" t="s">
        <v>2778</v>
      </c>
      <c r="B461" s="18" t="s">
        <v>736</v>
      </c>
      <c r="C461" s="18" t="s">
        <v>737</v>
      </c>
      <c r="D461" s="34">
        <v>42795</v>
      </c>
      <c r="E461" s="68">
        <v>900</v>
      </c>
      <c r="F461" s="69">
        <f>E461*400</f>
        <v>360000</v>
      </c>
      <c r="G461" s="34">
        <v>42802</v>
      </c>
      <c r="H461" s="68">
        <v>900</v>
      </c>
      <c r="I461" s="69">
        <f>H461*400</f>
        <v>360000</v>
      </c>
      <c r="J461" s="167" t="s">
        <v>388</v>
      </c>
    </row>
    <row r="462" spans="1:10" s="168" customFormat="1" ht="24.95" hidden="1" customHeight="1">
      <c r="A462" s="42" t="s">
        <v>2787</v>
      </c>
      <c r="B462" s="18" t="s">
        <v>736</v>
      </c>
      <c r="C462" s="18" t="s">
        <v>740</v>
      </c>
      <c r="D462" s="34">
        <v>42793</v>
      </c>
      <c r="E462" s="68">
        <v>800</v>
      </c>
      <c r="F462" s="69">
        <f>E462*99.8</f>
        <v>79840</v>
      </c>
      <c r="G462" s="34">
        <v>42793</v>
      </c>
      <c r="H462" s="68">
        <v>800</v>
      </c>
      <c r="I462" s="69">
        <f>H462*99.8</f>
        <v>79840</v>
      </c>
      <c r="J462" s="167" t="s">
        <v>401</v>
      </c>
    </row>
    <row r="463" spans="1:10" s="168" customFormat="1" ht="24.95" hidden="1" customHeight="1">
      <c r="A463" s="42" t="s">
        <v>2783</v>
      </c>
      <c r="B463" s="18" t="s">
        <v>736</v>
      </c>
      <c r="C463" s="18" t="s">
        <v>740</v>
      </c>
      <c r="D463" s="34">
        <v>42814</v>
      </c>
      <c r="E463" s="68">
        <v>900</v>
      </c>
      <c r="F463" s="69">
        <f>E463*99.8</f>
        <v>89820</v>
      </c>
      <c r="G463" s="34">
        <v>42814</v>
      </c>
      <c r="H463" s="68">
        <v>900</v>
      </c>
      <c r="I463" s="69">
        <f>H463*99.8</f>
        <v>89820</v>
      </c>
      <c r="J463" s="167" t="s">
        <v>401</v>
      </c>
    </row>
    <row r="464" spans="1:10" s="168" customFormat="1" ht="24.95" hidden="1" customHeight="1">
      <c r="A464" s="42" t="s">
        <v>2784</v>
      </c>
      <c r="B464" s="18" t="s">
        <v>736</v>
      </c>
      <c r="C464" s="18" t="s">
        <v>740</v>
      </c>
      <c r="D464" s="34">
        <v>42828</v>
      </c>
      <c r="E464" s="68">
        <v>1300</v>
      </c>
      <c r="F464" s="69">
        <f>E464*99.8</f>
        <v>129740</v>
      </c>
      <c r="G464" s="34">
        <v>42828</v>
      </c>
      <c r="H464" s="68">
        <v>1300</v>
      </c>
      <c r="I464" s="69">
        <f>H464*99.8</f>
        <v>129740</v>
      </c>
      <c r="J464" s="167" t="s">
        <v>401</v>
      </c>
    </row>
    <row r="465" spans="1:10" s="168" customFormat="1" ht="24.95" hidden="1" customHeight="1">
      <c r="A465" s="42" t="s">
        <v>2945</v>
      </c>
      <c r="B465" s="18" t="s">
        <v>736</v>
      </c>
      <c r="C465" s="18" t="s">
        <v>740</v>
      </c>
      <c r="D465" s="34">
        <v>42821</v>
      </c>
      <c r="E465" s="68">
        <v>1000</v>
      </c>
      <c r="F465" s="69">
        <f>E465*99.8</f>
        <v>99800</v>
      </c>
      <c r="G465" s="34">
        <v>42821</v>
      </c>
      <c r="H465" s="68">
        <v>1000</v>
      </c>
      <c r="I465" s="69">
        <f>H465*99.8</f>
        <v>99800</v>
      </c>
      <c r="J465" s="167" t="s">
        <v>401</v>
      </c>
    </row>
    <row r="466" spans="1:10" s="168" customFormat="1" ht="24.95" hidden="1" customHeight="1">
      <c r="A466" s="42" t="s">
        <v>2904</v>
      </c>
      <c r="B466" s="18" t="s">
        <v>194</v>
      </c>
      <c r="C466" s="18" t="s">
        <v>2011</v>
      </c>
      <c r="D466" s="34">
        <v>42825</v>
      </c>
      <c r="E466" s="68">
        <v>64</v>
      </c>
      <c r="F466" s="69">
        <v>792320</v>
      </c>
      <c r="G466" s="34">
        <v>42825</v>
      </c>
      <c r="H466" s="68">
        <v>64</v>
      </c>
      <c r="I466" s="69">
        <v>792320</v>
      </c>
      <c r="J466" s="167" t="s">
        <v>388</v>
      </c>
    </row>
    <row r="467" spans="1:10" s="168" customFormat="1" ht="24.95" hidden="1" customHeight="1">
      <c r="A467" s="42" t="s">
        <v>2846</v>
      </c>
      <c r="B467" s="18" t="s">
        <v>2203</v>
      </c>
      <c r="C467" s="18" t="s">
        <v>630</v>
      </c>
      <c r="D467" s="34">
        <v>42830</v>
      </c>
      <c r="E467" s="68">
        <v>8130.6469999999999</v>
      </c>
      <c r="F467" s="69">
        <v>6180561.3499999996</v>
      </c>
      <c r="G467" s="34">
        <v>42830</v>
      </c>
      <c r="H467" s="68">
        <v>8130.6469999999999</v>
      </c>
      <c r="I467" s="69">
        <v>6180561.3499999996</v>
      </c>
      <c r="J467" s="167" t="s">
        <v>140</v>
      </c>
    </row>
    <row r="468" spans="1:10" s="168" customFormat="1" ht="24.95" hidden="1" customHeight="1">
      <c r="A468" s="42" t="s">
        <v>3006</v>
      </c>
      <c r="B468" s="18" t="s">
        <v>2999</v>
      </c>
      <c r="C468" s="18" t="s">
        <v>3000</v>
      </c>
      <c r="D468" s="34">
        <v>42835</v>
      </c>
      <c r="E468" s="68">
        <v>20</v>
      </c>
      <c r="F468" s="69">
        <v>2740000</v>
      </c>
      <c r="G468" s="34">
        <v>42835</v>
      </c>
      <c r="H468" s="68">
        <v>20</v>
      </c>
      <c r="I468" s="69">
        <v>2740000</v>
      </c>
      <c r="J468" s="167" t="s">
        <v>388</v>
      </c>
    </row>
    <row r="469" spans="1:10" s="168" customFormat="1" ht="24.95" hidden="1" customHeight="1">
      <c r="A469" s="42" t="s">
        <v>2799</v>
      </c>
      <c r="B469" s="18" t="s">
        <v>2203</v>
      </c>
      <c r="C469" s="18" t="s">
        <v>2204</v>
      </c>
      <c r="D469" s="34">
        <v>42835</v>
      </c>
      <c r="E469" s="68">
        <v>4592.71</v>
      </c>
      <c r="F469" s="69">
        <v>3064256.11</v>
      </c>
      <c r="G469" s="34">
        <v>42835</v>
      </c>
      <c r="H469" s="68">
        <v>4592.71</v>
      </c>
      <c r="I469" s="69">
        <v>3064256.11</v>
      </c>
      <c r="J469" s="167" t="s">
        <v>143</v>
      </c>
    </row>
    <row r="470" spans="1:10" s="168" customFormat="1" ht="24.95" hidden="1" customHeight="1">
      <c r="A470" s="42" t="s">
        <v>2936</v>
      </c>
      <c r="B470" s="18" t="s">
        <v>194</v>
      </c>
      <c r="C470" s="18" t="s">
        <v>621</v>
      </c>
      <c r="D470" s="34">
        <v>42838</v>
      </c>
      <c r="E470" s="68">
        <v>3</v>
      </c>
      <c r="F470" s="69">
        <v>39900</v>
      </c>
      <c r="G470" s="34">
        <v>42838</v>
      </c>
      <c r="H470" s="68">
        <v>3</v>
      </c>
      <c r="I470" s="69">
        <v>39900</v>
      </c>
      <c r="J470" s="167" t="s">
        <v>140</v>
      </c>
    </row>
    <row r="471" spans="1:10" s="168" customFormat="1" ht="24.95" hidden="1" customHeight="1">
      <c r="A471" s="42" t="s">
        <v>3056</v>
      </c>
      <c r="B471" s="18" t="s">
        <v>194</v>
      </c>
      <c r="C471" s="18" t="s">
        <v>2503</v>
      </c>
      <c r="D471" s="34">
        <v>42845</v>
      </c>
      <c r="E471" s="68">
        <v>30</v>
      </c>
      <c r="F471" s="69">
        <v>388500</v>
      </c>
      <c r="G471" s="34">
        <v>42845</v>
      </c>
      <c r="H471" s="68">
        <v>30</v>
      </c>
      <c r="I471" s="69">
        <v>388500</v>
      </c>
      <c r="J471" s="167" t="s">
        <v>140</v>
      </c>
    </row>
    <row r="472" spans="1:10" s="168" customFormat="1" ht="24.95" hidden="1" customHeight="1">
      <c r="A472" s="42" t="s">
        <v>3009</v>
      </c>
      <c r="B472" s="18" t="s">
        <v>603</v>
      </c>
      <c r="C472" s="18" t="s">
        <v>3010</v>
      </c>
      <c r="D472" s="34">
        <v>42845</v>
      </c>
      <c r="E472" s="68">
        <v>135</v>
      </c>
      <c r="F472" s="69">
        <v>895050</v>
      </c>
      <c r="G472" s="34">
        <v>42845</v>
      </c>
      <c r="H472" s="68">
        <v>135</v>
      </c>
      <c r="I472" s="69">
        <v>895050</v>
      </c>
      <c r="J472" s="167" t="s">
        <v>143</v>
      </c>
    </row>
    <row r="473" spans="1:10" s="168" customFormat="1" ht="24.95" hidden="1" customHeight="1">
      <c r="A473" s="42" t="s">
        <v>3004</v>
      </c>
      <c r="B473" s="18" t="s">
        <v>194</v>
      </c>
      <c r="C473" s="18" t="s">
        <v>2336</v>
      </c>
      <c r="D473" s="34">
        <v>42849</v>
      </c>
      <c r="E473" s="68">
        <v>200</v>
      </c>
      <c r="F473" s="69">
        <v>2500000</v>
      </c>
      <c r="G473" s="34">
        <v>42849</v>
      </c>
      <c r="H473" s="68">
        <v>200</v>
      </c>
      <c r="I473" s="69">
        <v>2500000</v>
      </c>
      <c r="J473" s="167" t="s">
        <v>143</v>
      </c>
    </row>
    <row r="474" spans="1:10" s="168" customFormat="1" ht="24.95" hidden="1" customHeight="1">
      <c r="A474" s="42" t="s">
        <v>3029</v>
      </c>
      <c r="B474" s="18" t="s">
        <v>603</v>
      </c>
      <c r="C474" s="18" t="s">
        <v>3010</v>
      </c>
      <c r="D474" s="34">
        <v>42850</v>
      </c>
      <c r="E474" s="68">
        <v>270</v>
      </c>
      <c r="F474" s="69">
        <v>1790100</v>
      </c>
      <c r="G474" s="34">
        <v>42850</v>
      </c>
      <c r="H474" s="68">
        <v>270</v>
      </c>
      <c r="I474" s="69">
        <v>1790100</v>
      </c>
      <c r="J474" s="167" t="s">
        <v>143</v>
      </c>
    </row>
    <row r="475" spans="1:10" s="168" customFormat="1" ht="24.95" hidden="1" customHeight="1">
      <c r="A475" s="42" t="s">
        <v>2939</v>
      </c>
      <c r="B475" s="18" t="s">
        <v>736</v>
      </c>
      <c r="C475" s="18" t="s">
        <v>740</v>
      </c>
      <c r="D475" s="34">
        <v>42835</v>
      </c>
      <c r="E475" s="68">
        <v>1000</v>
      </c>
      <c r="F475" s="69">
        <f>E475*99.8</f>
        <v>99800</v>
      </c>
      <c r="G475" s="34">
        <v>42835</v>
      </c>
      <c r="H475" s="68">
        <v>1000</v>
      </c>
      <c r="I475" s="69">
        <f>H475*99.8</f>
        <v>99800</v>
      </c>
      <c r="J475" s="167" t="s">
        <v>401</v>
      </c>
    </row>
    <row r="476" spans="1:10" s="168" customFormat="1" ht="24.95" hidden="1" customHeight="1">
      <c r="A476" s="42" t="s">
        <v>2940</v>
      </c>
      <c r="B476" s="18" t="s">
        <v>736</v>
      </c>
      <c r="C476" s="18" t="s">
        <v>740</v>
      </c>
      <c r="D476" s="34">
        <v>42842</v>
      </c>
      <c r="E476" s="68">
        <v>1000</v>
      </c>
      <c r="F476" s="69">
        <f>E476*99.8</f>
        <v>99800</v>
      </c>
      <c r="G476" s="34">
        <v>42842</v>
      </c>
      <c r="H476" s="68">
        <v>1000</v>
      </c>
      <c r="I476" s="69">
        <f>H476*99.8</f>
        <v>99800</v>
      </c>
      <c r="J476" s="167" t="s">
        <v>401</v>
      </c>
    </row>
    <row r="477" spans="1:10" s="168" customFormat="1" ht="24.95" hidden="1" customHeight="1">
      <c r="A477" s="42" t="s">
        <v>2941</v>
      </c>
      <c r="B477" s="18" t="s">
        <v>736</v>
      </c>
      <c r="C477" s="18" t="s">
        <v>740</v>
      </c>
      <c r="D477" s="34">
        <v>42849</v>
      </c>
      <c r="E477" s="68">
        <v>1000</v>
      </c>
      <c r="F477" s="69">
        <f>E477*99.8</f>
        <v>99800</v>
      </c>
      <c r="G477" s="34">
        <v>42849</v>
      </c>
      <c r="H477" s="68">
        <v>1000</v>
      </c>
      <c r="I477" s="69">
        <f>H477*99.8</f>
        <v>99800</v>
      </c>
      <c r="J477" s="167" t="s">
        <v>401</v>
      </c>
    </row>
    <row r="478" spans="1:10" s="168" customFormat="1" ht="24.95" hidden="1" customHeight="1">
      <c r="A478" s="42" t="s">
        <v>3084</v>
      </c>
      <c r="B478" s="18" t="s">
        <v>194</v>
      </c>
      <c r="C478" s="18" t="s">
        <v>3229</v>
      </c>
      <c r="D478" s="34">
        <v>42851</v>
      </c>
      <c r="E478" s="68">
        <v>128</v>
      </c>
      <c r="F478" s="69">
        <v>1670400</v>
      </c>
      <c r="G478" s="34">
        <v>42851</v>
      </c>
      <c r="H478" s="68">
        <v>128</v>
      </c>
      <c r="I478" s="69">
        <v>1670400</v>
      </c>
      <c r="J478" s="167" t="s">
        <v>140</v>
      </c>
    </row>
    <row r="479" spans="1:10" s="168" customFormat="1" ht="24.95" hidden="1" customHeight="1">
      <c r="A479" s="42" t="s">
        <v>3059</v>
      </c>
      <c r="B479" s="18" t="s">
        <v>194</v>
      </c>
      <c r="C479" s="18" t="s">
        <v>3043</v>
      </c>
      <c r="D479" s="34">
        <v>42851</v>
      </c>
      <c r="E479" s="68">
        <v>96</v>
      </c>
      <c r="F479" s="69">
        <v>1238400</v>
      </c>
      <c r="G479" s="34">
        <v>42851</v>
      </c>
      <c r="H479" s="68">
        <v>96</v>
      </c>
      <c r="I479" s="69">
        <v>1238400</v>
      </c>
      <c r="J479" s="167" t="s">
        <v>140</v>
      </c>
    </row>
    <row r="480" spans="1:10" s="168" customFormat="1" ht="24.95" hidden="1" customHeight="1">
      <c r="A480" s="42" t="s">
        <v>2979</v>
      </c>
      <c r="B480" s="18" t="s">
        <v>412</v>
      </c>
      <c r="C480" s="18" t="s">
        <v>168</v>
      </c>
      <c r="D480" s="34">
        <v>42852</v>
      </c>
      <c r="E480" s="68">
        <v>190.76599999999999</v>
      </c>
      <c r="F480" s="69">
        <v>2532958.5</v>
      </c>
      <c r="G480" s="34">
        <v>42857</v>
      </c>
      <c r="H480" s="68">
        <v>190.76599999999999</v>
      </c>
      <c r="I480" s="69">
        <v>2532958.5</v>
      </c>
      <c r="J480" s="167" t="s">
        <v>140</v>
      </c>
    </row>
    <row r="481" spans="1:10" s="168" customFormat="1" ht="24.95" hidden="1" customHeight="1">
      <c r="A481" s="42" t="s">
        <v>3063</v>
      </c>
      <c r="B481" s="18" t="s">
        <v>603</v>
      </c>
      <c r="C481" s="18" t="s">
        <v>168</v>
      </c>
      <c r="D481" s="34">
        <v>42852</v>
      </c>
      <c r="E481" s="68">
        <v>126.444</v>
      </c>
      <c r="F481" s="69">
        <v>875985.24</v>
      </c>
      <c r="G481" s="34">
        <v>42857</v>
      </c>
      <c r="H481" s="68">
        <v>126.444</v>
      </c>
      <c r="I481" s="69">
        <v>875985.24</v>
      </c>
      <c r="J481" s="167" t="s">
        <v>140</v>
      </c>
    </row>
    <row r="482" spans="1:10" s="168" customFormat="1" ht="24.95" hidden="1" customHeight="1">
      <c r="A482" s="42" t="s">
        <v>3044</v>
      </c>
      <c r="B482" s="18" t="s">
        <v>603</v>
      </c>
      <c r="C482" s="18" t="s">
        <v>168</v>
      </c>
      <c r="D482" s="34">
        <v>42852</v>
      </c>
      <c r="E482" s="68">
        <v>232.33099999999999</v>
      </c>
      <c r="F482" s="69">
        <v>1220127.54</v>
      </c>
      <c r="G482" s="34">
        <v>42857</v>
      </c>
      <c r="H482" s="68">
        <v>232.33099999999999</v>
      </c>
      <c r="I482" s="69">
        <v>1220127.54</v>
      </c>
      <c r="J482" s="167" t="s">
        <v>140</v>
      </c>
    </row>
    <row r="483" spans="1:10" s="168" customFormat="1" ht="24.95" hidden="1" customHeight="1">
      <c r="A483" s="42" t="s">
        <v>3098</v>
      </c>
      <c r="B483" s="18" t="s">
        <v>194</v>
      </c>
      <c r="C483" s="18" t="s">
        <v>2932</v>
      </c>
      <c r="D483" s="34">
        <v>42857</v>
      </c>
      <c r="E483" s="68">
        <v>32</v>
      </c>
      <c r="F483" s="69">
        <v>422400</v>
      </c>
      <c r="G483" s="34">
        <v>42857</v>
      </c>
      <c r="H483" s="68">
        <v>32</v>
      </c>
      <c r="I483" s="69">
        <v>422400</v>
      </c>
      <c r="J483" s="167" t="s">
        <v>140</v>
      </c>
    </row>
    <row r="484" spans="1:10" s="168" customFormat="1" ht="24.95" hidden="1" customHeight="1">
      <c r="A484" s="42" t="s">
        <v>3089</v>
      </c>
      <c r="B484" s="18" t="s">
        <v>194</v>
      </c>
      <c r="C484" s="18" t="s">
        <v>621</v>
      </c>
      <c r="D484" s="34">
        <v>42857</v>
      </c>
      <c r="E484" s="68">
        <v>2</v>
      </c>
      <c r="F484" s="69">
        <v>27000</v>
      </c>
      <c r="G484" s="34">
        <v>42857</v>
      </c>
      <c r="H484" s="68">
        <v>2</v>
      </c>
      <c r="I484" s="69">
        <v>27000</v>
      </c>
      <c r="J484" s="167" t="s">
        <v>140</v>
      </c>
    </row>
    <row r="485" spans="1:10" s="168" customFormat="1" ht="24.95" hidden="1" customHeight="1">
      <c r="A485" s="42" t="s">
        <v>2779</v>
      </c>
      <c r="B485" s="18" t="s">
        <v>736</v>
      </c>
      <c r="C485" s="18" t="s">
        <v>737</v>
      </c>
      <c r="D485" s="34">
        <v>42856</v>
      </c>
      <c r="E485" s="68">
        <v>1000</v>
      </c>
      <c r="F485" s="69">
        <v>424500</v>
      </c>
      <c r="G485" s="34">
        <v>42856</v>
      </c>
      <c r="H485" s="68">
        <v>1000</v>
      </c>
      <c r="I485" s="69">
        <v>424500</v>
      </c>
      <c r="J485" s="167" t="s">
        <v>388</v>
      </c>
    </row>
    <row r="486" spans="1:10" s="168" customFormat="1" ht="24.95" hidden="1" customHeight="1">
      <c r="A486" s="42" t="s">
        <v>2780</v>
      </c>
      <c r="B486" s="18" t="s">
        <v>736</v>
      </c>
      <c r="C486" s="18" t="s">
        <v>737</v>
      </c>
      <c r="D486" s="34">
        <v>42856</v>
      </c>
      <c r="E486" s="68">
        <v>1300</v>
      </c>
      <c r="F486" s="69">
        <v>565500</v>
      </c>
      <c r="G486" s="34">
        <v>42856</v>
      </c>
      <c r="H486" s="68">
        <v>1300</v>
      </c>
      <c r="I486" s="69">
        <v>565500</v>
      </c>
      <c r="J486" s="167" t="s">
        <v>388</v>
      </c>
    </row>
    <row r="487" spans="1:10" s="168" customFormat="1" ht="24.95" hidden="1" customHeight="1">
      <c r="A487" s="42" t="s">
        <v>2781</v>
      </c>
      <c r="B487" s="18" t="s">
        <v>736</v>
      </c>
      <c r="C487" s="18" t="s">
        <v>737</v>
      </c>
      <c r="D487" s="34">
        <v>42856</v>
      </c>
      <c r="E487" s="68">
        <v>1000</v>
      </c>
      <c r="F487" s="69">
        <v>435000</v>
      </c>
      <c r="G487" s="34">
        <v>42856</v>
      </c>
      <c r="H487" s="68">
        <v>1000</v>
      </c>
      <c r="I487" s="69">
        <v>435000</v>
      </c>
      <c r="J487" s="167" t="s">
        <v>388</v>
      </c>
    </row>
    <row r="488" spans="1:10" s="168" customFormat="1" ht="24.95" hidden="1" customHeight="1">
      <c r="A488" s="42" t="s">
        <v>2990</v>
      </c>
      <c r="B488" s="18" t="s">
        <v>736</v>
      </c>
      <c r="C488" s="18" t="s">
        <v>737</v>
      </c>
      <c r="D488" s="34">
        <v>42856</v>
      </c>
      <c r="E488" s="68">
        <v>1000</v>
      </c>
      <c r="F488" s="69">
        <v>435000</v>
      </c>
      <c r="G488" s="34">
        <v>42856</v>
      </c>
      <c r="H488" s="68">
        <v>1000</v>
      </c>
      <c r="I488" s="69">
        <v>435000</v>
      </c>
      <c r="J488" s="167" t="s">
        <v>388</v>
      </c>
    </row>
    <row r="489" spans="1:10" s="168" customFormat="1" ht="24.95" hidden="1" customHeight="1">
      <c r="A489" s="42" t="s">
        <v>2867</v>
      </c>
      <c r="B489" s="18" t="s">
        <v>736</v>
      </c>
      <c r="C489" s="18" t="s">
        <v>737</v>
      </c>
      <c r="D489" s="34">
        <v>42856</v>
      </c>
      <c r="E489" s="68">
        <v>1000</v>
      </c>
      <c r="F489" s="69">
        <v>435000</v>
      </c>
      <c r="G489" s="34">
        <v>42856</v>
      </c>
      <c r="H489" s="68">
        <v>1000</v>
      </c>
      <c r="I489" s="69">
        <v>435000</v>
      </c>
      <c r="J489" s="167" t="s">
        <v>388</v>
      </c>
    </row>
    <row r="490" spans="1:10" s="168" customFormat="1" ht="24.95" hidden="1" customHeight="1">
      <c r="A490" s="42" t="s">
        <v>3051</v>
      </c>
      <c r="B490" s="18" t="s">
        <v>194</v>
      </c>
      <c r="C490" s="18" t="s">
        <v>2011</v>
      </c>
      <c r="D490" s="34">
        <v>42860</v>
      </c>
      <c r="E490" s="68">
        <v>64</v>
      </c>
      <c r="F490" s="69">
        <v>823936</v>
      </c>
      <c r="G490" s="34">
        <v>42860</v>
      </c>
      <c r="H490" s="68">
        <v>64</v>
      </c>
      <c r="I490" s="69">
        <v>823936</v>
      </c>
      <c r="J490" s="167" t="s">
        <v>388</v>
      </c>
    </row>
    <row r="491" spans="1:10" s="168" customFormat="1" ht="24.95" hidden="1" customHeight="1">
      <c r="A491" s="42" t="s">
        <v>2891</v>
      </c>
      <c r="B491" s="18" t="s">
        <v>194</v>
      </c>
      <c r="C491" s="18" t="s">
        <v>2892</v>
      </c>
      <c r="D491" s="34">
        <v>42865</v>
      </c>
      <c r="E491" s="68">
        <v>100</v>
      </c>
      <c r="F491" s="69">
        <v>1260000</v>
      </c>
      <c r="G491" s="34">
        <v>510</v>
      </c>
      <c r="H491" s="68">
        <v>100</v>
      </c>
      <c r="I491" s="69">
        <v>1260000</v>
      </c>
      <c r="J491" s="167" t="s">
        <v>143</v>
      </c>
    </row>
    <row r="492" spans="1:10" s="168" customFormat="1" ht="24.95" hidden="1" customHeight="1">
      <c r="A492" s="42" t="s">
        <v>3123</v>
      </c>
      <c r="B492" s="18" t="s">
        <v>2999</v>
      </c>
      <c r="C492" s="18" t="s">
        <v>3000</v>
      </c>
      <c r="D492" s="34">
        <v>42867</v>
      </c>
      <c r="E492" s="68">
        <v>40</v>
      </c>
      <c r="F492" s="69">
        <v>5820000</v>
      </c>
      <c r="G492" s="34">
        <v>42867</v>
      </c>
      <c r="H492" s="68">
        <v>40</v>
      </c>
      <c r="I492" s="69">
        <v>5820000</v>
      </c>
      <c r="J492" s="167" t="s">
        <v>388</v>
      </c>
    </row>
    <row r="493" spans="1:10" s="168" customFormat="1" ht="24.95" hidden="1" customHeight="1">
      <c r="A493" s="42" t="s">
        <v>3029</v>
      </c>
      <c r="B493" s="18" t="s">
        <v>603</v>
      </c>
      <c r="C493" s="18" t="s">
        <v>3010</v>
      </c>
      <c r="D493" s="34">
        <v>42871</v>
      </c>
      <c r="E493" s="68">
        <v>39.292000000000002</v>
      </c>
      <c r="F493" s="69">
        <v>259442.96</v>
      </c>
      <c r="G493" s="34">
        <v>42871</v>
      </c>
      <c r="H493" s="68">
        <v>39.292000000000002</v>
      </c>
      <c r="I493" s="69">
        <v>259442.96</v>
      </c>
      <c r="J493" s="167" t="s">
        <v>143</v>
      </c>
    </row>
    <row r="494" spans="1:10" s="168" customFormat="1" ht="24.95" hidden="1" customHeight="1">
      <c r="A494" s="42" t="s">
        <v>3143</v>
      </c>
      <c r="B494" s="18" t="s">
        <v>194</v>
      </c>
      <c r="C494" s="18" t="s">
        <v>3133</v>
      </c>
      <c r="D494" s="34">
        <v>42877</v>
      </c>
      <c r="E494" s="68">
        <v>64</v>
      </c>
      <c r="F494" s="69">
        <v>860800</v>
      </c>
      <c r="G494" s="34">
        <v>42877</v>
      </c>
      <c r="H494" s="68">
        <v>64</v>
      </c>
      <c r="I494" s="69">
        <v>860800</v>
      </c>
      <c r="J494" s="167" t="s">
        <v>143</v>
      </c>
    </row>
    <row r="495" spans="1:10" s="168" customFormat="1" ht="24.95" hidden="1" customHeight="1">
      <c r="A495" s="42" t="s">
        <v>3105</v>
      </c>
      <c r="B495" s="18" t="s">
        <v>412</v>
      </c>
      <c r="C495" s="18" t="s">
        <v>168</v>
      </c>
      <c r="D495" s="34">
        <v>42880</v>
      </c>
      <c r="E495" s="68">
        <v>334.56700000000001</v>
      </c>
      <c r="F495" s="69">
        <f>4851221.5/1.0092</f>
        <v>4806997.1264367811</v>
      </c>
      <c r="G495" s="34">
        <v>42880</v>
      </c>
      <c r="H495" s="68">
        <v>334.56700000000001</v>
      </c>
      <c r="I495" s="69">
        <v>4806997.1264367811</v>
      </c>
      <c r="J495" s="167" t="s">
        <v>140</v>
      </c>
    </row>
    <row r="496" spans="1:10" s="168" customFormat="1" ht="24.95" hidden="1" customHeight="1">
      <c r="A496" s="42" t="s">
        <v>3149</v>
      </c>
      <c r="B496" s="18" t="s">
        <v>412</v>
      </c>
      <c r="C496" s="18" t="s">
        <v>168</v>
      </c>
      <c r="D496" s="34">
        <v>42880</v>
      </c>
      <c r="E496" s="68">
        <v>127.709</v>
      </c>
      <c r="F496" s="69">
        <f>1864551.4/1.0092</f>
        <v>1847553.9040824412</v>
      </c>
      <c r="G496" s="34">
        <v>42880</v>
      </c>
      <c r="H496" s="68">
        <v>127.709</v>
      </c>
      <c r="I496" s="69">
        <v>1847553.9040824412</v>
      </c>
      <c r="J496" s="167" t="s">
        <v>140</v>
      </c>
    </row>
    <row r="497" spans="1:10" s="168" customFormat="1" ht="24.95" hidden="1" customHeight="1">
      <c r="A497" s="42" t="s">
        <v>3131</v>
      </c>
      <c r="B497" s="18" t="s">
        <v>603</v>
      </c>
      <c r="C497" s="18" t="s">
        <v>168</v>
      </c>
      <c r="D497" s="34">
        <v>42880</v>
      </c>
      <c r="E497" s="68">
        <v>92.671999999999997</v>
      </c>
      <c r="F497" s="69">
        <f>630170.96/1.0092</f>
        <v>624426.23860483547</v>
      </c>
      <c r="G497" s="34">
        <v>42880</v>
      </c>
      <c r="H497" s="68">
        <v>92.671999999999997</v>
      </c>
      <c r="I497" s="69">
        <v>624426.23860483547</v>
      </c>
      <c r="J497" s="167" t="s">
        <v>140</v>
      </c>
    </row>
    <row r="498" spans="1:10" s="168" customFormat="1" ht="24.95" hidden="1" customHeight="1">
      <c r="A498" s="42" t="s">
        <v>3145</v>
      </c>
      <c r="B498" s="18" t="s">
        <v>194</v>
      </c>
      <c r="C498" s="18" t="s">
        <v>3136</v>
      </c>
      <c r="D498" s="34">
        <v>42882</v>
      </c>
      <c r="E498" s="68">
        <v>32</v>
      </c>
      <c r="F498" s="69">
        <v>433600</v>
      </c>
      <c r="G498" s="34">
        <v>42882</v>
      </c>
      <c r="H498" s="68">
        <v>32</v>
      </c>
      <c r="I498" s="69">
        <v>433600</v>
      </c>
      <c r="J498" s="167" t="s">
        <v>143</v>
      </c>
    </row>
    <row r="499" spans="1:10" s="168" customFormat="1" ht="24.95" hidden="1" customHeight="1">
      <c r="A499" s="42" t="s">
        <v>3154</v>
      </c>
      <c r="B499" s="18" t="s">
        <v>194</v>
      </c>
      <c r="C499" s="18" t="s">
        <v>3133</v>
      </c>
      <c r="D499" s="34">
        <v>42880</v>
      </c>
      <c r="E499" s="68">
        <v>64</v>
      </c>
      <c r="F499" s="69">
        <v>800000</v>
      </c>
      <c r="G499" s="34">
        <v>42880</v>
      </c>
      <c r="H499" s="68">
        <v>64</v>
      </c>
      <c r="I499" s="69">
        <v>800000</v>
      </c>
      <c r="J499" s="167" t="s">
        <v>143</v>
      </c>
    </row>
    <row r="500" spans="1:10" s="168" customFormat="1" ht="24.95" hidden="1" customHeight="1">
      <c r="A500" s="42" t="s">
        <v>3179</v>
      </c>
      <c r="B500" s="18" t="s">
        <v>194</v>
      </c>
      <c r="C500" s="18" t="s">
        <v>875</v>
      </c>
      <c r="D500" s="34">
        <v>42881</v>
      </c>
      <c r="E500" s="68">
        <v>140</v>
      </c>
      <c r="F500" s="69">
        <f>E500*1840</f>
        <v>257600</v>
      </c>
      <c r="G500" s="34">
        <v>42881</v>
      </c>
      <c r="H500" s="68">
        <v>140</v>
      </c>
      <c r="I500" s="69">
        <f>H500*1840</f>
        <v>257600</v>
      </c>
      <c r="J500" s="167" t="s">
        <v>1472</v>
      </c>
    </row>
    <row r="501" spans="1:10" s="168" customFormat="1" ht="24.95" hidden="1" customHeight="1">
      <c r="A501" s="42" t="s">
        <v>3180</v>
      </c>
      <c r="B501" s="18" t="s">
        <v>194</v>
      </c>
      <c r="C501" s="18" t="s">
        <v>875</v>
      </c>
      <c r="D501" s="34">
        <v>42886</v>
      </c>
      <c r="E501" s="68">
        <v>160</v>
      </c>
      <c r="F501" s="69">
        <f>E501*1840</f>
        <v>294400</v>
      </c>
      <c r="G501" s="34">
        <v>42886</v>
      </c>
      <c r="H501" s="68">
        <v>160</v>
      </c>
      <c r="I501" s="69">
        <f>H501*1840</f>
        <v>294400</v>
      </c>
      <c r="J501" s="167" t="s">
        <v>1472</v>
      </c>
    </row>
    <row r="502" spans="1:10" s="168" customFormat="1" ht="24.95" hidden="1" customHeight="1">
      <c r="A502" s="42" t="s">
        <v>3181</v>
      </c>
      <c r="B502" s="18" t="s">
        <v>194</v>
      </c>
      <c r="C502" s="18" t="s">
        <v>2810</v>
      </c>
      <c r="D502" s="34">
        <v>42881</v>
      </c>
      <c r="E502" s="68">
        <v>140</v>
      </c>
      <c r="F502" s="69">
        <f>E502*1855</f>
        <v>259700</v>
      </c>
      <c r="G502" s="34">
        <v>42881</v>
      </c>
      <c r="H502" s="68">
        <v>140</v>
      </c>
      <c r="I502" s="69">
        <f>H502*1855</f>
        <v>259700</v>
      </c>
      <c r="J502" s="167" t="s">
        <v>401</v>
      </c>
    </row>
    <row r="503" spans="1:10" s="168" customFormat="1" ht="24.95" hidden="1" customHeight="1">
      <c r="A503" s="42" t="s">
        <v>3182</v>
      </c>
      <c r="B503" s="18" t="s">
        <v>194</v>
      </c>
      <c r="C503" s="18" t="s">
        <v>2810</v>
      </c>
      <c r="D503" s="34">
        <v>42886</v>
      </c>
      <c r="E503" s="68">
        <v>160</v>
      </c>
      <c r="F503" s="69">
        <f>E503*1850</f>
        <v>296000</v>
      </c>
      <c r="G503" s="34">
        <v>42886</v>
      </c>
      <c r="H503" s="68">
        <v>160</v>
      </c>
      <c r="I503" s="69">
        <f>H503*1850</f>
        <v>296000</v>
      </c>
      <c r="J503" s="167" t="s">
        <v>401</v>
      </c>
    </row>
    <row r="504" spans="1:10" s="168" customFormat="1" ht="24.95" hidden="1" customHeight="1">
      <c r="A504" s="42" t="s">
        <v>3189</v>
      </c>
      <c r="B504" s="18" t="s">
        <v>736</v>
      </c>
      <c r="C504" s="18" t="s">
        <v>740</v>
      </c>
      <c r="D504" s="34">
        <v>42870</v>
      </c>
      <c r="E504" s="68">
        <v>1000</v>
      </c>
      <c r="F504" s="69">
        <f>E504*99.8</f>
        <v>99800</v>
      </c>
      <c r="G504" s="34">
        <v>42870</v>
      </c>
      <c r="H504" s="68">
        <v>1000</v>
      </c>
      <c r="I504" s="69">
        <f>H504*99.8</f>
        <v>99800</v>
      </c>
      <c r="J504" s="167" t="s">
        <v>401</v>
      </c>
    </row>
    <row r="505" spans="1:10" s="168" customFormat="1" ht="24.95" hidden="1" customHeight="1">
      <c r="A505" s="42" t="s">
        <v>3196</v>
      </c>
      <c r="B505" s="18" t="s">
        <v>194</v>
      </c>
      <c r="C505" s="18" t="s">
        <v>875</v>
      </c>
      <c r="D505" s="34">
        <v>42860</v>
      </c>
      <c r="E505" s="68">
        <v>200</v>
      </c>
      <c r="F505" s="69">
        <v>362000</v>
      </c>
      <c r="G505" s="34">
        <v>42860</v>
      </c>
      <c r="H505" s="68">
        <v>200</v>
      </c>
      <c r="I505" s="69">
        <v>362000</v>
      </c>
      <c r="J505" s="167" t="s">
        <v>1472</v>
      </c>
    </row>
    <row r="506" spans="1:10" s="168" customFormat="1" ht="24.95" hidden="1" customHeight="1">
      <c r="A506" s="42" t="s">
        <v>3198</v>
      </c>
      <c r="B506" s="18" t="s">
        <v>194</v>
      </c>
      <c r="C506" s="18" t="s">
        <v>2810</v>
      </c>
      <c r="D506" s="34">
        <v>42860</v>
      </c>
      <c r="E506" s="68">
        <v>200</v>
      </c>
      <c r="F506" s="69">
        <v>372000</v>
      </c>
      <c r="G506" s="34">
        <v>42860</v>
      </c>
      <c r="H506" s="68">
        <v>200</v>
      </c>
      <c r="I506" s="69">
        <v>372000</v>
      </c>
      <c r="J506" s="167" t="s">
        <v>401</v>
      </c>
    </row>
    <row r="507" spans="1:10" s="168" customFormat="1" ht="24.95" hidden="1" customHeight="1">
      <c r="A507" s="42" t="s">
        <v>3121</v>
      </c>
      <c r="B507" s="18" t="s">
        <v>194</v>
      </c>
      <c r="C507" s="18" t="s">
        <v>2011</v>
      </c>
      <c r="D507" s="34">
        <v>42891</v>
      </c>
      <c r="E507" s="68">
        <v>96</v>
      </c>
      <c r="F507" s="69">
        <v>1244160</v>
      </c>
      <c r="G507" s="34">
        <v>42891</v>
      </c>
      <c r="H507" s="68">
        <v>96</v>
      </c>
      <c r="I507" s="69">
        <v>1244160</v>
      </c>
      <c r="J507" s="167" t="s">
        <v>388</v>
      </c>
    </row>
    <row r="508" spans="1:10" s="168" customFormat="1" ht="24.95" hidden="1" customHeight="1">
      <c r="A508" s="42" t="s">
        <v>3124</v>
      </c>
      <c r="B508" s="18" t="s">
        <v>2999</v>
      </c>
      <c r="C508" s="18" t="s">
        <v>2938</v>
      </c>
      <c r="D508" s="34">
        <v>42895</v>
      </c>
      <c r="E508" s="68">
        <v>59.991</v>
      </c>
      <c r="F508" s="69">
        <v>8859350.898</v>
      </c>
      <c r="G508" s="34">
        <v>42895</v>
      </c>
      <c r="H508" s="68">
        <v>59.991</v>
      </c>
      <c r="I508" s="69">
        <v>8859350.898</v>
      </c>
      <c r="J508" s="167" t="s">
        <v>140</v>
      </c>
    </row>
    <row r="509" spans="1:10" s="168" customFormat="1" ht="24.95" hidden="1" customHeight="1">
      <c r="A509" s="42" t="s">
        <v>3178</v>
      </c>
      <c r="B509" s="18" t="s">
        <v>194</v>
      </c>
      <c r="C509" s="18" t="s">
        <v>2503</v>
      </c>
      <c r="D509" s="34">
        <v>42898</v>
      </c>
      <c r="E509" s="68">
        <v>32</v>
      </c>
      <c r="F509" s="69">
        <v>385600</v>
      </c>
      <c r="G509" s="34">
        <v>42898</v>
      </c>
      <c r="H509" s="68">
        <v>32</v>
      </c>
      <c r="I509" s="69">
        <v>385600</v>
      </c>
      <c r="J509" s="167" t="s">
        <v>140</v>
      </c>
    </row>
    <row r="510" spans="1:10" s="168" customFormat="1" ht="24.95" hidden="1" customHeight="1">
      <c r="A510" s="42" t="s">
        <v>3213</v>
      </c>
      <c r="B510" s="18" t="s">
        <v>194</v>
      </c>
      <c r="C510" s="18" t="s">
        <v>195</v>
      </c>
      <c r="D510" s="34">
        <v>42901</v>
      </c>
      <c r="E510" s="68">
        <v>64</v>
      </c>
      <c r="F510" s="69">
        <v>710400</v>
      </c>
      <c r="G510" s="34">
        <v>42901</v>
      </c>
      <c r="H510" s="68">
        <v>64</v>
      </c>
      <c r="I510" s="69">
        <v>710400</v>
      </c>
      <c r="J510" s="167" t="s">
        <v>143</v>
      </c>
    </row>
    <row r="511" spans="1:10" s="168" customFormat="1" ht="24.95" hidden="1" customHeight="1">
      <c r="A511" s="42" t="s">
        <v>3227</v>
      </c>
      <c r="B511" s="18" t="s">
        <v>218</v>
      </c>
      <c r="C511" s="18" t="s">
        <v>2337</v>
      </c>
      <c r="D511" s="34">
        <v>42702</v>
      </c>
      <c r="E511" s="68">
        <v>1784.7140999999999</v>
      </c>
      <c r="F511" s="69">
        <v>713642.07602200098</v>
      </c>
      <c r="G511" s="34">
        <v>42702</v>
      </c>
      <c r="H511" s="68">
        <v>1784.7140999999999</v>
      </c>
      <c r="I511" s="69">
        <v>713642.07602200098</v>
      </c>
      <c r="J511" s="167" t="s">
        <v>388</v>
      </c>
    </row>
    <row r="512" spans="1:10" s="168" customFormat="1" ht="24.95" hidden="1" customHeight="1">
      <c r="A512" s="42" t="s">
        <v>3208</v>
      </c>
      <c r="B512" s="18" t="s">
        <v>194</v>
      </c>
      <c r="C512" s="18" t="s">
        <v>3202</v>
      </c>
      <c r="D512" s="34">
        <v>42909</v>
      </c>
      <c r="E512" s="68">
        <v>96</v>
      </c>
      <c r="F512" s="69">
        <v>1113600</v>
      </c>
      <c r="G512" s="34">
        <v>42909</v>
      </c>
      <c r="H512" s="68">
        <v>96</v>
      </c>
      <c r="I512" s="69">
        <v>1113600</v>
      </c>
      <c r="J512" s="167" t="s">
        <v>143</v>
      </c>
    </row>
    <row r="513" spans="1:10" s="168" customFormat="1" ht="24.95" hidden="1" customHeight="1">
      <c r="A513" s="42" t="s">
        <v>3172</v>
      </c>
      <c r="B513" s="18" t="s">
        <v>194</v>
      </c>
      <c r="C513" s="18" t="s">
        <v>3133</v>
      </c>
      <c r="D513" s="34">
        <v>42912</v>
      </c>
      <c r="E513" s="68">
        <v>32</v>
      </c>
      <c r="F513" s="69">
        <v>380800</v>
      </c>
      <c r="G513" s="34">
        <v>42912</v>
      </c>
      <c r="H513" s="68">
        <v>32</v>
      </c>
      <c r="I513" s="69">
        <v>380800</v>
      </c>
      <c r="J513" s="167" t="s">
        <v>143</v>
      </c>
    </row>
    <row r="514" spans="1:10" s="168" customFormat="1" ht="24.95" hidden="1" customHeight="1">
      <c r="A514" s="42" t="s">
        <v>3215</v>
      </c>
      <c r="B514" s="18" t="s">
        <v>194</v>
      </c>
      <c r="C514" s="18" t="s">
        <v>3216</v>
      </c>
      <c r="D514" s="34">
        <v>42913</v>
      </c>
      <c r="E514" s="68">
        <v>96</v>
      </c>
      <c r="F514" s="69">
        <v>1060800</v>
      </c>
      <c r="G514" s="34">
        <v>42913</v>
      </c>
      <c r="H514" s="68">
        <v>96</v>
      </c>
      <c r="I514" s="69">
        <v>1060800</v>
      </c>
      <c r="J514" s="167" t="s">
        <v>143</v>
      </c>
    </row>
    <row r="515" spans="1:10" s="168" customFormat="1" ht="24.95" hidden="1" customHeight="1">
      <c r="A515" s="42" t="s">
        <v>3226</v>
      </c>
      <c r="B515" s="18" t="s">
        <v>194</v>
      </c>
      <c r="C515" s="18" t="s">
        <v>2011</v>
      </c>
      <c r="D515" s="34">
        <v>42920</v>
      </c>
      <c r="E515" s="68">
        <v>64</v>
      </c>
      <c r="F515" s="69">
        <v>706048</v>
      </c>
      <c r="G515" s="34">
        <v>42920</v>
      </c>
      <c r="H515" s="68">
        <v>64</v>
      </c>
      <c r="I515" s="69">
        <v>706048</v>
      </c>
      <c r="J515" s="167" t="s">
        <v>143</v>
      </c>
    </row>
    <row r="516" spans="1:10" s="168" customFormat="1" ht="24.95" hidden="1" customHeight="1">
      <c r="A516" s="42" t="s">
        <v>3149</v>
      </c>
      <c r="B516" s="18" t="s">
        <v>412</v>
      </c>
      <c r="C516" s="18" t="s">
        <v>168</v>
      </c>
      <c r="D516" s="34">
        <v>42920</v>
      </c>
      <c r="E516" s="68">
        <v>80.834000000000003</v>
      </c>
      <c r="F516" s="69">
        <v>1169417.76</v>
      </c>
      <c r="G516" s="34">
        <v>42920</v>
      </c>
      <c r="H516" s="68">
        <v>80.834000000000003</v>
      </c>
      <c r="I516" s="69">
        <v>1169417.76</v>
      </c>
      <c r="J516" s="167" t="s">
        <v>140</v>
      </c>
    </row>
    <row r="517" spans="1:10" s="168" customFormat="1" ht="24.95" hidden="1" customHeight="1">
      <c r="A517" s="42" t="s">
        <v>3223</v>
      </c>
      <c r="B517" s="18" t="s">
        <v>412</v>
      </c>
      <c r="C517" s="18" t="s">
        <v>168</v>
      </c>
      <c r="D517" s="34">
        <v>42920</v>
      </c>
      <c r="E517" s="68">
        <v>334.55500000000001</v>
      </c>
      <c r="F517" s="69">
        <v>4442169.04</v>
      </c>
      <c r="G517" s="34">
        <v>42920</v>
      </c>
      <c r="H517" s="68">
        <v>334.55500000000001</v>
      </c>
      <c r="I517" s="69">
        <v>4442169.04</v>
      </c>
      <c r="J517" s="167" t="s">
        <v>140</v>
      </c>
    </row>
    <row r="518" spans="1:10" s="168" customFormat="1" ht="24.95" hidden="1" customHeight="1">
      <c r="A518" s="42" t="s">
        <v>3244</v>
      </c>
      <c r="B518" s="18" t="s">
        <v>412</v>
      </c>
      <c r="C518" s="18" t="s">
        <v>168</v>
      </c>
      <c r="D518" s="34">
        <v>42920</v>
      </c>
      <c r="E518" s="68">
        <v>142.78299999999999</v>
      </c>
      <c r="F518" s="69">
        <v>1669480.18</v>
      </c>
      <c r="G518" s="34">
        <v>42920</v>
      </c>
      <c r="H518" s="68">
        <v>142.78299999999999</v>
      </c>
      <c r="I518" s="69">
        <v>1669480.18</v>
      </c>
      <c r="J518" s="167" t="s">
        <v>140</v>
      </c>
    </row>
    <row r="519" spans="1:10" s="168" customFormat="1" ht="24.95" hidden="1" customHeight="1">
      <c r="A519" s="42" t="s">
        <v>3233</v>
      </c>
      <c r="B519" s="18" t="s">
        <v>218</v>
      </c>
      <c r="C519" s="18" t="s">
        <v>3405</v>
      </c>
      <c r="D519" s="34">
        <v>42920</v>
      </c>
      <c r="E519" s="68">
        <v>7353.5050000000001</v>
      </c>
      <c r="F519" s="69">
        <v>4313305.17</v>
      </c>
      <c r="G519" s="34">
        <v>42920</v>
      </c>
      <c r="H519" s="68">
        <v>7353.5050000000001</v>
      </c>
      <c r="I519" s="69">
        <v>4313305.17</v>
      </c>
      <c r="J519" s="167" t="s">
        <v>140</v>
      </c>
    </row>
    <row r="520" spans="1:10" s="168" customFormat="1" ht="24.95" hidden="1" customHeight="1">
      <c r="A520" s="42" t="s">
        <v>3227</v>
      </c>
      <c r="B520" s="18" t="s">
        <v>218</v>
      </c>
      <c r="C520" s="18" t="s">
        <v>2337</v>
      </c>
      <c r="D520" s="34">
        <v>42926</v>
      </c>
      <c r="E520" s="68">
        <v>2068.79</v>
      </c>
      <c r="F520" s="69">
        <v>1100522.8899999999</v>
      </c>
      <c r="G520" s="34">
        <v>42926</v>
      </c>
      <c r="H520" s="68">
        <v>2068.79</v>
      </c>
      <c r="I520" s="69">
        <v>1100522.8899999999</v>
      </c>
      <c r="J520" s="167" t="s">
        <v>388</v>
      </c>
    </row>
    <row r="521" spans="1:10" s="168" customFormat="1" ht="24.95" hidden="1" customHeight="1">
      <c r="A521" s="42" t="s">
        <v>3236</v>
      </c>
      <c r="B521" s="18" t="s">
        <v>194</v>
      </c>
      <c r="C521" s="18" t="s">
        <v>3237</v>
      </c>
      <c r="D521" s="34">
        <v>42928</v>
      </c>
      <c r="E521" s="68">
        <v>64</v>
      </c>
      <c r="F521" s="69">
        <v>684800</v>
      </c>
      <c r="G521" s="34">
        <v>42928</v>
      </c>
      <c r="H521" s="68">
        <v>64</v>
      </c>
      <c r="I521" s="69">
        <v>684800</v>
      </c>
      <c r="J521" s="167" t="s">
        <v>143</v>
      </c>
    </row>
    <row r="522" spans="1:10" s="168" customFormat="1" ht="24.95" hidden="1" customHeight="1">
      <c r="A522" s="42" t="s">
        <v>3245</v>
      </c>
      <c r="B522" s="18" t="s">
        <v>194</v>
      </c>
      <c r="C522" s="18" t="s">
        <v>3237</v>
      </c>
      <c r="D522" s="34">
        <v>42928</v>
      </c>
      <c r="E522" s="68">
        <v>64</v>
      </c>
      <c r="F522" s="69">
        <v>686720</v>
      </c>
      <c r="G522" s="34">
        <v>42928</v>
      </c>
      <c r="H522" s="68">
        <v>64</v>
      </c>
      <c r="I522" s="69">
        <v>686720</v>
      </c>
      <c r="J522" s="167" t="s">
        <v>143</v>
      </c>
    </row>
    <row r="523" spans="1:10" s="168" customFormat="1" ht="24.95" hidden="1" customHeight="1">
      <c r="A523" s="42" t="s">
        <v>3279</v>
      </c>
      <c r="B523" s="18" t="s">
        <v>194</v>
      </c>
      <c r="C523" s="18" t="s">
        <v>3237</v>
      </c>
      <c r="D523" s="34">
        <v>42928</v>
      </c>
      <c r="E523" s="68">
        <v>96</v>
      </c>
      <c r="F523" s="69">
        <v>998400</v>
      </c>
      <c r="G523" s="34">
        <v>42928</v>
      </c>
      <c r="H523" s="68">
        <v>96</v>
      </c>
      <c r="I523" s="69">
        <v>998400</v>
      </c>
      <c r="J523" s="167" t="s">
        <v>177</v>
      </c>
    </row>
    <row r="524" spans="1:10" s="168" customFormat="1" ht="24.95" hidden="1" customHeight="1">
      <c r="A524" s="42" t="s">
        <v>3388</v>
      </c>
      <c r="B524" s="18" t="s">
        <v>3263</v>
      </c>
      <c r="C524" s="18" t="s">
        <v>875</v>
      </c>
      <c r="D524" s="34">
        <v>42930</v>
      </c>
      <c r="E524" s="68">
        <v>200</v>
      </c>
      <c r="F524" s="69">
        <v>228400</v>
      </c>
      <c r="G524" s="34">
        <v>42930</v>
      </c>
      <c r="H524" s="68">
        <v>200</v>
      </c>
      <c r="I524" s="69">
        <v>228400</v>
      </c>
      <c r="J524" s="167" t="s">
        <v>1472</v>
      </c>
    </row>
    <row r="525" spans="1:10" s="168" customFormat="1" ht="24.95" hidden="1" customHeight="1">
      <c r="A525" s="42" t="s">
        <v>3389</v>
      </c>
      <c r="B525" s="18" t="s">
        <v>3263</v>
      </c>
      <c r="C525" s="18" t="s">
        <v>875</v>
      </c>
      <c r="D525" s="34">
        <v>42930</v>
      </c>
      <c r="E525" s="68">
        <v>100</v>
      </c>
      <c r="F525" s="69">
        <v>112500</v>
      </c>
      <c r="G525" s="34">
        <v>42930</v>
      </c>
      <c r="H525" s="68">
        <v>100</v>
      </c>
      <c r="I525" s="69">
        <v>112500</v>
      </c>
      <c r="J525" s="167" t="s">
        <v>1472</v>
      </c>
    </row>
    <row r="526" spans="1:10" s="168" customFormat="1" ht="24.95" hidden="1" customHeight="1">
      <c r="A526" s="42" t="s">
        <v>3390</v>
      </c>
      <c r="B526" s="18" t="s">
        <v>3263</v>
      </c>
      <c r="C526" s="18" t="s">
        <v>875</v>
      </c>
      <c r="D526" s="34">
        <v>42930</v>
      </c>
      <c r="E526" s="68">
        <v>100</v>
      </c>
      <c r="F526" s="69">
        <f>456000/4</f>
        <v>114000</v>
      </c>
      <c r="G526" s="34">
        <v>42930</v>
      </c>
      <c r="H526" s="68">
        <v>100</v>
      </c>
      <c r="I526" s="69">
        <f>456000/4</f>
        <v>114000</v>
      </c>
      <c r="J526" s="167" t="s">
        <v>1472</v>
      </c>
    </row>
    <row r="527" spans="1:10" s="168" customFormat="1" ht="24.95" hidden="1" customHeight="1">
      <c r="A527" s="42" t="s">
        <v>3391</v>
      </c>
      <c r="B527" s="18" t="s">
        <v>3263</v>
      </c>
      <c r="C527" s="18" t="s">
        <v>875</v>
      </c>
      <c r="D527" s="34">
        <v>42930</v>
      </c>
      <c r="E527" s="68">
        <v>200</v>
      </c>
      <c r="F527" s="69">
        <v>225000</v>
      </c>
      <c r="G527" s="34">
        <v>42930</v>
      </c>
      <c r="H527" s="68">
        <v>200</v>
      </c>
      <c r="I527" s="69">
        <v>225000</v>
      </c>
      <c r="J527" s="167" t="s">
        <v>1472</v>
      </c>
    </row>
    <row r="528" spans="1:10" s="168" customFormat="1" ht="24.95" hidden="1" customHeight="1">
      <c r="A528" s="42" t="s">
        <v>3392</v>
      </c>
      <c r="B528" s="18" t="s">
        <v>3263</v>
      </c>
      <c r="C528" s="18" t="s">
        <v>2810</v>
      </c>
      <c r="D528" s="34">
        <v>42933</v>
      </c>
      <c r="E528" s="68">
        <v>200</v>
      </c>
      <c r="F528" s="69">
        <v>230630.00000000003</v>
      </c>
      <c r="G528" s="34">
        <v>42933</v>
      </c>
      <c r="H528" s="68">
        <v>200</v>
      </c>
      <c r="I528" s="69">
        <v>230630.00000000003</v>
      </c>
      <c r="J528" s="167" t="s">
        <v>3396</v>
      </c>
    </row>
    <row r="529" spans="1:10" s="168" customFormat="1" ht="24.95" hidden="1" customHeight="1">
      <c r="A529" s="42" t="s">
        <v>3393</v>
      </c>
      <c r="B529" s="18" t="s">
        <v>3263</v>
      </c>
      <c r="C529" s="18" t="s">
        <v>2810</v>
      </c>
      <c r="D529" s="34">
        <v>42933</v>
      </c>
      <c r="E529" s="68">
        <v>100</v>
      </c>
      <c r="F529" s="69">
        <v>113500</v>
      </c>
      <c r="G529" s="34">
        <v>42933</v>
      </c>
      <c r="H529" s="68">
        <v>100</v>
      </c>
      <c r="I529" s="69">
        <v>113500</v>
      </c>
      <c r="J529" s="167" t="s">
        <v>3396</v>
      </c>
    </row>
    <row r="530" spans="1:10" s="168" customFormat="1" ht="24.95" hidden="1" customHeight="1">
      <c r="A530" s="42" t="s">
        <v>3394</v>
      </c>
      <c r="B530" s="18" t="s">
        <v>3263</v>
      </c>
      <c r="C530" s="18" t="s">
        <v>2810</v>
      </c>
      <c r="D530" s="34">
        <v>42933</v>
      </c>
      <c r="E530" s="68">
        <v>100</v>
      </c>
      <c r="F530" s="69">
        <f>462000/4</f>
        <v>115500</v>
      </c>
      <c r="G530" s="34">
        <v>42933</v>
      </c>
      <c r="H530" s="68">
        <v>100</v>
      </c>
      <c r="I530" s="69">
        <f>462000/4</f>
        <v>115500</v>
      </c>
      <c r="J530" s="167" t="s">
        <v>3396</v>
      </c>
    </row>
    <row r="531" spans="1:10" s="168" customFormat="1" ht="24.95" hidden="1" customHeight="1">
      <c r="A531" s="42" t="s">
        <v>3395</v>
      </c>
      <c r="B531" s="18" t="s">
        <v>3263</v>
      </c>
      <c r="C531" s="18" t="s">
        <v>2810</v>
      </c>
      <c r="D531" s="34">
        <v>42933</v>
      </c>
      <c r="E531" s="68">
        <v>200</v>
      </c>
      <c r="F531" s="69">
        <v>227000</v>
      </c>
      <c r="G531" s="34">
        <v>42933</v>
      </c>
      <c r="H531" s="68">
        <v>200</v>
      </c>
      <c r="I531" s="69">
        <v>227000</v>
      </c>
      <c r="J531" s="167" t="s">
        <v>3396</v>
      </c>
    </row>
    <row r="532" spans="1:10" s="168" customFormat="1" ht="24.95" hidden="1" customHeight="1">
      <c r="A532" s="42" t="s">
        <v>3397</v>
      </c>
      <c r="B532" s="18" t="s">
        <v>194</v>
      </c>
      <c r="C532" s="18" t="s">
        <v>875</v>
      </c>
      <c r="D532" s="34">
        <v>42898</v>
      </c>
      <c r="E532" s="68">
        <v>100</v>
      </c>
      <c r="F532" s="69">
        <v>182700</v>
      </c>
      <c r="G532" s="34">
        <v>42898</v>
      </c>
      <c r="H532" s="68">
        <v>100</v>
      </c>
      <c r="I532" s="69">
        <v>182700</v>
      </c>
      <c r="J532" s="167" t="s">
        <v>1472</v>
      </c>
    </row>
    <row r="533" spans="1:10" s="168" customFormat="1" ht="24.95" hidden="1" customHeight="1">
      <c r="A533" s="42" t="s">
        <v>3398</v>
      </c>
      <c r="B533" s="18" t="s">
        <v>194</v>
      </c>
      <c r="C533" s="18" t="s">
        <v>2336</v>
      </c>
      <c r="D533" s="34">
        <v>42916</v>
      </c>
      <c r="E533" s="68">
        <v>100</v>
      </c>
      <c r="F533" s="69">
        <v>183000</v>
      </c>
      <c r="G533" s="34">
        <v>42916</v>
      </c>
      <c r="H533" s="68">
        <v>100</v>
      </c>
      <c r="I533" s="69">
        <v>183000</v>
      </c>
      <c r="J533" s="167" t="s">
        <v>1472</v>
      </c>
    </row>
    <row r="534" spans="1:10" s="168" customFormat="1" ht="24.95" hidden="1" customHeight="1">
      <c r="A534" s="42" t="s">
        <v>3399</v>
      </c>
      <c r="B534" s="18" t="s">
        <v>194</v>
      </c>
      <c r="C534" s="18" t="s">
        <v>2810</v>
      </c>
      <c r="D534" s="34">
        <v>42898</v>
      </c>
      <c r="E534" s="68">
        <v>100</v>
      </c>
      <c r="F534" s="69">
        <v>185000</v>
      </c>
      <c r="G534" s="34">
        <v>42898</v>
      </c>
      <c r="H534" s="68">
        <v>100</v>
      </c>
      <c r="I534" s="69">
        <v>185000</v>
      </c>
      <c r="J534" s="167" t="s">
        <v>3396</v>
      </c>
    </row>
    <row r="535" spans="1:10" s="168" customFormat="1" ht="24.95" hidden="1" customHeight="1">
      <c r="A535" s="42" t="s">
        <v>3400</v>
      </c>
      <c r="B535" s="18" t="s">
        <v>194</v>
      </c>
      <c r="C535" s="18" t="s">
        <v>2810</v>
      </c>
      <c r="D535" s="34">
        <v>42916</v>
      </c>
      <c r="E535" s="68">
        <v>100</v>
      </c>
      <c r="F535" s="69">
        <v>185000</v>
      </c>
      <c r="G535" s="34">
        <v>42916</v>
      </c>
      <c r="H535" s="68">
        <v>100</v>
      </c>
      <c r="I535" s="69">
        <v>185000</v>
      </c>
      <c r="J535" s="167" t="s">
        <v>3396</v>
      </c>
    </row>
    <row r="536" spans="1:10" s="168" customFormat="1" ht="24.95" hidden="1" customHeight="1">
      <c r="A536" s="42" t="s">
        <v>3284</v>
      </c>
      <c r="B536" s="18" t="s">
        <v>194</v>
      </c>
      <c r="C536" s="18" t="s">
        <v>654</v>
      </c>
      <c r="D536" s="34">
        <v>42933</v>
      </c>
      <c r="E536" s="68">
        <v>64</v>
      </c>
      <c r="F536" s="69">
        <v>686080</v>
      </c>
      <c r="G536" s="34">
        <v>42933</v>
      </c>
      <c r="H536" s="68">
        <v>64</v>
      </c>
      <c r="I536" s="69">
        <v>686080</v>
      </c>
      <c r="J536" s="167" t="s">
        <v>143</v>
      </c>
    </row>
    <row r="537" spans="1:10" s="168" customFormat="1" ht="24.95" hidden="1" customHeight="1">
      <c r="A537" s="42" t="s">
        <v>3354</v>
      </c>
      <c r="B537" s="18" t="s">
        <v>194</v>
      </c>
      <c r="C537" s="18" t="s">
        <v>654</v>
      </c>
      <c r="D537" s="34">
        <v>42933</v>
      </c>
      <c r="E537" s="68">
        <v>64</v>
      </c>
      <c r="F537" s="69">
        <v>673280</v>
      </c>
      <c r="G537" s="34">
        <v>42933</v>
      </c>
      <c r="H537" s="68">
        <v>64</v>
      </c>
      <c r="I537" s="69">
        <v>673280</v>
      </c>
      <c r="J537" s="167" t="s">
        <v>143</v>
      </c>
    </row>
    <row r="538" spans="1:10" s="168" customFormat="1" ht="24.95" hidden="1" customHeight="1">
      <c r="A538" s="42" t="s">
        <v>3371</v>
      </c>
      <c r="B538" s="18" t="s">
        <v>194</v>
      </c>
      <c r="C538" s="18" t="s">
        <v>654</v>
      </c>
      <c r="D538" s="34">
        <v>42933</v>
      </c>
      <c r="E538" s="68">
        <v>64</v>
      </c>
      <c r="F538" s="69">
        <v>673280</v>
      </c>
      <c r="G538" s="34">
        <v>42933</v>
      </c>
      <c r="H538" s="68">
        <v>64</v>
      </c>
      <c r="I538" s="69">
        <v>673280</v>
      </c>
      <c r="J538" s="167" t="s">
        <v>143</v>
      </c>
    </row>
    <row r="539" spans="1:10" s="168" customFormat="1" ht="24.95" hidden="1" customHeight="1">
      <c r="A539" s="42" t="s">
        <v>3303</v>
      </c>
      <c r="B539" s="18" t="s">
        <v>412</v>
      </c>
      <c r="C539" s="18" t="s">
        <v>3405</v>
      </c>
      <c r="D539" s="34">
        <v>42936</v>
      </c>
      <c r="E539" s="68">
        <v>491.39400000000001</v>
      </c>
      <c r="F539" s="69">
        <v>5893284.2000000002</v>
      </c>
      <c r="G539" s="34">
        <v>42936</v>
      </c>
      <c r="H539" s="68">
        <v>491.39400000000001</v>
      </c>
      <c r="I539" s="69">
        <v>5893284.2000000002</v>
      </c>
      <c r="J539" s="167" t="s">
        <v>140</v>
      </c>
    </row>
    <row r="540" spans="1:10" s="168" customFormat="1" ht="24.95" hidden="1" customHeight="1">
      <c r="A540" s="42" t="s">
        <v>3352</v>
      </c>
      <c r="B540" s="18" t="s">
        <v>603</v>
      </c>
      <c r="C540" s="18" t="s">
        <v>3405</v>
      </c>
      <c r="D540" s="34">
        <v>42936</v>
      </c>
      <c r="E540" s="68">
        <v>98.401399999999995</v>
      </c>
      <c r="F540" s="69">
        <v>659289.38</v>
      </c>
      <c r="G540" s="34">
        <v>42936</v>
      </c>
      <c r="H540" s="68">
        <v>98.401399999999995</v>
      </c>
      <c r="I540" s="69">
        <v>659289.38</v>
      </c>
      <c r="J540" s="167" t="s">
        <v>140</v>
      </c>
    </row>
    <row r="541" spans="1:10" s="168" customFormat="1" ht="24.95" hidden="1" customHeight="1">
      <c r="A541" s="42" t="s">
        <v>3131</v>
      </c>
      <c r="B541" s="18" t="s">
        <v>603</v>
      </c>
      <c r="C541" s="18" t="s">
        <v>168</v>
      </c>
      <c r="D541" s="34">
        <v>42936</v>
      </c>
      <c r="E541" s="68">
        <v>131.23099999999999</v>
      </c>
      <c r="F541" s="69">
        <v>871229.04280618299</v>
      </c>
      <c r="G541" s="34">
        <v>42936</v>
      </c>
      <c r="H541" s="68">
        <v>131.23099999999999</v>
      </c>
      <c r="I541" s="69">
        <v>871229.04280618299</v>
      </c>
      <c r="J541" s="167" t="s">
        <v>140</v>
      </c>
    </row>
    <row r="542" spans="1:10" s="168" customFormat="1" ht="24.95" hidden="1" customHeight="1">
      <c r="A542" s="42" t="s">
        <v>3277</v>
      </c>
      <c r="B542" s="18" t="s">
        <v>3263</v>
      </c>
      <c r="C542" s="18" t="s">
        <v>875</v>
      </c>
      <c r="D542" s="34">
        <v>42935</v>
      </c>
      <c r="E542" s="68">
        <v>200</v>
      </c>
      <c r="F542" s="69">
        <v>228000</v>
      </c>
      <c r="G542" s="34">
        <v>42935</v>
      </c>
      <c r="H542" s="68">
        <v>200</v>
      </c>
      <c r="I542" s="69">
        <v>228000</v>
      </c>
      <c r="J542" s="167" t="s">
        <v>1472</v>
      </c>
    </row>
    <row r="543" spans="1:10" s="168" customFormat="1" ht="24.95" hidden="1" customHeight="1">
      <c r="A543" s="42" t="s">
        <v>3265</v>
      </c>
      <c r="B543" s="18" t="s">
        <v>3263</v>
      </c>
      <c r="C543" s="18" t="s">
        <v>2810</v>
      </c>
      <c r="D543" s="34">
        <v>42935</v>
      </c>
      <c r="E543" s="68">
        <v>200</v>
      </c>
      <c r="F543" s="69">
        <v>230000</v>
      </c>
      <c r="G543" s="34">
        <v>42935</v>
      </c>
      <c r="H543" s="68">
        <v>200</v>
      </c>
      <c r="I543" s="69">
        <v>230000</v>
      </c>
      <c r="J543" s="167" t="s">
        <v>401</v>
      </c>
    </row>
    <row r="544" spans="1:10" s="168" customFormat="1" ht="24.95" hidden="1" customHeight="1">
      <c r="A544" s="42" t="s">
        <v>3450</v>
      </c>
      <c r="B544" s="18" t="s">
        <v>3263</v>
      </c>
      <c r="C544" s="18" t="s">
        <v>875</v>
      </c>
      <c r="D544" s="34">
        <v>42937</v>
      </c>
      <c r="E544" s="68">
        <v>200</v>
      </c>
      <c r="F544" s="69">
        <v>243000</v>
      </c>
      <c r="G544" s="34">
        <v>42937</v>
      </c>
      <c r="H544" s="68">
        <v>200</v>
      </c>
      <c r="I544" s="69">
        <v>243000</v>
      </c>
      <c r="J544" s="167" t="s">
        <v>1472</v>
      </c>
    </row>
    <row r="545" spans="1:10" hidden="1">
      <c r="A545" s="42" t="s">
        <v>3430</v>
      </c>
      <c r="B545" s="18" t="s">
        <v>3263</v>
      </c>
      <c r="C545" s="18" t="s">
        <v>2810</v>
      </c>
      <c r="D545" s="34">
        <v>42937</v>
      </c>
      <c r="E545" s="68">
        <v>200</v>
      </c>
      <c r="F545" s="69">
        <v>245000</v>
      </c>
      <c r="G545" s="34">
        <v>42937</v>
      </c>
      <c r="H545" s="68">
        <v>200</v>
      </c>
      <c r="I545" s="69">
        <v>245000</v>
      </c>
      <c r="J545" s="167" t="s">
        <v>401</v>
      </c>
    </row>
    <row r="546" spans="1:10" s="168" customFormat="1" ht="24.95" hidden="1" customHeight="1">
      <c r="A546" s="42" t="s">
        <v>3335</v>
      </c>
      <c r="B546" s="18" t="s">
        <v>194</v>
      </c>
      <c r="C546" s="18" t="s">
        <v>3237</v>
      </c>
      <c r="D546" s="34">
        <v>42944</v>
      </c>
      <c r="E546" s="68">
        <v>160</v>
      </c>
      <c r="F546" s="69">
        <v>1640000</v>
      </c>
      <c r="G546" s="34">
        <v>42944</v>
      </c>
      <c r="H546" s="68">
        <v>160</v>
      </c>
      <c r="I546" s="69">
        <v>1640000</v>
      </c>
      <c r="J546" s="167" t="s">
        <v>143</v>
      </c>
    </row>
    <row r="547" spans="1:10" s="168" customFormat="1" ht="24.95" hidden="1" customHeight="1">
      <c r="A547" s="42" t="s">
        <v>3362</v>
      </c>
      <c r="B547" s="18" t="s">
        <v>194</v>
      </c>
      <c r="C547" s="18" t="s">
        <v>3237</v>
      </c>
      <c r="D547" s="34">
        <v>42944</v>
      </c>
      <c r="E547" s="68">
        <v>320</v>
      </c>
      <c r="F547" s="69">
        <v>3248000</v>
      </c>
      <c r="G547" s="34">
        <v>42944</v>
      </c>
      <c r="H547" s="68">
        <v>320</v>
      </c>
      <c r="I547" s="69">
        <v>3248000</v>
      </c>
      <c r="J547" s="167" t="s">
        <v>143</v>
      </c>
    </row>
    <row r="548" spans="1:10" s="168" customFormat="1" ht="24.95" hidden="1" customHeight="1">
      <c r="A548" s="42" t="s">
        <v>3496</v>
      </c>
      <c r="B548" s="18" t="s">
        <v>3497</v>
      </c>
      <c r="C548" s="18" t="s">
        <v>3498</v>
      </c>
      <c r="D548" s="34">
        <v>42944</v>
      </c>
      <c r="E548" s="68">
        <v>12750</v>
      </c>
      <c r="F548" s="69">
        <v>14790000</v>
      </c>
      <c r="G548" s="34">
        <v>42944</v>
      </c>
      <c r="H548" s="68">
        <v>12750</v>
      </c>
      <c r="I548" s="69">
        <v>14790000</v>
      </c>
      <c r="J548" s="167" t="s">
        <v>3499</v>
      </c>
    </row>
    <row r="549" spans="1:10" s="168" customFormat="1" ht="24.95" hidden="1" customHeight="1">
      <c r="A549" s="42" t="s">
        <v>3533</v>
      </c>
      <c r="B549" s="18" t="s">
        <v>603</v>
      </c>
      <c r="C549" s="18" t="s">
        <v>3534</v>
      </c>
      <c r="D549" s="34">
        <v>42947</v>
      </c>
      <c r="E549" s="68">
        <v>240</v>
      </c>
      <c r="F549" s="69">
        <v>1504800</v>
      </c>
      <c r="G549" s="34">
        <v>42947</v>
      </c>
      <c r="H549" s="68">
        <v>240</v>
      </c>
      <c r="I549" s="69">
        <v>1504800</v>
      </c>
      <c r="J549" s="167" t="s">
        <v>3535</v>
      </c>
    </row>
    <row r="550" spans="1:10" s="168" customFormat="1" ht="24.95" hidden="1" customHeight="1">
      <c r="A550" s="42" t="s">
        <v>3536</v>
      </c>
      <c r="B550" s="18" t="s">
        <v>3537</v>
      </c>
      <c r="C550" s="18" t="s">
        <v>3538</v>
      </c>
      <c r="D550" s="34">
        <v>42949</v>
      </c>
      <c r="E550" s="68">
        <v>32</v>
      </c>
      <c r="F550" s="69">
        <v>326400</v>
      </c>
      <c r="G550" s="34">
        <v>42949</v>
      </c>
      <c r="H550" s="68">
        <v>32</v>
      </c>
      <c r="I550" s="69">
        <v>326400</v>
      </c>
      <c r="J550" s="167" t="s">
        <v>3535</v>
      </c>
    </row>
    <row r="551" spans="1:10" s="168" customFormat="1" ht="24.95" hidden="1" customHeight="1">
      <c r="A551" s="42" t="s">
        <v>3539</v>
      </c>
      <c r="B551" s="18" t="s">
        <v>3537</v>
      </c>
      <c r="C551" s="18" t="s">
        <v>3540</v>
      </c>
      <c r="D551" s="34">
        <v>42949</v>
      </c>
      <c r="E551" s="68">
        <v>64</v>
      </c>
      <c r="F551" s="69">
        <v>652800</v>
      </c>
      <c r="G551" s="34">
        <v>42949</v>
      </c>
      <c r="H551" s="68">
        <v>64</v>
      </c>
      <c r="I551" s="69">
        <v>652800</v>
      </c>
      <c r="J551" s="167" t="s">
        <v>3535</v>
      </c>
    </row>
    <row r="552" spans="1:10" s="168" customFormat="1" ht="24.95" hidden="1" customHeight="1">
      <c r="A552" s="42" t="s">
        <v>3556</v>
      </c>
      <c r="B552" s="18" t="s">
        <v>3557</v>
      </c>
      <c r="C552" s="18" t="s">
        <v>3558</v>
      </c>
      <c r="D552" s="34">
        <v>42954</v>
      </c>
      <c r="E552" s="68">
        <v>32.981000000000002</v>
      </c>
      <c r="F552" s="69">
        <v>395772</v>
      </c>
      <c r="G552" s="34">
        <v>42954</v>
      </c>
      <c r="H552" s="68">
        <v>32.981000000000002</v>
      </c>
      <c r="I552" s="69">
        <v>395772</v>
      </c>
      <c r="J552" s="167" t="s">
        <v>140</v>
      </c>
    </row>
    <row r="553" spans="1:10" s="168" customFormat="1" ht="24.95" hidden="1" customHeight="1">
      <c r="A553" s="42" t="s">
        <v>3559</v>
      </c>
      <c r="B553" s="18" t="s">
        <v>3557</v>
      </c>
      <c r="C553" s="18" t="s">
        <v>3558</v>
      </c>
      <c r="D553" s="34">
        <v>42954</v>
      </c>
      <c r="E553" s="68">
        <v>134.99709999999999</v>
      </c>
      <c r="F553" s="69">
        <v>1552466.65</v>
      </c>
      <c r="G553" s="34">
        <v>42954</v>
      </c>
      <c r="H553" s="68">
        <v>134.99709999999999</v>
      </c>
      <c r="I553" s="69">
        <v>1552466.65</v>
      </c>
      <c r="J553" s="167" t="s">
        <v>140</v>
      </c>
    </row>
    <row r="554" spans="1:10" s="168" customFormat="1" ht="24.95" hidden="1" customHeight="1">
      <c r="A554" s="42" t="s">
        <v>3560</v>
      </c>
      <c r="B554" s="18" t="s">
        <v>3561</v>
      </c>
      <c r="C554" s="18" t="s">
        <v>3558</v>
      </c>
      <c r="D554" s="34">
        <v>42954</v>
      </c>
      <c r="E554" s="68">
        <v>198.36019999999999</v>
      </c>
      <c r="F554" s="69">
        <v>1329013.3400000001</v>
      </c>
      <c r="G554" s="34">
        <v>42954</v>
      </c>
      <c r="H554" s="68">
        <v>198.36019999999999</v>
      </c>
      <c r="I554" s="69">
        <v>1329013.3400000001</v>
      </c>
      <c r="J554" s="167" t="s">
        <v>140</v>
      </c>
    </row>
    <row r="555" spans="1:10" s="168" customFormat="1" ht="24.95" hidden="1" customHeight="1">
      <c r="A555" s="42" t="s">
        <v>3596</v>
      </c>
      <c r="B555" s="18" t="s">
        <v>3597</v>
      </c>
      <c r="C555" s="18" t="s">
        <v>3598</v>
      </c>
      <c r="D555" s="34">
        <v>42954</v>
      </c>
      <c r="E555" s="68">
        <v>4381.1364000000003</v>
      </c>
      <c r="F555" s="69">
        <v>2822622.66</v>
      </c>
      <c r="G555" s="34">
        <v>42954</v>
      </c>
      <c r="H555" s="68">
        <v>4381.1364000000003</v>
      </c>
      <c r="I555" s="69">
        <v>2822622.66</v>
      </c>
      <c r="J555" s="167" t="s">
        <v>3599</v>
      </c>
    </row>
    <row r="556" spans="1:10" s="168" customFormat="1" ht="24.95" hidden="1" customHeight="1">
      <c r="A556" s="42" t="s">
        <v>3600</v>
      </c>
      <c r="B556" s="18" t="s">
        <v>3601</v>
      </c>
      <c r="C556" s="18" t="s">
        <v>3602</v>
      </c>
      <c r="D556" s="34">
        <v>42939</v>
      </c>
      <c r="E556" s="68">
        <v>100</v>
      </c>
      <c r="F556" s="69">
        <f>E556*1140</f>
        <v>114000</v>
      </c>
      <c r="G556" s="34">
        <v>42939</v>
      </c>
      <c r="H556" s="68">
        <v>100</v>
      </c>
      <c r="I556" s="69">
        <f>H556*1140</f>
        <v>114000</v>
      </c>
      <c r="J556" s="167" t="s">
        <v>3603</v>
      </c>
    </row>
    <row r="557" spans="1:10" s="168" customFormat="1" ht="24.95" hidden="1" customHeight="1">
      <c r="A557" s="42" t="s">
        <v>3604</v>
      </c>
      <c r="B557" s="18" t="s">
        <v>3601</v>
      </c>
      <c r="C557" s="18" t="s">
        <v>3602</v>
      </c>
      <c r="D557" s="34">
        <v>42952</v>
      </c>
      <c r="E557" s="68">
        <v>200</v>
      </c>
      <c r="F557" s="69">
        <f>E557*1145</f>
        <v>229000</v>
      </c>
      <c r="G557" s="34">
        <v>42952</v>
      </c>
      <c r="H557" s="68">
        <v>200</v>
      </c>
      <c r="I557" s="69">
        <f>H557*1145</f>
        <v>229000</v>
      </c>
      <c r="J557" s="167" t="s">
        <v>3603</v>
      </c>
    </row>
    <row r="558" spans="1:10" s="168" customFormat="1" ht="24.95" hidden="1" customHeight="1">
      <c r="A558" s="42" t="s">
        <v>3605</v>
      </c>
      <c r="B558" s="18" t="s">
        <v>3601</v>
      </c>
      <c r="C558" s="18" t="s">
        <v>3602</v>
      </c>
      <c r="D558" s="34">
        <v>42939</v>
      </c>
      <c r="E558" s="68">
        <v>200</v>
      </c>
      <c r="F558" s="69">
        <f>E558*1150</f>
        <v>230000</v>
      </c>
      <c r="G558" s="34">
        <v>42939</v>
      </c>
      <c r="H558" s="68">
        <v>200</v>
      </c>
      <c r="I558" s="69">
        <f>H558*1150</f>
        <v>230000</v>
      </c>
      <c r="J558" s="167" t="s">
        <v>3603</v>
      </c>
    </row>
    <row r="559" spans="1:10" s="168" customFormat="1" ht="24.95" hidden="1" customHeight="1">
      <c r="A559" s="42" t="s">
        <v>3606</v>
      </c>
      <c r="B559" s="18" t="s">
        <v>3601</v>
      </c>
      <c r="C559" s="18" t="s">
        <v>3602</v>
      </c>
      <c r="D559" s="34">
        <v>42946</v>
      </c>
      <c r="E559" s="68">
        <v>100</v>
      </c>
      <c r="F559" s="69">
        <f>E559*1140</f>
        <v>114000</v>
      </c>
      <c r="G559" s="34">
        <v>42946</v>
      </c>
      <c r="H559" s="68">
        <v>100</v>
      </c>
      <c r="I559" s="69">
        <f>H559*1140</f>
        <v>114000</v>
      </c>
      <c r="J559" s="167" t="s">
        <v>3603</v>
      </c>
    </row>
    <row r="560" spans="1:10" s="168" customFormat="1" ht="24.95" hidden="1" customHeight="1">
      <c r="A560" s="42" t="s">
        <v>3607</v>
      </c>
      <c r="B560" s="18" t="s">
        <v>3601</v>
      </c>
      <c r="C560" s="18" t="s">
        <v>3602</v>
      </c>
      <c r="D560" s="34">
        <v>42938</v>
      </c>
      <c r="E560" s="68">
        <v>200</v>
      </c>
      <c r="F560" s="69">
        <f>E560*1125</f>
        <v>225000</v>
      </c>
      <c r="G560" s="34">
        <v>42938</v>
      </c>
      <c r="H560" s="68">
        <v>200</v>
      </c>
      <c r="I560" s="69">
        <f>H560*1125</f>
        <v>225000</v>
      </c>
      <c r="J560" s="167" t="s">
        <v>3603</v>
      </c>
    </row>
    <row r="561" spans="1:10" s="168" customFormat="1" ht="24.95" hidden="1" customHeight="1">
      <c r="A561" s="42" t="s">
        <v>3604</v>
      </c>
      <c r="B561" s="18" t="s">
        <v>3601</v>
      </c>
      <c r="C561" s="18" t="s">
        <v>3602</v>
      </c>
      <c r="D561" s="34">
        <v>42958</v>
      </c>
      <c r="E561" s="68">
        <v>100</v>
      </c>
      <c r="F561" s="69">
        <f>E561*1145</f>
        <v>114500</v>
      </c>
      <c r="G561" s="34">
        <v>42958</v>
      </c>
      <c r="H561" s="68">
        <v>100</v>
      </c>
      <c r="I561" s="69">
        <f>H561*1145</f>
        <v>114500</v>
      </c>
      <c r="J561" s="167" t="s">
        <v>3603</v>
      </c>
    </row>
    <row r="562" spans="1:10" s="168" customFormat="1" ht="24.95" hidden="1" customHeight="1">
      <c r="A562" s="42" t="s">
        <v>3605</v>
      </c>
      <c r="B562" s="18" t="s">
        <v>3601</v>
      </c>
      <c r="C562" s="18" t="s">
        <v>3602</v>
      </c>
      <c r="D562" s="34">
        <v>42946</v>
      </c>
      <c r="E562" s="68">
        <v>100</v>
      </c>
      <c r="F562" s="69">
        <f>E562*1150</f>
        <v>115000</v>
      </c>
      <c r="G562" s="34">
        <v>42946</v>
      </c>
      <c r="H562" s="68">
        <v>100</v>
      </c>
      <c r="I562" s="69">
        <f>H562*1150</f>
        <v>115000</v>
      </c>
      <c r="J562" s="167" t="s">
        <v>3603</v>
      </c>
    </row>
    <row r="563" spans="1:10" s="168" customFormat="1" ht="24.95" hidden="1" customHeight="1">
      <c r="A563" s="42" t="s">
        <v>3606</v>
      </c>
      <c r="B563" s="18" t="s">
        <v>3601</v>
      </c>
      <c r="C563" s="18" t="s">
        <v>3602</v>
      </c>
      <c r="D563" s="34">
        <v>42958</v>
      </c>
      <c r="E563" s="68">
        <v>200</v>
      </c>
      <c r="F563" s="69">
        <f>E563*1140</f>
        <v>228000</v>
      </c>
      <c r="G563" s="34">
        <v>42958</v>
      </c>
      <c r="H563" s="68">
        <v>200</v>
      </c>
      <c r="I563" s="69">
        <f>H563*1140</f>
        <v>228000</v>
      </c>
      <c r="J563" s="167" t="s">
        <v>3603</v>
      </c>
    </row>
    <row r="564" spans="1:10" s="168" customFormat="1" ht="24.95" hidden="1" customHeight="1">
      <c r="A564" s="42" t="s">
        <v>3608</v>
      </c>
      <c r="B564" s="18" t="s">
        <v>3601</v>
      </c>
      <c r="C564" s="18" t="s">
        <v>3609</v>
      </c>
      <c r="D564" s="34">
        <v>42939</v>
      </c>
      <c r="E564" s="68">
        <v>100</v>
      </c>
      <c r="F564" s="69">
        <f>E564*1150</f>
        <v>115000</v>
      </c>
      <c r="G564" s="34">
        <v>42939</v>
      </c>
      <c r="H564" s="68">
        <v>100</v>
      </c>
      <c r="I564" s="69">
        <f>H564*1150</f>
        <v>115000</v>
      </c>
      <c r="J564" s="167" t="s">
        <v>3610</v>
      </c>
    </row>
    <row r="565" spans="1:10" s="168" customFormat="1" ht="24.95" hidden="1" customHeight="1">
      <c r="A565" s="42" t="s">
        <v>3611</v>
      </c>
      <c r="B565" s="18" t="s">
        <v>3601</v>
      </c>
      <c r="C565" s="18" t="s">
        <v>3609</v>
      </c>
      <c r="D565" s="34">
        <v>42952</v>
      </c>
      <c r="E565" s="68">
        <v>200</v>
      </c>
      <c r="F565" s="69">
        <f>E565*1160</f>
        <v>232000</v>
      </c>
      <c r="G565" s="34">
        <v>42952</v>
      </c>
      <c r="H565" s="68">
        <v>200</v>
      </c>
      <c r="I565" s="69">
        <f>H565*1160</f>
        <v>232000</v>
      </c>
      <c r="J565" s="167" t="s">
        <v>3610</v>
      </c>
    </row>
    <row r="566" spans="1:10" s="168" customFormat="1" ht="24.95" hidden="1" customHeight="1">
      <c r="A566" s="42" t="s">
        <v>3612</v>
      </c>
      <c r="B566" s="18" t="s">
        <v>3601</v>
      </c>
      <c r="C566" s="18" t="s">
        <v>3609</v>
      </c>
      <c r="D566" s="34">
        <v>42939</v>
      </c>
      <c r="E566" s="68">
        <v>200</v>
      </c>
      <c r="F566" s="69">
        <f>E566*1160</f>
        <v>232000</v>
      </c>
      <c r="G566" s="34">
        <v>42939</v>
      </c>
      <c r="H566" s="68">
        <v>200</v>
      </c>
      <c r="I566" s="69">
        <f>H566*1160</f>
        <v>232000</v>
      </c>
      <c r="J566" s="167" t="s">
        <v>3610</v>
      </c>
    </row>
    <row r="567" spans="1:10" s="168" customFormat="1" ht="24.95" hidden="1" customHeight="1">
      <c r="A567" s="42" t="s">
        <v>3613</v>
      </c>
      <c r="B567" s="18" t="s">
        <v>3601</v>
      </c>
      <c r="C567" s="18" t="s">
        <v>3609</v>
      </c>
      <c r="D567" s="34">
        <v>42946</v>
      </c>
      <c r="E567" s="68">
        <v>100</v>
      </c>
      <c r="F567" s="69">
        <f>E567*1155</f>
        <v>115500</v>
      </c>
      <c r="G567" s="34">
        <v>42946</v>
      </c>
      <c r="H567" s="68">
        <v>100</v>
      </c>
      <c r="I567" s="69">
        <f>H567*1155</f>
        <v>115500</v>
      </c>
      <c r="J567" s="167" t="s">
        <v>3610</v>
      </c>
    </row>
    <row r="568" spans="1:10" s="168" customFormat="1" ht="24.95" hidden="1" customHeight="1">
      <c r="A568" s="42" t="s">
        <v>3614</v>
      </c>
      <c r="B568" s="18" t="s">
        <v>3601</v>
      </c>
      <c r="C568" s="18" t="s">
        <v>3609</v>
      </c>
      <c r="D568" s="34">
        <v>42938</v>
      </c>
      <c r="E568" s="68">
        <v>200</v>
      </c>
      <c r="F568" s="69">
        <f>E568*1135</f>
        <v>227000</v>
      </c>
      <c r="G568" s="34">
        <v>42938</v>
      </c>
      <c r="H568" s="68">
        <v>200</v>
      </c>
      <c r="I568" s="69">
        <f>H568*1135</f>
        <v>227000</v>
      </c>
      <c r="J568" s="167" t="s">
        <v>3610</v>
      </c>
    </row>
    <row r="569" spans="1:10" s="168" customFormat="1" ht="24.95" hidden="1" customHeight="1">
      <c r="A569" s="42" t="s">
        <v>3611</v>
      </c>
      <c r="B569" s="18" t="s">
        <v>3601</v>
      </c>
      <c r="C569" s="18" t="s">
        <v>3609</v>
      </c>
      <c r="D569" s="34">
        <v>42958</v>
      </c>
      <c r="E569" s="68">
        <v>100</v>
      </c>
      <c r="F569" s="69">
        <f>E569*1160</f>
        <v>116000</v>
      </c>
      <c r="G569" s="34">
        <v>42958</v>
      </c>
      <c r="H569" s="68">
        <v>100</v>
      </c>
      <c r="I569" s="69">
        <f>H569*1160</f>
        <v>116000</v>
      </c>
      <c r="J569" s="167" t="s">
        <v>3610</v>
      </c>
    </row>
    <row r="570" spans="1:10" s="168" customFormat="1" ht="24.95" hidden="1" customHeight="1">
      <c r="A570" s="42" t="s">
        <v>3612</v>
      </c>
      <c r="B570" s="18" t="s">
        <v>3601</v>
      </c>
      <c r="C570" s="18" t="s">
        <v>3609</v>
      </c>
      <c r="D570" s="34">
        <v>42946</v>
      </c>
      <c r="E570" s="68">
        <v>100</v>
      </c>
      <c r="F570" s="69">
        <f>E570*1160</f>
        <v>116000</v>
      </c>
      <c r="G570" s="34">
        <v>42946</v>
      </c>
      <c r="H570" s="68">
        <v>100</v>
      </c>
      <c r="I570" s="69">
        <f>H570*1160</f>
        <v>116000</v>
      </c>
      <c r="J570" s="167" t="s">
        <v>3610</v>
      </c>
    </row>
    <row r="571" spans="1:10" s="168" customFormat="1" ht="24.95" hidden="1" customHeight="1">
      <c r="A571" s="42" t="s">
        <v>3613</v>
      </c>
      <c r="B571" s="18" t="s">
        <v>3601</v>
      </c>
      <c r="C571" s="18" t="s">
        <v>3609</v>
      </c>
      <c r="D571" s="34">
        <v>42958</v>
      </c>
      <c r="E571" s="68">
        <v>200</v>
      </c>
      <c r="F571" s="69">
        <f>E571*1155</f>
        <v>231000</v>
      </c>
      <c r="G571" s="34">
        <v>42958</v>
      </c>
      <c r="H571" s="68">
        <v>200</v>
      </c>
      <c r="I571" s="69">
        <f>H571*1155</f>
        <v>231000</v>
      </c>
      <c r="J571" s="167" t="s">
        <v>3610</v>
      </c>
    </row>
    <row r="572" spans="1:10" s="168" customFormat="1" ht="24.95" hidden="1" customHeight="1">
      <c r="A572" s="42" t="s">
        <v>3635</v>
      </c>
      <c r="B572" s="18" t="s">
        <v>3636</v>
      </c>
      <c r="C572" s="18" t="s">
        <v>3637</v>
      </c>
      <c r="D572" s="34">
        <v>42958</v>
      </c>
      <c r="E572" s="68">
        <v>4381.1363999999994</v>
      </c>
      <c r="F572" s="69">
        <v>2634233.7925</v>
      </c>
      <c r="G572" s="34">
        <v>42958</v>
      </c>
      <c r="H572" s="68">
        <v>4381.1363999999994</v>
      </c>
      <c r="I572" s="69">
        <v>2634233.7925</v>
      </c>
      <c r="J572" s="167" t="s">
        <v>3638</v>
      </c>
    </row>
    <row r="573" spans="1:10" s="168" customFormat="1" ht="24.95" hidden="1" customHeight="1">
      <c r="A573" s="42" t="s">
        <v>3639</v>
      </c>
      <c r="B573" s="18" t="s">
        <v>3636</v>
      </c>
      <c r="C573" s="18" t="s">
        <v>3640</v>
      </c>
      <c r="D573" s="34">
        <v>42962</v>
      </c>
      <c r="E573" s="68">
        <v>4473.5218999999997</v>
      </c>
      <c r="F573" s="69">
        <v>2836759.33</v>
      </c>
      <c r="G573" s="34">
        <v>42962</v>
      </c>
      <c r="H573" s="68">
        <v>4473.5218999999997</v>
      </c>
      <c r="I573" s="69">
        <v>2836759.33</v>
      </c>
      <c r="J573" s="167" t="s">
        <v>3641</v>
      </c>
    </row>
    <row r="574" spans="1:10" s="168" customFormat="1" ht="24.95" hidden="1" customHeight="1">
      <c r="A574" s="42" t="s">
        <v>3541</v>
      </c>
      <c r="B574" s="18" t="s">
        <v>194</v>
      </c>
      <c r="C574" s="18" t="s">
        <v>3237</v>
      </c>
      <c r="D574" s="34">
        <v>42963</v>
      </c>
      <c r="E574" s="68">
        <v>96</v>
      </c>
      <c r="F574" s="69">
        <v>1003200</v>
      </c>
      <c r="G574" s="34">
        <v>42963</v>
      </c>
      <c r="H574" s="68">
        <v>96</v>
      </c>
      <c r="I574" s="69">
        <v>1003200</v>
      </c>
      <c r="J574" s="167" t="s">
        <v>143</v>
      </c>
    </row>
    <row r="575" spans="1:10" s="168" customFormat="1" ht="24.95" hidden="1" customHeight="1">
      <c r="A575" s="42" t="s">
        <v>3548</v>
      </c>
      <c r="B575" s="18" t="s">
        <v>2999</v>
      </c>
      <c r="C575" s="18" t="s">
        <v>2938</v>
      </c>
      <c r="D575" s="34">
        <v>42968</v>
      </c>
      <c r="E575" s="68">
        <v>20.033000000000001</v>
      </c>
      <c r="F575" s="69">
        <v>6002387.625</v>
      </c>
      <c r="G575" s="34">
        <v>42968</v>
      </c>
      <c r="H575" s="68">
        <v>20.033000000000001</v>
      </c>
      <c r="I575" s="69">
        <v>6002387.625</v>
      </c>
      <c r="J575" s="167" t="s">
        <v>140</v>
      </c>
    </row>
    <row r="576" spans="1:10" s="168" customFormat="1" ht="24.95" hidden="1" customHeight="1">
      <c r="A576" s="42" t="s">
        <v>3315</v>
      </c>
      <c r="B576" s="18" t="s">
        <v>218</v>
      </c>
      <c r="C576" s="18" t="s">
        <v>3470</v>
      </c>
      <c r="D576" s="34">
        <v>42968</v>
      </c>
      <c r="E576" s="68">
        <v>4473.5200000000004</v>
      </c>
      <c r="F576" s="69">
        <v>2698025.97</v>
      </c>
      <c r="G576" s="34">
        <v>42968</v>
      </c>
      <c r="H576" s="68">
        <v>4473.5200000000004</v>
      </c>
      <c r="I576" s="69">
        <v>2698025.97</v>
      </c>
      <c r="J576" s="167" t="s">
        <v>143</v>
      </c>
    </row>
    <row r="577" spans="1:10" s="168" customFormat="1" ht="24.95" hidden="1" customHeight="1">
      <c r="A577" s="42" t="s">
        <v>3448</v>
      </c>
      <c r="B577" s="18" t="s">
        <v>412</v>
      </c>
      <c r="C577" s="18" t="s">
        <v>3405</v>
      </c>
      <c r="D577" s="34">
        <v>42969</v>
      </c>
      <c r="E577" s="68">
        <v>31.981999999999999</v>
      </c>
      <c r="F577" s="69">
        <v>364594.8</v>
      </c>
      <c r="G577" s="34">
        <v>42969</v>
      </c>
      <c r="H577" s="68">
        <v>31.981999999999999</v>
      </c>
      <c r="I577" s="69">
        <v>364594.8</v>
      </c>
      <c r="J577" s="167" t="s">
        <v>140</v>
      </c>
    </row>
    <row r="578" spans="1:10" s="168" customFormat="1" ht="24.95" hidden="1" customHeight="1">
      <c r="A578" s="42" t="s">
        <v>3628</v>
      </c>
      <c r="B578" s="18" t="s">
        <v>412</v>
      </c>
      <c r="C578" s="18" t="s">
        <v>3405</v>
      </c>
      <c r="D578" s="34">
        <v>42969</v>
      </c>
      <c r="E578" s="68">
        <v>123.896</v>
      </c>
      <c r="F578" s="69">
        <v>1443388.4</v>
      </c>
      <c r="G578" s="34">
        <v>42969</v>
      </c>
      <c r="H578" s="68">
        <v>123.896</v>
      </c>
      <c r="I578" s="69">
        <v>1443388.4</v>
      </c>
      <c r="J578" s="167" t="s">
        <v>140</v>
      </c>
    </row>
    <row r="579" spans="1:10" s="168" customFormat="1" ht="26.25" hidden="1" customHeight="1">
      <c r="A579" s="42" t="s">
        <v>3131</v>
      </c>
      <c r="B579" s="18" t="s">
        <v>603</v>
      </c>
      <c r="C579" s="18" t="s">
        <v>168</v>
      </c>
      <c r="D579" s="34">
        <v>42969</v>
      </c>
      <c r="E579" s="68">
        <v>68.316000000000003</v>
      </c>
      <c r="F579" s="69">
        <v>441696.99</v>
      </c>
      <c r="G579" s="34">
        <v>42969</v>
      </c>
      <c r="H579" s="68">
        <v>68.316000000000003</v>
      </c>
      <c r="I579" s="69">
        <v>441696.99</v>
      </c>
      <c r="J579" s="167" t="s">
        <v>140</v>
      </c>
    </row>
    <row r="580" spans="1:10" s="168" customFormat="1" ht="24.95" hidden="1" customHeight="1">
      <c r="A580" s="42" t="s">
        <v>3666</v>
      </c>
      <c r="B580" s="18" t="s">
        <v>3667</v>
      </c>
      <c r="C580" s="18" t="s">
        <v>3668</v>
      </c>
      <c r="D580" s="34">
        <v>42970</v>
      </c>
      <c r="E580" s="68">
        <v>2</v>
      </c>
      <c r="F580" s="69">
        <v>22000</v>
      </c>
      <c r="G580" s="34">
        <v>42970</v>
      </c>
      <c r="H580" s="68">
        <v>2</v>
      </c>
      <c r="I580" s="69">
        <v>22000</v>
      </c>
      <c r="J580" s="167" t="s">
        <v>3669</v>
      </c>
    </row>
    <row r="581" spans="1:10" s="168" customFormat="1" ht="24.95" hidden="1" customHeight="1">
      <c r="A581" s="42" t="s">
        <v>3670</v>
      </c>
      <c r="B581" s="18" t="s">
        <v>3671</v>
      </c>
      <c r="C581" s="18" t="s">
        <v>3672</v>
      </c>
      <c r="D581" s="34">
        <v>42975</v>
      </c>
      <c r="E581" s="68">
        <v>10</v>
      </c>
      <c r="F581" s="69">
        <v>2938519.91</v>
      </c>
      <c r="G581" s="34">
        <v>42975</v>
      </c>
      <c r="H581" s="68">
        <v>10</v>
      </c>
      <c r="I581" s="69">
        <v>2938519.91</v>
      </c>
      <c r="J581" s="167" t="s">
        <v>388</v>
      </c>
    </row>
    <row r="582" spans="1:10" s="168" customFormat="1" ht="24.95" hidden="1" customHeight="1">
      <c r="A582" s="42" t="s">
        <v>3674</v>
      </c>
      <c r="B582" s="18" t="s">
        <v>3667</v>
      </c>
      <c r="C582" s="18" t="s">
        <v>3675</v>
      </c>
      <c r="D582" s="34">
        <v>42975</v>
      </c>
      <c r="E582" s="68">
        <v>150</v>
      </c>
      <c r="F582" s="69">
        <v>1552500</v>
      </c>
      <c r="G582" s="34">
        <v>42975</v>
      </c>
      <c r="H582" s="68">
        <v>150</v>
      </c>
      <c r="I582" s="69">
        <v>1552500</v>
      </c>
      <c r="J582" s="167" t="s">
        <v>3673</v>
      </c>
    </row>
    <row r="583" spans="1:10" s="168" customFormat="1" ht="24.95" hidden="1" customHeight="1">
      <c r="A583" s="42" t="s">
        <v>3254</v>
      </c>
      <c r="B583" s="18" t="s">
        <v>603</v>
      </c>
      <c r="C583" s="18" t="s">
        <v>3255</v>
      </c>
      <c r="D583" s="34">
        <v>42977</v>
      </c>
      <c r="E583" s="68">
        <v>57.947699999999998</v>
      </c>
      <c r="F583" s="69">
        <v>341843.91</v>
      </c>
      <c r="G583" s="34">
        <v>42977</v>
      </c>
      <c r="H583" s="68">
        <v>57.947699999999998</v>
      </c>
      <c r="I583" s="69">
        <v>341843.91</v>
      </c>
      <c r="J583" s="167" t="s">
        <v>143</v>
      </c>
    </row>
    <row r="584" spans="1:10" s="168" customFormat="1" ht="24.95" hidden="1" customHeight="1">
      <c r="A584" s="42" t="s">
        <v>3343</v>
      </c>
      <c r="B584" s="18" t="s">
        <v>603</v>
      </c>
      <c r="C584" s="18" t="s">
        <v>3255</v>
      </c>
      <c r="D584" s="34">
        <v>42977</v>
      </c>
      <c r="E584" s="68">
        <v>198.36019999999999</v>
      </c>
      <c r="F584" s="69">
        <v>1274187.17</v>
      </c>
      <c r="G584" s="34">
        <v>42977</v>
      </c>
      <c r="H584" s="68">
        <v>198.36019999999999</v>
      </c>
      <c r="I584" s="69">
        <v>1274187.17</v>
      </c>
      <c r="J584" s="167" t="s">
        <v>143</v>
      </c>
    </row>
    <row r="585" spans="1:10" s="168" customFormat="1" ht="24.95" hidden="1" customHeight="1">
      <c r="A585" s="42" t="s">
        <v>3626</v>
      </c>
      <c r="B585" s="18" t="s">
        <v>218</v>
      </c>
      <c r="C585" s="18" t="s">
        <v>3405</v>
      </c>
      <c r="D585" s="34">
        <v>42977</v>
      </c>
      <c r="E585" s="68">
        <v>4005.0839000000001</v>
      </c>
      <c r="F585" s="69">
        <v>2692017.13</v>
      </c>
      <c r="G585" s="34">
        <v>42977</v>
      </c>
      <c r="H585" s="68">
        <v>4005.0839000000001</v>
      </c>
      <c r="I585" s="69">
        <v>2692017.13</v>
      </c>
      <c r="J585" s="167" t="s">
        <v>140</v>
      </c>
    </row>
    <row r="586" spans="1:10" s="168" customFormat="1" ht="24.95" hidden="1" customHeight="1">
      <c r="A586" s="42" t="s">
        <v>3709</v>
      </c>
      <c r="B586" s="18" t="s">
        <v>3710</v>
      </c>
      <c r="C586" s="18" t="s">
        <v>3711</v>
      </c>
      <c r="D586" s="34">
        <v>42977</v>
      </c>
      <c r="E586" s="68">
        <v>221</v>
      </c>
      <c r="F586" s="69">
        <v>121550</v>
      </c>
      <c r="G586" s="34">
        <v>42977</v>
      </c>
      <c r="H586" s="68">
        <v>221</v>
      </c>
      <c r="I586" s="69">
        <v>121550</v>
      </c>
      <c r="J586" s="167" t="s">
        <v>388</v>
      </c>
    </row>
    <row r="587" spans="1:10" s="168" customFormat="1" ht="24.95" hidden="1" customHeight="1">
      <c r="A587" s="42" t="s">
        <v>3526</v>
      </c>
      <c r="B587" s="18" t="s">
        <v>218</v>
      </c>
      <c r="C587" s="18" t="s">
        <v>2337</v>
      </c>
      <c r="D587" s="34">
        <v>42977</v>
      </c>
      <c r="E587" s="68">
        <v>3078</v>
      </c>
      <c r="F587" s="69">
        <v>2000700</v>
      </c>
      <c r="G587" s="34">
        <v>42977</v>
      </c>
      <c r="H587" s="68">
        <v>3078</v>
      </c>
      <c r="I587" s="69">
        <v>2000700</v>
      </c>
      <c r="J587" s="167" t="s">
        <v>143</v>
      </c>
    </row>
    <row r="588" spans="1:10" s="168" customFormat="1" ht="24.95" hidden="1" customHeight="1">
      <c r="A588" s="42" t="s">
        <v>3544</v>
      </c>
      <c r="B588" s="18" t="s">
        <v>3554</v>
      </c>
      <c r="C588" s="18" t="s">
        <v>2336</v>
      </c>
      <c r="D588" s="34">
        <v>42979</v>
      </c>
      <c r="E588" s="68">
        <v>145</v>
      </c>
      <c r="F588" s="69">
        <v>1595000</v>
      </c>
      <c r="G588" s="34">
        <v>42979</v>
      </c>
      <c r="H588" s="68">
        <v>145</v>
      </c>
      <c r="I588" s="69">
        <v>1595000</v>
      </c>
      <c r="J588" s="167" t="s">
        <v>143</v>
      </c>
    </row>
    <row r="589" spans="1:10" s="168" customFormat="1" ht="24.95" hidden="1" customHeight="1">
      <c r="A589" s="42" t="s">
        <v>3721</v>
      </c>
      <c r="B589" s="18" t="s">
        <v>3722</v>
      </c>
      <c r="C589" s="18" t="s">
        <v>3723</v>
      </c>
      <c r="D589" s="34">
        <v>42982</v>
      </c>
      <c r="E589" s="68">
        <v>200</v>
      </c>
      <c r="F589" s="69">
        <v>2101800</v>
      </c>
      <c r="G589" s="34">
        <v>42982</v>
      </c>
      <c r="H589" s="68">
        <v>200</v>
      </c>
      <c r="I589" s="69">
        <v>2101800</v>
      </c>
      <c r="J589" s="167" t="s">
        <v>3724</v>
      </c>
    </row>
    <row r="590" spans="1:10" s="168" customFormat="1" ht="24.95" hidden="1" customHeight="1">
      <c r="A590" s="42" t="s">
        <v>3725</v>
      </c>
      <c r="B590" s="18" t="s">
        <v>3726</v>
      </c>
      <c r="C590" s="18" t="s">
        <v>3727</v>
      </c>
      <c r="D590" s="34">
        <v>42984</v>
      </c>
      <c r="E590" s="68"/>
      <c r="F590" s="69">
        <v>29348.497900000082</v>
      </c>
      <c r="G590" s="34">
        <v>42984</v>
      </c>
      <c r="H590" s="68"/>
      <c r="I590" s="69">
        <v>29348.497900000082</v>
      </c>
      <c r="J590" s="167" t="s">
        <v>143</v>
      </c>
    </row>
    <row r="591" spans="1:10" s="168" customFormat="1" ht="24.95" hidden="1" customHeight="1">
      <c r="A591" s="42" t="s">
        <v>3728</v>
      </c>
      <c r="B591" s="18" t="s">
        <v>3726</v>
      </c>
      <c r="C591" s="18" t="s">
        <v>3727</v>
      </c>
      <c r="D591" s="34">
        <v>42984</v>
      </c>
      <c r="E591" s="68">
        <v>4005.0839000000001</v>
      </c>
      <c r="F591" s="69">
        <v>2530496.099585</v>
      </c>
      <c r="G591" s="34">
        <v>42984</v>
      </c>
      <c r="H591" s="68">
        <v>4005.0839000000001</v>
      </c>
      <c r="I591" s="69">
        <v>2530496.099585</v>
      </c>
      <c r="J591" s="167" t="s">
        <v>143</v>
      </c>
    </row>
    <row r="592" spans="1:10" s="168" customFormat="1" ht="24.95" hidden="1" customHeight="1">
      <c r="A592" s="42" t="s">
        <v>3413</v>
      </c>
      <c r="B592" s="18" t="s">
        <v>2761</v>
      </c>
      <c r="C592" s="18" t="s">
        <v>2797</v>
      </c>
      <c r="D592" s="34">
        <v>42984</v>
      </c>
      <c r="E592" s="68">
        <v>4167.9589999999989</v>
      </c>
      <c r="F592" s="69">
        <v>4834832.4399999976</v>
      </c>
      <c r="G592" s="34">
        <v>42984</v>
      </c>
      <c r="H592" s="68">
        <v>4167.9589999999989</v>
      </c>
      <c r="I592" s="69">
        <v>4834832.4399999976</v>
      </c>
      <c r="J592" s="167" t="s">
        <v>143</v>
      </c>
    </row>
    <row r="593" spans="1:10" s="168" customFormat="1" ht="24.95" hidden="1" customHeight="1">
      <c r="A593" s="42" t="s">
        <v>3717</v>
      </c>
      <c r="B593" s="18" t="s">
        <v>603</v>
      </c>
      <c r="C593" s="18" t="s">
        <v>3405</v>
      </c>
      <c r="D593" s="34">
        <v>42985</v>
      </c>
      <c r="E593" s="68">
        <v>175.17080000000001</v>
      </c>
      <c r="F593" s="69">
        <v>1269988.3</v>
      </c>
      <c r="G593" s="34">
        <v>42985</v>
      </c>
      <c r="H593" s="68">
        <v>175.17080000000001</v>
      </c>
      <c r="I593" s="69">
        <v>1269988.3</v>
      </c>
      <c r="J593" s="167" t="s">
        <v>140</v>
      </c>
    </row>
    <row r="594" spans="1:10" s="168" customFormat="1" ht="24.95" hidden="1" customHeight="1">
      <c r="A594" s="42" t="s">
        <v>3626</v>
      </c>
      <c r="B594" s="18" t="s">
        <v>218</v>
      </c>
      <c r="C594" s="18" t="s">
        <v>3405</v>
      </c>
      <c r="D594" s="34">
        <v>42985</v>
      </c>
      <c r="E594" s="68">
        <v>4013.7984999999999</v>
      </c>
      <c r="F594" s="69">
        <v>2778420.38</v>
      </c>
      <c r="G594" s="34">
        <v>42985</v>
      </c>
      <c r="H594" s="68">
        <v>4013.7984999999999</v>
      </c>
      <c r="I594" s="69">
        <v>2778420.38</v>
      </c>
      <c r="J594" s="167" t="s">
        <v>140</v>
      </c>
    </row>
    <row r="595" spans="1:10" s="168" customFormat="1" ht="24.95" hidden="1" customHeight="1">
      <c r="A595" s="42" t="s">
        <v>3553</v>
      </c>
      <c r="B595" s="18" t="s">
        <v>3736</v>
      </c>
      <c r="C595" s="18" t="s">
        <v>3737</v>
      </c>
      <c r="D595" s="34">
        <v>42986</v>
      </c>
      <c r="E595" s="68">
        <v>92.84</v>
      </c>
      <c r="F595" s="69">
        <v>1035791.48</v>
      </c>
      <c r="G595" s="34">
        <v>42986</v>
      </c>
      <c r="H595" s="405">
        <v>92.84</v>
      </c>
      <c r="I595" s="69">
        <v>1035781.48</v>
      </c>
      <c r="J595" s="167" t="s">
        <v>140</v>
      </c>
    </row>
    <row r="596" spans="1:10" s="168" customFormat="1" ht="24.95" hidden="1" customHeight="1">
      <c r="A596" s="42" t="s">
        <v>3526</v>
      </c>
      <c r="B596" s="18" t="s">
        <v>218</v>
      </c>
      <c r="C596" s="18" t="s">
        <v>2337</v>
      </c>
      <c r="D596" s="34">
        <v>42989</v>
      </c>
      <c r="E596" s="68">
        <v>935.8</v>
      </c>
      <c r="F596" s="69">
        <v>624460.39</v>
      </c>
      <c r="G596" s="34">
        <v>42989</v>
      </c>
      <c r="H596" s="68">
        <v>935.8</v>
      </c>
      <c r="I596" s="69">
        <v>624460.39</v>
      </c>
      <c r="J596" s="167" t="s">
        <v>143</v>
      </c>
    </row>
    <row r="597" spans="1:10" s="168" customFormat="1" ht="24.95" hidden="1" customHeight="1">
      <c r="A597" s="42" t="s">
        <v>3553</v>
      </c>
      <c r="B597" s="18" t="s">
        <v>3736</v>
      </c>
      <c r="C597" s="18" t="s">
        <v>3737</v>
      </c>
      <c r="D597" s="34">
        <v>42991</v>
      </c>
      <c r="E597" s="68">
        <v>61.826999999999998</v>
      </c>
      <c r="F597" s="69">
        <v>688905.19</v>
      </c>
      <c r="G597" s="34">
        <v>42991</v>
      </c>
      <c r="H597" s="405">
        <v>61.826999999999998</v>
      </c>
      <c r="I597" s="69">
        <v>688905.19</v>
      </c>
      <c r="J597" s="167" t="s">
        <v>140</v>
      </c>
    </row>
    <row r="598" spans="1:10" s="168" customFormat="1" ht="24.95" hidden="1" customHeight="1">
      <c r="A598" s="42" t="s">
        <v>3757</v>
      </c>
      <c r="B598" s="18" t="s">
        <v>194</v>
      </c>
      <c r="C598" s="18" t="s">
        <v>2503</v>
      </c>
      <c r="D598" s="34">
        <v>42998</v>
      </c>
      <c r="E598" s="68">
        <v>32</v>
      </c>
      <c r="F598" s="69">
        <v>352000</v>
      </c>
      <c r="G598" s="34">
        <v>42998</v>
      </c>
      <c r="H598" s="68">
        <v>32</v>
      </c>
      <c r="I598" s="69">
        <v>352000</v>
      </c>
      <c r="J598" s="167" t="s">
        <v>140</v>
      </c>
    </row>
    <row r="599" spans="1:10" s="168" customFormat="1" ht="24.95" hidden="1" customHeight="1">
      <c r="A599" s="42" t="s">
        <v>3454</v>
      </c>
      <c r="B599" s="18" t="s">
        <v>603</v>
      </c>
      <c r="C599" s="18" t="s">
        <v>3255</v>
      </c>
      <c r="D599" s="34">
        <v>43000</v>
      </c>
      <c r="E599" s="68">
        <v>330</v>
      </c>
      <c r="F599" s="69">
        <v>2293120.4299999997</v>
      </c>
      <c r="G599" s="34">
        <v>43000</v>
      </c>
      <c r="H599" s="68">
        <v>330</v>
      </c>
      <c r="I599" s="69">
        <v>2293120.4299999997</v>
      </c>
      <c r="J599" s="167" t="s">
        <v>143</v>
      </c>
    </row>
    <row r="600" spans="1:10" s="168" customFormat="1" ht="24.95" hidden="1" customHeight="1">
      <c r="A600" s="42" t="s">
        <v>3529</v>
      </c>
      <c r="B600" s="18" t="s">
        <v>2999</v>
      </c>
      <c r="C600" s="18" t="s">
        <v>3000</v>
      </c>
      <c r="D600" s="34">
        <v>43000</v>
      </c>
      <c r="E600" s="68">
        <v>10</v>
      </c>
      <c r="F600" s="69">
        <v>2939803.9</v>
      </c>
      <c r="G600" s="34">
        <v>43000</v>
      </c>
      <c r="H600" s="68">
        <v>10</v>
      </c>
      <c r="I600" s="69">
        <v>2939803.9</v>
      </c>
      <c r="J600" s="167" t="s">
        <v>388</v>
      </c>
    </row>
    <row r="601" spans="1:10" s="168" customFormat="1" ht="24.95" hidden="1" customHeight="1">
      <c r="A601" s="42" t="s">
        <v>3123</v>
      </c>
      <c r="B601" s="18" t="s">
        <v>2999</v>
      </c>
      <c r="C601" s="18" t="s">
        <v>3000</v>
      </c>
      <c r="D601" s="34">
        <v>43000</v>
      </c>
      <c r="E601" s="68">
        <v>0</v>
      </c>
      <c r="F601" s="69">
        <v>-1284</v>
      </c>
      <c r="G601" s="34">
        <v>43000</v>
      </c>
      <c r="H601" s="68">
        <v>0</v>
      </c>
      <c r="I601" s="69">
        <v>-1284</v>
      </c>
      <c r="J601" s="167" t="s">
        <v>388</v>
      </c>
    </row>
    <row r="602" spans="1:10" s="168" customFormat="1" ht="24.95" hidden="1" customHeight="1">
      <c r="A602" s="42" t="s">
        <v>3544</v>
      </c>
      <c r="B602" s="18" t="s">
        <v>3554</v>
      </c>
      <c r="C602" s="18" t="s">
        <v>2336</v>
      </c>
      <c r="D602" s="34">
        <v>43000</v>
      </c>
      <c r="E602" s="68">
        <v>6.9520999999999997</v>
      </c>
      <c r="F602" s="69">
        <v>76472.899999999994</v>
      </c>
      <c r="G602" s="34">
        <v>43000</v>
      </c>
      <c r="H602" s="68">
        <v>6.9520999999999997</v>
      </c>
      <c r="I602" s="69">
        <v>76472.899999999994</v>
      </c>
      <c r="J602" s="167" t="s">
        <v>143</v>
      </c>
    </row>
    <row r="603" spans="1:10" s="168" customFormat="1" ht="24.95" hidden="1" customHeight="1">
      <c r="A603" s="42" t="s">
        <v>3660</v>
      </c>
      <c r="B603" s="18" t="s">
        <v>3630</v>
      </c>
      <c r="C603" s="18" t="s">
        <v>2653</v>
      </c>
      <c r="D603" s="34">
        <v>43000</v>
      </c>
      <c r="E603" s="68">
        <v>279</v>
      </c>
      <c r="F603" s="69">
        <v>153450</v>
      </c>
      <c r="G603" s="34">
        <v>43000</v>
      </c>
      <c r="H603" s="68">
        <v>279</v>
      </c>
      <c r="I603" s="69">
        <v>153450</v>
      </c>
      <c r="J603" s="167" t="s">
        <v>388</v>
      </c>
    </row>
    <row r="604" spans="1:10" s="168" customFormat="1" ht="24.95" hidden="1" customHeight="1">
      <c r="A604" s="42" t="s">
        <v>3682</v>
      </c>
      <c r="B604" s="18" t="s">
        <v>3630</v>
      </c>
      <c r="C604" s="18" t="s">
        <v>3229</v>
      </c>
      <c r="D604" s="34">
        <v>43000</v>
      </c>
      <c r="E604" s="68">
        <v>221</v>
      </c>
      <c r="F604" s="69">
        <v>235200</v>
      </c>
      <c r="G604" s="34">
        <v>43000</v>
      </c>
      <c r="H604" s="68">
        <v>221</v>
      </c>
      <c r="I604" s="69">
        <v>235200</v>
      </c>
      <c r="J604" s="167" t="s">
        <v>140</v>
      </c>
    </row>
    <row r="605" spans="1:10" s="168" customFormat="1" ht="24.95" hidden="1" customHeight="1">
      <c r="A605" s="42" t="s">
        <v>3755</v>
      </c>
      <c r="B605" s="18" t="s">
        <v>3630</v>
      </c>
      <c r="C605" s="18" t="s">
        <v>3229</v>
      </c>
      <c r="D605" s="34">
        <v>43000</v>
      </c>
      <c r="E605" s="68">
        <v>279</v>
      </c>
      <c r="F605" s="69">
        <v>289800</v>
      </c>
      <c r="G605" s="34">
        <v>43000</v>
      </c>
      <c r="H605" s="68">
        <v>279</v>
      </c>
      <c r="I605" s="69">
        <v>289800</v>
      </c>
      <c r="J605" s="167" t="s">
        <v>140</v>
      </c>
    </row>
    <row r="606" spans="1:10" s="168" customFormat="1" ht="24.95" hidden="1" customHeight="1">
      <c r="A606" s="42" t="s">
        <v>3729</v>
      </c>
      <c r="B606" s="18" t="s">
        <v>412</v>
      </c>
      <c r="C606" s="18" t="s">
        <v>3405</v>
      </c>
      <c r="D606" s="34">
        <v>43000</v>
      </c>
      <c r="E606" s="68">
        <v>89.897999999999996</v>
      </c>
      <c r="F606" s="69">
        <v>1038321.9</v>
      </c>
      <c r="G606" s="34">
        <v>43017</v>
      </c>
      <c r="H606" s="68">
        <v>89.897999999999996</v>
      </c>
      <c r="I606" s="69">
        <v>1038321.9</v>
      </c>
      <c r="J606" s="167" t="s">
        <v>140</v>
      </c>
    </row>
    <row r="607" spans="1:10" s="168" customFormat="1" ht="24.95" hidden="1" customHeight="1">
      <c r="A607" s="42" t="s">
        <v>3717</v>
      </c>
      <c r="B607" s="18" t="s">
        <v>603</v>
      </c>
      <c r="C607" s="18" t="s">
        <v>3405</v>
      </c>
      <c r="D607" s="34">
        <v>43000</v>
      </c>
      <c r="E607" s="68">
        <v>177.90629999999999</v>
      </c>
      <c r="F607" s="69">
        <v>1286246.58</v>
      </c>
      <c r="G607" s="34">
        <v>43017</v>
      </c>
      <c r="H607" s="68">
        <v>177.90629999999999</v>
      </c>
      <c r="I607" s="69">
        <v>1286246.58</v>
      </c>
      <c r="J607" s="167" t="s">
        <v>140</v>
      </c>
    </row>
    <row r="608" spans="1:10" s="168" customFormat="1" ht="24.95" hidden="1" customHeight="1">
      <c r="A608" s="42" t="s">
        <v>3676</v>
      </c>
      <c r="B608" s="18" t="s">
        <v>194</v>
      </c>
      <c r="C608" s="18" t="s">
        <v>3677</v>
      </c>
      <c r="D608" s="34">
        <v>43003</v>
      </c>
      <c r="E608" s="68">
        <v>32</v>
      </c>
      <c r="F608" s="69">
        <v>339200</v>
      </c>
      <c r="G608" s="34">
        <v>43003</v>
      </c>
      <c r="H608" s="68">
        <v>32</v>
      </c>
      <c r="I608" s="69">
        <v>339200</v>
      </c>
      <c r="J608" s="167" t="s">
        <v>143</v>
      </c>
    </row>
    <row r="609" spans="1:10" s="168" customFormat="1" ht="24.95" hidden="1" customHeight="1">
      <c r="A609" s="42" t="s">
        <v>3808</v>
      </c>
      <c r="B609" s="18" t="s">
        <v>194</v>
      </c>
      <c r="C609" s="18" t="s">
        <v>3540</v>
      </c>
      <c r="D609" s="34">
        <v>43017</v>
      </c>
      <c r="E609" s="68">
        <v>96</v>
      </c>
      <c r="F609" s="69">
        <v>1037664</v>
      </c>
      <c r="G609" s="34">
        <v>43017</v>
      </c>
      <c r="H609" s="68">
        <v>96</v>
      </c>
      <c r="I609" s="69">
        <v>1037664</v>
      </c>
      <c r="J609" s="167" t="s">
        <v>143</v>
      </c>
    </row>
    <row r="610" spans="1:10" s="168" customFormat="1" ht="24.95" hidden="1" customHeight="1">
      <c r="A610" s="42" t="s">
        <v>3809</v>
      </c>
      <c r="B610" s="18" t="s">
        <v>3810</v>
      </c>
      <c r="C610" s="18" t="s">
        <v>3811</v>
      </c>
      <c r="D610" s="34">
        <v>43017</v>
      </c>
      <c r="E610" s="68">
        <v>150</v>
      </c>
      <c r="F610" s="69">
        <v>1672500</v>
      </c>
      <c r="G610" s="34">
        <v>43017</v>
      </c>
      <c r="H610" s="68">
        <v>150</v>
      </c>
      <c r="I610" s="69">
        <v>1672500</v>
      </c>
      <c r="J610" s="167" t="s">
        <v>140</v>
      </c>
    </row>
    <row r="611" spans="1:10" s="168" customFormat="1" ht="24.95" hidden="1" customHeight="1">
      <c r="A611" s="42" t="s">
        <v>3830</v>
      </c>
      <c r="B611" s="18" t="s">
        <v>273</v>
      </c>
      <c r="C611" s="18" t="s">
        <v>3834</v>
      </c>
      <c r="D611" s="34">
        <v>43003</v>
      </c>
      <c r="E611" s="68">
        <v>300</v>
      </c>
      <c r="F611" s="69">
        <f>E611*1485</f>
        <v>445500</v>
      </c>
      <c r="G611" s="34">
        <v>43003</v>
      </c>
      <c r="H611" s="68">
        <v>300</v>
      </c>
      <c r="I611" s="69">
        <f>H611*1485</f>
        <v>445500</v>
      </c>
      <c r="J611" s="167" t="s">
        <v>3835</v>
      </c>
    </row>
    <row r="612" spans="1:10" s="168" customFormat="1" ht="24.95" hidden="1" customHeight="1">
      <c r="A612" s="42" t="s">
        <v>3831</v>
      </c>
      <c r="B612" s="18" t="s">
        <v>273</v>
      </c>
      <c r="C612" s="18" t="s">
        <v>875</v>
      </c>
      <c r="D612" s="34">
        <v>42977</v>
      </c>
      <c r="E612" s="68">
        <v>200</v>
      </c>
      <c r="F612" s="69">
        <f>E612*1570</f>
        <v>314000</v>
      </c>
      <c r="G612" s="34">
        <v>42977</v>
      </c>
      <c r="H612" s="68">
        <v>200</v>
      </c>
      <c r="I612" s="69">
        <f>H612*1570</f>
        <v>314000</v>
      </c>
      <c r="J612" s="167" t="s">
        <v>3835</v>
      </c>
    </row>
    <row r="613" spans="1:10" s="168" customFormat="1" ht="24.95" hidden="1" customHeight="1">
      <c r="A613" s="42" t="s">
        <v>3832</v>
      </c>
      <c r="B613" s="18" t="s">
        <v>273</v>
      </c>
      <c r="C613" s="18" t="s">
        <v>2810</v>
      </c>
      <c r="D613" s="34">
        <v>43003</v>
      </c>
      <c r="E613" s="68">
        <v>300</v>
      </c>
      <c r="F613" s="69">
        <f>E613*1490</f>
        <v>447000</v>
      </c>
      <c r="G613" s="34">
        <v>43003</v>
      </c>
      <c r="H613" s="68">
        <v>300</v>
      </c>
      <c r="I613" s="69">
        <f>H613*1490</f>
        <v>447000</v>
      </c>
      <c r="J613" s="167" t="s">
        <v>3396</v>
      </c>
    </row>
    <row r="614" spans="1:10" s="168" customFormat="1" ht="24.95" hidden="1" customHeight="1">
      <c r="A614" s="42" t="s">
        <v>3833</v>
      </c>
      <c r="B614" s="18" t="s">
        <v>273</v>
      </c>
      <c r="C614" s="18" t="s">
        <v>2810</v>
      </c>
      <c r="D614" s="34">
        <v>42977</v>
      </c>
      <c r="E614" s="68">
        <v>200</v>
      </c>
      <c r="F614" s="69">
        <f>E614*1580</f>
        <v>316000</v>
      </c>
      <c r="G614" s="34">
        <v>42977</v>
      </c>
      <c r="H614" s="68">
        <v>200</v>
      </c>
      <c r="I614" s="69">
        <f>H614*1580</f>
        <v>316000</v>
      </c>
      <c r="J614" s="167" t="s">
        <v>3396</v>
      </c>
    </row>
    <row r="615" spans="1:10" s="168" customFormat="1" ht="24.95" hidden="1" customHeight="1">
      <c r="A615" s="42" t="s">
        <v>3849</v>
      </c>
      <c r="B615" s="18" t="s">
        <v>3263</v>
      </c>
      <c r="C615" s="18" t="s">
        <v>875</v>
      </c>
      <c r="D615" s="34">
        <v>42974</v>
      </c>
      <c r="E615" s="68">
        <v>240</v>
      </c>
      <c r="F615" s="69">
        <f>1160*E615</f>
        <v>278400</v>
      </c>
      <c r="G615" s="34">
        <v>42974</v>
      </c>
      <c r="H615" s="68">
        <v>240</v>
      </c>
      <c r="I615" s="69">
        <f>1160*H615</f>
        <v>278400</v>
      </c>
      <c r="J615" s="167" t="s">
        <v>1472</v>
      </c>
    </row>
    <row r="616" spans="1:10" s="168" customFormat="1" ht="24.95" hidden="1" customHeight="1">
      <c r="A616" s="42" t="s">
        <v>3850</v>
      </c>
      <c r="B616" s="18" t="s">
        <v>3263</v>
      </c>
      <c r="C616" s="18" t="s">
        <v>875</v>
      </c>
      <c r="D616" s="34">
        <v>43008</v>
      </c>
      <c r="E616" s="68">
        <v>40</v>
      </c>
      <c r="F616" s="69">
        <f>1270*E616</f>
        <v>50800</v>
      </c>
      <c r="G616" s="34">
        <v>43008</v>
      </c>
      <c r="H616" s="68">
        <v>40</v>
      </c>
      <c r="I616" s="69">
        <f>1270*H616</f>
        <v>50800</v>
      </c>
      <c r="J616" s="167" t="s">
        <v>1472</v>
      </c>
    </row>
    <row r="617" spans="1:10" s="168" customFormat="1" ht="24.95" hidden="1" customHeight="1">
      <c r="A617" s="42" t="s">
        <v>3851</v>
      </c>
      <c r="B617" s="18" t="s">
        <v>3263</v>
      </c>
      <c r="C617" s="18" t="s">
        <v>875</v>
      </c>
      <c r="D617" s="34">
        <v>42965</v>
      </c>
      <c r="E617" s="68">
        <v>100</v>
      </c>
      <c r="F617" s="69">
        <f>1170*E617</f>
        <v>117000</v>
      </c>
      <c r="G617" s="34">
        <v>42965</v>
      </c>
      <c r="H617" s="68">
        <v>100</v>
      </c>
      <c r="I617" s="69">
        <f>1170*H617</f>
        <v>117000</v>
      </c>
      <c r="J617" s="167" t="s">
        <v>1472</v>
      </c>
    </row>
    <row r="618" spans="1:10" s="168" customFormat="1" ht="24.95" hidden="1" customHeight="1">
      <c r="A618" s="42" t="s">
        <v>3852</v>
      </c>
      <c r="B618" s="18" t="s">
        <v>3263</v>
      </c>
      <c r="C618" s="18" t="s">
        <v>875</v>
      </c>
      <c r="D618" s="34">
        <v>42982</v>
      </c>
      <c r="E618" s="68">
        <v>40</v>
      </c>
      <c r="F618" s="69">
        <f>E618*1235</f>
        <v>49400</v>
      </c>
      <c r="G618" s="34">
        <v>42982</v>
      </c>
      <c r="H618" s="68">
        <v>40</v>
      </c>
      <c r="I618" s="69">
        <f>H618*1235</f>
        <v>49400</v>
      </c>
      <c r="J618" s="167" t="s">
        <v>1472</v>
      </c>
    </row>
    <row r="619" spans="1:10" s="168" customFormat="1" ht="24.95" hidden="1" customHeight="1">
      <c r="A619" s="42" t="s">
        <v>3853</v>
      </c>
      <c r="B619" s="18" t="s">
        <v>3263</v>
      </c>
      <c r="C619" s="18" t="s">
        <v>875</v>
      </c>
      <c r="D619" s="34">
        <v>43008</v>
      </c>
      <c r="E619" s="68">
        <v>200</v>
      </c>
      <c r="F619" s="69">
        <f>1415*E619</f>
        <v>283000</v>
      </c>
      <c r="G619" s="34">
        <v>43008</v>
      </c>
      <c r="H619" s="68">
        <v>200</v>
      </c>
      <c r="I619" s="69">
        <f>1415*H619</f>
        <v>283000</v>
      </c>
      <c r="J619" s="167" t="s">
        <v>1472</v>
      </c>
    </row>
    <row r="620" spans="1:10" s="168" customFormat="1" ht="24.95" hidden="1" customHeight="1">
      <c r="A620" s="42" t="s">
        <v>3854</v>
      </c>
      <c r="B620" s="18" t="s">
        <v>3263</v>
      </c>
      <c r="C620" s="18" t="s">
        <v>875</v>
      </c>
      <c r="D620" s="34">
        <v>42994</v>
      </c>
      <c r="E620" s="68">
        <v>220</v>
      </c>
      <c r="F620" s="69">
        <f>1405*E620</f>
        <v>309100</v>
      </c>
      <c r="G620" s="34">
        <v>42994</v>
      </c>
      <c r="H620" s="68">
        <v>220</v>
      </c>
      <c r="I620" s="69">
        <f>1405*H620</f>
        <v>309100</v>
      </c>
      <c r="J620" s="167" t="s">
        <v>1472</v>
      </c>
    </row>
    <row r="621" spans="1:10" s="168" customFormat="1" ht="24.95" hidden="1" customHeight="1">
      <c r="A621" s="42" t="s">
        <v>3855</v>
      </c>
      <c r="B621" s="18" t="s">
        <v>3263</v>
      </c>
      <c r="C621" s="18" t="s">
        <v>875</v>
      </c>
      <c r="D621" s="34">
        <v>43008</v>
      </c>
      <c r="E621" s="68">
        <v>100</v>
      </c>
      <c r="F621" s="69">
        <f>E621*1590</f>
        <v>159000</v>
      </c>
      <c r="G621" s="34">
        <v>43008</v>
      </c>
      <c r="H621" s="68">
        <v>100</v>
      </c>
      <c r="I621" s="69">
        <f>H621*1590</f>
        <v>159000</v>
      </c>
      <c r="J621" s="167" t="s">
        <v>1472</v>
      </c>
    </row>
    <row r="622" spans="1:10" s="168" customFormat="1" ht="24.95" hidden="1" customHeight="1">
      <c r="A622" s="42" t="s">
        <v>3856</v>
      </c>
      <c r="B622" s="18" t="s">
        <v>3263</v>
      </c>
      <c r="C622" s="18" t="s">
        <v>2810</v>
      </c>
      <c r="D622" s="34">
        <v>42974</v>
      </c>
      <c r="E622" s="68">
        <v>240</v>
      </c>
      <c r="F622" s="69">
        <f>1170*E622</f>
        <v>280800</v>
      </c>
      <c r="G622" s="34">
        <v>42974</v>
      </c>
      <c r="H622" s="68">
        <v>240</v>
      </c>
      <c r="I622" s="69">
        <f>1170*H622</f>
        <v>280800</v>
      </c>
      <c r="J622" s="167" t="s">
        <v>3396</v>
      </c>
    </row>
    <row r="623" spans="1:10" s="168" customFormat="1" ht="24.95" hidden="1" customHeight="1">
      <c r="A623" s="42" t="s">
        <v>3570</v>
      </c>
      <c r="B623" s="18" t="s">
        <v>3263</v>
      </c>
      <c r="C623" s="18" t="s">
        <v>274</v>
      </c>
      <c r="D623" s="34">
        <v>43008</v>
      </c>
      <c r="E623" s="68">
        <v>40</v>
      </c>
      <c r="F623" s="69">
        <f>1290*E623</f>
        <v>51600</v>
      </c>
      <c r="G623" s="34">
        <v>43008</v>
      </c>
      <c r="H623" s="68">
        <v>40</v>
      </c>
      <c r="I623" s="69">
        <f>1290*H623</f>
        <v>51600</v>
      </c>
      <c r="J623" s="167" t="s">
        <v>3396</v>
      </c>
    </row>
    <row r="624" spans="1:10" s="168" customFormat="1" ht="24.95" hidden="1" customHeight="1">
      <c r="A624" s="42" t="s">
        <v>3571</v>
      </c>
      <c r="B624" s="18" t="s">
        <v>3263</v>
      </c>
      <c r="C624" s="18" t="s">
        <v>274</v>
      </c>
      <c r="D624" s="34">
        <v>42965</v>
      </c>
      <c r="E624" s="68">
        <v>100</v>
      </c>
      <c r="F624" s="69">
        <f>1190*E624</f>
        <v>119000</v>
      </c>
      <c r="G624" s="34">
        <v>42965</v>
      </c>
      <c r="H624" s="68">
        <v>100</v>
      </c>
      <c r="I624" s="69">
        <f>1190*H624</f>
        <v>119000</v>
      </c>
      <c r="J624" s="167" t="s">
        <v>3396</v>
      </c>
    </row>
    <row r="625" spans="1:10" s="168" customFormat="1" ht="24.95" hidden="1" customHeight="1">
      <c r="A625" s="42" t="s">
        <v>3857</v>
      </c>
      <c r="B625" s="18" t="s">
        <v>3263</v>
      </c>
      <c r="C625" s="18" t="s">
        <v>2810</v>
      </c>
      <c r="D625" s="34">
        <v>42982</v>
      </c>
      <c r="E625" s="68">
        <v>40</v>
      </c>
      <c r="F625" s="69">
        <f>1250*E625</f>
        <v>50000</v>
      </c>
      <c r="G625" s="34">
        <v>42982</v>
      </c>
      <c r="H625" s="68">
        <v>40</v>
      </c>
      <c r="I625" s="69">
        <f>1250*H625</f>
        <v>50000</v>
      </c>
      <c r="J625" s="167" t="s">
        <v>3396</v>
      </c>
    </row>
    <row r="626" spans="1:10" s="168" customFormat="1" ht="24.95" hidden="1" customHeight="1">
      <c r="A626" s="42" t="s">
        <v>3858</v>
      </c>
      <c r="B626" s="18" t="s">
        <v>3263</v>
      </c>
      <c r="C626" s="18" t="s">
        <v>3861</v>
      </c>
      <c r="D626" s="34">
        <v>43008</v>
      </c>
      <c r="E626" s="68">
        <v>200</v>
      </c>
      <c r="F626" s="69">
        <f>1430*E626</f>
        <v>286000</v>
      </c>
      <c r="G626" s="34">
        <v>43008</v>
      </c>
      <c r="H626" s="68">
        <v>200</v>
      </c>
      <c r="I626" s="69">
        <f>1430*H626</f>
        <v>286000</v>
      </c>
      <c r="J626" s="167" t="s">
        <v>3396</v>
      </c>
    </row>
    <row r="627" spans="1:10" s="168" customFormat="1" ht="24.95" hidden="1" customHeight="1">
      <c r="A627" s="42" t="s">
        <v>3859</v>
      </c>
      <c r="B627" s="18" t="s">
        <v>3263</v>
      </c>
      <c r="C627" s="18" t="s">
        <v>2810</v>
      </c>
      <c r="D627" s="34">
        <v>42994</v>
      </c>
      <c r="E627" s="68">
        <v>220</v>
      </c>
      <c r="F627" s="69">
        <f>1415*E627</f>
        <v>311300</v>
      </c>
      <c r="G627" s="34">
        <v>42994</v>
      </c>
      <c r="H627" s="68">
        <v>220</v>
      </c>
      <c r="I627" s="69">
        <f>1415*H627</f>
        <v>311300</v>
      </c>
      <c r="J627" s="167" t="s">
        <v>3396</v>
      </c>
    </row>
    <row r="628" spans="1:10" s="168" customFormat="1" ht="24.95" hidden="1" customHeight="1">
      <c r="A628" s="42" t="s">
        <v>3860</v>
      </c>
      <c r="B628" s="18" t="s">
        <v>3263</v>
      </c>
      <c r="C628" s="18" t="s">
        <v>3861</v>
      </c>
      <c r="D628" s="34">
        <v>43008</v>
      </c>
      <c r="E628" s="68">
        <v>100</v>
      </c>
      <c r="F628" s="69">
        <f>1600*E628</f>
        <v>160000</v>
      </c>
      <c r="G628" s="34">
        <v>43008</v>
      </c>
      <c r="H628" s="68">
        <v>100</v>
      </c>
      <c r="I628" s="69">
        <f>1600*H628</f>
        <v>160000</v>
      </c>
      <c r="J628" s="167" t="s">
        <v>3396</v>
      </c>
    </row>
    <row r="629" spans="1:10" s="168" customFormat="1" ht="24.95" hidden="1" customHeight="1">
      <c r="A629" s="42" t="s">
        <v>3512</v>
      </c>
      <c r="B629" s="18" t="s">
        <v>2761</v>
      </c>
      <c r="C629" s="18" t="s">
        <v>2938</v>
      </c>
      <c r="D629" s="34">
        <v>42979</v>
      </c>
      <c r="E629" s="68">
        <v>16917.958999999999</v>
      </c>
      <c r="F629" s="69">
        <v>20064107.27</v>
      </c>
      <c r="G629" s="34">
        <v>42979</v>
      </c>
      <c r="H629" s="68">
        <v>16917.958999999999</v>
      </c>
      <c r="I629" s="69">
        <v>20064107.27</v>
      </c>
      <c r="J629" s="167" t="s">
        <v>140</v>
      </c>
    </row>
    <row r="630" spans="1:10" s="168" customFormat="1" ht="24.95" hidden="1" customHeight="1">
      <c r="A630" s="42" t="s">
        <v>3254</v>
      </c>
      <c r="B630" s="18" t="s">
        <v>603</v>
      </c>
      <c r="C630" s="18" t="s">
        <v>3255</v>
      </c>
      <c r="D630" s="34">
        <v>43000</v>
      </c>
      <c r="E630" s="68"/>
      <c r="F630" s="69">
        <v>9197.6700000001583</v>
      </c>
      <c r="G630" s="34">
        <v>43000</v>
      </c>
      <c r="H630" s="68"/>
      <c r="I630" s="69">
        <v>9197.6700000001583</v>
      </c>
      <c r="J630" s="167" t="s">
        <v>143</v>
      </c>
    </row>
    <row r="631" spans="1:10" s="168" customFormat="1" ht="24.95" hidden="1" customHeight="1">
      <c r="A631" s="42" t="s">
        <v>3863</v>
      </c>
      <c r="B631" s="18" t="s">
        <v>603</v>
      </c>
      <c r="C631" s="18" t="s">
        <v>3864</v>
      </c>
      <c r="D631" s="34">
        <v>43000</v>
      </c>
      <c r="E631" s="68"/>
      <c r="F631" s="69">
        <v>6031.9000000001397</v>
      </c>
      <c r="G631" s="34">
        <v>43000</v>
      </c>
      <c r="H631" s="68"/>
      <c r="I631" s="69">
        <v>6031.9000000001397</v>
      </c>
      <c r="J631" s="167" t="s">
        <v>3865</v>
      </c>
    </row>
    <row r="632" spans="1:10" s="168" customFormat="1" ht="24.95" hidden="1" customHeight="1">
      <c r="A632" s="42" t="s">
        <v>3866</v>
      </c>
      <c r="B632" s="18" t="s">
        <v>603</v>
      </c>
      <c r="C632" s="18" t="s">
        <v>3867</v>
      </c>
      <c r="D632" s="34">
        <v>43019</v>
      </c>
      <c r="E632" s="68">
        <v>36.575600000000001</v>
      </c>
      <c r="F632" s="69">
        <v>253724.94</v>
      </c>
      <c r="G632" s="34">
        <v>43019</v>
      </c>
      <c r="H632" s="68">
        <v>36.575600000000001</v>
      </c>
      <c r="I632" s="69">
        <v>253724.94</v>
      </c>
      <c r="J632" s="167" t="s">
        <v>140</v>
      </c>
    </row>
    <row r="633" spans="1:10" s="168" customFormat="1" ht="24.95" hidden="1" customHeight="1">
      <c r="A633" s="42" t="s">
        <v>3868</v>
      </c>
      <c r="B633" s="18" t="s">
        <v>603</v>
      </c>
      <c r="C633" s="18" t="s">
        <v>3867</v>
      </c>
      <c r="D633" s="34">
        <v>43019</v>
      </c>
      <c r="E633" s="68">
        <v>69.0916</v>
      </c>
      <c r="F633" s="69">
        <v>519292.47</v>
      </c>
      <c r="G633" s="34">
        <v>43019</v>
      </c>
      <c r="H633" s="68">
        <v>69.0916</v>
      </c>
      <c r="I633" s="69">
        <v>519292.47</v>
      </c>
      <c r="J633" s="167" t="s">
        <v>140</v>
      </c>
    </row>
    <row r="634" spans="1:10" s="168" customFormat="1" ht="24.95" hidden="1" customHeight="1">
      <c r="A634" s="42" t="s">
        <v>3874</v>
      </c>
      <c r="B634" s="18" t="s">
        <v>646</v>
      </c>
      <c r="C634" s="18" t="s">
        <v>3875</v>
      </c>
      <c r="D634" s="34">
        <v>43024</v>
      </c>
      <c r="E634" s="68">
        <v>209.72200000000001</v>
      </c>
      <c r="F634" s="69">
        <v>2569094.5</v>
      </c>
      <c r="G634" s="34">
        <v>43024</v>
      </c>
      <c r="H634" s="68">
        <v>209.72200000000001</v>
      </c>
      <c r="I634" s="69">
        <v>2569094.5</v>
      </c>
      <c r="J634" s="167" t="s">
        <v>140</v>
      </c>
    </row>
    <row r="635" spans="1:10" s="168" customFormat="1" ht="24.95" hidden="1" customHeight="1">
      <c r="A635" s="42" t="s">
        <v>3876</v>
      </c>
      <c r="B635" s="18" t="s">
        <v>646</v>
      </c>
      <c r="C635" s="18" t="s">
        <v>3875</v>
      </c>
      <c r="D635" s="34">
        <v>43024</v>
      </c>
      <c r="E635" s="68">
        <v>33.939</v>
      </c>
      <c r="F635" s="69">
        <v>415752.75</v>
      </c>
      <c r="G635" s="34">
        <v>43024</v>
      </c>
      <c r="H635" s="68">
        <v>33.939</v>
      </c>
      <c r="I635" s="69">
        <v>415752.75</v>
      </c>
      <c r="J635" s="167" t="s">
        <v>140</v>
      </c>
    </row>
    <row r="636" spans="1:10" s="168" customFormat="1" ht="24.95" hidden="1" customHeight="1">
      <c r="A636" s="42" t="s">
        <v>3825</v>
      </c>
      <c r="B636" s="18" t="s">
        <v>603</v>
      </c>
      <c r="C636" s="18" t="s">
        <v>3875</v>
      </c>
      <c r="D636" s="34">
        <v>43024</v>
      </c>
      <c r="E636" s="68">
        <v>439.68290000000002</v>
      </c>
      <c r="F636" s="69">
        <v>3307979.77</v>
      </c>
      <c r="G636" s="34">
        <v>43024</v>
      </c>
      <c r="H636" s="68">
        <v>439.68290000000002</v>
      </c>
      <c r="I636" s="69">
        <v>3307979.77</v>
      </c>
      <c r="J636" s="167" t="s">
        <v>140</v>
      </c>
    </row>
    <row r="637" spans="1:10" s="168" customFormat="1" ht="24.95" hidden="1" customHeight="1">
      <c r="A637" s="42" t="s">
        <v>3454</v>
      </c>
      <c r="B637" s="18" t="s">
        <v>603</v>
      </c>
      <c r="C637" s="18" t="s">
        <v>3255</v>
      </c>
      <c r="D637" s="34">
        <v>43025</v>
      </c>
      <c r="E637" s="68">
        <v>59.652700000000003</v>
      </c>
      <c r="F637" s="69">
        <v>393337</v>
      </c>
      <c r="G637" s="34">
        <v>43025</v>
      </c>
      <c r="H637" s="68">
        <v>59.652700000000003</v>
      </c>
      <c r="I637" s="69">
        <v>393337</v>
      </c>
      <c r="J637" s="167" t="s">
        <v>143</v>
      </c>
    </row>
    <row r="638" spans="1:10" s="168" customFormat="1" ht="24.95" hidden="1" customHeight="1">
      <c r="A638" s="42" t="s">
        <v>3930</v>
      </c>
      <c r="B638" s="18" t="s">
        <v>736</v>
      </c>
      <c r="C638" s="18" t="s">
        <v>3932</v>
      </c>
      <c r="D638" s="34">
        <v>42958</v>
      </c>
      <c r="E638" s="68">
        <v>1000</v>
      </c>
      <c r="F638" s="69">
        <v>445000</v>
      </c>
      <c r="G638" s="34">
        <v>42958</v>
      </c>
      <c r="H638" s="68">
        <v>1000</v>
      </c>
      <c r="I638" s="69">
        <v>445000</v>
      </c>
      <c r="J638" s="167" t="s">
        <v>3933</v>
      </c>
    </row>
    <row r="639" spans="1:10" s="168" customFormat="1" ht="26.25" hidden="1" customHeight="1">
      <c r="A639" s="42" t="s">
        <v>3914</v>
      </c>
      <c r="B639" s="18" t="s">
        <v>194</v>
      </c>
      <c r="C639" s="18" t="s">
        <v>3915</v>
      </c>
      <c r="D639" s="34">
        <v>43034</v>
      </c>
      <c r="E639" s="68">
        <v>96</v>
      </c>
      <c r="F639" s="69">
        <v>1142400</v>
      </c>
      <c r="G639" s="34">
        <v>43034</v>
      </c>
      <c r="H639" s="68">
        <v>96</v>
      </c>
      <c r="I639" s="69">
        <v>1142400</v>
      </c>
      <c r="J639" s="167" t="s">
        <v>143</v>
      </c>
    </row>
    <row r="640" spans="1:10" s="168" customFormat="1" ht="26.25" hidden="1" customHeight="1">
      <c r="A640" s="42" t="s">
        <v>3911</v>
      </c>
      <c r="B640" s="18" t="s">
        <v>194</v>
      </c>
      <c r="C640" s="18" t="s">
        <v>2336</v>
      </c>
      <c r="D640" s="34">
        <v>43038</v>
      </c>
      <c r="E640" s="68">
        <v>64</v>
      </c>
      <c r="F640" s="69">
        <v>761600</v>
      </c>
      <c r="G640" s="34">
        <v>43038</v>
      </c>
      <c r="H640" s="68">
        <v>64</v>
      </c>
      <c r="I640" s="69">
        <v>761600</v>
      </c>
      <c r="J640" s="167" t="s">
        <v>201</v>
      </c>
    </row>
    <row r="641" spans="1:10" s="168" customFormat="1" ht="26.25" hidden="1" customHeight="1">
      <c r="A641" s="42" t="s">
        <v>3891</v>
      </c>
      <c r="B641" s="18" t="s">
        <v>194</v>
      </c>
      <c r="C641" s="18" t="s">
        <v>3952</v>
      </c>
      <c r="D641" s="34">
        <v>43045</v>
      </c>
      <c r="E641" s="68">
        <v>32</v>
      </c>
      <c r="F641" s="69">
        <v>359152.96</v>
      </c>
      <c r="G641" s="34">
        <v>43045</v>
      </c>
      <c r="H641" s="68">
        <v>32</v>
      </c>
      <c r="I641" s="69">
        <v>359152.96</v>
      </c>
      <c r="J641" s="167" t="s">
        <v>143</v>
      </c>
    </row>
    <row r="642" spans="1:10" s="168" customFormat="1" ht="24.95" hidden="1" customHeight="1">
      <c r="A642" s="42" t="s">
        <v>3871</v>
      </c>
      <c r="B642" s="18" t="s">
        <v>412</v>
      </c>
      <c r="C642" s="18" t="s">
        <v>3405</v>
      </c>
      <c r="D642" s="34">
        <v>43047</v>
      </c>
      <c r="E642" s="68">
        <v>165.822</v>
      </c>
      <c r="F642" s="69">
        <v>2031319.5</v>
      </c>
      <c r="G642" s="34">
        <v>43047</v>
      </c>
      <c r="H642" s="68">
        <v>165.822</v>
      </c>
      <c r="I642" s="69">
        <v>2031319.5</v>
      </c>
      <c r="J642" s="167" t="s">
        <v>140</v>
      </c>
    </row>
    <row r="643" spans="1:10" s="168" customFormat="1" ht="24.95" hidden="1" customHeight="1">
      <c r="A643" s="42" t="s">
        <v>3960</v>
      </c>
      <c r="B643" s="18" t="s">
        <v>60</v>
      </c>
      <c r="C643" s="18" t="s">
        <v>3405</v>
      </c>
      <c r="D643" s="34">
        <v>43045</v>
      </c>
      <c r="E643" s="68">
        <v>1045.3834999999999</v>
      </c>
      <c r="F643" s="69">
        <v>7990678.4299999997</v>
      </c>
      <c r="G643" s="34">
        <v>43045</v>
      </c>
      <c r="H643" s="68">
        <v>1045.3834999999999</v>
      </c>
      <c r="I643" s="69">
        <v>7990678.4299999997</v>
      </c>
      <c r="J643" s="167" t="s">
        <v>140</v>
      </c>
    </row>
    <row r="644" spans="1:10" s="168" customFormat="1" ht="24.95" hidden="1" customHeight="1">
      <c r="A644" s="42" t="s">
        <v>4014</v>
      </c>
      <c r="B644" s="18" t="s">
        <v>3442</v>
      </c>
      <c r="C644" s="18" t="s">
        <v>875</v>
      </c>
      <c r="D644" s="46">
        <v>43038</v>
      </c>
      <c r="E644" s="47">
        <v>220</v>
      </c>
      <c r="F644" s="69">
        <v>309100</v>
      </c>
      <c r="G644" s="46">
        <v>43038</v>
      </c>
      <c r="H644" s="47">
        <v>220</v>
      </c>
      <c r="I644" s="69">
        <v>309100</v>
      </c>
      <c r="J644" s="167" t="s">
        <v>1472</v>
      </c>
    </row>
    <row r="645" spans="1:10" s="168" customFormat="1" ht="24.95" hidden="1" customHeight="1">
      <c r="A645" s="42" t="s">
        <v>4015</v>
      </c>
      <c r="B645" s="18" t="s">
        <v>3442</v>
      </c>
      <c r="C645" s="18" t="s">
        <v>875</v>
      </c>
      <c r="D645" s="46">
        <v>43028</v>
      </c>
      <c r="E645" s="47">
        <v>160</v>
      </c>
      <c r="F645" s="69">
        <v>254400</v>
      </c>
      <c r="G645" s="46">
        <v>43028</v>
      </c>
      <c r="H645" s="47">
        <v>160</v>
      </c>
      <c r="I645" s="69">
        <v>254400</v>
      </c>
      <c r="J645" s="167" t="s">
        <v>1472</v>
      </c>
    </row>
    <row r="646" spans="1:10" s="168" customFormat="1" ht="24.95" hidden="1" customHeight="1">
      <c r="A646" s="42" t="s">
        <v>4016</v>
      </c>
      <c r="B646" s="18" t="s">
        <v>3442</v>
      </c>
      <c r="C646" s="18" t="s">
        <v>875</v>
      </c>
      <c r="D646" s="46">
        <v>43044</v>
      </c>
      <c r="E646" s="47">
        <v>100</v>
      </c>
      <c r="F646" s="69">
        <v>159000</v>
      </c>
      <c r="G646" s="46">
        <v>43044</v>
      </c>
      <c r="H646" s="47">
        <v>100</v>
      </c>
      <c r="I646" s="69">
        <v>159000</v>
      </c>
      <c r="J646" s="167" t="s">
        <v>1472</v>
      </c>
    </row>
    <row r="647" spans="1:10" s="168" customFormat="1" ht="24.95" hidden="1" customHeight="1">
      <c r="A647" s="42" t="s">
        <v>4017</v>
      </c>
      <c r="B647" s="18" t="s">
        <v>3442</v>
      </c>
      <c r="C647" s="18" t="s">
        <v>875</v>
      </c>
      <c r="D647" s="46">
        <v>43037</v>
      </c>
      <c r="E647" s="47">
        <v>40</v>
      </c>
      <c r="F647" s="69">
        <v>50720</v>
      </c>
      <c r="G647" s="46">
        <v>43037</v>
      </c>
      <c r="H647" s="47">
        <v>40</v>
      </c>
      <c r="I647" s="69">
        <v>50720</v>
      </c>
      <c r="J647" s="167" t="s">
        <v>1472</v>
      </c>
    </row>
    <row r="648" spans="1:10" s="168" customFormat="1" ht="24.95" hidden="1" customHeight="1">
      <c r="A648" s="42" t="s">
        <v>4018</v>
      </c>
      <c r="B648" s="18" t="s">
        <v>3442</v>
      </c>
      <c r="C648" s="18" t="s">
        <v>875</v>
      </c>
      <c r="D648" s="46">
        <v>43053</v>
      </c>
      <c r="E648" s="47">
        <v>60</v>
      </c>
      <c r="F648" s="69">
        <v>78000</v>
      </c>
      <c r="G648" s="46">
        <v>43053</v>
      </c>
      <c r="H648" s="47">
        <v>60</v>
      </c>
      <c r="I648" s="69">
        <v>78000</v>
      </c>
      <c r="J648" s="167" t="s">
        <v>1472</v>
      </c>
    </row>
    <row r="649" spans="1:10" s="168" customFormat="1" ht="24.95" hidden="1" customHeight="1">
      <c r="A649" s="42" t="s">
        <v>3846</v>
      </c>
      <c r="B649" s="18" t="s">
        <v>3442</v>
      </c>
      <c r="C649" s="18" t="s">
        <v>3861</v>
      </c>
      <c r="D649" s="46">
        <v>43038</v>
      </c>
      <c r="E649" s="47">
        <v>100</v>
      </c>
      <c r="F649" s="69">
        <v>160000</v>
      </c>
      <c r="G649" s="46">
        <v>43038</v>
      </c>
      <c r="H649" s="47">
        <v>220</v>
      </c>
      <c r="I649" s="69">
        <v>160000</v>
      </c>
      <c r="J649" s="167" t="s">
        <v>3610</v>
      </c>
    </row>
    <row r="650" spans="1:10" s="168" customFormat="1" ht="24.95" hidden="1" customHeight="1">
      <c r="A650" s="42" t="s">
        <v>3845</v>
      </c>
      <c r="B650" s="18" t="s">
        <v>3442</v>
      </c>
      <c r="C650" s="18" t="s">
        <v>3861</v>
      </c>
      <c r="D650" s="46">
        <v>43028</v>
      </c>
      <c r="E650" s="47">
        <v>160</v>
      </c>
      <c r="F650" s="69">
        <v>256000</v>
      </c>
      <c r="G650" s="46">
        <v>43028</v>
      </c>
      <c r="H650" s="47">
        <v>160</v>
      </c>
      <c r="I650" s="69">
        <v>256000</v>
      </c>
      <c r="J650" s="167" t="s">
        <v>3610</v>
      </c>
    </row>
    <row r="651" spans="1:10" s="168" customFormat="1" ht="24.95" hidden="1" customHeight="1">
      <c r="A651" s="42" t="s">
        <v>3691</v>
      </c>
      <c r="B651" s="18" t="s">
        <v>3442</v>
      </c>
      <c r="C651" s="18" t="s">
        <v>2810</v>
      </c>
      <c r="D651" s="46">
        <v>43044</v>
      </c>
      <c r="E651" s="47">
        <v>220</v>
      </c>
      <c r="F651" s="69">
        <v>311300</v>
      </c>
      <c r="G651" s="46">
        <v>43044</v>
      </c>
      <c r="H651" s="47">
        <v>220</v>
      </c>
      <c r="I651" s="69">
        <v>311300</v>
      </c>
      <c r="J651" s="167" t="s">
        <v>3610</v>
      </c>
    </row>
    <row r="652" spans="1:10" s="168" customFormat="1" ht="24.95" hidden="1" customHeight="1">
      <c r="A652" s="42" t="s">
        <v>3981</v>
      </c>
      <c r="B652" s="18" t="s">
        <v>3442</v>
      </c>
      <c r="C652" s="18" t="s">
        <v>2810</v>
      </c>
      <c r="D652" s="46">
        <v>43037</v>
      </c>
      <c r="E652" s="47">
        <v>40</v>
      </c>
      <c r="F652" s="69">
        <v>51920</v>
      </c>
      <c r="G652" s="46">
        <v>43037</v>
      </c>
      <c r="H652" s="47">
        <v>40</v>
      </c>
      <c r="I652" s="69">
        <v>51920</v>
      </c>
      <c r="J652" s="167" t="s">
        <v>3610</v>
      </c>
    </row>
    <row r="653" spans="1:10" s="168" customFormat="1" ht="24.95" hidden="1" customHeight="1">
      <c r="A653" s="42" t="s">
        <v>3980</v>
      </c>
      <c r="B653" s="18" t="s">
        <v>3442</v>
      </c>
      <c r="C653" s="18" t="s">
        <v>2810</v>
      </c>
      <c r="D653" s="46">
        <v>43053</v>
      </c>
      <c r="E653" s="47">
        <v>60</v>
      </c>
      <c r="F653" s="69">
        <v>78600</v>
      </c>
      <c r="G653" s="46">
        <v>43053</v>
      </c>
      <c r="H653" s="47">
        <v>60</v>
      </c>
      <c r="I653" s="69">
        <v>78600</v>
      </c>
      <c r="J653" s="167" t="s">
        <v>3610</v>
      </c>
    </row>
    <row r="654" spans="1:10" s="168" customFormat="1" ht="24.95" hidden="1" customHeight="1">
      <c r="A654" s="42" t="s">
        <v>4028</v>
      </c>
      <c r="B654" s="18" t="s">
        <v>194</v>
      </c>
      <c r="C654" s="18" t="s">
        <v>2503</v>
      </c>
      <c r="D654" s="34">
        <v>43052</v>
      </c>
      <c r="E654" s="68">
        <v>31</v>
      </c>
      <c r="F654" s="69">
        <v>345650</v>
      </c>
      <c r="G654" s="34">
        <v>43052</v>
      </c>
      <c r="H654" s="68">
        <v>31</v>
      </c>
      <c r="I654" s="69">
        <v>345650</v>
      </c>
      <c r="J654" s="167" t="s">
        <v>140</v>
      </c>
    </row>
    <row r="655" spans="1:10" s="168" customFormat="1" ht="24.95" hidden="1" customHeight="1">
      <c r="A655" s="42" t="s">
        <v>3941</v>
      </c>
      <c r="B655" s="18" t="s">
        <v>2761</v>
      </c>
      <c r="C655" s="18" t="s">
        <v>2797</v>
      </c>
      <c r="D655" s="34"/>
      <c r="E655" s="68"/>
      <c r="F655" s="69"/>
      <c r="G655" s="34">
        <v>43055</v>
      </c>
      <c r="H655" s="68">
        <v>11476.64</v>
      </c>
      <c r="I655" s="69">
        <v>12280000</v>
      </c>
      <c r="J655" s="167" t="s">
        <v>143</v>
      </c>
    </row>
    <row r="656" spans="1:10" s="168" customFormat="1" ht="24.95" hidden="1" customHeight="1">
      <c r="A656" s="42" t="s">
        <v>4049</v>
      </c>
      <c r="B656" s="18" t="s">
        <v>603</v>
      </c>
      <c r="C656" s="18" t="s">
        <v>4052</v>
      </c>
      <c r="D656" s="34">
        <v>43063</v>
      </c>
      <c r="E656" s="68">
        <v>305.36369999999999</v>
      </c>
      <c r="F656" s="69">
        <v>2198960.67</v>
      </c>
      <c r="G656" s="34">
        <v>43063</v>
      </c>
      <c r="H656" s="68">
        <v>305.36369999999999</v>
      </c>
      <c r="I656" s="69">
        <v>2198960.67</v>
      </c>
      <c r="J656" s="167" t="s">
        <v>143</v>
      </c>
    </row>
    <row r="657" spans="1:10" s="168" customFormat="1" ht="24.95" hidden="1" customHeight="1">
      <c r="A657" s="42" t="s">
        <v>4398</v>
      </c>
      <c r="B657" s="18" t="s">
        <v>4057</v>
      </c>
      <c r="C657" s="18" t="s">
        <v>4058</v>
      </c>
      <c r="D657" s="34">
        <v>43067</v>
      </c>
      <c r="E657" s="68">
        <v>753.55</v>
      </c>
      <c r="F657" s="69">
        <v>1511245</v>
      </c>
      <c r="G657" s="34">
        <v>43067</v>
      </c>
      <c r="H657" s="68">
        <v>753.55</v>
      </c>
      <c r="I657" s="69">
        <v>1511245</v>
      </c>
      <c r="J657" s="167" t="s">
        <v>4059</v>
      </c>
    </row>
    <row r="658" spans="1:10" s="168" customFormat="1" ht="24.95" hidden="1" customHeight="1">
      <c r="A658" s="42" t="s">
        <v>3975</v>
      </c>
      <c r="B658" s="18" t="s">
        <v>240</v>
      </c>
      <c r="C658" s="18" t="s">
        <v>992</v>
      </c>
      <c r="D658" s="34">
        <v>43068</v>
      </c>
      <c r="E658" s="68">
        <v>513</v>
      </c>
      <c r="F658" s="69">
        <v>835164</v>
      </c>
      <c r="G658" s="34">
        <v>43068</v>
      </c>
      <c r="H658" s="68">
        <v>513</v>
      </c>
      <c r="I658" s="69">
        <v>835164</v>
      </c>
      <c r="J658" s="167" t="s">
        <v>1472</v>
      </c>
    </row>
    <row r="659" spans="1:10" s="168" customFormat="1" ht="24.95" hidden="1" customHeight="1">
      <c r="A659" s="42" t="s">
        <v>4069</v>
      </c>
      <c r="B659" s="18" t="s">
        <v>3271</v>
      </c>
      <c r="C659" s="18" t="s">
        <v>875</v>
      </c>
      <c r="D659" s="46">
        <v>43066</v>
      </c>
      <c r="E659" s="47">
        <v>200</v>
      </c>
      <c r="F659" s="69">
        <v>302000</v>
      </c>
      <c r="G659" s="46">
        <v>43066</v>
      </c>
      <c r="H659" s="47">
        <v>200</v>
      </c>
      <c r="I659" s="69">
        <v>302000</v>
      </c>
      <c r="J659" s="167" t="s">
        <v>1472</v>
      </c>
    </row>
    <row r="660" spans="1:10" s="168" customFormat="1" ht="24.95" hidden="1" customHeight="1">
      <c r="A660" s="42" t="s">
        <v>3692</v>
      </c>
      <c r="B660" s="18" t="s">
        <v>3271</v>
      </c>
      <c r="C660" s="18" t="s">
        <v>2810</v>
      </c>
      <c r="D660" s="46">
        <v>43066</v>
      </c>
      <c r="E660" s="47">
        <v>200</v>
      </c>
      <c r="F660" s="69">
        <v>304000</v>
      </c>
      <c r="G660" s="46">
        <v>43066</v>
      </c>
      <c r="H660" s="47">
        <v>200</v>
      </c>
      <c r="I660" s="69">
        <v>304000</v>
      </c>
      <c r="J660" s="167" t="s">
        <v>401</v>
      </c>
    </row>
    <row r="661" spans="1:10" s="168" customFormat="1" ht="24.95" hidden="1" customHeight="1">
      <c r="A661" s="42" t="s">
        <v>4070</v>
      </c>
      <c r="B661" s="18" t="s">
        <v>3271</v>
      </c>
      <c r="C661" s="18" t="s">
        <v>875</v>
      </c>
      <c r="D661" s="46">
        <v>43060</v>
      </c>
      <c r="E661" s="47">
        <v>200</v>
      </c>
      <c r="F661" s="69">
        <v>302000</v>
      </c>
      <c r="G661" s="46">
        <v>43060</v>
      </c>
      <c r="H661" s="47">
        <v>200</v>
      </c>
      <c r="I661" s="69">
        <v>302000</v>
      </c>
      <c r="J661" s="167" t="s">
        <v>1472</v>
      </c>
    </row>
    <row r="662" spans="1:10" s="168" customFormat="1" ht="24.95" hidden="1" customHeight="1">
      <c r="A662" s="42" t="s">
        <v>4071</v>
      </c>
      <c r="B662" s="18" t="s">
        <v>3271</v>
      </c>
      <c r="C662" s="18" t="s">
        <v>875</v>
      </c>
      <c r="D662" s="46">
        <v>43064</v>
      </c>
      <c r="E662" s="47">
        <v>200</v>
      </c>
      <c r="F662" s="69">
        <v>302000</v>
      </c>
      <c r="G662" s="46">
        <v>43064</v>
      </c>
      <c r="H662" s="47">
        <v>200</v>
      </c>
      <c r="I662" s="69">
        <v>302000</v>
      </c>
      <c r="J662" s="167" t="s">
        <v>1472</v>
      </c>
    </row>
    <row r="663" spans="1:10" s="168" customFormat="1" ht="24.95" hidden="1" customHeight="1">
      <c r="A663" s="42" t="s">
        <v>4072</v>
      </c>
      <c r="B663" s="18" t="s">
        <v>3271</v>
      </c>
      <c r="C663" s="18" t="s">
        <v>2810</v>
      </c>
      <c r="D663" s="46">
        <v>43060</v>
      </c>
      <c r="E663" s="47">
        <v>200</v>
      </c>
      <c r="F663" s="69">
        <v>304000</v>
      </c>
      <c r="G663" s="46">
        <v>43060</v>
      </c>
      <c r="H663" s="47">
        <v>200</v>
      </c>
      <c r="I663" s="69">
        <v>304000</v>
      </c>
      <c r="J663" s="167" t="s">
        <v>401</v>
      </c>
    </row>
    <row r="664" spans="1:10" s="168" customFormat="1" ht="24.95" hidden="1" customHeight="1">
      <c r="A664" s="42" t="s">
        <v>4073</v>
      </c>
      <c r="B664" s="18" t="s">
        <v>3271</v>
      </c>
      <c r="C664" s="18" t="s">
        <v>2810</v>
      </c>
      <c r="D664" s="46">
        <v>43064</v>
      </c>
      <c r="E664" s="47">
        <v>200</v>
      </c>
      <c r="F664" s="69">
        <v>304000</v>
      </c>
      <c r="G664" s="46">
        <v>43064</v>
      </c>
      <c r="H664" s="47">
        <v>200</v>
      </c>
      <c r="I664" s="69">
        <v>304000</v>
      </c>
      <c r="J664" s="167" t="s">
        <v>401</v>
      </c>
    </row>
    <row r="665" spans="1:10" s="168" customFormat="1" ht="24.95" hidden="1" customHeight="1">
      <c r="A665" s="42" t="s">
        <v>4074</v>
      </c>
      <c r="B665" s="18" t="s">
        <v>3271</v>
      </c>
      <c r="C665" s="18" t="s">
        <v>875</v>
      </c>
      <c r="D665" s="46">
        <v>43064</v>
      </c>
      <c r="E665" s="47">
        <v>100</v>
      </c>
      <c r="F665" s="69">
        <v>146000</v>
      </c>
      <c r="G665" s="46">
        <v>43064</v>
      </c>
      <c r="H665" s="47">
        <v>100</v>
      </c>
      <c r="I665" s="69">
        <v>146000</v>
      </c>
      <c r="J665" s="167" t="s">
        <v>1472</v>
      </c>
    </row>
    <row r="666" spans="1:10" s="168" customFormat="1" ht="24.95" hidden="1" customHeight="1">
      <c r="A666" s="42" t="s">
        <v>3847</v>
      </c>
      <c r="B666" s="18" t="s">
        <v>3271</v>
      </c>
      <c r="C666" s="18" t="s">
        <v>3861</v>
      </c>
      <c r="D666" s="46">
        <v>43064</v>
      </c>
      <c r="E666" s="47">
        <v>100</v>
      </c>
      <c r="F666" s="69">
        <v>148700</v>
      </c>
      <c r="G666" s="46">
        <v>43064</v>
      </c>
      <c r="H666" s="47">
        <v>100</v>
      </c>
      <c r="I666" s="69">
        <v>148700</v>
      </c>
      <c r="J666" s="167" t="s">
        <v>401</v>
      </c>
    </row>
    <row r="667" spans="1:10" s="168" customFormat="1" ht="24.95" hidden="1" customHeight="1">
      <c r="A667" s="153" t="s">
        <v>4075</v>
      </c>
      <c r="B667" s="42" t="s">
        <v>3263</v>
      </c>
      <c r="C667" s="18" t="s">
        <v>875</v>
      </c>
      <c r="D667" s="46">
        <v>43058</v>
      </c>
      <c r="E667" s="47">
        <v>192</v>
      </c>
      <c r="F667" s="69">
        <v>230400</v>
      </c>
      <c r="G667" s="46">
        <v>43058</v>
      </c>
      <c r="H667" s="47">
        <v>192</v>
      </c>
      <c r="I667" s="69">
        <v>230400</v>
      </c>
      <c r="J667" s="167" t="s">
        <v>1472</v>
      </c>
    </row>
    <row r="668" spans="1:10" s="168" customFormat="1" ht="24.95" hidden="1" customHeight="1">
      <c r="A668" s="102" t="s">
        <v>3976</v>
      </c>
      <c r="B668" s="42" t="s">
        <v>3263</v>
      </c>
      <c r="C668" s="18" t="s">
        <v>3861</v>
      </c>
      <c r="D668" s="46">
        <v>43058</v>
      </c>
      <c r="E668" s="47">
        <v>192</v>
      </c>
      <c r="F668" s="69">
        <v>232320</v>
      </c>
      <c r="G668" s="46">
        <v>43058</v>
      </c>
      <c r="H668" s="47">
        <v>192</v>
      </c>
      <c r="I668" s="69">
        <v>232320</v>
      </c>
      <c r="J668" s="167" t="s">
        <v>401</v>
      </c>
    </row>
    <row r="669" spans="1:10" s="168" customFormat="1" ht="24.95" hidden="1" customHeight="1">
      <c r="A669" s="42" t="s">
        <v>4076</v>
      </c>
      <c r="B669" s="42" t="s">
        <v>3263</v>
      </c>
      <c r="C669" s="18" t="s">
        <v>875</v>
      </c>
      <c r="D669" s="46">
        <v>43061</v>
      </c>
      <c r="E669" s="47">
        <v>100</v>
      </c>
      <c r="F669" s="69">
        <v>122500</v>
      </c>
      <c r="G669" s="46">
        <v>43061</v>
      </c>
      <c r="H669" s="47">
        <v>100</v>
      </c>
      <c r="I669" s="69">
        <v>122500</v>
      </c>
      <c r="J669" s="167" t="s">
        <v>1472</v>
      </c>
    </row>
    <row r="670" spans="1:10" s="168" customFormat="1" ht="24.95" hidden="1" customHeight="1">
      <c r="A670" s="42" t="s">
        <v>4077</v>
      </c>
      <c r="B670" s="42" t="s">
        <v>3263</v>
      </c>
      <c r="C670" s="18" t="s">
        <v>875</v>
      </c>
      <c r="D670" s="46">
        <v>43061</v>
      </c>
      <c r="E670" s="47">
        <v>40</v>
      </c>
      <c r="F670" s="69">
        <v>49400</v>
      </c>
      <c r="G670" s="46">
        <v>43061</v>
      </c>
      <c r="H670" s="47">
        <v>40</v>
      </c>
      <c r="I670" s="69">
        <v>49400</v>
      </c>
      <c r="J670" s="167" t="s">
        <v>1472</v>
      </c>
    </row>
    <row r="671" spans="1:10" s="168" customFormat="1" ht="24.95" hidden="1" customHeight="1">
      <c r="A671" s="42" t="s">
        <v>4078</v>
      </c>
      <c r="B671" s="42" t="s">
        <v>3263</v>
      </c>
      <c r="C671" s="18" t="s">
        <v>2810</v>
      </c>
      <c r="D671" s="46">
        <v>43061</v>
      </c>
      <c r="E671" s="47">
        <v>100</v>
      </c>
      <c r="F671" s="69">
        <v>123500</v>
      </c>
      <c r="G671" s="46">
        <v>43061</v>
      </c>
      <c r="H671" s="47">
        <v>100</v>
      </c>
      <c r="I671" s="69">
        <v>123500</v>
      </c>
      <c r="J671" s="167" t="s">
        <v>401</v>
      </c>
    </row>
    <row r="672" spans="1:10" s="168" customFormat="1" ht="24.95" hidden="1" customHeight="1">
      <c r="A672" s="42" t="s">
        <v>4079</v>
      </c>
      <c r="B672" s="42" t="s">
        <v>3263</v>
      </c>
      <c r="C672" s="18" t="s">
        <v>2810</v>
      </c>
      <c r="D672" s="46">
        <v>43061</v>
      </c>
      <c r="E672" s="47">
        <v>40</v>
      </c>
      <c r="F672" s="69">
        <v>49800</v>
      </c>
      <c r="G672" s="46">
        <v>43061</v>
      </c>
      <c r="H672" s="47">
        <v>40</v>
      </c>
      <c r="I672" s="69">
        <v>49800</v>
      </c>
      <c r="J672" s="167" t="s">
        <v>401</v>
      </c>
    </row>
    <row r="673" spans="1:10" s="168" customFormat="1" ht="24.95" hidden="1" customHeight="1">
      <c r="A673" s="42" t="s">
        <v>4103</v>
      </c>
      <c r="B673" s="42" t="s">
        <v>3263</v>
      </c>
      <c r="C673" s="18" t="s">
        <v>875</v>
      </c>
      <c r="D673" s="46">
        <v>43084</v>
      </c>
      <c r="E673" s="47">
        <v>100</v>
      </c>
      <c r="F673" s="69">
        <v>146000</v>
      </c>
      <c r="G673" s="46">
        <v>43084</v>
      </c>
      <c r="H673" s="47">
        <v>100</v>
      </c>
      <c r="I673" s="69">
        <v>146000</v>
      </c>
      <c r="J673" s="167" t="s">
        <v>1472</v>
      </c>
    </row>
    <row r="674" spans="1:10" hidden="1">
      <c r="A674" s="42" t="s">
        <v>4105</v>
      </c>
      <c r="B674" s="42" t="s">
        <v>3263</v>
      </c>
      <c r="C674" s="18" t="s">
        <v>3861</v>
      </c>
      <c r="D674" s="46">
        <v>43084</v>
      </c>
      <c r="E674" s="47">
        <v>100</v>
      </c>
      <c r="F674" s="69">
        <v>148700</v>
      </c>
      <c r="G674" s="46">
        <v>43084</v>
      </c>
      <c r="H674" s="47">
        <v>100</v>
      </c>
      <c r="I674" s="69">
        <v>148700</v>
      </c>
      <c r="J674" s="167" t="s">
        <v>401</v>
      </c>
    </row>
    <row r="675" spans="1:10" hidden="1">
      <c r="A675" s="42" t="s">
        <v>4108</v>
      </c>
      <c r="B675" s="42" t="s">
        <v>3263</v>
      </c>
      <c r="C675" s="18" t="s">
        <v>875</v>
      </c>
      <c r="D675" s="46">
        <v>43078</v>
      </c>
      <c r="E675" s="47">
        <v>200</v>
      </c>
      <c r="F675" s="69">
        <v>302000</v>
      </c>
      <c r="G675" s="46">
        <v>43078</v>
      </c>
      <c r="H675" s="47">
        <v>200</v>
      </c>
      <c r="I675" s="69">
        <v>302000</v>
      </c>
      <c r="J675" s="167" t="s">
        <v>1472</v>
      </c>
    </row>
    <row r="676" spans="1:10" hidden="1">
      <c r="A676" s="42" t="s">
        <v>4110</v>
      </c>
      <c r="B676" s="42" t="s">
        <v>3263</v>
      </c>
      <c r="C676" s="18" t="s">
        <v>2810</v>
      </c>
      <c r="D676" s="46">
        <v>43078</v>
      </c>
      <c r="E676" s="47">
        <v>200</v>
      </c>
      <c r="F676" s="69">
        <v>304000</v>
      </c>
      <c r="G676" s="46">
        <v>43078</v>
      </c>
      <c r="H676" s="47">
        <v>200</v>
      </c>
      <c r="I676" s="69">
        <v>304000</v>
      </c>
      <c r="J676" s="167" t="s">
        <v>401</v>
      </c>
    </row>
    <row r="677" spans="1:10" hidden="1">
      <c r="A677" s="42" t="s">
        <v>4112</v>
      </c>
      <c r="B677" s="42" t="s">
        <v>3263</v>
      </c>
      <c r="C677" s="18" t="s">
        <v>3602</v>
      </c>
      <c r="D677" s="46">
        <v>43078</v>
      </c>
      <c r="E677" s="47">
        <v>40</v>
      </c>
      <c r="F677" s="69">
        <v>48200</v>
      </c>
      <c r="G677" s="46">
        <v>43078</v>
      </c>
      <c r="H677" s="47">
        <v>40</v>
      </c>
      <c r="I677" s="69">
        <v>48200</v>
      </c>
      <c r="J677" s="167" t="s">
        <v>1472</v>
      </c>
    </row>
    <row r="678" spans="1:10" hidden="1">
      <c r="A678" s="42" t="s">
        <v>4113</v>
      </c>
      <c r="B678" s="42" t="s">
        <v>3263</v>
      </c>
      <c r="C678" s="18" t="s">
        <v>3602</v>
      </c>
      <c r="D678" s="46">
        <v>43078</v>
      </c>
      <c r="E678" s="47">
        <v>200</v>
      </c>
      <c r="F678" s="69">
        <v>240000</v>
      </c>
      <c r="G678" s="46">
        <v>43078</v>
      </c>
      <c r="H678" s="47">
        <v>200</v>
      </c>
      <c r="I678" s="69">
        <v>240000</v>
      </c>
      <c r="J678" s="167" t="s">
        <v>1472</v>
      </c>
    </row>
    <row r="679" spans="1:10" hidden="1">
      <c r="A679" s="42" t="s">
        <v>4114</v>
      </c>
      <c r="B679" s="42" t="s">
        <v>3263</v>
      </c>
      <c r="C679" s="18" t="s">
        <v>2810</v>
      </c>
      <c r="D679" s="46">
        <v>43078</v>
      </c>
      <c r="E679" s="47">
        <v>40</v>
      </c>
      <c r="F679" s="69">
        <v>49000</v>
      </c>
      <c r="G679" s="46">
        <v>43078</v>
      </c>
      <c r="H679" s="47">
        <v>40</v>
      </c>
      <c r="I679" s="69">
        <v>49000</v>
      </c>
      <c r="J679" s="167" t="s">
        <v>401</v>
      </c>
    </row>
    <row r="680" spans="1:10" hidden="1">
      <c r="A680" s="42" t="s">
        <v>4115</v>
      </c>
      <c r="B680" s="42" t="s">
        <v>3263</v>
      </c>
      <c r="C680" s="18" t="s">
        <v>2810</v>
      </c>
      <c r="D680" s="46">
        <v>43078</v>
      </c>
      <c r="E680" s="47">
        <v>200</v>
      </c>
      <c r="F680" s="69">
        <v>244000</v>
      </c>
      <c r="G680" s="46">
        <v>43078</v>
      </c>
      <c r="H680" s="47">
        <v>200</v>
      </c>
      <c r="I680" s="69">
        <v>244000</v>
      </c>
      <c r="J680" s="167" t="s">
        <v>401</v>
      </c>
    </row>
    <row r="681" spans="1:10" s="168" customFormat="1" ht="24.95" hidden="1" customHeight="1">
      <c r="A681" s="42" t="s">
        <v>4132</v>
      </c>
      <c r="B681" s="18" t="s">
        <v>3956</v>
      </c>
      <c r="C681" s="18" t="s">
        <v>4131</v>
      </c>
      <c r="D681" s="34">
        <v>43080</v>
      </c>
      <c r="E681" s="68">
        <v>753.59000000000015</v>
      </c>
      <c r="F681" s="69">
        <v>1519491.5</v>
      </c>
      <c r="G681" s="34">
        <v>43063</v>
      </c>
      <c r="H681" s="68">
        <v>753.55</v>
      </c>
      <c r="I681" s="69">
        <v>1519491.5</v>
      </c>
      <c r="J681" s="167" t="s">
        <v>749</v>
      </c>
    </row>
    <row r="682" spans="1:10" s="168" customFormat="1" ht="24.95" hidden="1" customHeight="1">
      <c r="A682" s="42" t="s">
        <v>4207</v>
      </c>
      <c r="B682" s="18" t="s">
        <v>3956</v>
      </c>
      <c r="C682" s="18" t="s">
        <v>4208</v>
      </c>
      <c r="D682" s="34">
        <v>43083</v>
      </c>
      <c r="E682" s="68">
        <v>1262.97</v>
      </c>
      <c r="F682" s="69">
        <v>2529185.83</v>
      </c>
      <c r="G682" s="34">
        <v>43083</v>
      </c>
      <c r="H682" s="68">
        <v>1262.97</v>
      </c>
      <c r="I682" s="69">
        <v>2529185.83</v>
      </c>
      <c r="J682" s="167" t="s">
        <v>1256</v>
      </c>
    </row>
    <row r="683" spans="1:10" s="168" customFormat="1" ht="24.95" hidden="1" customHeight="1">
      <c r="A683" s="42" t="s">
        <v>4061</v>
      </c>
      <c r="B683" s="18" t="s">
        <v>2761</v>
      </c>
      <c r="C683" s="18" t="s">
        <v>4210</v>
      </c>
      <c r="D683" s="34">
        <v>43077</v>
      </c>
      <c r="E683" s="68">
        <v>13594.034</v>
      </c>
      <c r="F683" s="69">
        <v>14545616.380000001</v>
      </c>
      <c r="G683" s="34">
        <v>43090</v>
      </c>
      <c r="H683" s="68">
        <v>2117.39</v>
      </c>
      <c r="I683" s="69">
        <v>2265616.38</v>
      </c>
      <c r="J683" s="167" t="s">
        <v>143</v>
      </c>
    </row>
    <row r="684" spans="1:10" s="168" customFormat="1" ht="24.95" hidden="1" customHeight="1">
      <c r="A684" s="42" t="s">
        <v>4211</v>
      </c>
      <c r="B684" s="18" t="s">
        <v>2761</v>
      </c>
      <c r="C684" s="18" t="s">
        <v>2938</v>
      </c>
      <c r="D684" s="34">
        <v>43080</v>
      </c>
      <c r="E684" s="68">
        <v>13594.034</v>
      </c>
      <c r="F684" s="69">
        <v>14800141.09</v>
      </c>
      <c r="G684" s="34">
        <v>43080</v>
      </c>
      <c r="H684" s="68">
        <v>13594.034</v>
      </c>
      <c r="I684" s="69">
        <v>14800141.09</v>
      </c>
      <c r="J684" s="167" t="s">
        <v>140</v>
      </c>
    </row>
    <row r="685" spans="1:10" s="168" customFormat="1" ht="24.95" hidden="1" customHeight="1">
      <c r="A685" s="42" t="s">
        <v>4244</v>
      </c>
      <c r="B685" s="18" t="s">
        <v>714</v>
      </c>
      <c r="C685" s="18" t="s">
        <v>4242</v>
      </c>
      <c r="D685" s="34">
        <v>43087</v>
      </c>
      <c r="E685" s="68">
        <v>40</v>
      </c>
      <c r="F685" s="69">
        <v>420000</v>
      </c>
      <c r="G685" s="34">
        <v>43087</v>
      </c>
      <c r="H685" s="68">
        <v>40</v>
      </c>
      <c r="I685" s="69">
        <v>420000</v>
      </c>
      <c r="J685" s="167" t="s">
        <v>1256</v>
      </c>
    </row>
    <row r="686" spans="1:10" s="168" customFormat="1" ht="24.95" hidden="1" customHeight="1">
      <c r="A686" s="42" t="s">
        <v>4062</v>
      </c>
      <c r="B686" s="18" t="s">
        <v>714</v>
      </c>
      <c r="C686" s="18" t="s">
        <v>621</v>
      </c>
      <c r="D686" s="34">
        <v>43073</v>
      </c>
      <c r="E686" s="68">
        <v>3</v>
      </c>
      <c r="F686" s="69">
        <v>32850</v>
      </c>
      <c r="G686" s="34">
        <v>43091</v>
      </c>
      <c r="H686" s="68">
        <v>3</v>
      </c>
      <c r="I686" s="69">
        <v>32850</v>
      </c>
      <c r="J686" s="167" t="s">
        <v>140</v>
      </c>
    </row>
    <row r="687" spans="1:10" s="168" customFormat="1" ht="24.95" hidden="1" customHeight="1">
      <c r="A687" s="42" t="s">
        <v>4245</v>
      </c>
      <c r="B687" s="18" t="s">
        <v>714</v>
      </c>
      <c r="C687" s="18" t="s">
        <v>621</v>
      </c>
      <c r="D687" s="34">
        <v>43074</v>
      </c>
      <c r="E687" s="68">
        <v>3</v>
      </c>
      <c r="F687" s="69">
        <v>32850</v>
      </c>
      <c r="G687" s="34">
        <v>43091</v>
      </c>
      <c r="H687" s="68">
        <v>3</v>
      </c>
      <c r="I687" s="69">
        <v>32850</v>
      </c>
      <c r="J687" s="167" t="s">
        <v>140</v>
      </c>
    </row>
    <row r="688" spans="1:10" s="168" customFormat="1" ht="24.95" hidden="1" customHeight="1">
      <c r="A688" s="42" t="s">
        <v>4250</v>
      </c>
      <c r="B688" s="18" t="s">
        <v>714</v>
      </c>
      <c r="C688" s="18" t="s">
        <v>4251</v>
      </c>
      <c r="D688" s="34">
        <v>43068</v>
      </c>
      <c r="E688" s="68">
        <v>513</v>
      </c>
      <c r="F688" s="69">
        <v>840294</v>
      </c>
      <c r="G688" s="34">
        <v>43068</v>
      </c>
      <c r="H688" s="68">
        <v>513</v>
      </c>
      <c r="I688" s="69">
        <v>840294</v>
      </c>
      <c r="J688" s="167" t="s">
        <v>4249</v>
      </c>
    </row>
    <row r="689" spans="1:10" s="168" customFormat="1" ht="24.95" hidden="1" customHeight="1">
      <c r="A689" s="42" t="s">
        <v>4063</v>
      </c>
      <c r="B689" s="18" t="s">
        <v>175</v>
      </c>
      <c r="C689" s="18" t="s">
        <v>3665</v>
      </c>
      <c r="D689" s="34">
        <v>43076</v>
      </c>
      <c r="E689" s="68">
        <v>199.84</v>
      </c>
      <c r="F689" s="69">
        <v>2438048</v>
      </c>
      <c r="G689" s="34">
        <v>43076</v>
      </c>
      <c r="H689" s="68">
        <v>199.84</v>
      </c>
      <c r="I689" s="69">
        <v>2438048</v>
      </c>
      <c r="J689" s="167" t="s">
        <v>1256</v>
      </c>
    </row>
    <row r="690" spans="1:10" s="168" customFormat="1" ht="24.95" hidden="1" customHeight="1">
      <c r="A690" s="42" t="s">
        <v>4263</v>
      </c>
      <c r="B690" s="18" t="s">
        <v>4034</v>
      </c>
      <c r="C690" s="18" t="s">
        <v>78</v>
      </c>
      <c r="D690" s="34">
        <v>43074</v>
      </c>
      <c r="E690" s="68">
        <v>1849.0719999999999</v>
      </c>
      <c r="F690" s="69">
        <v>1722780.39</v>
      </c>
      <c r="G690" s="34">
        <v>43095</v>
      </c>
      <c r="H690" s="68">
        <v>1849.0719999999999</v>
      </c>
      <c r="I690" s="69">
        <v>1722780.39</v>
      </c>
      <c r="J690" s="167" t="s">
        <v>4272</v>
      </c>
    </row>
    <row r="691" spans="1:10" s="168" customFormat="1" ht="24.95" hidden="1" customHeight="1">
      <c r="A691" s="42" t="s">
        <v>4275</v>
      </c>
      <c r="B691" s="18" t="s">
        <v>4034</v>
      </c>
      <c r="C691" s="18" t="s">
        <v>4276</v>
      </c>
      <c r="D691" s="34">
        <v>43076</v>
      </c>
      <c r="E691" s="68">
        <v>1849.0719999999999</v>
      </c>
      <c r="F691" s="69">
        <v>2004689.89</v>
      </c>
      <c r="G691" s="34">
        <v>43077</v>
      </c>
      <c r="H691" s="68">
        <v>1849.0719999999999</v>
      </c>
      <c r="I691" s="69">
        <v>2004689.89</v>
      </c>
      <c r="J691" s="167" t="s">
        <v>140</v>
      </c>
    </row>
    <row r="692" spans="1:10" s="168" customFormat="1" ht="24.95" hidden="1" customHeight="1">
      <c r="A692" s="42" t="s">
        <v>4212</v>
      </c>
      <c r="B692" s="18" t="s">
        <v>2761</v>
      </c>
      <c r="C692" s="18" t="s">
        <v>2797</v>
      </c>
      <c r="D692" s="34"/>
      <c r="E692" s="68"/>
      <c r="F692" s="69"/>
      <c r="G692" s="34">
        <v>43090</v>
      </c>
      <c r="H692" s="68">
        <v>14023.44</v>
      </c>
      <c r="I692" s="69">
        <v>17950000</v>
      </c>
      <c r="J692" s="167" t="s">
        <v>143</v>
      </c>
    </row>
    <row r="693" spans="1:10" s="168" customFormat="1" ht="24.95" hidden="1" customHeight="1">
      <c r="A693" s="42" t="s">
        <v>4269</v>
      </c>
      <c r="B693" s="18" t="s">
        <v>2761</v>
      </c>
      <c r="C693" s="18" t="s">
        <v>2938</v>
      </c>
      <c r="G693" s="34">
        <v>43089</v>
      </c>
      <c r="H693" s="68">
        <v>13160.8</v>
      </c>
      <c r="I693" s="69">
        <v>17174844</v>
      </c>
      <c r="J693" s="167" t="s">
        <v>140</v>
      </c>
    </row>
    <row r="694" spans="1:10" s="168" customFormat="1" ht="24.95" hidden="1" customHeight="1">
      <c r="A694" s="42" t="s">
        <v>4264</v>
      </c>
      <c r="B694" s="18" t="s">
        <v>4273</v>
      </c>
      <c r="C694" s="18" t="s">
        <v>4274</v>
      </c>
      <c r="D694" s="34">
        <v>43088</v>
      </c>
      <c r="E694" s="68">
        <v>1822.444</v>
      </c>
      <c r="F694" s="69">
        <v>1697971.08</v>
      </c>
      <c r="G694" s="34">
        <v>43097</v>
      </c>
      <c r="H694" s="68">
        <v>1822.444</v>
      </c>
      <c r="I694" s="69">
        <v>1697971.08</v>
      </c>
      <c r="J694" s="167" t="s">
        <v>4272</v>
      </c>
    </row>
    <row r="695" spans="1:10" s="168" customFormat="1" ht="24.95" hidden="1" customHeight="1">
      <c r="A695" s="42" t="s">
        <v>4284</v>
      </c>
      <c r="B695" s="18" t="s">
        <v>3956</v>
      </c>
      <c r="C695" s="18" t="s">
        <v>4286</v>
      </c>
      <c r="D695" s="34">
        <v>43103</v>
      </c>
      <c r="E695" s="68">
        <v>977.55</v>
      </c>
      <c r="F695" s="69">
        <v>2335360.0499999998</v>
      </c>
      <c r="G695" s="34">
        <v>43096</v>
      </c>
      <c r="H695" s="68">
        <v>500</v>
      </c>
      <c r="I695" s="69">
        <v>1200000</v>
      </c>
      <c r="J695" s="167" t="s">
        <v>4272</v>
      </c>
    </row>
    <row r="696" spans="1:10" s="168" customFormat="1" ht="24.95" hidden="1" customHeight="1">
      <c r="A696" s="42" t="s">
        <v>4289</v>
      </c>
      <c r="B696" s="18" t="s">
        <v>603</v>
      </c>
      <c r="C696" s="18" t="s">
        <v>4290</v>
      </c>
      <c r="D696" s="34">
        <v>43097</v>
      </c>
      <c r="E696" s="68">
        <v>500</v>
      </c>
      <c r="F696" s="69">
        <v>3600000</v>
      </c>
      <c r="G696" s="34">
        <v>43097</v>
      </c>
      <c r="H696" s="68">
        <v>500</v>
      </c>
      <c r="I696" s="69">
        <v>3600000</v>
      </c>
      <c r="J696" s="167" t="s">
        <v>143</v>
      </c>
    </row>
    <row r="697" spans="1:10" s="168" customFormat="1" ht="24.95" hidden="1" customHeight="1">
      <c r="A697" s="42" t="s">
        <v>4291</v>
      </c>
      <c r="B697" s="18" t="s">
        <v>603</v>
      </c>
      <c r="C697" s="18" t="s">
        <v>4290</v>
      </c>
      <c r="D697" s="34">
        <v>43097</v>
      </c>
      <c r="E697" s="68">
        <v>240.0198</v>
      </c>
      <c r="F697" s="69">
        <f>5312139.25-3600000</f>
        <v>1712139.25</v>
      </c>
      <c r="G697" s="34">
        <v>43097</v>
      </c>
      <c r="H697" s="68">
        <v>240.0198</v>
      </c>
      <c r="I697" s="69">
        <f>5312139.25-3600000</f>
        <v>1712139.25</v>
      </c>
      <c r="J697" s="167" t="s">
        <v>143</v>
      </c>
    </row>
    <row r="698" spans="1:10" s="168" customFormat="1" ht="24.95" hidden="1" customHeight="1">
      <c r="A698" s="42" t="s">
        <v>4300</v>
      </c>
      <c r="B698" s="18" t="s">
        <v>4301</v>
      </c>
      <c r="C698" s="18" t="s">
        <v>4303</v>
      </c>
      <c r="D698" s="34">
        <v>43091</v>
      </c>
      <c r="E698" s="68">
        <v>1917.8400000000004</v>
      </c>
      <c r="F698" s="69">
        <v>5544594.7849999992</v>
      </c>
      <c r="G698" s="34">
        <v>43091</v>
      </c>
      <c r="H698" s="68">
        <v>1917.8400000000004</v>
      </c>
      <c r="I698" s="69">
        <v>5544594.7849999992</v>
      </c>
      <c r="J698" s="167" t="s">
        <v>143</v>
      </c>
    </row>
    <row r="699" spans="1:10" s="168" customFormat="1" ht="24.95" hidden="1" customHeight="1">
      <c r="A699" s="42" t="s">
        <v>4322</v>
      </c>
      <c r="B699" s="18" t="s">
        <v>3438</v>
      </c>
      <c r="C699" s="18" t="s">
        <v>2840</v>
      </c>
      <c r="D699" s="46">
        <v>43091</v>
      </c>
      <c r="E699" s="47">
        <v>180</v>
      </c>
      <c r="F699" s="69">
        <v>234900</v>
      </c>
      <c r="G699" s="46">
        <v>43091</v>
      </c>
      <c r="H699" s="47">
        <v>180</v>
      </c>
      <c r="I699" s="69">
        <v>234900</v>
      </c>
      <c r="J699" s="167" t="s">
        <v>4336</v>
      </c>
    </row>
    <row r="700" spans="1:10" s="168" customFormat="1" ht="24.95" hidden="1" customHeight="1">
      <c r="A700" s="42" t="s">
        <v>4322</v>
      </c>
      <c r="B700" s="18" t="s">
        <v>3438</v>
      </c>
      <c r="C700" s="18" t="s">
        <v>2840</v>
      </c>
      <c r="D700" s="46">
        <v>43098</v>
      </c>
      <c r="E700" s="47">
        <v>180</v>
      </c>
      <c r="F700" s="69">
        <v>234900</v>
      </c>
      <c r="G700" s="46">
        <v>43098</v>
      </c>
      <c r="H700" s="47">
        <v>180</v>
      </c>
      <c r="I700" s="69">
        <v>234900</v>
      </c>
      <c r="J700" s="167" t="s">
        <v>4336</v>
      </c>
    </row>
    <row r="701" spans="1:10" s="168" customFormat="1" ht="24.95" hidden="1" customHeight="1">
      <c r="A701" s="42" t="s">
        <v>4323</v>
      </c>
      <c r="B701" s="18" t="s">
        <v>3438</v>
      </c>
      <c r="C701" s="18" t="s">
        <v>2840</v>
      </c>
      <c r="D701" s="46">
        <v>43100</v>
      </c>
      <c r="E701" s="47">
        <v>100</v>
      </c>
      <c r="F701" s="69">
        <v>133000</v>
      </c>
      <c r="G701" s="46">
        <v>43100</v>
      </c>
      <c r="H701" s="47">
        <v>100</v>
      </c>
      <c r="I701" s="69">
        <v>133000</v>
      </c>
      <c r="J701" s="167" t="s">
        <v>4336</v>
      </c>
    </row>
    <row r="702" spans="1:10" s="168" customFormat="1" ht="24.95" hidden="1" customHeight="1">
      <c r="A702" s="42" t="s">
        <v>4324</v>
      </c>
      <c r="B702" s="18" t="s">
        <v>3438</v>
      </c>
      <c r="C702" s="18" t="s">
        <v>2840</v>
      </c>
      <c r="D702" s="46">
        <v>43099</v>
      </c>
      <c r="E702" s="47">
        <v>40</v>
      </c>
      <c r="F702" s="69">
        <v>53800</v>
      </c>
      <c r="G702" s="46">
        <v>43099</v>
      </c>
      <c r="H702" s="47">
        <v>40</v>
      </c>
      <c r="I702" s="69">
        <v>53800</v>
      </c>
      <c r="J702" s="167" t="s">
        <v>4336</v>
      </c>
    </row>
    <row r="703" spans="1:10" s="168" customFormat="1" ht="24.95" hidden="1" customHeight="1">
      <c r="A703" s="42" t="s">
        <v>4325</v>
      </c>
      <c r="B703" s="18" t="s">
        <v>3438</v>
      </c>
      <c r="C703" s="18" t="s">
        <v>2840</v>
      </c>
      <c r="D703" s="46">
        <v>43099</v>
      </c>
      <c r="E703" s="47">
        <v>40</v>
      </c>
      <c r="F703" s="69">
        <v>58400</v>
      </c>
      <c r="G703" s="46">
        <v>43099</v>
      </c>
      <c r="H703" s="47">
        <v>40</v>
      </c>
      <c r="I703" s="69">
        <v>58400</v>
      </c>
      <c r="J703" s="167" t="s">
        <v>4336</v>
      </c>
    </row>
    <row r="704" spans="1:10" s="168" customFormat="1" ht="24.95" hidden="1" customHeight="1">
      <c r="A704" s="42" t="s">
        <v>4326</v>
      </c>
      <c r="B704" s="18" t="s">
        <v>3438</v>
      </c>
      <c r="C704" s="18" t="s">
        <v>2840</v>
      </c>
      <c r="D704" s="46">
        <v>43089</v>
      </c>
      <c r="E704" s="47">
        <v>66</v>
      </c>
      <c r="F704" s="69">
        <v>122430</v>
      </c>
      <c r="G704" s="46">
        <v>43089</v>
      </c>
      <c r="H704" s="47">
        <v>66</v>
      </c>
      <c r="I704" s="69">
        <v>122430</v>
      </c>
      <c r="J704" s="167" t="s">
        <v>4336</v>
      </c>
    </row>
    <row r="705" spans="1:10" s="168" customFormat="1" ht="24.95" hidden="1" customHeight="1">
      <c r="A705" s="42" t="s">
        <v>4327</v>
      </c>
      <c r="B705" s="18" t="s">
        <v>3438</v>
      </c>
      <c r="C705" s="18" t="s">
        <v>3589</v>
      </c>
      <c r="D705" s="46">
        <v>43091</v>
      </c>
      <c r="E705" s="47">
        <v>180</v>
      </c>
      <c r="F705" s="69">
        <v>236700</v>
      </c>
      <c r="G705" s="46">
        <v>43091</v>
      </c>
      <c r="H705" s="47">
        <v>180</v>
      </c>
      <c r="I705" s="69">
        <v>236700</v>
      </c>
      <c r="J705" s="167" t="s">
        <v>3610</v>
      </c>
    </row>
    <row r="706" spans="1:10" s="168" customFormat="1" ht="24.95" hidden="1" customHeight="1">
      <c r="A706" s="42" t="s">
        <v>4327</v>
      </c>
      <c r="B706" s="18" t="s">
        <v>3438</v>
      </c>
      <c r="C706" s="18" t="s">
        <v>3589</v>
      </c>
      <c r="D706" s="46">
        <v>43098</v>
      </c>
      <c r="E706" s="47">
        <v>180</v>
      </c>
      <c r="F706" s="69">
        <v>236700</v>
      </c>
      <c r="G706" s="46">
        <v>43098</v>
      </c>
      <c r="H706" s="47">
        <v>180</v>
      </c>
      <c r="I706" s="69">
        <v>236700</v>
      </c>
      <c r="J706" s="167" t="s">
        <v>3610</v>
      </c>
    </row>
    <row r="707" spans="1:10" s="168" customFormat="1" ht="24.95" hidden="1" customHeight="1">
      <c r="A707" s="42" t="s">
        <v>4328</v>
      </c>
      <c r="B707" s="18" t="s">
        <v>3438</v>
      </c>
      <c r="C707" s="18" t="s">
        <v>3589</v>
      </c>
      <c r="D707" s="46">
        <v>43100</v>
      </c>
      <c r="E707" s="47">
        <v>100</v>
      </c>
      <c r="F707" s="69">
        <v>134000</v>
      </c>
      <c r="G707" s="46">
        <v>43100</v>
      </c>
      <c r="H707" s="47">
        <v>100</v>
      </c>
      <c r="I707" s="69">
        <v>134000</v>
      </c>
      <c r="J707" s="167" t="s">
        <v>3610</v>
      </c>
    </row>
    <row r="708" spans="1:10" s="168" customFormat="1" ht="24.95" hidden="1" customHeight="1">
      <c r="A708" s="42" t="s">
        <v>4329</v>
      </c>
      <c r="B708" s="18" t="s">
        <v>3438</v>
      </c>
      <c r="C708" s="18" t="s">
        <v>3589</v>
      </c>
      <c r="D708" s="46">
        <v>43099</v>
      </c>
      <c r="E708" s="47">
        <v>40</v>
      </c>
      <c r="F708" s="69">
        <v>54200</v>
      </c>
      <c r="G708" s="46">
        <v>43099</v>
      </c>
      <c r="H708" s="47">
        <v>40</v>
      </c>
      <c r="I708" s="69">
        <v>54200</v>
      </c>
      <c r="J708" s="167" t="s">
        <v>3610</v>
      </c>
    </row>
    <row r="709" spans="1:10" s="168" customFormat="1" ht="24.95" hidden="1" customHeight="1">
      <c r="A709" s="42" t="s">
        <v>3996</v>
      </c>
      <c r="B709" s="18" t="s">
        <v>3438</v>
      </c>
      <c r="C709" s="18" t="s">
        <v>758</v>
      </c>
      <c r="D709" s="46">
        <v>43099</v>
      </c>
      <c r="E709" s="47">
        <v>40</v>
      </c>
      <c r="F709" s="69">
        <v>59200</v>
      </c>
      <c r="G709" s="46">
        <v>43099</v>
      </c>
      <c r="H709" s="47">
        <v>40</v>
      </c>
      <c r="I709" s="69">
        <v>59200</v>
      </c>
      <c r="J709" s="167" t="s">
        <v>3610</v>
      </c>
    </row>
    <row r="710" spans="1:10" s="168" customFormat="1" ht="24.95" hidden="1" customHeight="1">
      <c r="A710" s="42" t="s">
        <v>4330</v>
      </c>
      <c r="B710" s="18" t="s">
        <v>3438</v>
      </c>
      <c r="C710" s="18" t="s">
        <v>4335</v>
      </c>
      <c r="D710" s="46">
        <v>43089</v>
      </c>
      <c r="E710" s="47">
        <v>66</v>
      </c>
      <c r="F710" s="69">
        <v>124410</v>
      </c>
      <c r="G710" s="46">
        <v>43089</v>
      </c>
      <c r="H710" s="47">
        <v>66</v>
      </c>
      <c r="I710" s="69">
        <v>124410</v>
      </c>
      <c r="J710" s="167" t="s">
        <v>3610</v>
      </c>
    </row>
    <row r="711" spans="1:10" s="168" customFormat="1" ht="24.95" hidden="1" customHeight="1">
      <c r="A711" s="42" t="s">
        <v>4060</v>
      </c>
      <c r="B711" s="18" t="s">
        <v>4034</v>
      </c>
      <c r="C711" s="18" t="s">
        <v>4035</v>
      </c>
      <c r="D711" s="46">
        <v>43108</v>
      </c>
      <c r="E711" s="47">
        <v>1822.444</v>
      </c>
      <c r="F711" s="69">
        <v>1975820.88</v>
      </c>
      <c r="G711" s="46">
        <v>43108</v>
      </c>
      <c r="H711" s="47">
        <v>1822.444</v>
      </c>
      <c r="I711" s="69">
        <v>1975820.88</v>
      </c>
      <c r="J711" s="167" t="s">
        <v>4352</v>
      </c>
    </row>
    <row r="712" spans="1:10" s="168" customFormat="1" ht="24.95" hidden="1" customHeight="1">
      <c r="A712" s="42"/>
      <c r="B712" s="18"/>
      <c r="C712" s="18"/>
      <c r="D712" s="46"/>
      <c r="E712" s="47"/>
      <c r="F712" s="69"/>
      <c r="G712" s="46"/>
      <c r="H712" s="47"/>
      <c r="I712" s="69"/>
      <c r="J712" s="167"/>
    </row>
    <row r="713" spans="1:10" s="168" customFormat="1" ht="24.95" hidden="1" customHeight="1">
      <c r="A713" s="42" t="s">
        <v>4268</v>
      </c>
      <c r="B713" s="18" t="s">
        <v>2761</v>
      </c>
      <c r="C713" s="18" t="s">
        <v>2938</v>
      </c>
      <c r="D713" s="34">
        <v>43108</v>
      </c>
      <c r="E713" s="68">
        <v>16301.445</v>
      </c>
      <c r="F713" s="69">
        <v>21229199.73</v>
      </c>
      <c r="G713" s="34">
        <v>43109</v>
      </c>
      <c r="H713" s="68">
        <v>3140.645</v>
      </c>
      <c r="I713" s="69">
        <v>4054355.73</v>
      </c>
      <c r="J713" s="167" t="s">
        <v>335</v>
      </c>
    </row>
    <row r="714" spans="1:10" s="168" customFormat="1" ht="24.95" hidden="1" customHeight="1">
      <c r="A714" s="42" t="s">
        <v>4212</v>
      </c>
      <c r="B714" s="18" t="s">
        <v>2761</v>
      </c>
      <c r="C714" s="18" t="s">
        <v>2797</v>
      </c>
      <c r="D714" s="34">
        <v>43108</v>
      </c>
      <c r="E714" s="68">
        <v>16301.445</v>
      </c>
      <c r="F714" s="69">
        <v>20865849.600000001</v>
      </c>
      <c r="G714" s="34">
        <v>43111</v>
      </c>
      <c r="H714" s="68">
        <v>2278.0049999999992</v>
      </c>
      <c r="I714" s="69">
        <v>2915849.6</v>
      </c>
      <c r="J714" s="167" t="s">
        <v>143</v>
      </c>
    </row>
    <row r="715" spans="1:10" s="168" customFormat="1" ht="24.95" hidden="1" customHeight="1">
      <c r="A715" s="42" t="s">
        <v>4232</v>
      </c>
      <c r="B715" s="18" t="s">
        <v>3956</v>
      </c>
      <c r="C715" s="18" t="s">
        <v>4058</v>
      </c>
      <c r="D715" s="34">
        <v>43104</v>
      </c>
      <c r="E715" s="68">
        <v>1264.5899999999999</v>
      </c>
      <c r="F715" s="69">
        <v>2828942.19</v>
      </c>
      <c r="G715" s="34">
        <v>43104</v>
      </c>
      <c r="H715" s="68">
        <v>1264.5899999999999</v>
      </c>
      <c r="I715" s="69">
        <v>2828942.19</v>
      </c>
      <c r="J715" s="167" t="s">
        <v>335</v>
      </c>
    </row>
    <row r="716" spans="1:10" s="168" customFormat="1" ht="24.95" hidden="1" customHeight="1">
      <c r="A716" s="42" t="s">
        <v>4206</v>
      </c>
      <c r="B716" s="18" t="s">
        <v>3956</v>
      </c>
      <c r="C716" s="18" t="s">
        <v>4131</v>
      </c>
      <c r="D716" s="34">
        <v>43103</v>
      </c>
      <c r="E716" s="68">
        <v>1489.9860000000001</v>
      </c>
      <c r="F716" s="69">
        <v>3320000</v>
      </c>
      <c r="G716" s="34"/>
      <c r="H716" s="68"/>
      <c r="I716" s="69"/>
      <c r="J716" s="167"/>
    </row>
    <row r="717" spans="1:10" s="168" customFormat="1" ht="24.95" hidden="1" customHeight="1">
      <c r="A717" s="42" t="s">
        <v>4375</v>
      </c>
      <c r="B717" s="18" t="s">
        <v>603</v>
      </c>
      <c r="C717" s="18" t="s">
        <v>4290</v>
      </c>
      <c r="D717" s="34">
        <v>43025</v>
      </c>
      <c r="E717" s="68">
        <v>508.77449999999999</v>
      </c>
      <c r="F717" s="69">
        <v>3679675.35</v>
      </c>
      <c r="G717" s="34">
        <v>43126</v>
      </c>
      <c r="H717" s="68">
        <v>508.77449999999999</v>
      </c>
      <c r="I717" s="69">
        <v>3679675.35</v>
      </c>
      <c r="J717" s="167" t="s">
        <v>143</v>
      </c>
    </row>
    <row r="718" spans="1:10" s="168" customFormat="1" ht="24.95" hidden="1" customHeight="1">
      <c r="A718" s="42" t="s">
        <v>4382</v>
      </c>
      <c r="B718" s="18" t="s">
        <v>603</v>
      </c>
      <c r="C718" s="18" t="s">
        <v>2621</v>
      </c>
      <c r="D718" s="34"/>
      <c r="E718" s="68"/>
      <c r="F718" s="69"/>
      <c r="G718" s="34">
        <v>43118</v>
      </c>
      <c r="H718" s="68">
        <v>150</v>
      </c>
      <c r="I718" s="69">
        <v>1245000</v>
      </c>
      <c r="J718" s="167" t="s">
        <v>143</v>
      </c>
    </row>
    <row r="719" spans="1:10" s="168" customFormat="1" ht="24.95" hidden="1" customHeight="1">
      <c r="A719" s="42" t="s">
        <v>4367</v>
      </c>
      <c r="B719" s="18" t="s">
        <v>268</v>
      </c>
      <c r="C719" s="18" t="s">
        <v>4390</v>
      </c>
      <c r="D719" s="34">
        <v>43123</v>
      </c>
      <c r="E719" s="68">
        <v>64</v>
      </c>
      <c r="F719" s="69">
        <v>758400</v>
      </c>
      <c r="G719" s="34">
        <v>43123</v>
      </c>
      <c r="H719" s="68">
        <v>64</v>
      </c>
      <c r="I719" s="69">
        <v>758400</v>
      </c>
      <c r="J719" s="167" t="s">
        <v>143</v>
      </c>
    </row>
    <row r="720" spans="1:10" s="168" customFormat="1" ht="24.95" hidden="1" customHeight="1">
      <c r="A720" s="42" t="s">
        <v>4397</v>
      </c>
      <c r="B720" s="18" t="s">
        <v>106</v>
      </c>
      <c r="C720" s="18" t="s">
        <v>4286</v>
      </c>
      <c r="D720" s="34"/>
      <c r="E720" s="68"/>
      <c r="F720" s="69"/>
      <c r="G720" s="34">
        <v>43125</v>
      </c>
      <c r="H720" s="68">
        <v>477.54999999999995</v>
      </c>
      <c r="I720" s="69">
        <v>1135360.05</v>
      </c>
      <c r="J720" s="167" t="s">
        <v>749</v>
      </c>
    </row>
    <row r="721" spans="1:10" s="168" customFormat="1" ht="24.95" hidden="1" customHeight="1">
      <c r="A721" s="42"/>
      <c r="B721" s="18"/>
      <c r="C721" s="18"/>
      <c r="D721" s="34"/>
      <c r="E721" s="68"/>
      <c r="F721" s="69"/>
      <c r="G721" s="34"/>
      <c r="H721" s="68"/>
      <c r="I721" s="69"/>
      <c r="J721" s="167"/>
    </row>
    <row r="722" spans="1:10" s="168" customFormat="1" ht="24.95" hidden="1" customHeight="1">
      <c r="A722" s="42"/>
      <c r="B722" s="18"/>
      <c r="C722" s="18"/>
      <c r="D722" s="34"/>
      <c r="E722" s="68"/>
      <c r="F722" s="69"/>
      <c r="G722" s="34"/>
      <c r="H722" s="68"/>
      <c r="I722" s="69"/>
      <c r="J722" s="167"/>
    </row>
    <row r="723" spans="1:10" s="168" customFormat="1" ht="24.95" hidden="1" customHeight="1">
      <c r="A723" s="42" t="s">
        <v>4373</v>
      </c>
      <c r="B723" s="18" t="s">
        <v>4404</v>
      </c>
      <c r="C723" s="18" t="s">
        <v>2763</v>
      </c>
      <c r="D723" s="34">
        <v>43126</v>
      </c>
      <c r="E723" s="68">
        <v>1883.68</v>
      </c>
      <c r="F723" s="69">
        <v>5558834.3099999996</v>
      </c>
      <c r="G723" s="34"/>
      <c r="H723" s="68"/>
      <c r="I723" s="69"/>
      <c r="J723" s="167"/>
    </row>
    <row r="724" spans="1:10" s="168" customFormat="1" ht="24.95" hidden="1" customHeight="1">
      <c r="A724" s="42" t="s">
        <v>4414</v>
      </c>
      <c r="B724" s="18" t="s">
        <v>3272</v>
      </c>
      <c r="C724" s="18" t="s">
        <v>3443</v>
      </c>
      <c r="D724" s="46">
        <v>43119</v>
      </c>
      <c r="E724" s="47">
        <v>300</v>
      </c>
      <c r="F724" s="69">
        <v>400500</v>
      </c>
      <c r="G724" s="46">
        <v>43119</v>
      </c>
      <c r="H724" s="47">
        <v>300</v>
      </c>
      <c r="I724" s="69">
        <v>400500</v>
      </c>
      <c r="J724" s="167" t="s">
        <v>4336</v>
      </c>
    </row>
    <row r="725" spans="1:10" s="168" customFormat="1" ht="24.95" hidden="1" customHeight="1">
      <c r="A725" s="42" t="s">
        <v>4415</v>
      </c>
      <c r="B725" s="18" t="s">
        <v>3272</v>
      </c>
      <c r="C725" s="18" t="s">
        <v>3443</v>
      </c>
      <c r="D725" s="46">
        <v>43119</v>
      </c>
      <c r="E725" s="47">
        <v>100</v>
      </c>
      <c r="F725" s="69">
        <v>133000</v>
      </c>
      <c r="G725" s="46">
        <v>43119</v>
      </c>
      <c r="H725" s="47">
        <v>100</v>
      </c>
      <c r="I725" s="69">
        <v>133000</v>
      </c>
      <c r="J725" s="167" t="s">
        <v>4336</v>
      </c>
    </row>
    <row r="726" spans="1:10" s="168" customFormat="1" ht="24.95" hidden="1" customHeight="1">
      <c r="A726" s="42" t="s">
        <v>4416</v>
      </c>
      <c r="B726" s="18" t="s">
        <v>3272</v>
      </c>
      <c r="C726" s="18" t="s">
        <v>3443</v>
      </c>
      <c r="D726" s="46">
        <v>43119</v>
      </c>
      <c r="E726" s="47">
        <v>200</v>
      </c>
      <c r="F726" s="69">
        <v>333000</v>
      </c>
      <c r="G726" s="46">
        <v>43119</v>
      </c>
      <c r="H726" s="47">
        <v>200</v>
      </c>
      <c r="I726" s="69">
        <v>333000</v>
      </c>
      <c r="J726" s="167" t="s">
        <v>4336</v>
      </c>
    </row>
    <row r="727" spans="1:10" s="168" customFormat="1" ht="24.95" hidden="1" customHeight="1">
      <c r="A727" s="42" t="s">
        <v>4417</v>
      </c>
      <c r="B727" s="18" t="s">
        <v>3272</v>
      </c>
      <c r="C727" s="18" t="s">
        <v>4320</v>
      </c>
      <c r="D727" s="46">
        <v>43119</v>
      </c>
      <c r="E727" s="47">
        <v>300</v>
      </c>
      <c r="F727" s="69">
        <v>403500</v>
      </c>
      <c r="G727" s="46">
        <v>43119</v>
      </c>
      <c r="H727" s="47">
        <v>300</v>
      </c>
      <c r="I727" s="69">
        <v>403500</v>
      </c>
      <c r="J727" s="167" t="s">
        <v>3610</v>
      </c>
    </row>
    <row r="728" spans="1:10" s="168" customFormat="1" ht="24.95" hidden="1" customHeight="1">
      <c r="A728" s="42" t="s">
        <v>4418</v>
      </c>
      <c r="B728" s="18" t="s">
        <v>3272</v>
      </c>
      <c r="C728" s="18" t="s">
        <v>4320</v>
      </c>
      <c r="D728" s="46">
        <v>43119</v>
      </c>
      <c r="E728" s="47">
        <v>100</v>
      </c>
      <c r="F728" s="69">
        <v>134000</v>
      </c>
      <c r="G728" s="46">
        <v>43119</v>
      </c>
      <c r="H728" s="47">
        <v>100</v>
      </c>
      <c r="I728" s="69">
        <v>134000</v>
      </c>
      <c r="J728" s="167" t="s">
        <v>3610</v>
      </c>
    </row>
    <row r="729" spans="1:10" s="168" customFormat="1" ht="24.95" hidden="1" customHeight="1">
      <c r="A729" s="42" t="s">
        <v>4419</v>
      </c>
      <c r="B729" s="18" t="s">
        <v>3272</v>
      </c>
      <c r="C729" s="18" t="s">
        <v>4320</v>
      </c>
      <c r="D729" s="46">
        <v>43119</v>
      </c>
      <c r="E729" s="47">
        <v>200</v>
      </c>
      <c r="F729" s="69">
        <v>337000</v>
      </c>
      <c r="G729" s="46">
        <v>43119</v>
      </c>
      <c r="H729" s="47">
        <v>200</v>
      </c>
      <c r="I729" s="69">
        <v>337000</v>
      </c>
      <c r="J729" s="167" t="s">
        <v>3610</v>
      </c>
    </row>
    <row r="730" spans="1:10" hidden="1">
      <c r="A730" s="42" t="s">
        <v>4429</v>
      </c>
      <c r="B730" s="18" t="s">
        <v>106</v>
      </c>
      <c r="C730" s="18" t="s">
        <v>4430</v>
      </c>
      <c r="D730" s="34">
        <v>43080</v>
      </c>
      <c r="E730" s="68">
        <v>1562.02</v>
      </c>
      <c r="F730" s="69">
        <v>3161688.24</v>
      </c>
      <c r="G730" s="34">
        <v>43130</v>
      </c>
      <c r="H730" s="68">
        <v>1562.02</v>
      </c>
      <c r="I730" s="69">
        <v>3161688.24</v>
      </c>
      <c r="J730" s="167" t="s">
        <v>388</v>
      </c>
    </row>
    <row r="731" spans="1:10" hidden="1">
      <c r="A731" s="42" t="s">
        <v>4401</v>
      </c>
      <c r="B731" s="18" t="s">
        <v>4223</v>
      </c>
      <c r="C731" s="18" t="s">
        <v>4303</v>
      </c>
      <c r="D731" s="34">
        <v>43127</v>
      </c>
      <c r="E731" s="68">
        <v>687.34</v>
      </c>
      <c r="F731" s="69">
        <v>2117007.2000000002</v>
      </c>
      <c r="G731" s="34">
        <v>43127</v>
      </c>
      <c r="H731" s="68">
        <v>687.34</v>
      </c>
      <c r="I731" s="69">
        <v>2117007.2000000002</v>
      </c>
      <c r="J731" s="167" t="s">
        <v>143</v>
      </c>
    </row>
    <row r="732" spans="1:10" hidden="1">
      <c r="A732" s="42" t="s">
        <v>4433</v>
      </c>
      <c r="B732" s="18" t="s">
        <v>4223</v>
      </c>
      <c r="C732" s="18" t="s">
        <v>4303</v>
      </c>
      <c r="D732" s="34"/>
      <c r="E732" s="68"/>
      <c r="F732" s="69"/>
      <c r="G732" s="34">
        <v>43127</v>
      </c>
      <c r="H732" s="68">
        <v>1348.261389</v>
      </c>
      <c r="I732" s="69">
        <v>3882992.8</v>
      </c>
      <c r="J732" s="167" t="s">
        <v>143</v>
      </c>
    </row>
    <row r="733" spans="1:10" hidden="1">
      <c r="A733" s="42" t="s">
        <v>4440</v>
      </c>
      <c r="B733" s="18" t="s">
        <v>4436</v>
      </c>
      <c r="C733" s="18" t="s">
        <v>4441</v>
      </c>
      <c r="D733" s="34"/>
      <c r="E733" s="68"/>
      <c r="F733" s="69"/>
      <c r="G733" s="34">
        <v>43126</v>
      </c>
      <c r="H733" s="68">
        <v>1883.68</v>
      </c>
      <c r="I733" s="69">
        <v>5558834.3099999996</v>
      </c>
      <c r="J733" s="167" t="s">
        <v>4442</v>
      </c>
    </row>
    <row r="734" spans="1:10" hidden="1">
      <c r="A734" s="42" t="s">
        <v>4451</v>
      </c>
      <c r="B734" s="18" t="s">
        <v>175</v>
      </c>
      <c r="C734" s="18" t="s">
        <v>4453</v>
      </c>
      <c r="D734" s="34">
        <v>43115</v>
      </c>
      <c r="E734" s="68">
        <v>89.837999999999994</v>
      </c>
      <c r="F734" s="69">
        <v>1069072.2</v>
      </c>
      <c r="G734" s="34">
        <v>43115</v>
      </c>
      <c r="H734" s="68">
        <v>89.837999999999994</v>
      </c>
      <c r="I734" s="69">
        <v>1069072.2</v>
      </c>
      <c r="J734" s="167" t="s">
        <v>4454</v>
      </c>
    </row>
    <row r="735" spans="1:10" hidden="1">
      <c r="A735" s="42" t="s">
        <v>4455</v>
      </c>
      <c r="B735" s="18" t="s">
        <v>4452</v>
      </c>
      <c r="C735" s="18" t="s">
        <v>4453</v>
      </c>
      <c r="D735" s="34">
        <v>43117</v>
      </c>
      <c r="E735" s="68">
        <v>220.124</v>
      </c>
      <c r="F735" s="69">
        <v>2564444.6</v>
      </c>
      <c r="G735" s="34">
        <v>43137</v>
      </c>
      <c r="H735" s="68">
        <v>220.124</v>
      </c>
      <c r="I735" s="69">
        <v>2564444.6</v>
      </c>
      <c r="J735" s="167" t="s">
        <v>4454</v>
      </c>
    </row>
    <row r="736" spans="1:10" hidden="1">
      <c r="A736" s="42" t="s">
        <v>4455</v>
      </c>
      <c r="B736" s="18" t="s">
        <v>4452</v>
      </c>
      <c r="C736" s="18" t="s">
        <v>4453</v>
      </c>
      <c r="D736" s="34">
        <v>43137</v>
      </c>
      <c r="E736" s="68">
        <v>162.98699999999999</v>
      </c>
      <c r="F736" s="69">
        <v>1898798.55</v>
      </c>
      <c r="G736" s="34">
        <v>43137</v>
      </c>
      <c r="H736" s="68">
        <v>162.98699999999999</v>
      </c>
      <c r="I736" s="69">
        <v>1898798.55</v>
      </c>
      <c r="J736" s="167" t="s">
        <v>4454</v>
      </c>
    </row>
    <row r="737" spans="1:10" hidden="1">
      <c r="A737" s="42" t="s">
        <v>4492</v>
      </c>
      <c r="B737" s="18" t="s">
        <v>4493</v>
      </c>
      <c r="C737" s="18" t="s">
        <v>4494</v>
      </c>
      <c r="D737" s="34">
        <v>43136</v>
      </c>
      <c r="E737" s="68">
        <v>160</v>
      </c>
      <c r="F737" s="69">
        <v>212800</v>
      </c>
      <c r="G737" s="34">
        <v>43136</v>
      </c>
      <c r="H737" s="68">
        <v>160</v>
      </c>
      <c r="I737" s="69">
        <v>212800</v>
      </c>
      <c r="J737" s="167" t="s">
        <v>4499</v>
      </c>
    </row>
    <row r="738" spans="1:10" hidden="1">
      <c r="A738" s="42" t="s">
        <v>4495</v>
      </c>
      <c r="B738" s="18" t="s">
        <v>4493</v>
      </c>
      <c r="C738" s="18" t="s">
        <v>4496</v>
      </c>
      <c r="D738" s="34">
        <v>43136</v>
      </c>
      <c r="E738" s="68">
        <v>160</v>
      </c>
      <c r="F738" s="69">
        <v>214400</v>
      </c>
      <c r="G738" s="34">
        <v>43136</v>
      </c>
      <c r="H738" s="68">
        <v>160</v>
      </c>
      <c r="I738" s="69">
        <v>214400</v>
      </c>
      <c r="J738" s="167" t="s">
        <v>4500</v>
      </c>
    </row>
    <row r="739" spans="1:10" hidden="1">
      <c r="A739" s="42" t="s">
        <v>4497</v>
      </c>
      <c r="B739" s="18" t="s">
        <v>4493</v>
      </c>
      <c r="C739" s="18" t="s">
        <v>4494</v>
      </c>
      <c r="D739" s="34">
        <v>43115</v>
      </c>
      <c r="E739" s="68">
        <v>60</v>
      </c>
      <c r="F739" s="69">
        <v>99600</v>
      </c>
      <c r="G739" s="34">
        <v>43115</v>
      </c>
      <c r="H739" s="68">
        <v>60</v>
      </c>
      <c r="I739" s="69">
        <v>99600</v>
      </c>
      <c r="J739" s="167" t="s">
        <v>4499</v>
      </c>
    </row>
    <row r="740" spans="1:10" hidden="1">
      <c r="A740" s="42" t="s">
        <v>4498</v>
      </c>
      <c r="B740" s="18" t="s">
        <v>4493</v>
      </c>
      <c r="C740" s="18" t="s">
        <v>4496</v>
      </c>
      <c r="D740" s="34">
        <v>43115</v>
      </c>
      <c r="E740" s="68">
        <v>60</v>
      </c>
      <c r="F740" s="69">
        <v>102000</v>
      </c>
      <c r="G740" s="34">
        <v>43115</v>
      </c>
      <c r="H740" s="68">
        <v>60</v>
      </c>
      <c r="I740" s="69">
        <v>102000</v>
      </c>
      <c r="J740" s="167" t="s">
        <v>4500</v>
      </c>
    </row>
    <row r="741" spans="1:10" hidden="1">
      <c r="A741" s="42" t="s">
        <v>4506</v>
      </c>
      <c r="B741" s="18" t="s">
        <v>4507</v>
      </c>
      <c r="C741" s="18" t="s">
        <v>4494</v>
      </c>
      <c r="D741" s="34">
        <v>43125</v>
      </c>
      <c r="E741" s="68">
        <v>60</v>
      </c>
      <c r="F741" s="69">
        <v>107100</v>
      </c>
      <c r="G741" s="34">
        <v>43125</v>
      </c>
      <c r="H741" s="68">
        <v>60</v>
      </c>
      <c r="I741" s="69">
        <v>107100</v>
      </c>
      <c r="J741" s="167" t="s">
        <v>4499</v>
      </c>
    </row>
    <row r="742" spans="1:10" hidden="1">
      <c r="A742" s="42" t="s">
        <v>4508</v>
      </c>
      <c r="B742" s="18" t="s">
        <v>4507</v>
      </c>
      <c r="C742" s="18" t="s">
        <v>4496</v>
      </c>
      <c r="D742" s="34">
        <v>43125</v>
      </c>
      <c r="E742" s="68">
        <v>60</v>
      </c>
      <c r="F742" s="69">
        <v>107700</v>
      </c>
      <c r="G742" s="34">
        <v>43125</v>
      </c>
      <c r="H742" s="68">
        <v>60</v>
      </c>
      <c r="I742" s="69">
        <v>107700</v>
      </c>
      <c r="J742" s="167" t="s">
        <v>4500</v>
      </c>
    </row>
    <row r="743" spans="1:10" hidden="1">
      <c r="A743" s="42" t="s">
        <v>4512</v>
      </c>
      <c r="B743" s="18" t="s">
        <v>60</v>
      </c>
      <c r="C743" s="18" t="s">
        <v>83</v>
      </c>
      <c r="D743" s="34">
        <v>43137</v>
      </c>
      <c r="E743" s="68">
        <v>204.1309</v>
      </c>
      <c r="F743" s="69">
        <v>1793257.62</v>
      </c>
      <c r="G743" s="34">
        <v>43137</v>
      </c>
      <c r="H743" s="68">
        <v>204.1309</v>
      </c>
      <c r="I743" s="69">
        <v>1793257.62</v>
      </c>
      <c r="J743" s="167" t="s">
        <v>140</v>
      </c>
    </row>
    <row r="744" spans="1:10" hidden="1">
      <c r="A744" s="42" t="s">
        <v>4511</v>
      </c>
      <c r="B744" s="18" t="s">
        <v>60</v>
      </c>
      <c r="C744" s="18" t="s">
        <v>83</v>
      </c>
      <c r="D744" s="34">
        <v>43153</v>
      </c>
      <c r="E744" s="68">
        <v>217.63749999999999</v>
      </c>
      <c r="F744" s="69">
        <v>1856702.87</v>
      </c>
      <c r="G744" s="34">
        <v>43153</v>
      </c>
      <c r="H744" s="68">
        <v>217.63749999999999</v>
      </c>
      <c r="I744" s="69">
        <v>1856702.87</v>
      </c>
      <c r="J744" s="167" t="s">
        <v>140</v>
      </c>
    </row>
    <row r="745" spans="1:10" hidden="1">
      <c r="A745" s="42" t="s">
        <v>4510</v>
      </c>
      <c r="B745" s="18" t="s">
        <v>4520</v>
      </c>
      <c r="C745" s="18" t="s">
        <v>83</v>
      </c>
      <c r="D745" s="34">
        <v>43153</v>
      </c>
      <c r="E745" s="68">
        <v>773.24040000000002</v>
      </c>
      <c r="F745" s="69">
        <v>2379730.34</v>
      </c>
      <c r="G745" s="34">
        <v>43153</v>
      </c>
      <c r="H745" s="68">
        <v>773.24040000000002</v>
      </c>
      <c r="I745" s="69">
        <v>2379730.34</v>
      </c>
      <c r="J745" s="167" t="s">
        <v>140</v>
      </c>
    </row>
    <row r="746" spans="1:10" hidden="1">
      <c r="A746" s="42" t="s">
        <v>4526</v>
      </c>
      <c r="B746" s="18" t="s">
        <v>175</v>
      </c>
      <c r="C746" s="18" t="s">
        <v>2000</v>
      </c>
      <c r="D746" s="34">
        <v>43157</v>
      </c>
      <c r="E746" s="68">
        <v>155.04300000000001</v>
      </c>
      <c r="F746" s="69">
        <v>2170602</v>
      </c>
      <c r="G746" s="34">
        <v>43157</v>
      </c>
      <c r="H746" s="68">
        <v>155.04300000000001</v>
      </c>
      <c r="I746" s="69">
        <v>2170602</v>
      </c>
      <c r="J746" s="167" t="s">
        <v>140</v>
      </c>
    </row>
    <row r="747" spans="1:10" hidden="1">
      <c r="A747" s="42" t="s">
        <v>4361</v>
      </c>
      <c r="B747" s="18" t="s">
        <v>106</v>
      </c>
      <c r="C747" s="18" t="s">
        <v>4286</v>
      </c>
      <c r="D747" s="34">
        <v>43133</v>
      </c>
      <c r="E747" s="68">
        <v>1592.34</v>
      </c>
      <c r="F747" s="69">
        <v>3661576.29</v>
      </c>
      <c r="G747" s="34">
        <v>43161</v>
      </c>
      <c r="H747" s="68">
        <v>1246.05</v>
      </c>
      <c r="I747" s="69">
        <v>3000000</v>
      </c>
      <c r="J747" s="167" t="s">
        <v>388</v>
      </c>
    </row>
    <row r="748" spans="1:10" hidden="1">
      <c r="A748" s="42" t="s">
        <v>4360</v>
      </c>
      <c r="B748" s="18" t="s">
        <v>106</v>
      </c>
      <c r="C748" s="18" t="s">
        <v>4058</v>
      </c>
      <c r="D748" s="34">
        <v>43161</v>
      </c>
      <c r="E748" s="68">
        <v>2539.0149999999999</v>
      </c>
      <c r="F748" s="69">
        <v>6143904.1699999999</v>
      </c>
      <c r="G748" s="34">
        <v>43161</v>
      </c>
      <c r="H748" s="68">
        <v>2539.0149999999999</v>
      </c>
      <c r="I748" s="69">
        <v>6143904.1699999999</v>
      </c>
      <c r="J748" s="167" t="s">
        <v>140</v>
      </c>
    </row>
    <row r="749" spans="1:10" hidden="1">
      <c r="A749" s="42" t="s">
        <v>4555</v>
      </c>
      <c r="B749" s="18" t="s">
        <v>240</v>
      </c>
      <c r="C749" s="18" t="s">
        <v>2065</v>
      </c>
      <c r="D749" s="34">
        <v>43160</v>
      </c>
      <c r="E749" s="68">
        <v>64</v>
      </c>
      <c r="F749" s="69">
        <v>838023.68000000005</v>
      </c>
      <c r="G749" s="34">
        <v>43160</v>
      </c>
      <c r="H749" s="68">
        <v>64</v>
      </c>
      <c r="I749" s="69">
        <v>838023.68000000005</v>
      </c>
      <c r="J749" s="167" t="s">
        <v>143</v>
      </c>
    </row>
    <row r="750" spans="1:10" hidden="1">
      <c r="A750" s="42" t="s">
        <v>4551</v>
      </c>
      <c r="B750" s="18" t="s">
        <v>240</v>
      </c>
      <c r="C750" s="18" t="s">
        <v>3151</v>
      </c>
      <c r="D750" s="34">
        <v>43157</v>
      </c>
      <c r="E750" s="68">
        <v>160</v>
      </c>
      <c r="F750" s="69">
        <v>1888000</v>
      </c>
      <c r="G750" s="34">
        <v>43157</v>
      </c>
      <c r="H750" s="68">
        <v>160</v>
      </c>
      <c r="I750" s="69">
        <v>1888000</v>
      </c>
      <c r="J750" s="167" t="s">
        <v>143</v>
      </c>
    </row>
    <row r="751" spans="1:10" hidden="1">
      <c r="A751" s="42" t="s">
        <v>4563</v>
      </c>
      <c r="B751" s="18" t="s">
        <v>4564</v>
      </c>
      <c r="C751" s="18" t="s">
        <v>4568</v>
      </c>
      <c r="D751" s="34">
        <v>43164</v>
      </c>
      <c r="E751" s="68">
        <v>54.99</v>
      </c>
      <c r="F751" s="69">
        <f>54.99*3145</f>
        <v>172943.55000000002</v>
      </c>
      <c r="G751" s="34">
        <v>43164</v>
      </c>
      <c r="H751" s="68">
        <v>54.99</v>
      </c>
      <c r="I751" s="69">
        <f>54.99*3145</f>
        <v>172943.55000000002</v>
      </c>
      <c r="J751" s="167" t="s">
        <v>4569</v>
      </c>
    </row>
    <row r="752" spans="1:10" hidden="1">
      <c r="A752" s="42" t="s">
        <v>4571</v>
      </c>
      <c r="B752" s="18" t="s">
        <v>106</v>
      </c>
      <c r="C752" s="18" t="s">
        <v>4430</v>
      </c>
      <c r="D752" s="34">
        <v>43138</v>
      </c>
      <c r="E752" s="68">
        <v>1490.12</v>
      </c>
      <c r="F752" s="69">
        <v>3320000</v>
      </c>
      <c r="G752" s="34">
        <v>43139</v>
      </c>
      <c r="H752" s="68">
        <v>1490.12</v>
      </c>
      <c r="I752" s="69">
        <v>3320000</v>
      </c>
      <c r="J752" s="167" t="s">
        <v>388</v>
      </c>
    </row>
    <row r="753" spans="1:10" hidden="1">
      <c r="A753" s="42" t="s">
        <v>4382</v>
      </c>
      <c r="B753" s="18" t="s">
        <v>60</v>
      </c>
      <c r="C753" s="18" t="s">
        <v>1446</v>
      </c>
      <c r="D753" s="34">
        <v>43155</v>
      </c>
      <c r="E753" s="68">
        <v>170.774</v>
      </c>
      <c r="F753" s="69">
        <v>1423944.21</v>
      </c>
      <c r="G753" s="34">
        <v>43160</v>
      </c>
      <c r="H753" s="68">
        <v>20.774000000000001</v>
      </c>
      <c r="I753" s="69">
        <v>178944.21</v>
      </c>
      <c r="J753" s="167" t="s">
        <v>143</v>
      </c>
    </row>
    <row r="754" spans="1:10" hidden="1">
      <c r="A754" s="13" t="s">
        <v>4377</v>
      </c>
      <c r="B754" s="18" t="s">
        <v>60</v>
      </c>
      <c r="C754" s="18" t="s">
        <v>351</v>
      </c>
      <c r="D754" s="34">
        <v>43157</v>
      </c>
      <c r="E754" s="68">
        <v>34.020000000000003</v>
      </c>
      <c r="F754" s="69">
        <v>292572</v>
      </c>
      <c r="G754" s="34"/>
      <c r="H754" s="68"/>
      <c r="I754" s="69"/>
      <c r="J754" s="167"/>
    </row>
    <row r="755" spans="1:10" hidden="1">
      <c r="A755" s="13" t="s">
        <v>4467</v>
      </c>
      <c r="B755" s="18" t="s">
        <v>60</v>
      </c>
      <c r="C755" s="18" t="s">
        <v>351</v>
      </c>
      <c r="D755" s="34">
        <v>43157</v>
      </c>
      <c r="E755" s="68">
        <f>217.6375-34.02</f>
        <v>183.61749999999998</v>
      </c>
      <c r="F755" s="69">
        <f>1762275.88-292572</f>
        <v>1469703.88</v>
      </c>
      <c r="G755" s="34"/>
      <c r="H755" s="68"/>
      <c r="I755" s="69"/>
      <c r="J755" s="167"/>
    </row>
    <row r="756" spans="1:10" hidden="1">
      <c r="A756" s="42" t="s">
        <v>4533</v>
      </c>
      <c r="B756" s="18" t="s">
        <v>240</v>
      </c>
      <c r="C756" s="18" t="s">
        <v>2065</v>
      </c>
      <c r="D756" s="34">
        <v>43161</v>
      </c>
      <c r="E756" s="68">
        <v>32</v>
      </c>
      <c r="F756" s="69">
        <v>428800</v>
      </c>
      <c r="G756" s="34">
        <v>43161</v>
      </c>
      <c r="H756" s="68">
        <v>32</v>
      </c>
      <c r="I756" s="69">
        <v>428800</v>
      </c>
      <c r="J756" s="167" t="s">
        <v>143</v>
      </c>
    </row>
    <row r="757" spans="1:10" hidden="1">
      <c r="A757" s="42" t="s">
        <v>4532</v>
      </c>
      <c r="B757" s="18" t="s">
        <v>240</v>
      </c>
      <c r="C757" s="18" t="s">
        <v>75</v>
      </c>
      <c r="D757" s="34">
        <v>43164</v>
      </c>
      <c r="E757" s="68">
        <v>32</v>
      </c>
      <c r="F757" s="69">
        <f>32*13650</f>
        <v>436800</v>
      </c>
      <c r="G757" s="34">
        <v>43164</v>
      </c>
      <c r="H757" s="68">
        <v>32</v>
      </c>
      <c r="I757" s="69">
        <v>436800</v>
      </c>
      <c r="J757" s="167" t="s">
        <v>140</v>
      </c>
    </row>
    <row r="758" spans="1:10" hidden="1">
      <c r="A758" s="42" t="s">
        <v>4435</v>
      </c>
      <c r="B758" s="18" t="s">
        <v>106</v>
      </c>
      <c r="C758" s="18" t="s">
        <v>4286</v>
      </c>
      <c r="D758" s="34">
        <v>43161</v>
      </c>
      <c r="E758" s="68">
        <v>3456.2950000000001</v>
      </c>
      <c r="F758" s="69">
        <v>8859007.9800000004</v>
      </c>
      <c r="G758" s="34"/>
      <c r="H758" s="68"/>
      <c r="I758" s="69"/>
      <c r="J758" s="167"/>
    </row>
    <row r="759" spans="1:10" hidden="1">
      <c r="A759" s="42" t="s">
        <v>4068</v>
      </c>
      <c r="B759" s="18" t="s">
        <v>3271</v>
      </c>
      <c r="C759" s="18" t="s">
        <v>2841</v>
      </c>
      <c r="D759" s="34">
        <v>43164</v>
      </c>
      <c r="E759" s="68">
        <v>200</v>
      </c>
      <c r="F759" s="69">
        <v>270000</v>
      </c>
      <c r="G759" s="34">
        <v>43164</v>
      </c>
      <c r="H759" s="68">
        <v>200</v>
      </c>
      <c r="I759" s="69">
        <v>270000</v>
      </c>
      <c r="J759" s="167" t="s">
        <v>401</v>
      </c>
    </row>
    <row r="760" spans="1:10" hidden="1">
      <c r="A760" s="42" t="s">
        <v>4606</v>
      </c>
      <c r="B760" s="18" t="s">
        <v>3271</v>
      </c>
      <c r="C760" s="18" t="s">
        <v>2841</v>
      </c>
      <c r="D760" s="34">
        <v>43164</v>
      </c>
      <c r="E760" s="68">
        <v>40</v>
      </c>
      <c r="F760" s="69">
        <v>69400</v>
      </c>
      <c r="G760" s="34">
        <v>43164</v>
      </c>
      <c r="H760" s="68">
        <v>40</v>
      </c>
      <c r="I760" s="69">
        <v>69400</v>
      </c>
      <c r="J760" s="167" t="s">
        <v>401</v>
      </c>
    </row>
    <row r="761" spans="1:10" hidden="1">
      <c r="A761" s="42" t="s">
        <v>4607</v>
      </c>
      <c r="B761" s="18" t="s">
        <v>3271</v>
      </c>
      <c r="C761" s="18" t="s">
        <v>2841</v>
      </c>
      <c r="D761" s="34">
        <v>43164</v>
      </c>
      <c r="E761" s="68">
        <v>40</v>
      </c>
      <c r="F761" s="69">
        <v>69400</v>
      </c>
      <c r="G761" s="34">
        <v>43164</v>
      </c>
      <c r="H761" s="68">
        <v>40</v>
      </c>
      <c r="I761" s="69">
        <v>69400</v>
      </c>
      <c r="J761" s="167" t="s">
        <v>401</v>
      </c>
    </row>
    <row r="762" spans="1:10" hidden="1">
      <c r="A762" s="42" t="s">
        <v>4608</v>
      </c>
      <c r="B762" s="18" t="s">
        <v>3271</v>
      </c>
      <c r="C762" s="18" t="s">
        <v>3984</v>
      </c>
      <c r="D762" s="34">
        <v>43164</v>
      </c>
      <c r="E762" s="68">
        <v>100</v>
      </c>
      <c r="F762" s="69">
        <v>156500</v>
      </c>
      <c r="G762" s="34">
        <v>43164</v>
      </c>
      <c r="H762" s="68">
        <v>100</v>
      </c>
      <c r="I762" s="69">
        <v>156500</v>
      </c>
      <c r="J762" s="167" t="s">
        <v>401</v>
      </c>
    </row>
    <row r="763" spans="1:10" hidden="1">
      <c r="A763" s="42" t="s">
        <v>4609</v>
      </c>
      <c r="B763" s="18" t="s">
        <v>3271</v>
      </c>
      <c r="C763" s="18" t="s">
        <v>474</v>
      </c>
      <c r="D763" s="34">
        <v>43164</v>
      </c>
      <c r="E763" s="68">
        <v>200</v>
      </c>
      <c r="F763" s="69">
        <v>303000</v>
      </c>
      <c r="G763" s="34">
        <v>43164</v>
      </c>
      <c r="H763" s="68">
        <v>200</v>
      </c>
      <c r="I763" s="69">
        <v>303000</v>
      </c>
      <c r="J763" s="167" t="s">
        <v>401</v>
      </c>
    </row>
    <row r="764" spans="1:10" hidden="1">
      <c r="A764" s="42" t="s">
        <v>4610</v>
      </c>
      <c r="B764" s="18" t="s">
        <v>3271</v>
      </c>
      <c r="C764" s="18" t="s">
        <v>992</v>
      </c>
      <c r="D764" s="34">
        <v>43164</v>
      </c>
      <c r="E764" s="68">
        <v>200</v>
      </c>
      <c r="F764" s="69">
        <v>267000</v>
      </c>
      <c r="G764" s="34">
        <v>43164</v>
      </c>
      <c r="H764" s="68">
        <v>200</v>
      </c>
      <c r="I764" s="69">
        <v>267000</v>
      </c>
      <c r="J764" s="167" t="s">
        <v>1472</v>
      </c>
    </row>
    <row r="765" spans="1:10" hidden="1">
      <c r="A765" s="42" t="s">
        <v>4611</v>
      </c>
      <c r="B765" s="18" t="s">
        <v>3271</v>
      </c>
      <c r="C765" s="18" t="s">
        <v>992</v>
      </c>
      <c r="D765" s="34">
        <v>43164</v>
      </c>
      <c r="E765" s="68">
        <v>40</v>
      </c>
      <c r="F765" s="69">
        <v>68600</v>
      </c>
      <c r="G765" s="34">
        <v>43164</v>
      </c>
      <c r="H765" s="68">
        <v>40</v>
      </c>
      <c r="I765" s="69">
        <v>68600</v>
      </c>
      <c r="J765" s="167" t="s">
        <v>1472</v>
      </c>
    </row>
    <row r="766" spans="1:10" hidden="1">
      <c r="A766" s="42" t="s">
        <v>4612</v>
      </c>
      <c r="B766" s="18" t="s">
        <v>3271</v>
      </c>
      <c r="C766" s="18" t="s">
        <v>992</v>
      </c>
      <c r="D766" s="34">
        <v>43164</v>
      </c>
      <c r="E766" s="68">
        <v>40</v>
      </c>
      <c r="F766" s="69">
        <v>68600</v>
      </c>
      <c r="G766" s="34">
        <v>43164</v>
      </c>
      <c r="H766" s="68">
        <v>40</v>
      </c>
      <c r="I766" s="69">
        <v>68600</v>
      </c>
      <c r="J766" s="167" t="s">
        <v>1472</v>
      </c>
    </row>
    <row r="767" spans="1:10" hidden="1">
      <c r="A767" s="42" t="s">
        <v>4613</v>
      </c>
      <c r="B767" s="18" t="s">
        <v>3271</v>
      </c>
      <c r="C767" s="18" t="s">
        <v>992</v>
      </c>
      <c r="D767" s="34">
        <v>43164</v>
      </c>
      <c r="E767" s="68">
        <v>100</v>
      </c>
      <c r="F767" s="69">
        <v>155500</v>
      </c>
      <c r="G767" s="34">
        <v>43164</v>
      </c>
      <c r="H767" s="68">
        <v>100</v>
      </c>
      <c r="I767" s="69">
        <v>155500</v>
      </c>
      <c r="J767" s="167" t="s">
        <v>1472</v>
      </c>
    </row>
    <row r="768" spans="1:10" hidden="1">
      <c r="A768" s="42" t="s">
        <v>4614</v>
      </c>
      <c r="B768" s="18" t="s">
        <v>3271</v>
      </c>
      <c r="C768" s="18" t="s">
        <v>992</v>
      </c>
      <c r="D768" s="34">
        <v>43164</v>
      </c>
      <c r="E768" s="68">
        <v>200</v>
      </c>
      <c r="F768" s="69">
        <v>301000</v>
      </c>
      <c r="G768" s="34">
        <v>43164</v>
      </c>
      <c r="H768" s="68">
        <v>200</v>
      </c>
      <c r="I768" s="69">
        <v>301000</v>
      </c>
      <c r="J768" s="167" t="s">
        <v>1472</v>
      </c>
    </row>
    <row r="769" spans="1:10" hidden="1">
      <c r="A769" s="42" t="s">
        <v>4585</v>
      </c>
      <c r="B769" s="18" t="s">
        <v>82</v>
      </c>
      <c r="C769" s="18" t="s">
        <v>83</v>
      </c>
      <c r="D769" s="34">
        <v>43174</v>
      </c>
      <c r="E769" s="68">
        <v>200.14</v>
      </c>
      <c r="F769" s="69">
        <v>2862002</v>
      </c>
      <c r="G769" s="34">
        <v>43174</v>
      </c>
      <c r="H769" s="68">
        <v>200.14</v>
      </c>
      <c r="I769" s="69">
        <v>2862002</v>
      </c>
      <c r="J769" s="167" t="s">
        <v>140</v>
      </c>
    </row>
    <row r="770" spans="1:10" hidden="1">
      <c r="A770" s="42" t="s">
        <v>4443</v>
      </c>
      <c r="B770" s="18" t="s">
        <v>4223</v>
      </c>
      <c r="C770" s="18" t="s">
        <v>2763</v>
      </c>
      <c r="D770" s="34">
        <v>43174</v>
      </c>
      <c r="E770" s="68">
        <v>2256.9699999999998</v>
      </c>
      <c r="F770" s="69">
        <v>6723267.8300000001</v>
      </c>
      <c r="G770" s="34">
        <v>43174</v>
      </c>
      <c r="H770" s="68">
        <v>2256.9699999999998</v>
      </c>
      <c r="I770" s="69">
        <v>6723267.8300000001</v>
      </c>
      <c r="J770" s="167" t="s">
        <v>140</v>
      </c>
    </row>
    <row r="771" spans="1:10" hidden="1">
      <c r="A771" s="42" t="s">
        <v>4510</v>
      </c>
      <c r="B771" s="18" t="s">
        <v>4638</v>
      </c>
      <c r="C771" s="18" t="s">
        <v>83</v>
      </c>
      <c r="D771" s="34">
        <v>43168</v>
      </c>
      <c r="E771" s="68">
        <v>772.44</v>
      </c>
      <c r="F771" s="69">
        <v>2374887.7200000002</v>
      </c>
      <c r="G771" s="34">
        <v>43168</v>
      </c>
      <c r="H771" s="68">
        <v>772.44</v>
      </c>
      <c r="I771" s="69">
        <v>2374887.7200000002</v>
      </c>
      <c r="J771" s="167" t="s">
        <v>140</v>
      </c>
    </row>
    <row r="772" spans="1:10" hidden="1">
      <c r="A772" s="42" t="s">
        <v>4536</v>
      </c>
      <c r="B772" s="18" t="s">
        <v>4223</v>
      </c>
      <c r="C772" s="18" t="s">
        <v>4303</v>
      </c>
      <c r="D772" s="34">
        <v>43168</v>
      </c>
      <c r="E772" s="68">
        <v>1545.6804</v>
      </c>
      <c r="F772" s="69">
        <v>4576864.82</v>
      </c>
      <c r="G772" s="34">
        <v>43174</v>
      </c>
      <c r="H772" s="68">
        <v>1545.6804</v>
      </c>
      <c r="I772" s="69">
        <v>4576864.82</v>
      </c>
      <c r="J772" s="167" t="s">
        <v>143</v>
      </c>
    </row>
    <row r="773" spans="1:10" hidden="1">
      <c r="A773" s="42" t="s">
        <v>4646</v>
      </c>
      <c r="B773" s="18" t="s">
        <v>3271</v>
      </c>
      <c r="C773" s="18" t="s">
        <v>2841</v>
      </c>
      <c r="D773" s="34">
        <v>43164</v>
      </c>
      <c r="E773" s="68">
        <v>160</v>
      </c>
      <c r="F773" s="69">
        <v>276000</v>
      </c>
      <c r="G773" s="34">
        <v>43164</v>
      </c>
      <c r="H773" s="68">
        <v>160</v>
      </c>
      <c r="I773" s="69">
        <v>276000</v>
      </c>
      <c r="J773" s="167" t="s">
        <v>401</v>
      </c>
    </row>
    <row r="774" spans="1:10" hidden="1">
      <c r="A774" s="42" t="s">
        <v>4647</v>
      </c>
      <c r="B774" s="18" t="s">
        <v>3271</v>
      </c>
      <c r="C774" s="18" t="s">
        <v>2841</v>
      </c>
      <c r="D774" s="34">
        <v>43169</v>
      </c>
      <c r="E774" s="68">
        <v>100</v>
      </c>
      <c r="F774" s="69">
        <v>174000</v>
      </c>
      <c r="G774" s="34">
        <v>43169</v>
      </c>
      <c r="H774" s="68">
        <v>100</v>
      </c>
      <c r="I774" s="69">
        <v>174000</v>
      </c>
      <c r="J774" s="167" t="s">
        <v>401</v>
      </c>
    </row>
    <row r="775" spans="1:10" hidden="1">
      <c r="A775" s="42" t="s">
        <v>4648</v>
      </c>
      <c r="B775" s="18" t="s">
        <v>3271</v>
      </c>
      <c r="C775" s="18" t="s">
        <v>2841</v>
      </c>
      <c r="D775" s="34">
        <v>43169</v>
      </c>
      <c r="E775" s="68">
        <v>100</v>
      </c>
      <c r="F775" s="69">
        <v>150000</v>
      </c>
      <c r="G775" s="34">
        <v>43169</v>
      </c>
      <c r="H775" s="68">
        <v>100</v>
      </c>
      <c r="I775" s="69">
        <v>150000</v>
      </c>
      <c r="J775" s="167" t="s">
        <v>401</v>
      </c>
    </row>
    <row r="776" spans="1:10" hidden="1">
      <c r="A776" s="42" t="s">
        <v>4600</v>
      </c>
      <c r="B776" s="18" t="s">
        <v>3271</v>
      </c>
      <c r="C776" s="18" t="s">
        <v>2841</v>
      </c>
      <c r="D776" s="34">
        <v>43169</v>
      </c>
      <c r="E776" s="68">
        <v>200</v>
      </c>
      <c r="F776" s="69">
        <v>290000</v>
      </c>
      <c r="G776" s="34">
        <v>43169</v>
      </c>
      <c r="H776" s="68">
        <v>200</v>
      </c>
      <c r="I776" s="69">
        <v>290000</v>
      </c>
      <c r="J776" s="167" t="s">
        <v>401</v>
      </c>
    </row>
    <row r="777" spans="1:10" hidden="1">
      <c r="A777" s="42" t="s">
        <v>4601</v>
      </c>
      <c r="B777" s="18" t="s">
        <v>3271</v>
      </c>
      <c r="C777" s="18" t="s">
        <v>2841</v>
      </c>
      <c r="D777" s="34">
        <v>43169</v>
      </c>
      <c r="E777" s="68">
        <v>100</v>
      </c>
      <c r="F777" s="69">
        <v>145000</v>
      </c>
      <c r="G777" s="34">
        <v>43169</v>
      </c>
      <c r="H777" s="68">
        <v>100</v>
      </c>
      <c r="I777" s="69">
        <v>145000</v>
      </c>
      <c r="J777" s="167" t="s">
        <v>401</v>
      </c>
    </row>
    <row r="778" spans="1:10" hidden="1">
      <c r="A778" s="42" t="s">
        <v>4649</v>
      </c>
      <c r="B778" s="18" t="s">
        <v>3271</v>
      </c>
      <c r="C778" s="18" t="s">
        <v>992</v>
      </c>
      <c r="D778" s="34">
        <v>43164</v>
      </c>
      <c r="E778" s="68">
        <v>160</v>
      </c>
      <c r="F778" s="69">
        <v>272800</v>
      </c>
      <c r="G778" s="34">
        <v>43164</v>
      </c>
      <c r="H778" s="68">
        <v>160</v>
      </c>
      <c r="I778" s="69">
        <v>272800</v>
      </c>
      <c r="J778" s="167" t="s">
        <v>1472</v>
      </c>
    </row>
    <row r="779" spans="1:10" hidden="1">
      <c r="A779" s="42" t="s">
        <v>4650</v>
      </c>
      <c r="B779" s="18" t="s">
        <v>3271</v>
      </c>
      <c r="C779" s="18" t="s">
        <v>992</v>
      </c>
      <c r="D779" s="34">
        <v>43169</v>
      </c>
      <c r="E779" s="68">
        <v>100</v>
      </c>
      <c r="F779" s="69">
        <v>172000</v>
      </c>
      <c r="G779" s="34">
        <v>43169</v>
      </c>
      <c r="H779" s="68">
        <v>100</v>
      </c>
      <c r="I779" s="69">
        <v>172000</v>
      </c>
      <c r="J779" s="167" t="s">
        <v>1472</v>
      </c>
    </row>
    <row r="780" spans="1:10" hidden="1">
      <c r="A780" s="42" t="s">
        <v>4651</v>
      </c>
      <c r="B780" s="18" t="s">
        <v>3271</v>
      </c>
      <c r="C780" s="18" t="s">
        <v>992</v>
      </c>
      <c r="D780" s="34">
        <v>43169</v>
      </c>
      <c r="E780" s="68">
        <v>100</v>
      </c>
      <c r="F780" s="69">
        <v>149000</v>
      </c>
      <c r="G780" s="34">
        <v>43169</v>
      </c>
      <c r="H780" s="68">
        <v>100</v>
      </c>
      <c r="I780" s="69">
        <v>149000</v>
      </c>
      <c r="J780" s="167" t="s">
        <v>1472</v>
      </c>
    </row>
    <row r="781" spans="1:10" hidden="1">
      <c r="A781" s="42" t="s">
        <v>4652</v>
      </c>
      <c r="B781" s="18" t="s">
        <v>3271</v>
      </c>
      <c r="C781" s="18" t="s">
        <v>992</v>
      </c>
      <c r="D781" s="34">
        <v>43169</v>
      </c>
      <c r="E781" s="68">
        <v>200</v>
      </c>
      <c r="F781" s="69">
        <v>288000</v>
      </c>
      <c r="G781" s="34">
        <v>43169</v>
      </c>
      <c r="H781" s="68">
        <v>200</v>
      </c>
      <c r="I781" s="69">
        <v>288000</v>
      </c>
      <c r="J781" s="167" t="s">
        <v>1472</v>
      </c>
    </row>
    <row r="782" spans="1:10" hidden="1">
      <c r="A782" s="42" t="s">
        <v>4653</v>
      </c>
      <c r="B782" s="18" t="s">
        <v>3271</v>
      </c>
      <c r="C782" s="18" t="s">
        <v>992</v>
      </c>
      <c r="D782" s="34">
        <v>43169</v>
      </c>
      <c r="E782" s="68">
        <v>100</v>
      </c>
      <c r="F782" s="69">
        <v>144000</v>
      </c>
      <c r="G782" s="34">
        <v>43169</v>
      </c>
      <c r="H782" s="68">
        <v>100</v>
      </c>
      <c r="I782" s="69">
        <v>144000</v>
      </c>
      <c r="J782" s="167" t="s">
        <v>1472</v>
      </c>
    </row>
    <row r="783" spans="1:10" hidden="1">
      <c r="A783" s="42" t="s">
        <v>4592</v>
      </c>
      <c r="B783" s="18" t="s">
        <v>106</v>
      </c>
      <c r="C783" s="18" t="s">
        <v>4667</v>
      </c>
      <c r="D783" s="34"/>
      <c r="E783" s="68"/>
      <c r="F783" s="69"/>
      <c r="G783" s="34">
        <v>43181</v>
      </c>
      <c r="H783" s="68">
        <v>1200</v>
      </c>
      <c r="I783" s="69">
        <v>3000000</v>
      </c>
      <c r="J783" s="167" t="s">
        <v>749</v>
      </c>
    </row>
    <row r="784" spans="1:10" hidden="1">
      <c r="A784" s="42" t="s">
        <v>4577</v>
      </c>
      <c r="B784" s="18" t="s">
        <v>5143</v>
      </c>
      <c r="C784" s="18" t="s">
        <v>83</v>
      </c>
      <c r="D784" s="34">
        <v>43180</v>
      </c>
      <c r="E784" s="68">
        <v>337.51049999999998</v>
      </c>
      <c r="F784" s="69">
        <v>2919465.83</v>
      </c>
      <c r="G784" s="34">
        <v>43180</v>
      </c>
      <c r="H784" s="68">
        <v>337.51049999999998</v>
      </c>
      <c r="I784" s="69">
        <v>2919465.83</v>
      </c>
      <c r="J784" s="167" t="s">
        <v>335</v>
      </c>
    </row>
    <row r="785" spans="1:10" hidden="1">
      <c r="A785" s="42" t="s">
        <v>4639</v>
      </c>
      <c r="B785" s="18" t="s">
        <v>4301</v>
      </c>
      <c r="C785" s="18" t="s">
        <v>83</v>
      </c>
      <c r="D785" s="34">
        <v>43180</v>
      </c>
      <c r="E785" s="68">
        <v>857.75</v>
      </c>
      <c r="F785" s="69">
        <v>2646844.34</v>
      </c>
      <c r="G785" s="34">
        <v>43180</v>
      </c>
      <c r="H785" s="68">
        <v>857.75</v>
      </c>
      <c r="I785" s="69">
        <v>2646844.34</v>
      </c>
      <c r="J785" s="167" t="s">
        <v>335</v>
      </c>
    </row>
    <row r="786" spans="1:10" hidden="1">
      <c r="A786" s="13" t="s">
        <v>4438</v>
      </c>
      <c r="B786" s="18" t="s">
        <v>4688</v>
      </c>
      <c r="C786" s="18" t="s">
        <v>4689</v>
      </c>
      <c r="D786" s="34">
        <v>43179</v>
      </c>
      <c r="E786" s="68">
        <v>1590.46</v>
      </c>
      <c r="F786" s="69">
        <v>4550897.3099999996</v>
      </c>
      <c r="G786" s="34">
        <v>43185</v>
      </c>
      <c r="H786" s="68">
        <v>242.1986</v>
      </c>
      <c r="I786" s="69">
        <v>667904.51</v>
      </c>
      <c r="J786" s="167" t="s">
        <v>143</v>
      </c>
    </row>
    <row r="787" spans="1:10" hidden="1">
      <c r="A787" s="42" t="s">
        <v>4707</v>
      </c>
      <c r="B787" s="18" t="s">
        <v>4708</v>
      </c>
      <c r="C787" s="18" t="s">
        <v>2065</v>
      </c>
      <c r="D787" s="34">
        <v>43192</v>
      </c>
      <c r="E787" s="68">
        <v>160</v>
      </c>
      <c r="F787" s="69">
        <v>2125817.6</v>
      </c>
      <c r="G787" s="34">
        <v>43192</v>
      </c>
      <c r="H787" s="68">
        <v>160</v>
      </c>
      <c r="I787" s="69">
        <v>2125817.6</v>
      </c>
      <c r="J787" s="167" t="s">
        <v>4709</v>
      </c>
    </row>
    <row r="788" spans="1:10" hidden="1">
      <c r="A788" s="42" t="s">
        <v>4711</v>
      </c>
      <c r="B788" s="18" t="s">
        <v>4708</v>
      </c>
      <c r="C788" s="18" t="s">
        <v>4713</v>
      </c>
      <c r="D788" s="34">
        <v>43192</v>
      </c>
      <c r="E788" s="68">
        <v>64</v>
      </c>
      <c r="F788" s="69">
        <v>848000</v>
      </c>
      <c r="G788" s="34">
        <v>43192</v>
      </c>
      <c r="H788" s="68">
        <v>64</v>
      </c>
      <c r="I788" s="69">
        <v>848000</v>
      </c>
      <c r="J788" s="167" t="s">
        <v>4709</v>
      </c>
    </row>
    <row r="789" spans="1:10" hidden="1">
      <c r="A789" s="42" t="s">
        <v>4722</v>
      </c>
      <c r="B789" s="18" t="s">
        <v>4723</v>
      </c>
      <c r="C789" s="18" t="s">
        <v>4724</v>
      </c>
      <c r="D789" s="34">
        <v>43192</v>
      </c>
      <c r="E789" s="68">
        <v>978.55</v>
      </c>
      <c r="F789" s="69">
        <v>2450005.42</v>
      </c>
      <c r="G789" s="34">
        <v>43192</v>
      </c>
      <c r="H789" s="68">
        <v>978.55</v>
      </c>
      <c r="I789" s="69">
        <v>2450005.42</v>
      </c>
      <c r="J789" s="167" t="s">
        <v>4725</v>
      </c>
    </row>
    <row r="790" spans="1:10" hidden="1">
      <c r="A790" s="42" t="s">
        <v>4726</v>
      </c>
      <c r="B790" s="18" t="s">
        <v>4723</v>
      </c>
      <c r="C790" s="18" t="s">
        <v>4727</v>
      </c>
      <c r="D790" s="34">
        <v>43193</v>
      </c>
      <c r="E790" s="68">
        <v>3274.85</v>
      </c>
      <c r="F790" s="69">
        <v>8187125</v>
      </c>
      <c r="G790" s="34">
        <v>43193</v>
      </c>
      <c r="H790" s="68">
        <v>3274.85</v>
      </c>
      <c r="I790" s="69">
        <v>8187125</v>
      </c>
      <c r="J790" s="167" t="s">
        <v>4725</v>
      </c>
    </row>
    <row r="791" spans="1:10" hidden="1">
      <c r="A791" s="42" t="s">
        <v>4741</v>
      </c>
      <c r="B791" s="18" t="s">
        <v>4742</v>
      </c>
      <c r="C791" s="18" t="s">
        <v>4743</v>
      </c>
      <c r="D791" s="34">
        <v>43199</v>
      </c>
      <c r="E791" s="68">
        <v>1903.425</v>
      </c>
      <c r="F791" s="69">
        <v>4796631</v>
      </c>
      <c r="G791" s="34">
        <v>43199</v>
      </c>
      <c r="H791" s="68">
        <v>1903.425</v>
      </c>
      <c r="I791" s="69">
        <v>4796631</v>
      </c>
      <c r="J791" s="167" t="s">
        <v>4725</v>
      </c>
    </row>
    <row r="792" spans="1:10" hidden="1">
      <c r="A792" s="42" t="s">
        <v>4753</v>
      </c>
      <c r="B792" s="18" t="s">
        <v>106</v>
      </c>
      <c r="C792" s="18" t="s">
        <v>4058</v>
      </c>
      <c r="D792" s="34">
        <v>43182</v>
      </c>
      <c r="E792" s="68">
        <v>1499.88</v>
      </c>
      <c r="F792" s="69">
        <v>3566835.24</v>
      </c>
      <c r="G792" s="34">
        <v>43182</v>
      </c>
      <c r="H792" s="68">
        <v>1499.88</v>
      </c>
      <c r="I792" s="69">
        <v>3566835.24</v>
      </c>
      <c r="J792" s="167" t="s">
        <v>140</v>
      </c>
    </row>
    <row r="793" spans="1:10" hidden="1">
      <c r="A793" s="42" t="s">
        <v>4753</v>
      </c>
      <c r="B793" s="18" t="s">
        <v>106</v>
      </c>
      <c r="C793" s="18" t="s">
        <v>4058</v>
      </c>
      <c r="D793" s="34">
        <v>43192</v>
      </c>
      <c r="E793" s="68">
        <v>1895.71</v>
      </c>
      <c r="F793" s="69">
        <v>4975745.87</v>
      </c>
      <c r="G793" s="34">
        <v>43192</v>
      </c>
      <c r="H793" s="68">
        <v>1895.71</v>
      </c>
      <c r="I793" s="69">
        <v>4975745.87</v>
      </c>
      <c r="J793" s="167" t="s">
        <v>140</v>
      </c>
    </row>
    <row r="794" spans="1:10" hidden="1">
      <c r="A794" s="42" t="s">
        <v>4754</v>
      </c>
      <c r="B794" s="18" t="s">
        <v>106</v>
      </c>
      <c r="C794" s="18" t="s">
        <v>4058</v>
      </c>
      <c r="D794" s="34">
        <v>43192</v>
      </c>
      <c r="E794" s="68">
        <v>1869.72</v>
      </c>
      <c r="F794" s="69">
        <v>5756600.9800000004</v>
      </c>
      <c r="G794" s="34">
        <v>43192</v>
      </c>
      <c r="H794" s="68">
        <v>1869.72</v>
      </c>
      <c r="I794" s="69">
        <v>5756600.9800000004</v>
      </c>
      <c r="J794" s="167" t="s">
        <v>140</v>
      </c>
    </row>
    <row r="795" spans="1:10" hidden="1">
      <c r="A795" s="42" t="s">
        <v>4757</v>
      </c>
      <c r="B795" s="18" t="s">
        <v>82</v>
      </c>
      <c r="C795" s="18" t="s">
        <v>83</v>
      </c>
      <c r="D795" s="34">
        <v>43194</v>
      </c>
      <c r="E795" s="68">
        <v>157.017</v>
      </c>
      <c r="F795" s="461">
        <v>2261044.7999999998</v>
      </c>
      <c r="G795" s="34">
        <v>43194</v>
      </c>
      <c r="H795" s="68">
        <v>157.017</v>
      </c>
      <c r="I795" s="461">
        <v>2261044.7999999998</v>
      </c>
      <c r="J795" s="167" t="s">
        <v>140</v>
      </c>
    </row>
    <row r="796" spans="1:10" hidden="1">
      <c r="A796" s="42" t="s">
        <v>4775</v>
      </c>
      <c r="B796" s="18" t="s">
        <v>60</v>
      </c>
      <c r="C796" s="18" t="s">
        <v>1429</v>
      </c>
      <c r="D796" s="34">
        <v>43157</v>
      </c>
      <c r="E796" s="68">
        <v>217.63749999999999</v>
      </c>
      <c r="F796" s="69">
        <v>1762275.88</v>
      </c>
      <c r="G796" s="34">
        <v>43194</v>
      </c>
      <c r="H796" s="68">
        <v>217.63749999999999</v>
      </c>
      <c r="I796" s="69">
        <v>1762275.88</v>
      </c>
      <c r="J796" s="167" t="s">
        <v>143</v>
      </c>
    </row>
    <row r="797" spans="1:10" hidden="1">
      <c r="A797" s="42" t="s">
        <v>4577</v>
      </c>
      <c r="B797" s="18" t="s">
        <v>60</v>
      </c>
      <c r="C797" s="18" t="s">
        <v>83</v>
      </c>
      <c r="D797" s="34">
        <v>43194</v>
      </c>
      <c r="E797" s="68">
        <v>671.00779999999997</v>
      </c>
      <c r="F797" s="69">
        <v>5804217.4699999997</v>
      </c>
      <c r="G797" s="34">
        <v>43194</v>
      </c>
      <c r="H797" s="68">
        <v>671.00779999999997</v>
      </c>
      <c r="I797" s="69">
        <v>5804217.4699999997</v>
      </c>
      <c r="J797" s="167" t="s">
        <v>140</v>
      </c>
    </row>
    <row r="798" spans="1:10" hidden="1">
      <c r="A798" s="42" t="s">
        <v>4781</v>
      </c>
      <c r="B798" s="18" t="s">
        <v>4223</v>
      </c>
      <c r="C798" s="18" t="s">
        <v>83</v>
      </c>
      <c r="D798" s="34">
        <v>43200</v>
      </c>
      <c r="E798" s="68">
        <v>1351.9996000000001</v>
      </c>
      <c r="F798" s="69">
        <v>4423037.1100000003</v>
      </c>
      <c r="G798" s="34">
        <v>43200</v>
      </c>
      <c r="H798" s="68">
        <v>1351.9996000000001</v>
      </c>
      <c r="I798" s="69">
        <v>4423037.1100000003</v>
      </c>
      <c r="J798" s="167" t="s">
        <v>140</v>
      </c>
    </row>
    <row r="799" spans="1:10" hidden="1">
      <c r="A799" s="42" t="s">
        <v>4715</v>
      </c>
      <c r="B799" s="18" t="s">
        <v>240</v>
      </c>
      <c r="C799" s="18" t="s">
        <v>4795</v>
      </c>
      <c r="D799" s="34">
        <v>43198</v>
      </c>
      <c r="E799" s="68">
        <v>32</v>
      </c>
      <c r="F799" s="69">
        <v>388800</v>
      </c>
      <c r="G799" s="34">
        <v>43198</v>
      </c>
      <c r="H799" s="68">
        <v>32</v>
      </c>
      <c r="I799" s="69">
        <v>388800</v>
      </c>
      <c r="J799" s="167" t="s">
        <v>143</v>
      </c>
    </row>
    <row r="800" spans="1:10" hidden="1">
      <c r="A800" s="42" t="s">
        <v>4741</v>
      </c>
      <c r="B800" s="18" t="s">
        <v>106</v>
      </c>
      <c r="C800" s="18" t="s">
        <v>4743</v>
      </c>
      <c r="D800" s="34">
        <v>43206</v>
      </c>
      <c r="E800" s="68">
        <v>1299.9000000000001</v>
      </c>
      <c r="F800" s="69">
        <v>3275748</v>
      </c>
      <c r="G800" s="34">
        <v>43206</v>
      </c>
      <c r="H800" s="68">
        <v>1299.9000000000001</v>
      </c>
      <c r="I800" s="69">
        <v>3275748</v>
      </c>
      <c r="J800" s="167" t="s">
        <v>388</v>
      </c>
    </row>
    <row r="801" spans="1:10" hidden="1">
      <c r="A801" s="42" t="s">
        <v>4803</v>
      </c>
      <c r="B801" s="18" t="s">
        <v>106</v>
      </c>
      <c r="C801" s="18" t="s">
        <v>4804</v>
      </c>
      <c r="D801" s="34">
        <v>43206</v>
      </c>
      <c r="E801" s="68">
        <v>1985.98</v>
      </c>
      <c r="F801" s="69">
        <v>5123828.4000000004</v>
      </c>
      <c r="G801" s="34">
        <v>43206</v>
      </c>
      <c r="H801" s="68">
        <v>1985.98</v>
      </c>
      <c r="I801" s="69">
        <v>5123828.4000000004</v>
      </c>
      <c r="J801" s="167" t="s">
        <v>388</v>
      </c>
    </row>
    <row r="802" spans="1:10" hidden="1">
      <c r="A802" s="42" t="s">
        <v>4681</v>
      </c>
      <c r="B802" s="18" t="s">
        <v>60</v>
      </c>
      <c r="C802" s="18" t="s">
        <v>1446</v>
      </c>
      <c r="D802" s="34">
        <v>43206</v>
      </c>
      <c r="E802" s="68">
        <v>214.53469999999999</v>
      </c>
      <c r="F802" s="69">
        <v>1791422.39</v>
      </c>
      <c r="G802" s="34">
        <v>43206</v>
      </c>
      <c r="H802" s="68">
        <v>214.53469999999999</v>
      </c>
      <c r="I802" s="69">
        <v>1791422.39</v>
      </c>
      <c r="J802" s="167" t="s">
        <v>143</v>
      </c>
    </row>
    <row r="803" spans="1:10" hidden="1">
      <c r="A803" s="42" t="s">
        <v>4680</v>
      </c>
      <c r="B803" s="18" t="s">
        <v>60</v>
      </c>
      <c r="C803" s="18" t="s">
        <v>351</v>
      </c>
      <c r="D803" s="34">
        <v>43206</v>
      </c>
      <c r="E803" s="68">
        <v>793.98360000000002</v>
      </c>
      <c r="F803" s="69">
        <v>6631363.96</v>
      </c>
      <c r="G803" s="34">
        <v>43206</v>
      </c>
      <c r="H803" s="68">
        <v>600</v>
      </c>
      <c r="I803" s="69">
        <v>5070000</v>
      </c>
      <c r="J803" s="167" t="s">
        <v>143</v>
      </c>
    </row>
    <row r="804" spans="1:10" hidden="1">
      <c r="A804" s="42" t="s">
        <v>4837</v>
      </c>
      <c r="B804" s="18" t="s">
        <v>4838</v>
      </c>
      <c r="C804" s="18" t="s">
        <v>2065</v>
      </c>
      <c r="D804" s="34">
        <v>43218</v>
      </c>
      <c r="E804" s="68">
        <v>96</v>
      </c>
      <c r="F804" s="69">
        <v>1127520</v>
      </c>
      <c r="G804" s="34">
        <v>43218</v>
      </c>
      <c r="H804" s="68">
        <v>96</v>
      </c>
      <c r="I804" s="69">
        <v>1127520</v>
      </c>
      <c r="J804" s="167" t="s">
        <v>143</v>
      </c>
    </row>
    <row r="805" spans="1:10" hidden="1">
      <c r="A805" s="42" t="s">
        <v>4680</v>
      </c>
      <c r="B805" s="18" t="s">
        <v>60</v>
      </c>
      <c r="C805" s="18" t="s">
        <v>351</v>
      </c>
      <c r="D805" s="34"/>
      <c r="E805" s="68"/>
      <c r="F805" s="69"/>
      <c r="G805" s="34">
        <v>43223</v>
      </c>
      <c r="H805" s="68">
        <v>193.9836</v>
      </c>
      <c r="I805" s="69">
        <v>1561363.96</v>
      </c>
      <c r="J805" s="167" t="s">
        <v>143</v>
      </c>
    </row>
    <row r="806" spans="1:10" hidden="1">
      <c r="A806" s="42" t="s">
        <v>4862</v>
      </c>
      <c r="B806" s="18" t="s">
        <v>4863</v>
      </c>
      <c r="C806" s="18" t="s">
        <v>4864</v>
      </c>
      <c r="D806" s="34">
        <v>43214</v>
      </c>
      <c r="E806" s="68">
        <v>2521.7896000000001</v>
      </c>
      <c r="F806" s="69">
        <v>7647791.8200000003</v>
      </c>
      <c r="G806" s="34">
        <v>43216</v>
      </c>
      <c r="H806" s="68">
        <v>2521.7896000000001</v>
      </c>
      <c r="I806" s="69">
        <v>7647791.8200000003</v>
      </c>
      <c r="J806" s="167" t="s">
        <v>4865</v>
      </c>
    </row>
    <row r="807" spans="1:10" hidden="1">
      <c r="A807" s="42" t="s">
        <v>4866</v>
      </c>
      <c r="B807" s="18" t="s">
        <v>4863</v>
      </c>
      <c r="C807" s="18" t="s">
        <v>4867</v>
      </c>
      <c r="D807" s="34">
        <v>43214</v>
      </c>
      <c r="E807" s="68">
        <v>312.04000000000002</v>
      </c>
      <c r="F807" s="69">
        <v>1005997.7</v>
      </c>
      <c r="G807" s="34">
        <v>43214</v>
      </c>
      <c r="H807" s="68">
        <v>312.04000000000002</v>
      </c>
      <c r="I807" s="69">
        <v>1005997.7</v>
      </c>
      <c r="J807" s="167" t="s">
        <v>4868</v>
      </c>
    </row>
    <row r="808" spans="1:10" hidden="1">
      <c r="A808" s="42" t="s">
        <v>4780</v>
      </c>
      <c r="B808" s="18" t="s">
        <v>60</v>
      </c>
      <c r="C808" s="18" t="s">
        <v>83</v>
      </c>
      <c r="D808" s="34">
        <v>43214</v>
      </c>
      <c r="E808" s="68">
        <v>287.23520000000002</v>
      </c>
      <c r="F808" s="69">
        <v>2398413.92</v>
      </c>
      <c r="G808" s="34">
        <v>43214</v>
      </c>
      <c r="H808" s="68">
        <v>287.23520000000002</v>
      </c>
      <c r="I808" s="69">
        <v>2398413.92</v>
      </c>
      <c r="J808" s="167" t="s">
        <v>140</v>
      </c>
    </row>
    <row r="809" spans="1:10" hidden="1">
      <c r="A809" s="42" t="s">
        <v>4590</v>
      </c>
      <c r="B809" s="18" t="s">
        <v>106</v>
      </c>
      <c r="C809" s="18" t="s">
        <v>4058</v>
      </c>
      <c r="D809" s="34">
        <v>43209</v>
      </c>
      <c r="E809" s="68">
        <v>246.15</v>
      </c>
      <c r="F809" s="69">
        <v>681341.09</v>
      </c>
      <c r="G809" s="34">
        <v>43209</v>
      </c>
      <c r="H809" s="68">
        <v>246.15</v>
      </c>
      <c r="I809" s="69">
        <v>681341.09</v>
      </c>
      <c r="J809" s="167" t="s">
        <v>140</v>
      </c>
    </row>
    <row r="810" spans="1:10" hidden="1">
      <c r="A810" s="42" t="s">
        <v>4590</v>
      </c>
      <c r="B810" s="18" t="s">
        <v>106</v>
      </c>
      <c r="C810" s="18" t="s">
        <v>4058</v>
      </c>
      <c r="D810" s="34">
        <v>43209</v>
      </c>
      <c r="E810" s="68">
        <v>862.22</v>
      </c>
      <c r="F810" s="69">
        <v>2159089.27</v>
      </c>
      <c r="G810" s="34">
        <v>43209</v>
      </c>
      <c r="H810" s="68">
        <v>862.22</v>
      </c>
      <c r="I810" s="69">
        <v>2159089.27</v>
      </c>
      <c r="J810" s="167" t="s">
        <v>140</v>
      </c>
    </row>
    <row r="811" spans="1:10" hidden="1">
      <c r="A811" s="42" t="s">
        <v>4878</v>
      </c>
      <c r="B811" s="18" t="s">
        <v>106</v>
      </c>
      <c r="C811" s="18" t="s">
        <v>4804</v>
      </c>
      <c r="D811" s="34">
        <v>43210</v>
      </c>
      <c r="E811" s="462">
        <v>2407.16</v>
      </c>
      <c r="F811" s="461">
        <v>5729040.7999999998</v>
      </c>
      <c r="G811" s="34">
        <v>43210</v>
      </c>
      <c r="H811" s="462">
        <v>2407.16</v>
      </c>
      <c r="I811" s="461">
        <v>5729040.7999999998</v>
      </c>
      <c r="J811" s="167" t="s">
        <v>388</v>
      </c>
    </row>
    <row r="812" spans="1:10" hidden="1">
      <c r="A812" s="42" t="s">
        <v>4924</v>
      </c>
      <c r="B812" s="18" t="s">
        <v>3271</v>
      </c>
      <c r="C812" s="18" t="s">
        <v>992</v>
      </c>
      <c r="D812" s="34">
        <v>43178</v>
      </c>
      <c r="E812" s="462">
        <v>160</v>
      </c>
      <c r="F812" s="461">
        <v>272800</v>
      </c>
      <c r="G812" s="34">
        <v>43178</v>
      </c>
      <c r="H812" s="462">
        <v>160</v>
      </c>
      <c r="I812" s="461">
        <v>272800</v>
      </c>
      <c r="J812" s="167" t="s">
        <v>1472</v>
      </c>
    </row>
    <row r="813" spans="1:10" hidden="1">
      <c r="A813" s="42" t="s">
        <v>4925</v>
      </c>
      <c r="B813" s="18" t="s">
        <v>3271</v>
      </c>
      <c r="C813" s="18" t="s">
        <v>992</v>
      </c>
      <c r="D813" s="34">
        <v>43176</v>
      </c>
      <c r="E813" s="462">
        <v>100</v>
      </c>
      <c r="F813" s="461">
        <v>148000</v>
      </c>
      <c r="G813" s="34">
        <v>43176</v>
      </c>
      <c r="H813" s="462">
        <v>100</v>
      </c>
      <c r="I813" s="461">
        <v>148000</v>
      </c>
      <c r="J813" s="167" t="s">
        <v>1472</v>
      </c>
    </row>
    <row r="814" spans="1:10" hidden="1">
      <c r="A814" s="42" t="s">
        <v>4926</v>
      </c>
      <c r="B814" s="18" t="s">
        <v>3271</v>
      </c>
      <c r="C814" s="18" t="s">
        <v>992</v>
      </c>
      <c r="D814" s="34">
        <v>43176</v>
      </c>
      <c r="E814" s="462">
        <v>75</v>
      </c>
      <c r="F814" s="461">
        <v>113625</v>
      </c>
      <c r="G814" s="34">
        <v>43176</v>
      </c>
      <c r="H814" s="462">
        <v>75</v>
      </c>
      <c r="I814" s="461">
        <v>113625</v>
      </c>
      <c r="J814" s="167" t="s">
        <v>1472</v>
      </c>
    </row>
    <row r="815" spans="1:10" hidden="1">
      <c r="A815" s="42" t="s">
        <v>4927</v>
      </c>
      <c r="B815" s="18" t="s">
        <v>3271</v>
      </c>
      <c r="C815" s="18" t="s">
        <v>992</v>
      </c>
      <c r="D815" s="34">
        <v>43189</v>
      </c>
      <c r="E815" s="462">
        <v>100</v>
      </c>
      <c r="F815" s="461">
        <v>143000</v>
      </c>
      <c r="G815" s="34">
        <v>43189</v>
      </c>
      <c r="H815" s="462">
        <v>100</v>
      </c>
      <c r="I815" s="461">
        <v>143000</v>
      </c>
      <c r="J815" s="167" t="s">
        <v>1472</v>
      </c>
    </row>
    <row r="816" spans="1:10" hidden="1">
      <c r="A816" s="42" t="s">
        <v>4928</v>
      </c>
      <c r="B816" s="18" t="s">
        <v>3271</v>
      </c>
      <c r="C816" s="18" t="s">
        <v>992</v>
      </c>
      <c r="D816" s="34">
        <v>43218</v>
      </c>
      <c r="E816" s="462">
        <v>300</v>
      </c>
      <c r="F816" s="461">
        <v>429000</v>
      </c>
      <c r="G816" s="34">
        <v>43218</v>
      </c>
      <c r="H816" s="462">
        <v>300</v>
      </c>
      <c r="I816" s="461">
        <v>429000</v>
      </c>
      <c r="J816" s="167" t="s">
        <v>1472</v>
      </c>
    </row>
    <row r="817" spans="1:10" hidden="1">
      <c r="A817" s="42" t="s">
        <v>4929</v>
      </c>
      <c r="B817" s="18" t="s">
        <v>3271</v>
      </c>
      <c r="C817" s="18" t="s">
        <v>992</v>
      </c>
      <c r="D817" s="34">
        <v>43164</v>
      </c>
      <c r="E817" s="462">
        <v>200</v>
      </c>
      <c r="F817" s="461">
        <v>288000</v>
      </c>
      <c r="G817" s="34">
        <v>43164</v>
      </c>
      <c r="H817" s="462">
        <v>200</v>
      </c>
      <c r="I817" s="461">
        <v>288000</v>
      </c>
      <c r="J817" s="167" t="s">
        <v>1472</v>
      </c>
    </row>
    <row r="818" spans="1:10" hidden="1">
      <c r="A818" s="42" t="s">
        <v>4930</v>
      </c>
      <c r="B818" s="18" t="s">
        <v>3271</v>
      </c>
      <c r="C818" s="18" t="s">
        <v>992</v>
      </c>
      <c r="D818" s="34">
        <v>43218</v>
      </c>
      <c r="E818" s="462">
        <v>200</v>
      </c>
      <c r="F818" s="461">
        <v>288000</v>
      </c>
      <c r="G818" s="34">
        <v>43218</v>
      </c>
      <c r="H818" s="462">
        <v>200</v>
      </c>
      <c r="I818" s="461">
        <v>288000</v>
      </c>
      <c r="J818" s="167" t="s">
        <v>1472</v>
      </c>
    </row>
    <row r="819" spans="1:10" hidden="1">
      <c r="A819" s="42" t="s">
        <v>4931</v>
      </c>
      <c r="B819" s="18" t="s">
        <v>3271</v>
      </c>
      <c r="C819" s="18" t="s">
        <v>992</v>
      </c>
      <c r="D819" s="34">
        <v>43218</v>
      </c>
      <c r="E819" s="462">
        <v>80</v>
      </c>
      <c r="F819" s="461">
        <v>115200</v>
      </c>
      <c r="G819" s="34">
        <v>43218</v>
      </c>
      <c r="H819" s="462">
        <v>80</v>
      </c>
      <c r="I819" s="461">
        <v>115200</v>
      </c>
      <c r="J819" s="167" t="s">
        <v>1472</v>
      </c>
    </row>
    <row r="820" spans="1:10" hidden="1">
      <c r="A820" s="42" t="s">
        <v>4932</v>
      </c>
      <c r="B820" s="18" t="s">
        <v>3271</v>
      </c>
      <c r="C820" s="18" t="s">
        <v>992</v>
      </c>
      <c r="D820" s="34">
        <v>43189</v>
      </c>
      <c r="E820" s="462">
        <v>120</v>
      </c>
      <c r="F820" s="461">
        <v>177000</v>
      </c>
      <c r="G820" s="34">
        <v>43189</v>
      </c>
      <c r="H820" s="462">
        <v>120</v>
      </c>
      <c r="I820" s="461">
        <v>177000</v>
      </c>
      <c r="J820" s="167" t="s">
        <v>1472</v>
      </c>
    </row>
    <row r="821" spans="1:10" hidden="1">
      <c r="A821" s="42" t="s">
        <v>4933</v>
      </c>
      <c r="B821" s="18" t="s">
        <v>3271</v>
      </c>
      <c r="C821" s="18" t="s">
        <v>992</v>
      </c>
      <c r="D821" s="34">
        <v>43197</v>
      </c>
      <c r="E821" s="462">
        <v>100</v>
      </c>
      <c r="F821" s="461">
        <v>142000</v>
      </c>
      <c r="G821" s="34">
        <v>43197</v>
      </c>
      <c r="H821" s="462">
        <v>100</v>
      </c>
      <c r="I821" s="461">
        <v>142000</v>
      </c>
      <c r="J821" s="167" t="s">
        <v>1472</v>
      </c>
    </row>
    <row r="822" spans="1:10" hidden="1">
      <c r="A822" s="42" t="s">
        <v>4934</v>
      </c>
      <c r="B822" s="18" t="s">
        <v>3271</v>
      </c>
      <c r="C822" s="18" t="s">
        <v>2841</v>
      </c>
      <c r="D822" s="34">
        <v>43178</v>
      </c>
      <c r="E822" s="462">
        <v>160</v>
      </c>
      <c r="F822" s="461">
        <v>276000</v>
      </c>
      <c r="G822" s="34">
        <v>43178</v>
      </c>
      <c r="H822" s="462">
        <v>160</v>
      </c>
      <c r="I822" s="461">
        <v>276000</v>
      </c>
      <c r="J822" s="167" t="s">
        <v>401</v>
      </c>
    </row>
    <row r="823" spans="1:10" hidden="1">
      <c r="A823" s="42" t="s">
        <v>4935</v>
      </c>
      <c r="B823" s="18" t="s">
        <v>3271</v>
      </c>
      <c r="C823" s="18" t="s">
        <v>2841</v>
      </c>
      <c r="D823" s="34">
        <v>43176</v>
      </c>
      <c r="E823" s="462">
        <v>100</v>
      </c>
      <c r="F823" s="461">
        <v>149500</v>
      </c>
      <c r="G823" s="34">
        <v>43176</v>
      </c>
      <c r="H823" s="462">
        <v>100</v>
      </c>
      <c r="I823" s="461">
        <v>149500</v>
      </c>
      <c r="J823" s="167" t="s">
        <v>401</v>
      </c>
    </row>
    <row r="824" spans="1:10" hidden="1">
      <c r="A824" s="42" t="s">
        <v>4936</v>
      </c>
      <c r="B824" s="18" t="s">
        <v>3271</v>
      </c>
      <c r="C824" s="18" t="s">
        <v>3984</v>
      </c>
      <c r="D824" s="34">
        <v>43176</v>
      </c>
      <c r="E824" s="462">
        <v>75</v>
      </c>
      <c r="F824" s="461">
        <v>114375</v>
      </c>
      <c r="G824" s="34">
        <v>43176</v>
      </c>
      <c r="H824" s="462">
        <v>75</v>
      </c>
      <c r="I824" s="461">
        <v>114375</v>
      </c>
      <c r="J824" s="167" t="s">
        <v>401</v>
      </c>
    </row>
    <row r="825" spans="1:10" hidden="1">
      <c r="A825" s="42" t="s">
        <v>4597</v>
      </c>
      <c r="B825" s="18" t="s">
        <v>3271</v>
      </c>
      <c r="C825" s="18" t="s">
        <v>2841</v>
      </c>
      <c r="D825" s="34">
        <v>43189</v>
      </c>
      <c r="E825" s="462">
        <v>100</v>
      </c>
      <c r="F825" s="461">
        <v>144000</v>
      </c>
      <c r="G825" s="34">
        <v>43189</v>
      </c>
      <c r="H825" s="462">
        <v>100</v>
      </c>
      <c r="I825" s="461">
        <v>144000</v>
      </c>
      <c r="J825" s="167" t="s">
        <v>401</v>
      </c>
    </row>
    <row r="826" spans="1:10" hidden="1">
      <c r="A826" s="42" t="s">
        <v>4598</v>
      </c>
      <c r="B826" s="18" t="s">
        <v>3271</v>
      </c>
      <c r="C826" s="18" t="s">
        <v>2841</v>
      </c>
      <c r="D826" s="34">
        <v>43218</v>
      </c>
      <c r="E826" s="462">
        <v>300</v>
      </c>
      <c r="F826" s="461">
        <v>432000</v>
      </c>
      <c r="G826" s="34">
        <v>43218</v>
      </c>
      <c r="H826" s="462">
        <v>300</v>
      </c>
      <c r="I826" s="461">
        <v>432000</v>
      </c>
      <c r="J826" s="167" t="s">
        <v>401</v>
      </c>
    </row>
    <row r="827" spans="1:10" hidden="1">
      <c r="A827" s="42" t="s">
        <v>4594</v>
      </c>
      <c r="B827" s="18" t="s">
        <v>3271</v>
      </c>
      <c r="C827" s="18" t="s">
        <v>2841</v>
      </c>
      <c r="D827" s="34">
        <v>43164</v>
      </c>
      <c r="E827" s="462">
        <v>200</v>
      </c>
      <c r="F827" s="461">
        <v>290000</v>
      </c>
      <c r="G827" s="34">
        <v>43164</v>
      </c>
      <c r="H827" s="462">
        <v>200</v>
      </c>
      <c r="I827" s="461">
        <v>290000</v>
      </c>
      <c r="J827" s="167" t="s">
        <v>401</v>
      </c>
    </row>
    <row r="828" spans="1:10" hidden="1">
      <c r="A828" s="42" t="s">
        <v>4595</v>
      </c>
      <c r="B828" s="18" t="s">
        <v>3271</v>
      </c>
      <c r="C828" s="18" t="s">
        <v>2841</v>
      </c>
      <c r="D828" s="34">
        <v>43218</v>
      </c>
      <c r="E828" s="462">
        <v>200</v>
      </c>
      <c r="F828" s="461">
        <v>290000</v>
      </c>
      <c r="G828" s="34">
        <v>43218</v>
      </c>
      <c r="H828" s="462">
        <v>200</v>
      </c>
      <c r="I828" s="461">
        <v>290000</v>
      </c>
      <c r="J828" s="167" t="s">
        <v>401</v>
      </c>
    </row>
    <row r="829" spans="1:10" hidden="1">
      <c r="A829" s="42" t="s">
        <v>4596</v>
      </c>
      <c r="B829" s="18" t="s">
        <v>3271</v>
      </c>
      <c r="C829" s="18" t="s">
        <v>2841</v>
      </c>
      <c r="D829" s="34">
        <v>43218</v>
      </c>
      <c r="E829" s="462">
        <v>80</v>
      </c>
      <c r="F829" s="461">
        <v>116000</v>
      </c>
      <c r="G829" s="34">
        <v>43218</v>
      </c>
      <c r="H829" s="462">
        <v>80</v>
      </c>
      <c r="I829" s="461">
        <v>116000</v>
      </c>
      <c r="J829" s="167" t="s">
        <v>401</v>
      </c>
    </row>
    <row r="830" spans="1:10" hidden="1">
      <c r="A830" s="42" t="s">
        <v>4937</v>
      </c>
      <c r="B830" s="18" t="s">
        <v>3271</v>
      </c>
      <c r="C830" s="18" t="s">
        <v>474</v>
      </c>
      <c r="D830" s="34">
        <v>43189</v>
      </c>
      <c r="E830" s="462">
        <v>120</v>
      </c>
      <c r="F830" s="461">
        <v>178200</v>
      </c>
      <c r="G830" s="34">
        <v>43189</v>
      </c>
      <c r="H830" s="462">
        <v>120</v>
      </c>
      <c r="I830" s="461">
        <v>178200</v>
      </c>
      <c r="J830" s="167" t="s">
        <v>401</v>
      </c>
    </row>
    <row r="831" spans="1:10" hidden="1">
      <c r="A831" s="42" t="s">
        <v>4734</v>
      </c>
      <c r="B831" s="18" t="s">
        <v>3271</v>
      </c>
      <c r="C831" s="18" t="s">
        <v>3984</v>
      </c>
      <c r="D831" s="34">
        <v>43197</v>
      </c>
      <c r="E831" s="462">
        <v>100</v>
      </c>
      <c r="F831" s="461">
        <v>143000</v>
      </c>
      <c r="G831" s="34">
        <v>43197</v>
      </c>
      <c r="H831" s="462">
        <v>100</v>
      </c>
      <c r="I831" s="461">
        <v>143000</v>
      </c>
      <c r="J831" s="167" t="s">
        <v>401</v>
      </c>
    </row>
    <row r="832" spans="1:10" hidden="1">
      <c r="A832" s="42" t="s">
        <v>4855</v>
      </c>
      <c r="B832" s="18" t="s">
        <v>82</v>
      </c>
      <c r="C832" s="18" t="s">
        <v>83</v>
      </c>
      <c r="D832" s="34">
        <v>43224</v>
      </c>
      <c r="E832" s="462">
        <v>209.822</v>
      </c>
      <c r="F832" s="461">
        <v>2559828.4</v>
      </c>
      <c r="G832" s="34">
        <v>43224</v>
      </c>
      <c r="H832" s="462">
        <v>209.822</v>
      </c>
      <c r="I832" s="461">
        <v>2559828.4</v>
      </c>
      <c r="J832" s="167" t="s">
        <v>4352</v>
      </c>
    </row>
    <row r="833" spans="1:11" hidden="1">
      <c r="A833" s="42" t="s">
        <v>4780</v>
      </c>
      <c r="B833" s="18" t="s">
        <v>60</v>
      </c>
      <c r="C833" s="18" t="s">
        <v>83</v>
      </c>
      <c r="D833" s="34">
        <v>43224</v>
      </c>
      <c r="E833" s="462">
        <v>344.36829999999998</v>
      </c>
      <c r="F833" s="461">
        <v>2875475.3</v>
      </c>
      <c r="G833" s="34">
        <v>43224</v>
      </c>
      <c r="H833" s="462">
        <v>344.36829999999998</v>
      </c>
      <c r="I833" s="461">
        <v>2875475.3</v>
      </c>
      <c r="J833" s="167" t="s">
        <v>4352</v>
      </c>
    </row>
    <row r="834" spans="1:11" hidden="1">
      <c r="A834" s="42" t="s">
        <v>4590</v>
      </c>
      <c r="B834" s="18" t="s">
        <v>106</v>
      </c>
      <c r="C834" s="18" t="s">
        <v>4058</v>
      </c>
      <c r="D834" s="34">
        <v>43224</v>
      </c>
      <c r="E834" s="462">
        <v>3475.06</v>
      </c>
      <c r="F834" s="461">
        <v>8681484.2400000002</v>
      </c>
      <c r="G834" s="34">
        <v>43224</v>
      </c>
      <c r="H834" s="462">
        <v>3475.06</v>
      </c>
      <c r="I834" s="461">
        <v>8681484.2400000002</v>
      </c>
      <c r="J834" s="167" t="s">
        <v>140</v>
      </c>
    </row>
    <row r="835" spans="1:11" hidden="1">
      <c r="A835" s="42" t="s">
        <v>4751</v>
      </c>
      <c r="B835" s="18" t="s">
        <v>106</v>
      </c>
      <c r="C835" s="18" t="s">
        <v>4058</v>
      </c>
      <c r="D835" s="34">
        <v>43224</v>
      </c>
      <c r="E835" s="462">
        <v>478.16</v>
      </c>
      <c r="F835" s="461">
        <v>1111884.57</v>
      </c>
      <c r="G835" s="34">
        <v>43224</v>
      </c>
      <c r="H835" s="462">
        <v>478.16</v>
      </c>
      <c r="I835" s="461">
        <v>1111884.57</v>
      </c>
      <c r="J835" s="167" t="s">
        <v>140</v>
      </c>
    </row>
    <row r="836" spans="1:11" hidden="1">
      <c r="A836" s="42" t="s">
        <v>4988</v>
      </c>
      <c r="B836" s="18" t="s">
        <v>4989</v>
      </c>
      <c r="C836" s="18" t="s">
        <v>4991</v>
      </c>
      <c r="D836" s="34">
        <v>43229</v>
      </c>
      <c r="E836" s="462">
        <v>1807.37</v>
      </c>
      <c r="F836" s="461">
        <v>4799586.8</v>
      </c>
      <c r="G836" s="34">
        <v>43229</v>
      </c>
      <c r="H836" s="462">
        <v>1807.37</v>
      </c>
      <c r="I836" s="461">
        <v>4799586.8</v>
      </c>
      <c r="J836" s="167" t="s">
        <v>4992</v>
      </c>
    </row>
    <row r="837" spans="1:11" hidden="1">
      <c r="A837" s="42" t="s">
        <v>4993</v>
      </c>
      <c r="B837" s="18" t="s">
        <v>106</v>
      </c>
      <c r="C837" s="18" t="s">
        <v>4058</v>
      </c>
      <c r="D837" s="34">
        <v>43230</v>
      </c>
      <c r="E837" s="462">
        <v>2857.73</v>
      </c>
      <c r="F837" s="461">
        <v>7259943.6699999999</v>
      </c>
      <c r="G837" s="34">
        <v>43230</v>
      </c>
      <c r="H837" s="462">
        <v>2857.73</v>
      </c>
      <c r="I837" s="461">
        <v>7259943.6699999999</v>
      </c>
      <c r="J837" s="167" t="s">
        <v>391</v>
      </c>
      <c r="K837" s="24" t="s">
        <v>4994</v>
      </c>
    </row>
    <row r="838" spans="1:11" hidden="1">
      <c r="A838" s="42" t="s">
        <v>4993</v>
      </c>
      <c r="B838" s="18" t="s">
        <v>106</v>
      </c>
      <c r="C838" s="18" t="s">
        <v>4058</v>
      </c>
      <c r="D838" s="34">
        <v>43230</v>
      </c>
      <c r="E838" s="462">
        <v>394.44</v>
      </c>
      <c r="F838" s="461">
        <v>1022541.14</v>
      </c>
      <c r="G838" s="34">
        <v>43230</v>
      </c>
      <c r="H838" s="462">
        <v>394.44</v>
      </c>
      <c r="I838" s="461">
        <v>1022541.14</v>
      </c>
      <c r="J838" s="167" t="s">
        <v>391</v>
      </c>
      <c r="K838" s="24" t="s">
        <v>4994</v>
      </c>
    </row>
    <row r="839" spans="1:11" hidden="1">
      <c r="A839" s="42" t="s">
        <v>4751</v>
      </c>
      <c r="B839" s="18" t="s">
        <v>106</v>
      </c>
      <c r="C839" s="18" t="s">
        <v>4058</v>
      </c>
      <c r="D839" s="34">
        <v>43231</v>
      </c>
      <c r="E839" s="462">
        <v>24.88</v>
      </c>
      <c r="F839" s="461">
        <v>61052.67</v>
      </c>
      <c r="G839" s="34">
        <v>43231</v>
      </c>
      <c r="H839" s="462">
        <v>24.88</v>
      </c>
      <c r="I839" s="461">
        <v>61052.67</v>
      </c>
      <c r="J839" s="167" t="s">
        <v>140</v>
      </c>
      <c r="K839" s="24" t="s">
        <v>4994</v>
      </c>
    </row>
    <row r="840" spans="1:11" hidden="1">
      <c r="A840" s="42" t="s">
        <v>5001</v>
      </c>
      <c r="B840" s="18" t="s">
        <v>60</v>
      </c>
      <c r="C840" s="18" t="s">
        <v>351</v>
      </c>
      <c r="D840" s="34">
        <v>43227</v>
      </c>
      <c r="E840" s="463">
        <v>631.60500000000002</v>
      </c>
      <c r="F840" s="461">
        <v>4969111.91</v>
      </c>
      <c r="G840" s="34">
        <v>43229</v>
      </c>
      <c r="H840" s="463">
        <v>631.60500000000002</v>
      </c>
      <c r="I840" s="461">
        <v>4969111.91</v>
      </c>
      <c r="J840" s="167" t="s">
        <v>143</v>
      </c>
    </row>
    <row r="841" spans="1:11" hidden="1">
      <c r="A841" s="42" t="s">
        <v>5015</v>
      </c>
      <c r="B841" s="18" t="s">
        <v>5016</v>
      </c>
      <c r="C841" s="18" t="s">
        <v>4584</v>
      </c>
      <c r="D841" s="34">
        <v>43200</v>
      </c>
      <c r="E841" s="462">
        <v>32</v>
      </c>
      <c r="F841" s="461">
        <v>392000</v>
      </c>
      <c r="G841" s="34">
        <v>43200</v>
      </c>
      <c r="H841" s="462">
        <v>32</v>
      </c>
      <c r="I841" s="461">
        <v>392000</v>
      </c>
      <c r="J841" s="167" t="s">
        <v>4352</v>
      </c>
    </row>
    <row r="842" spans="1:11" hidden="1">
      <c r="A842" s="42" t="s">
        <v>4988</v>
      </c>
      <c r="B842" s="18" t="s">
        <v>4989</v>
      </c>
      <c r="C842" s="18" t="s">
        <v>4441</v>
      </c>
      <c r="D842" s="34">
        <v>43210</v>
      </c>
      <c r="E842" s="462">
        <v>541.87</v>
      </c>
      <c r="F842" s="461">
        <v>1476784.13</v>
      </c>
      <c r="G842" s="34">
        <v>43210</v>
      </c>
      <c r="H842" s="462">
        <v>541.87</v>
      </c>
      <c r="I842" s="461">
        <v>1476784.13</v>
      </c>
      <c r="J842" s="167" t="s">
        <v>4992</v>
      </c>
    </row>
    <row r="843" spans="1:11" hidden="1">
      <c r="A843" s="42" t="s">
        <v>5020</v>
      </c>
      <c r="B843" s="18" t="s">
        <v>4223</v>
      </c>
      <c r="C843" s="18" t="s">
        <v>5021</v>
      </c>
      <c r="D843" s="34">
        <v>43235</v>
      </c>
      <c r="E843" s="462">
        <v>269.02999999999997</v>
      </c>
      <c r="F843" s="461">
        <v>647837.43999999994</v>
      </c>
      <c r="G843" s="34"/>
      <c r="H843" s="462"/>
      <c r="I843" s="461"/>
      <c r="J843" s="167"/>
    </row>
    <row r="844" spans="1:11" hidden="1">
      <c r="A844" s="42" t="s">
        <v>5037</v>
      </c>
      <c r="B844" s="18" t="s">
        <v>5031</v>
      </c>
      <c r="C844" s="18" t="s">
        <v>5038</v>
      </c>
      <c r="D844" s="34">
        <v>43229</v>
      </c>
      <c r="E844" s="462">
        <v>64</v>
      </c>
      <c r="F844" s="461">
        <v>761600</v>
      </c>
      <c r="G844" s="34">
        <v>43229</v>
      </c>
      <c r="H844" s="462">
        <v>64</v>
      </c>
      <c r="I844" s="461">
        <v>761600</v>
      </c>
      <c r="J844" s="167" t="s">
        <v>143</v>
      </c>
    </row>
    <row r="845" spans="1:11" hidden="1">
      <c r="A845" s="42" t="s">
        <v>5040</v>
      </c>
      <c r="B845" s="18" t="s">
        <v>5031</v>
      </c>
      <c r="C845" s="18" t="s">
        <v>5044</v>
      </c>
      <c r="D845" s="34">
        <v>43209</v>
      </c>
      <c r="E845" s="462">
        <v>3</v>
      </c>
      <c r="F845" s="461">
        <v>35400</v>
      </c>
      <c r="G845" s="34">
        <v>43209</v>
      </c>
      <c r="H845" s="462">
        <v>3</v>
      </c>
      <c r="I845" s="461">
        <v>35400</v>
      </c>
      <c r="J845" s="167" t="s">
        <v>140</v>
      </c>
    </row>
    <row r="846" spans="1:11" hidden="1">
      <c r="A846" s="42" t="s">
        <v>5059</v>
      </c>
      <c r="B846" s="18" t="s">
        <v>5060</v>
      </c>
      <c r="C846" s="18" t="s">
        <v>5062</v>
      </c>
      <c r="D846" s="34">
        <v>43248</v>
      </c>
      <c r="E846" s="462">
        <v>21457.922999999999</v>
      </c>
      <c r="F846" s="461">
        <v>27167661.73</v>
      </c>
      <c r="G846" s="34">
        <v>43248</v>
      </c>
      <c r="H846" s="462">
        <v>21457.922999999999</v>
      </c>
      <c r="I846" s="461">
        <v>27167661.73</v>
      </c>
      <c r="J846" s="167" t="s">
        <v>143</v>
      </c>
    </row>
    <row r="847" spans="1:11" hidden="1">
      <c r="A847" s="42" t="s">
        <v>5066</v>
      </c>
      <c r="B847" s="18" t="s">
        <v>5060</v>
      </c>
      <c r="C847" s="18" t="s">
        <v>5065</v>
      </c>
      <c r="D847" s="34">
        <v>43248</v>
      </c>
      <c r="E847" s="462">
        <v>21457.922999999999</v>
      </c>
      <c r="F847" s="461">
        <v>27344538.670000002</v>
      </c>
      <c r="G847" s="34">
        <v>43248</v>
      </c>
      <c r="H847" s="462">
        <v>21457.922999999999</v>
      </c>
      <c r="I847" s="461">
        <v>27344538.670000002</v>
      </c>
      <c r="J847" s="167" t="s">
        <v>140</v>
      </c>
    </row>
    <row r="848" spans="1:11" hidden="1">
      <c r="A848" s="42" t="s">
        <v>5070</v>
      </c>
      <c r="B848" s="18" t="s">
        <v>5069</v>
      </c>
      <c r="C848" s="18" t="s">
        <v>5065</v>
      </c>
      <c r="D848" s="34">
        <v>43248</v>
      </c>
      <c r="E848" s="462">
        <v>2136.61</v>
      </c>
      <c r="F848" s="461">
        <v>5915007.25</v>
      </c>
      <c r="G848" s="34">
        <v>43248</v>
      </c>
      <c r="H848" s="462">
        <v>2136.61</v>
      </c>
      <c r="I848" s="461">
        <v>5915007.25</v>
      </c>
      <c r="J848" s="167" t="s">
        <v>140</v>
      </c>
    </row>
    <row r="849" spans="1:10" hidden="1">
      <c r="A849" s="42" t="s">
        <v>5071</v>
      </c>
      <c r="B849" s="18" t="s">
        <v>5069</v>
      </c>
      <c r="C849" s="18" t="s">
        <v>5073</v>
      </c>
      <c r="D849" s="34">
        <v>43236</v>
      </c>
      <c r="E849" s="462">
        <v>269.02999999999997</v>
      </c>
      <c r="F849" s="461">
        <v>647837.43999999994</v>
      </c>
      <c r="G849" s="34">
        <v>43236</v>
      </c>
      <c r="H849" s="462">
        <v>269.02999999999997</v>
      </c>
      <c r="I849" s="461">
        <v>647837.43999999994</v>
      </c>
      <c r="J849" s="167" t="s">
        <v>143</v>
      </c>
    </row>
    <row r="850" spans="1:10" hidden="1">
      <c r="A850" s="42" t="s">
        <v>5009</v>
      </c>
      <c r="B850" s="18" t="s">
        <v>240</v>
      </c>
      <c r="C850" s="18" t="s">
        <v>4795</v>
      </c>
      <c r="D850" s="34">
        <v>43241</v>
      </c>
      <c r="E850" s="462">
        <v>96</v>
      </c>
      <c r="F850" s="461">
        <v>1137600</v>
      </c>
      <c r="G850" s="34">
        <v>43241</v>
      </c>
      <c r="H850" s="462">
        <v>96</v>
      </c>
      <c r="I850" s="461">
        <v>1137600</v>
      </c>
      <c r="J850" s="167" t="s">
        <v>143</v>
      </c>
    </row>
    <row r="851" spans="1:10" hidden="1">
      <c r="A851" s="42" t="s">
        <v>5096</v>
      </c>
      <c r="B851" s="18" t="s">
        <v>5092</v>
      </c>
      <c r="C851" s="18" t="s">
        <v>2065</v>
      </c>
      <c r="D851" s="34">
        <v>43251</v>
      </c>
      <c r="E851" s="462">
        <v>96</v>
      </c>
      <c r="F851" s="461">
        <v>1155490.56</v>
      </c>
      <c r="G851" s="34">
        <v>43251</v>
      </c>
      <c r="H851" s="462">
        <v>96</v>
      </c>
      <c r="I851" s="461">
        <v>1155490.56</v>
      </c>
      <c r="J851" s="167" t="s">
        <v>143</v>
      </c>
    </row>
    <row r="852" spans="1:10" hidden="1">
      <c r="A852" s="42" t="s">
        <v>5099</v>
      </c>
      <c r="B852" s="42" t="s">
        <v>5100</v>
      </c>
      <c r="C852" s="18" t="s">
        <v>5102</v>
      </c>
      <c r="D852" s="34">
        <v>43255</v>
      </c>
      <c r="E852" s="462">
        <v>285.60500000000002</v>
      </c>
      <c r="F852" s="461">
        <v>3798546.5</v>
      </c>
      <c r="G852" s="34">
        <v>43255</v>
      </c>
      <c r="H852" s="462">
        <v>285.60500000000002</v>
      </c>
      <c r="I852" s="461">
        <v>3798546.5</v>
      </c>
      <c r="J852" s="167" t="s">
        <v>140</v>
      </c>
    </row>
    <row r="853" spans="1:10" hidden="1">
      <c r="A853" s="42" t="s">
        <v>5103</v>
      </c>
      <c r="B853" s="18" t="s">
        <v>60</v>
      </c>
      <c r="C853" s="18" t="s">
        <v>1446</v>
      </c>
      <c r="D853" s="34">
        <v>43251</v>
      </c>
      <c r="E853" s="462">
        <v>184.34190000000001</v>
      </c>
      <c r="F853" s="461">
        <v>1435599.21</v>
      </c>
      <c r="G853" s="34">
        <v>43251</v>
      </c>
      <c r="H853" s="462">
        <v>184.34190000000001</v>
      </c>
      <c r="I853" s="461">
        <v>1435599.21</v>
      </c>
      <c r="J853" s="167" t="s">
        <v>5104</v>
      </c>
    </row>
    <row r="854" spans="1:10" hidden="1">
      <c r="A854" s="42" t="s">
        <v>5105</v>
      </c>
      <c r="B854" s="18" t="s">
        <v>5106</v>
      </c>
      <c r="C854" s="18" t="s">
        <v>4303</v>
      </c>
      <c r="D854" s="34">
        <v>43249</v>
      </c>
      <c r="E854" s="462">
        <v>2080.21</v>
      </c>
      <c r="F854" s="461">
        <v>5504010.4699999997</v>
      </c>
      <c r="G854" s="34">
        <v>43249</v>
      </c>
      <c r="H854" s="462">
        <v>2080.21</v>
      </c>
      <c r="I854" s="461">
        <v>5504010.4699999997</v>
      </c>
      <c r="J854" s="167" t="s">
        <v>143</v>
      </c>
    </row>
    <row r="855" spans="1:10" hidden="1">
      <c r="A855" s="42" t="s">
        <v>5124</v>
      </c>
      <c r="B855" s="42" t="s">
        <v>5112</v>
      </c>
      <c r="C855" s="18" t="s">
        <v>5125</v>
      </c>
      <c r="D855" s="46">
        <v>43242</v>
      </c>
      <c r="E855" s="452">
        <v>300</v>
      </c>
      <c r="F855" s="461">
        <v>432000</v>
      </c>
      <c r="G855" s="46">
        <v>43242</v>
      </c>
      <c r="H855" s="452">
        <v>300</v>
      </c>
      <c r="I855" s="461">
        <v>432000</v>
      </c>
      <c r="J855" s="167" t="s">
        <v>401</v>
      </c>
    </row>
    <row r="856" spans="1:10" hidden="1">
      <c r="A856" s="42" t="s">
        <v>5126</v>
      </c>
      <c r="B856" s="42" t="s">
        <v>5112</v>
      </c>
      <c r="C856" s="18" t="s">
        <v>5127</v>
      </c>
      <c r="D856" s="46">
        <v>43239</v>
      </c>
      <c r="E856" s="452">
        <v>100</v>
      </c>
      <c r="F856" s="461">
        <v>143000</v>
      </c>
      <c r="G856" s="46">
        <v>43239</v>
      </c>
      <c r="H856" s="452">
        <v>100</v>
      </c>
      <c r="I856" s="461">
        <v>143000</v>
      </c>
      <c r="J856" s="167" t="s">
        <v>401</v>
      </c>
    </row>
    <row r="857" spans="1:10" hidden="1">
      <c r="A857" s="42" t="s">
        <v>5128</v>
      </c>
      <c r="B857" s="42" t="s">
        <v>5112</v>
      </c>
      <c r="C857" s="18" t="s">
        <v>5129</v>
      </c>
      <c r="D857" s="46">
        <v>43251</v>
      </c>
      <c r="E857" s="452">
        <v>40</v>
      </c>
      <c r="F857" s="461">
        <v>59000</v>
      </c>
      <c r="G857" s="46">
        <v>43251</v>
      </c>
      <c r="H857" s="452">
        <v>40</v>
      </c>
      <c r="I857" s="461">
        <v>59000</v>
      </c>
      <c r="J857" s="167" t="s">
        <v>401</v>
      </c>
    </row>
    <row r="858" spans="1:10" hidden="1">
      <c r="A858" s="42" t="s">
        <v>5130</v>
      </c>
      <c r="B858" s="42" t="s">
        <v>5112</v>
      </c>
      <c r="C858" s="18" t="s">
        <v>5127</v>
      </c>
      <c r="D858" s="46">
        <v>43234</v>
      </c>
      <c r="E858" s="452">
        <v>140</v>
      </c>
      <c r="F858" s="461">
        <v>182700</v>
      </c>
      <c r="G858" s="46">
        <v>43234</v>
      </c>
      <c r="H858" s="452">
        <v>140</v>
      </c>
      <c r="I858" s="461">
        <v>182700</v>
      </c>
      <c r="J858" s="167" t="s">
        <v>401</v>
      </c>
    </row>
    <row r="859" spans="1:10" hidden="1">
      <c r="A859" s="42" t="s">
        <v>5131</v>
      </c>
      <c r="B859" s="42" t="s">
        <v>5112</v>
      </c>
      <c r="C859" s="18" t="s">
        <v>5132</v>
      </c>
      <c r="D859" s="46">
        <v>43242</v>
      </c>
      <c r="E859" s="452">
        <v>300</v>
      </c>
      <c r="F859" s="461">
        <v>429000</v>
      </c>
      <c r="G859" s="46">
        <v>43242</v>
      </c>
      <c r="H859" s="452">
        <v>300</v>
      </c>
      <c r="I859" s="461">
        <v>429000</v>
      </c>
      <c r="J859" s="167" t="s">
        <v>1472</v>
      </c>
    </row>
    <row r="860" spans="1:10" hidden="1">
      <c r="A860" s="42" t="s">
        <v>5133</v>
      </c>
      <c r="B860" s="42" t="s">
        <v>5112</v>
      </c>
      <c r="C860" s="18" t="s">
        <v>5132</v>
      </c>
      <c r="D860" s="46">
        <v>43239</v>
      </c>
      <c r="E860" s="452">
        <v>100</v>
      </c>
      <c r="F860" s="461">
        <v>142000</v>
      </c>
      <c r="G860" s="46">
        <v>43239</v>
      </c>
      <c r="H860" s="452">
        <v>100</v>
      </c>
      <c r="I860" s="461">
        <v>142000</v>
      </c>
      <c r="J860" s="167" t="s">
        <v>1472</v>
      </c>
    </row>
    <row r="861" spans="1:10" hidden="1">
      <c r="A861" s="42" t="s">
        <v>5134</v>
      </c>
      <c r="B861" s="42" t="s">
        <v>5112</v>
      </c>
      <c r="C861" s="18" t="s">
        <v>5132</v>
      </c>
      <c r="D861" s="46">
        <v>43251</v>
      </c>
      <c r="E861" s="452">
        <v>40</v>
      </c>
      <c r="F861" s="461">
        <v>58600</v>
      </c>
      <c r="G861" s="46">
        <v>43251</v>
      </c>
      <c r="H861" s="452">
        <v>40</v>
      </c>
      <c r="I861" s="461">
        <v>58600</v>
      </c>
      <c r="J861" s="167" t="s">
        <v>1472</v>
      </c>
    </row>
    <row r="862" spans="1:10" hidden="1">
      <c r="A862" s="42" t="s">
        <v>5135</v>
      </c>
      <c r="B862" s="42" t="s">
        <v>5112</v>
      </c>
      <c r="C862" s="18" t="s">
        <v>5132</v>
      </c>
      <c r="D862" s="46">
        <v>43234</v>
      </c>
      <c r="E862" s="452">
        <v>140</v>
      </c>
      <c r="F862" s="461">
        <v>179900</v>
      </c>
      <c r="G862" s="46">
        <v>43234</v>
      </c>
      <c r="H862" s="452">
        <v>140</v>
      </c>
      <c r="I862" s="461">
        <v>179900</v>
      </c>
      <c r="J862" s="167" t="s">
        <v>1472</v>
      </c>
    </row>
    <row r="863" spans="1:10" hidden="1">
      <c r="A863" s="42" t="s">
        <v>5135</v>
      </c>
      <c r="B863" s="42" t="s">
        <v>5112</v>
      </c>
      <c r="C863" s="18" t="s">
        <v>5127</v>
      </c>
      <c r="D863" s="34">
        <v>43255</v>
      </c>
      <c r="E863" s="462">
        <v>0</v>
      </c>
      <c r="F863" s="461">
        <v>1400</v>
      </c>
      <c r="G863" s="34">
        <v>43255</v>
      </c>
      <c r="H863" s="462">
        <v>0</v>
      </c>
      <c r="I863" s="461">
        <v>1400</v>
      </c>
      <c r="J863" s="167" t="s">
        <v>1472</v>
      </c>
    </row>
    <row r="864" spans="1:10" hidden="1">
      <c r="A864" s="42" t="s">
        <v>4780</v>
      </c>
      <c r="B864" s="18" t="s">
        <v>60</v>
      </c>
      <c r="C864" s="18" t="s">
        <v>83</v>
      </c>
      <c r="D864" s="34">
        <v>43236</v>
      </c>
      <c r="E864" s="462">
        <v>184.34190000000001</v>
      </c>
      <c r="F864" s="461">
        <v>1499040.93</v>
      </c>
      <c r="G864" s="34">
        <v>43236</v>
      </c>
      <c r="H864" s="462">
        <v>184.34190000000001</v>
      </c>
      <c r="I864" s="461">
        <v>1499040.93</v>
      </c>
      <c r="J864" s="167" t="s">
        <v>4352</v>
      </c>
    </row>
    <row r="865" spans="1:10" hidden="1">
      <c r="A865" s="42" t="s">
        <v>4999</v>
      </c>
      <c r="B865" s="18" t="s">
        <v>60</v>
      </c>
      <c r="C865" s="18" t="s">
        <v>83</v>
      </c>
      <c r="D865" s="34">
        <v>43257</v>
      </c>
      <c r="E865" s="463">
        <v>183.2431</v>
      </c>
      <c r="F865" s="461">
        <v>1433877.26</v>
      </c>
      <c r="G865" s="34">
        <v>43257</v>
      </c>
      <c r="H865" s="462">
        <v>183.2431</v>
      </c>
      <c r="I865" s="461">
        <v>1433877.26</v>
      </c>
      <c r="J865" s="167" t="s">
        <v>4352</v>
      </c>
    </row>
    <row r="866" spans="1:10" hidden="1">
      <c r="A866" s="42" t="s">
        <v>4987</v>
      </c>
      <c r="B866" s="18" t="s">
        <v>4223</v>
      </c>
      <c r="C866" s="18" t="s">
        <v>2763</v>
      </c>
      <c r="D866" s="34">
        <v>43262</v>
      </c>
      <c r="E866" s="462">
        <v>33.24</v>
      </c>
      <c r="F866" s="461">
        <v>92053.86</v>
      </c>
      <c r="G866" s="34">
        <v>43262</v>
      </c>
      <c r="H866" s="462">
        <v>33.24</v>
      </c>
      <c r="I866" s="461">
        <v>92053.86</v>
      </c>
      <c r="J866" s="167" t="s">
        <v>140</v>
      </c>
    </row>
    <row r="867" spans="1:10" hidden="1">
      <c r="A867" s="42" t="s">
        <v>5161</v>
      </c>
      <c r="B867" s="18" t="s">
        <v>5162</v>
      </c>
      <c r="C867" s="18" t="s">
        <v>5165</v>
      </c>
      <c r="D867" s="34">
        <v>43271</v>
      </c>
      <c r="E867" s="463">
        <v>288.3999</v>
      </c>
      <c r="F867" s="461">
        <v>4052018.6</v>
      </c>
      <c r="G867" s="34">
        <v>43271</v>
      </c>
      <c r="H867" s="463">
        <v>288.3999</v>
      </c>
      <c r="I867" s="461">
        <v>4052018.6</v>
      </c>
      <c r="J867" s="167" t="s">
        <v>140</v>
      </c>
    </row>
    <row r="868" spans="1:10" hidden="1">
      <c r="A868" s="42" t="s">
        <v>5181</v>
      </c>
      <c r="B868" s="42" t="s">
        <v>3271</v>
      </c>
      <c r="C868" s="18" t="s">
        <v>1180</v>
      </c>
      <c r="D868" s="46">
        <v>43265</v>
      </c>
      <c r="E868" s="452">
        <v>100</v>
      </c>
      <c r="F868" s="461">
        <v>127000</v>
      </c>
      <c r="G868" s="46">
        <v>43265</v>
      </c>
      <c r="H868" s="452">
        <v>100</v>
      </c>
      <c r="I868" s="461">
        <v>127000</v>
      </c>
      <c r="J868" s="167" t="s">
        <v>3603</v>
      </c>
    </row>
    <row r="869" spans="1:10" hidden="1">
      <c r="A869" s="42" t="s">
        <v>5183</v>
      </c>
      <c r="B869" s="42" t="s">
        <v>3271</v>
      </c>
      <c r="C869" s="18" t="s">
        <v>1180</v>
      </c>
      <c r="D869" s="46">
        <v>43261</v>
      </c>
      <c r="E869" s="452">
        <v>60</v>
      </c>
      <c r="F869" s="461">
        <v>76200</v>
      </c>
      <c r="G869" s="46">
        <v>43261</v>
      </c>
      <c r="H869" s="452">
        <v>60</v>
      </c>
      <c r="I869" s="461">
        <v>76200</v>
      </c>
      <c r="J869" s="167" t="s">
        <v>3603</v>
      </c>
    </row>
    <row r="870" spans="1:10" hidden="1">
      <c r="A870" s="42" t="s">
        <v>5184</v>
      </c>
      <c r="B870" s="42" t="s">
        <v>3271</v>
      </c>
      <c r="C870" s="18" t="s">
        <v>3984</v>
      </c>
      <c r="D870" s="46">
        <v>43265</v>
      </c>
      <c r="E870" s="452">
        <v>100</v>
      </c>
      <c r="F870" s="461">
        <v>128000</v>
      </c>
      <c r="G870" s="46">
        <v>43265</v>
      </c>
      <c r="H870" s="452">
        <v>100</v>
      </c>
      <c r="I870" s="461">
        <v>128000</v>
      </c>
      <c r="J870" s="167" t="s">
        <v>4500</v>
      </c>
    </row>
    <row r="871" spans="1:10" hidden="1">
      <c r="A871" s="42" t="s">
        <v>5185</v>
      </c>
      <c r="B871" s="42" t="s">
        <v>3271</v>
      </c>
      <c r="C871" s="18" t="s">
        <v>2841</v>
      </c>
      <c r="D871" s="46">
        <v>43261</v>
      </c>
      <c r="E871" s="452">
        <v>60</v>
      </c>
      <c r="F871" s="461">
        <v>76800</v>
      </c>
      <c r="G871" s="46">
        <v>43261</v>
      </c>
      <c r="H871" s="452">
        <v>60</v>
      </c>
      <c r="I871" s="461">
        <v>76800</v>
      </c>
      <c r="J871" s="167" t="s">
        <v>4500</v>
      </c>
    </row>
    <row r="872" spans="1:10" hidden="1">
      <c r="A872" s="42" t="s">
        <v>5200</v>
      </c>
      <c r="B872" s="42" t="s">
        <v>5201</v>
      </c>
      <c r="C872" s="18" t="s">
        <v>5202</v>
      </c>
      <c r="D872" s="46">
        <v>43279</v>
      </c>
      <c r="E872" s="452">
        <v>300</v>
      </c>
      <c r="F872" s="461">
        <v>4110000</v>
      </c>
      <c r="G872" s="46">
        <v>43279</v>
      </c>
      <c r="H872" s="452">
        <v>300</v>
      </c>
      <c r="I872" s="461">
        <v>4110000</v>
      </c>
      <c r="J872" s="167" t="s">
        <v>5205</v>
      </c>
    </row>
    <row r="873" spans="1:10" hidden="1">
      <c r="A873" s="42" t="s">
        <v>5204</v>
      </c>
      <c r="B873" s="42" t="s">
        <v>5201</v>
      </c>
      <c r="C873" s="18" t="s">
        <v>5202</v>
      </c>
      <c r="D873" s="46">
        <v>43279</v>
      </c>
      <c r="E873" s="452">
        <v>64</v>
      </c>
      <c r="F873" s="461">
        <v>857600</v>
      </c>
      <c r="G873" s="46">
        <v>43279</v>
      </c>
      <c r="H873" s="452">
        <v>64</v>
      </c>
      <c r="I873" s="461">
        <v>857600</v>
      </c>
      <c r="J873" s="167" t="s">
        <v>5205</v>
      </c>
    </row>
    <row r="874" spans="1:10" hidden="1">
      <c r="A874" s="42" t="s">
        <v>5220</v>
      </c>
      <c r="B874" s="42" t="s">
        <v>5225</v>
      </c>
      <c r="C874" s="18" t="s">
        <v>4303</v>
      </c>
      <c r="D874" s="46">
        <v>43278</v>
      </c>
      <c r="E874" s="452">
        <v>2169.85</v>
      </c>
      <c r="F874" s="461">
        <v>5853066.8499999996</v>
      </c>
      <c r="G874" s="46">
        <v>43278</v>
      </c>
      <c r="H874" s="452">
        <v>2169.85</v>
      </c>
      <c r="I874" s="461">
        <v>5853066.8499999996</v>
      </c>
      <c r="J874" s="167" t="s">
        <v>5205</v>
      </c>
    </row>
    <row r="875" spans="1:10" hidden="1">
      <c r="A875" s="42" t="s">
        <v>5232</v>
      </c>
      <c r="B875" s="42" t="s">
        <v>5228</v>
      </c>
      <c r="C875" s="18" t="s">
        <v>5230</v>
      </c>
      <c r="D875" s="46">
        <v>43278</v>
      </c>
      <c r="E875" s="452">
        <v>200</v>
      </c>
      <c r="F875" s="461">
        <v>271000</v>
      </c>
      <c r="G875" s="46">
        <v>43278</v>
      </c>
      <c r="H875" s="452">
        <v>200</v>
      </c>
      <c r="I875" s="461">
        <v>271000</v>
      </c>
      <c r="J875" s="167" t="s">
        <v>1472</v>
      </c>
    </row>
    <row r="876" spans="1:10" hidden="1">
      <c r="A876" s="42" t="s">
        <v>5227</v>
      </c>
      <c r="B876" s="42" t="s">
        <v>5228</v>
      </c>
      <c r="C876" s="18" t="s">
        <v>5231</v>
      </c>
      <c r="D876" s="46">
        <v>43278</v>
      </c>
      <c r="E876" s="452">
        <v>200</v>
      </c>
      <c r="F876" s="461">
        <v>273000</v>
      </c>
      <c r="G876" s="46">
        <v>43278</v>
      </c>
      <c r="H876" s="452">
        <v>200</v>
      </c>
      <c r="I876" s="461">
        <v>273000</v>
      </c>
      <c r="J876" s="167" t="s">
        <v>401</v>
      </c>
    </row>
    <row r="877" spans="1:10" hidden="1">
      <c r="A877" s="42" t="s">
        <v>5237</v>
      </c>
      <c r="B877" s="42" t="s">
        <v>5238</v>
      </c>
      <c r="C877" s="18" t="s">
        <v>83</v>
      </c>
      <c r="D877" s="46">
        <v>43283</v>
      </c>
      <c r="E877" s="452">
        <v>312.89819999999997</v>
      </c>
      <c r="F877" s="461">
        <v>2349706.4</v>
      </c>
      <c r="G877" s="46">
        <v>43283</v>
      </c>
      <c r="H877" s="452">
        <v>312.89819999999997</v>
      </c>
      <c r="I877" s="461">
        <v>2349706.4</v>
      </c>
      <c r="J877" s="167" t="s">
        <v>5239</v>
      </c>
    </row>
    <row r="878" spans="1:10" hidden="1">
      <c r="A878" s="42" t="s">
        <v>5247</v>
      </c>
      <c r="B878" s="42" t="s">
        <v>5238</v>
      </c>
      <c r="C878" s="18" t="s">
        <v>351</v>
      </c>
      <c r="D878" s="46">
        <v>43283</v>
      </c>
      <c r="E878" s="452">
        <v>496.1413</v>
      </c>
      <c r="F878" s="461">
        <v>3654677.99</v>
      </c>
      <c r="G878" s="46">
        <v>43283</v>
      </c>
      <c r="H878" s="452">
        <v>496.1413</v>
      </c>
      <c r="I878" s="461">
        <v>3654677.99</v>
      </c>
      <c r="J878" s="167" t="s">
        <v>5248</v>
      </c>
    </row>
    <row r="879" spans="1:10" hidden="1">
      <c r="A879" s="42" t="s">
        <v>5250</v>
      </c>
      <c r="B879" s="42" t="s">
        <v>5251</v>
      </c>
      <c r="C879" s="18" t="s">
        <v>5252</v>
      </c>
      <c r="D879" s="46">
        <v>43283</v>
      </c>
      <c r="E879" s="452">
        <v>54.44</v>
      </c>
      <c r="F879" s="461">
        <v>148133.56</v>
      </c>
      <c r="G879" s="46">
        <v>43283</v>
      </c>
      <c r="H879" s="452">
        <v>54.44</v>
      </c>
      <c r="I879" s="461">
        <v>148133.56</v>
      </c>
      <c r="J879" s="167" t="s">
        <v>5239</v>
      </c>
    </row>
    <row r="880" spans="1:10" hidden="1">
      <c r="A880" s="42" t="s">
        <v>5269</v>
      </c>
      <c r="B880" s="42" t="s">
        <v>5270</v>
      </c>
      <c r="C880" s="18" t="s">
        <v>2842</v>
      </c>
      <c r="D880" s="46"/>
      <c r="E880" s="452"/>
      <c r="F880" s="461"/>
      <c r="G880" s="46">
        <v>43286</v>
      </c>
      <c r="H880" s="452">
        <v>13600</v>
      </c>
      <c r="I880" s="461">
        <v>17476000</v>
      </c>
      <c r="J880" s="167" t="s">
        <v>5271</v>
      </c>
    </row>
    <row r="881" spans="1:10" hidden="1">
      <c r="A881" s="42" t="s">
        <v>5280</v>
      </c>
      <c r="B881" s="42" t="s">
        <v>5276</v>
      </c>
      <c r="C881" s="18" t="s">
        <v>992</v>
      </c>
      <c r="D881" s="46">
        <v>43285</v>
      </c>
      <c r="E881" s="452">
        <v>200</v>
      </c>
      <c r="F881" s="461">
        <v>267000</v>
      </c>
      <c r="G881" s="46">
        <v>43285</v>
      </c>
      <c r="H881" s="452">
        <v>200</v>
      </c>
      <c r="I881" s="461">
        <v>267000</v>
      </c>
      <c r="J881" s="167" t="s">
        <v>5278</v>
      </c>
    </row>
    <row r="882" spans="1:10" hidden="1">
      <c r="A882" s="42" t="s">
        <v>5179</v>
      </c>
      <c r="B882" s="42" t="s">
        <v>5276</v>
      </c>
      <c r="C882" s="18" t="s">
        <v>5277</v>
      </c>
      <c r="D882" s="46">
        <v>43285</v>
      </c>
      <c r="E882" s="452">
        <v>200</v>
      </c>
      <c r="F882" s="461">
        <v>271200</v>
      </c>
      <c r="G882" s="46">
        <v>43285</v>
      </c>
      <c r="H882" s="452">
        <v>200</v>
      </c>
      <c r="I882" s="461">
        <v>271200</v>
      </c>
      <c r="J882" s="167" t="s">
        <v>5279</v>
      </c>
    </row>
    <row r="883" spans="1:10" hidden="1">
      <c r="A883" s="42" t="s">
        <v>5287</v>
      </c>
      <c r="B883" s="42" t="s">
        <v>5270</v>
      </c>
      <c r="C883" s="18" t="s">
        <v>5285</v>
      </c>
      <c r="D883" s="46"/>
      <c r="E883" s="452"/>
      <c r="F883" s="461"/>
      <c r="G883" s="46">
        <v>43284</v>
      </c>
      <c r="H883" s="452">
        <v>12812</v>
      </c>
      <c r="I883" s="461">
        <v>16604352</v>
      </c>
      <c r="J883" s="167" t="s">
        <v>5286</v>
      </c>
    </row>
    <row r="884" spans="1:10" hidden="1">
      <c r="A884" s="42" t="s">
        <v>5293</v>
      </c>
      <c r="B884" s="42" t="s">
        <v>5294</v>
      </c>
      <c r="C884" s="18" t="s">
        <v>5296</v>
      </c>
      <c r="D884" s="46">
        <v>43294</v>
      </c>
      <c r="E884" s="452">
        <v>275</v>
      </c>
      <c r="F884" s="461">
        <v>528000</v>
      </c>
      <c r="G884" s="46">
        <v>43294</v>
      </c>
      <c r="H884" s="452">
        <v>275</v>
      </c>
      <c r="I884" s="461">
        <v>528000</v>
      </c>
      <c r="J884" s="167" t="s">
        <v>5271</v>
      </c>
    </row>
    <row r="885" spans="1:10" hidden="1">
      <c r="A885" s="42" t="s">
        <v>5299</v>
      </c>
      <c r="B885" s="42" t="s">
        <v>5300</v>
      </c>
      <c r="C885" s="18" t="s">
        <v>83</v>
      </c>
      <c r="D885" s="46">
        <v>43291</v>
      </c>
      <c r="E885" s="452">
        <v>92.992999999999995</v>
      </c>
      <c r="F885" s="461">
        <v>1334444.2</v>
      </c>
      <c r="G885" s="46">
        <v>43291</v>
      </c>
      <c r="H885" s="452">
        <v>92.992999999999995</v>
      </c>
      <c r="I885" s="461">
        <v>1334444.2</v>
      </c>
      <c r="J885" s="167" t="s">
        <v>4352</v>
      </c>
    </row>
    <row r="886" spans="1:10" hidden="1">
      <c r="A886" s="42" t="s">
        <v>5315</v>
      </c>
      <c r="B886" s="18" t="s">
        <v>82</v>
      </c>
      <c r="C886" s="18" t="s">
        <v>3042</v>
      </c>
      <c r="D886" s="46">
        <v>43305</v>
      </c>
      <c r="E886" s="452">
        <v>96.246099999999998</v>
      </c>
      <c r="F886" s="461">
        <v>1568811.43</v>
      </c>
      <c r="G886" s="46">
        <v>43305</v>
      </c>
      <c r="H886" s="452">
        <v>96.246099999999998</v>
      </c>
      <c r="I886" s="461">
        <v>1568811.43</v>
      </c>
      <c r="J886" s="167" t="s">
        <v>4352</v>
      </c>
    </row>
    <row r="887" spans="1:10" hidden="1">
      <c r="A887" s="42" t="s">
        <v>5317</v>
      </c>
      <c r="B887" s="42" t="s">
        <v>82</v>
      </c>
      <c r="C887" s="18" t="s">
        <v>83</v>
      </c>
      <c r="D887" s="46">
        <v>43304</v>
      </c>
      <c r="E887" s="452">
        <v>64.045000000000002</v>
      </c>
      <c r="F887" s="461">
        <v>1066349.25</v>
      </c>
      <c r="G887" s="46">
        <v>43304</v>
      </c>
      <c r="H887" s="452">
        <v>64.045000000000002</v>
      </c>
      <c r="I887" s="461">
        <v>1066349.25</v>
      </c>
      <c r="J887" s="167" t="s">
        <v>4352</v>
      </c>
    </row>
    <row r="888" spans="1:10" hidden="1">
      <c r="A888" s="42" t="s">
        <v>5321</v>
      </c>
      <c r="B888" s="42" t="s">
        <v>82</v>
      </c>
      <c r="C888" s="18" t="s">
        <v>83</v>
      </c>
      <c r="D888" s="46">
        <v>43304</v>
      </c>
      <c r="E888" s="452">
        <v>98.123999999999995</v>
      </c>
      <c r="F888" s="461">
        <v>1432610.4</v>
      </c>
      <c r="G888" s="46">
        <v>43304</v>
      </c>
      <c r="H888" s="452">
        <v>98.123999999999995</v>
      </c>
      <c r="I888" s="461">
        <v>1432610.4</v>
      </c>
      <c r="J888" s="167" t="s">
        <v>4352</v>
      </c>
    </row>
    <row r="889" spans="1:10" hidden="1">
      <c r="A889" s="42" t="s">
        <v>5322</v>
      </c>
      <c r="B889" s="42" t="s">
        <v>2765</v>
      </c>
      <c r="C889" s="18" t="s">
        <v>2763</v>
      </c>
      <c r="D889" s="46">
        <v>43305</v>
      </c>
      <c r="E889" s="452">
        <v>15541.83</v>
      </c>
      <c r="F889" s="461">
        <v>20100372.68</v>
      </c>
      <c r="G889" s="46">
        <v>43305</v>
      </c>
      <c r="H889" s="452">
        <v>2729.83</v>
      </c>
      <c r="I889" s="461">
        <v>3496020.6799999997</v>
      </c>
      <c r="J889" s="167" t="s">
        <v>4352</v>
      </c>
    </row>
    <row r="890" spans="1:10" hidden="1">
      <c r="A890" s="42" t="s">
        <v>5324</v>
      </c>
      <c r="B890" s="42" t="s">
        <v>5326</v>
      </c>
      <c r="C890" s="18" t="s">
        <v>4795</v>
      </c>
      <c r="D890" s="46">
        <v>43306</v>
      </c>
      <c r="E890" s="452">
        <v>96</v>
      </c>
      <c r="F890" s="461">
        <f>15950*96</f>
        <v>1531200</v>
      </c>
      <c r="G890" s="46">
        <v>43306</v>
      </c>
      <c r="H890" s="452">
        <v>96</v>
      </c>
      <c r="I890" s="461">
        <f>15950*96</f>
        <v>1531200</v>
      </c>
      <c r="J890" s="167" t="s">
        <v>5271</v>
      </c>
    </row>
    <row r="891" spans="1:10" hidden="1">
      <c r="A891" s="42" t="s">
        <v>5345</v>
      </c>
      <c r="B891" s="42" t="s">
        <v>5346</v>
      </c>
      <c r="C891" s="18" t="s">
        <v>5347</v>
      </c>
      <c r="D891" s="46">
        <v>43306</v>
      </c>
      <c r="E891" s="452">
        <v>64</v>
      </c>
      <c r="F891" s="461">
        <v>1024000</v>
      </c>
      <c r="G891" s="46">
        <v>43306</v>
      </c>
      <c r="H891" s="452">
        <v>64</v>
      </c>
      <c r="I891" s="461">
        <v>1024000</v>
      </c>
      <c r="J891" s="167" t="s">
        <v>5348</v>
      </c>
    </row>
    <row r="892" spans="1:10" hidden="1">
      <c r="A892" s="42" t="s">
        <v>5349</v>
      </c>
      <c r="B892" s="42" t="s">
        <v>5346</v>
      </c>
      <c r="C892" s="18" t="s">
        <v>5347</v>
      </c>
      <c r="D892" s="46">
        <v>43306</v>
      </c>
      <c r="E892" s="452">
        <v>96</v>
      </c>
      <c r="F892" s="461">
        <v>1708800</v>
      </c>
      <c r="G892" s="46">
        <v>43306</v>
      </c>
      <c r="H892" s="452">
        <v>96</v>
      </c>
      <c r="I892" s="461">
        <v>1708800</v>
      </c>
      <c r="J892" s="167" t="s">
        <v>5348</v>
      </c>
    </row>
    <row r="893" spans="1:10" hidden="1">
      <c r="A893" s="42" t="s">
        <v>5339</v>
      </c>
      <c r="B893" s="42" t="s">
        <v>5350</v>
      </c>
      <c r="C893" s="18" t="s">
        <v>5344</v>
      </c>
      <c r="D893" s="46">
        <v>43307</v>
      </c>
      <c r="E893" s="452">
        <v>152.53</v>
      </c>
      <c r="F893" s="461">
        <v>429757.12</v>
      </c>
      <c r="G893" s="46">
        <v>43307</v>
      </c>
      <c r="H893" s="452">
        <v>152.53</v>
      </c>
      <c r="I893" s="461">
        <v>429757.12</v>
      </c>
      <c r="J893" s="167" t="s">
        <v>4352</v>
      </c>
    </row>
    <row r="894" spans="1:10" hidden="1">
      <c r="A894" s="42" t="s">
        <v>5370</v>
      </c>
      <c r="B894" s="42" t="s">
        <v>5373</v>
      </c>
      <c r="C894" s="18" t="s">
        <v>992</v>
      </c>
      <c r="D894" s="46">
        <v>43303</v>
      </c>
      <c r="E894" s="452">
        <v>40</v>
      </c>
      <c r="F894" s="461">
        <v>56600</v>
      </c>
      <c r="G894" s="46">
        <v>43303</v>
      </c>
      <c r="H894" s="452">
        <v>40</v>
      </c>
      <c r="I894" s="461">
        <v>56600</v>
      </c>
      <c r="J894" s="167" t="s">
        <v>1472</v>
      </c>
    </row>
    <row r="895" spans="1:10" hidden="1">
      <c r="A895" s="42" t="s">
        <v>5372</v>
      </c>
      <c r="B895" s="42" t="s">
        <v>5373</v>
      </c>
      <c r="C895" s="18" t="s">
        <v>3984</v>
      </c>
      <c r="D895" s="46">
        <v>43303</v>
      </c>
      <c r="E895" s="452">
        <v>40</v>
      </c>
      <c r="F895" s="461">
        <v>57400</v>
      </c>
      <c r="G895" s="46">
        <v>43303</v>
      </c>
      <c r="H895" s="452">
        <v>40</v>
      </c>
      <c r="I895" s="461">
        <v>57400</v>
      </c>
      <c r="J895" s="167" t="s">
        <v>401</v>
      </c>
    </row>
    <row r="896" spans="1:10" hidden="1">
      <c r="A896" s="42" t="s">
        <v>5376</v>
      </c>
      <c r="B896" s="42" t="s">
        <v>5373</v>
      </c>
      <c r="C896" s="18" t="s">
        <v>992</v>
      </c>
      <c r="D896" s="46">
        <v>43304</v>
      </c>
      <c r="E896" s="452"/>
      <c r="F896" s="461">
        <v>-1960</v>
      </c>
      <c r="G896" s="46">
        <v>43304</v>
      </c>
      <c r="H896" s="452"/>
      <c r="I896" s="461">
        <v>-1960</v>
      </c>
      <c r="J896" s="167" t="s">
        <v>1472</v>
      </c>
    </row>
    <row r="897" spans="1:10" hidden="1">
      <c r="A897" s="42" t="s">
        <v>5377</v>
      </c>
      <c r="B897" s="42" t="s">
        <v>5373</v>
      </c>
      <c r="C897" s="18" t="s">
        <v>992</v>
      </c>
      <c r="D897" s="46">
        <v>43304</v>
      </c>
      <c r="E897" s="452"/>
      <c r="F897" s="461">
        <v>-732.5</v>
      </c>
      <c r="G897" s="46">
        <v>43304</v>
      </c>
      <c r="H897" s="452"/>
      <c r="I897" s="461">
        <v>-732.5</v>
      </c>
      <c r="J897" s="167" t="s">
        <v>1472</v>
      </c>
    </row>
    <row r="898" spans="1:10" hidden="1">
      <c r="A898" s="42" t="s">
        <v>5116</v>
      </c>
      <c r="B898" s="42" t="s">
        <v>3271</v>
      </c>
      <c r="C898" s="18" t="s">
        <v>474</v>
      </c>
      <c r="D898" s="46">
        <v>43251</v>
      </c>
      <c r="E898" s="452"/>
      <c r="F898" s="461">
        <v>-1475</v>
      </c>
      <c r="G898" s="46">
        <v>43251</v>
      </c>
      <c r="H898" s="452"/>
      <c r="I898" s="461">
        <v>-1475</v>
      </c>
      <c r="J898" s="167" t="s">
        <v>401</v>
      </c>
    </row>
    <row r="899" spans="1:10" hidden="1">
      <c r="A899" s="42" t="s">
        <v>5274</v>
      </c>
      <c r="B899" s="42" t="s">
        <v>3271</v>
      </c>
      <c r="C899" s="18" t="s">
        <v>3984</v>
      </c>
      <c r="D899" s="46">
        <v>43303</v>
      </c>
      <c r="E899" s="452"/>
      <c r="F899" s="461">
        <v>2200</v>
      </c>
      <c r="G899" s="46">
        <v>43303</v>
      </c>
      <c r="H899" s="452"/>
      <c r="I899" s="461">
        <v>2200</v>
      </c>
      <c r="J899" s="167" t="s">
        <v>1472</v>
      </c>
    </row>
    <row r="900" spans="1:10" hidden="1">
      <c r="A900" s="42" t="s">
        <v>5399</v>
      </c>
      <c r="B900" s="42" t="s">
        <v>60</v>
      </c>
      <c r="C900" s="18" t="s">
        <v>83</v>
      </c>
      <c r="D900" s="46">
        <v>43318</v>
      </c>
      <c r="E900" s="452">
        <v>131.15700000000001</v>
      </c>
      <c r="F900" s="461">
        <v>981054.36</v>
      </c>
      <c r="G900" s="46">
        <v>43318</v>
      </c>
      <c r="H900" s="452">
        <v>131.15700000000001</v>
      </c>
      <c r="I900" s="461">
        <v>981054.36</v>
      </c>
      <c r="J900" s="167" t="s">
        <v>4352</v>
      </c>
    </row>
    <row r="901" spans="1:10">
      <c r="A901" s="42" t="s">
        <v>5400</v>
      </c>
      <c r="B901" s="42" t="s">
        <v>60</v>
      </c>
      <c r="C901" s="18" t="s">
        <v>83</v>
      </c>
      <c r="D901" s="46">
        <v>43318</v>
      </c>
      <c r="E901" s="452">
        <v>102.43899999999999</v>
      </c>
      <c r="F901" s="461">
        <v>870731.5</v>
      </c>
      <c r="G901" s="46">
        <v>43318</v>
      </c>
      <c r="H901" s="452">
        <v>102.43899999999999</v>
      </c>
      <c r="I901" s="461">
        <v>870731.5</v>
      </c>
      <c r="J901" s="167" t="s">
        <v>4352</v>
      </c>
    </row>
    <row r="902" spans="1:10" hidden="1">
      <c r="A902" s="42" t="s">
        <v>5246</v>
      </c>
      <c r="B902" s="42" t="s">
        <v>60</v>
      </c>
      <c r="C902" s="18" t="s">
        <v>351</v>
      </c>
      <c r="D902" s="46">
        <v>43333</v>
      </c>
      <c r="E902" s="452">
        <v>131.15700000000001</v>
      </c>
      <c r="F902" s="461">
        <v>946215.05</v>
      </c>
      <c r="G902" s="46">
        <v>43333</v>
      </c>
      <c r="H902" s="452">
        <v>131.15700000000001</v>
      </c>
      <c r="I902" s="461">
        <v>946215.05</v>
      </c>
      <c r="J902" s="167" t="s">
        <v>5271</v>
      </c>
    </row>
    <row r="903" spans="1:10" hidden="1">
      <c r="A903" s="42" t="s">
        <v>5358</v>
      </c>
      <c r="B903" s="42" t="s">
        <v>60</v>
      </c>
      <c r="C903" s="18" t="s">
        <v>351</v>
      </c>
      <c r="D903" s="46">
        <v>43333</v>
      </c>
      <c r="E903" s="452">
        <v>233.12100000000001</v>
      </c>
      <c r="F903" s="461">
        <v>1911040.05</v>
      </c>
      <c r="G903" s="46">
        <v>43333</v>
      </c>
      <c r="H903" s="452">
        <v>233.12100000000001</v>
      </c>
      <c r="I903" s="461">
        <v>1911040.05</v>
      </c>
      <c r="J903" s="167" t="s">
        <v>5271</v>
      </c>
    </row>
    <row r="904" spans="1:10">
      <c r="A904" s="42" t="s">
        <v>5240</v>
      </c>
      <c r="B904" s="42" t="s">
        <v>60</v>
      </c>
      <c r="C904" s="18" t="s">
        <v>83</v>
      </c>
      <c r="D904" s="46">
        <v>43334</v>
      </c>
      <c r="E904" s="452">
        <v>130.68199999999999</v>
      </c>
      <c r="F904" s="461">
        <v>1103282.49</v>
      </c>
      <c r="G904" s="46">
        <v>43334</v>
      </c>
      <c r="H904" s="452">
        <v>130.68199999999999</v>
      </c>
      <c r="I904" s="461">
        <v>1103282.49</v>
      </c>
      <c r="J904" s="167" t="s">
        <v>4352</v>
      </c>
    </row>
    <row r="905" spans="1:10" hidden="1">
      <c r="A905" s="42" t="s">
        <v>5425</v>
      </c>
      <c r="B905" s="42" t="s">
        <v>5426</v>
      </c>
      <c r="C905" s="18" t="s">
        <v>5427</v>
      </c>
      <c r="D905" s="46">
        <v>43317</v>
      </c>
      <c r="E905" s="452">
        <v>200</v>
      </c>
      <c r="F905" s="461">
        <v>267000</v>
      </c>
      <c r="G905" s="46">
        <v>43317</v>
      </c>
      <c r="H905" s="452">
        <v>200</v>
      </c>
      <c r="I905" s="461">
        <v>267000</v>
      </c>
      <c r="J905" s="167" t="s">
        <v>5428</v>
      </c>
    </row>
    <row r="906" spans="1:10" hidden="1">
      <c r="A906" s="42" t="s">
        <v>5429</v>
      </c>
      <c r="B906" s="42" t="s">
        <v>5426</v>
      </c>
      <c r="C906" s="18" t="s">
        <v>5427</v>
      </c>
      <c r="D906" s="46">
        <v>43315</v>
      </c>
      <c r="E906" s="452">
        <v>100</v>
      </c>
      <c r="F906" s="461">
        <v>133500</v>
      </c>
      <c r="G906" s="46">
        <v>43315</v>
      </c>
      <c r="H906" s="452">
        <v>100</v>
      </c>
      <c r="I906" s="461">
        <v>133500</v>
      </c>
      <c r="J906" s="167" t="s">
        <v>5428</v>
      </c>
    </row>
    <row r="907" spans="1:10" hidden="1">
      <c r="A907" s="42" t="s">
        <v>5430</v>
      </c>
      <c r="B907" s="42" t="s">
        <v>5426</v>
      </c>
      <c r="C907" s="18" t="s">
        <v>5427</v>
      </c>
      <c r="D907" s="46">
        <v>43316</v>
      </c>
      <c r="E907" s="452">
        <v>40</v>
      </c>
      <c r="F907" s="461">
        <v>55200</v>
      </c>
      <c r="G907" s="46">
        <v>43316</v>
      </c>
      <c r="H907" s="452">
        <v>40</v>
      </c>
      <c r="I907" s="461">
        <v>55200</v>
      </c>
      <c r="J907" s="167" t="s">
        <v>5428</v>
      </c>
    </row>
    <row r="908" spans="1:10" hidden="1">
      <c r="A908" s="42" t="s">
        <v>5431</v>
      </c>
      <c r="B908" s="42" t="s">
        <v>5426</v>
      </c>
      <c r="C908" s="18" t="s">
        <v>5432</v>
      </c>
      <c r="D908" s="46">
        <v>43317</v>
      </c>
      <c r="E908" s="452">
        <v>200</v>
      </c>
      <c r="F908" s="461">
        <v>271200</v>
      </c>
      <c r="G908" s="46">
        <v>43317</v>
      </c>
      <c r="H908" s="452">
        <v>200</v>
      </c>
      <c r="I908" s="461">
        <v>271200</v>
      </c>
      <c r="J908" s="167" t="s">
        <v>5433</v>
      </c>
    </row>
    <row r="909" spans="1:10" hidden="1">
      <c r="A909" s="42" t="s">
        <v>5434</v>
      </c>
      <c r="B909" s="42" t="s">
        <v>5426</v>
      </c>
      <c r="C909" s="18" t="s">
        <v>5435</v>
      </c>
      <c r="D909" s="46">
        <v>43315</v>
      </c>
      <c r="E909" s="452">
        <v>100</v>
      </c>
      <c r="F909" s="461">
        <v>134500</v>
      </c>
      <c r="G909" s="46">
        <v>43315</v>
      </c>
      <c r="H909" s="452">
        <v>100</v>
      </c>
      <c r="I909" s="461">
        <v>134500</v>
      </c>
      <c r="J909" s="167" t="s">
        <v>5433</v>
      </c>
    </row>
    <row r="910" spans="1:10" hidden="1">
      <c r="A910" s="42" t="s">
        <v>5436</v>
      </c>
      <c r="B910" s="42" t="s">
        <v>5426</v>
      </c>
      <c r="C910" s="18" t="s">
        <v>5435</v>
      </c>
      <c r="D910" s="46">
        <v>43316</v>
      </c>
      <c r="E910" s="452">
        <v>40</v>
      </c>
      <c r="F910" s="461">
        <v>55600</v>
      </c>
      <c r="G910" s="46">
        <v>43316</v>
      </c>
      <c r="H910" s="452">
        <v>40</v>
      </c>
      <c r="I910" s="461">
        <v>55600</v>
      </c>
      <c r="J910" s="167" t="s">
        <v>5433</v>
      </c>
    </row>
    <row r="911" spans="1:10" hidden="1">
      <c r="A911" s="42" t="s">
        <v>5423</v>
      </c>
      <c r="B911" s="42" t="s">
        <v>5426</v>
      </c>
      <c r="C911" s="18" t="s">
        <v>5435</v>
      </c>
      <c r="D911" s="46">
        <v>43315</v>
      </c>
      <c r="E911" s="452"/>
      <c r="F911" s="461">
        <v>-2200</v>
      </c>
      <c r="G911" s="46">
        <v>43315</v>
      </c>
      <c r="H911" s="452"/>
      <c r="I911" s="461">
        <v>-2200</v>
      </c>
      <c r="J911" s="167" t="s">
        <v>5428</v>
      </c>
    </row>
    <row r="912" spans="1:10" hidden="1">
      <c r="A912" s="42" t="s">
        <v>5402</v>
      </c>
      <c r="B912" s="42" t="s">
        <v>82</v>
      </c>
      <c r="C912" s="18" t="s">
        <v>3405</v>
      </c>
      <c r="D912" s="46">
        <v>43325</v>
      </c>
      <c r="E912" s="452">
        <v>97.664000000000001</v>
      </c>
      <c r="F912" s="461">
        <v>1992345.6000000001</v>
      </c>
      <c r="G912" s="46">
        <v>43325</v>
      </c>
      <c r="H912" s="452">
        <v>97.664000000000001</v>
      </c>
      <c r="I912" s="461">
        <v>1992345.6000000001</v>
      </c>
      <c r="J912" s="167" t="s">
        <v>4352</v>
      </c>
    </row>
    <row r="913" spans="1:10" hidden="1">
      <c r="A913" s="42" t="s">
        <v>5215</v>
      </c>
      <c r="B913" s="42" t="s">
        <v>2765</v>
      </c>
      <c r="C913" s="18" t="s">
        <v>2842</v>
      </c>
      <c r="D913" s="46">
        <v>43304</v>
      </c>
      <c r="E913" s="452">
        <v>15541.83</v>
      </c>
      <c r="F913" s="461">
        <v>19971250.969999999</v>
      </c>
      <c r="G913" s="46">
        <v>43304</v>
      </c>
      <c r="H913" s="452">
        <v>1941.83</v>
      </c>
      <c r="I913" s="461">
        <v>2495250.9700000002</v>
      </c>
      <c r="J913" s="167" t="s">
        <v>5271</v>
      </c>
    </row>
    <row r="914" spans="1:10" hidden="1">
      <c r="A914" s="42" t="s">
        <v>5456</v>
      </c>
      <c r="B914" s="42" t="s">
        <v>5457</v>
      </c>
      <c r="C914" s="18" t="s">
        <v>4303</v>
      </c>
      <c r="D914" s="46">
        <v>43340</v>
      </c>
      <c r="E914" s="452">
        <v>152.53</v>
      </c>
      <c r="F914" s="461">
        <v>423228.92</v>
      </c>
      <c r="G914" s="46">
        <v>43340</v>
      </c>
      <c r="H914" s="452">
        <v>152.53</v>
      </c>
      <c r="I914" s="461">
        <v>423228.92</v>
      </c>
      <c r="J914" s="167" t="s">
        <v>5271</v>
      </c>
    </row>
    <row r="915" spans="1:10" hidden="1">
      <c r="A915" s="42" t="s">
        <v>5468</v>
      </c>
      <c r="B915" s="42" t="s">
        <v>5469</v>
      </c>
      <c r="C915" s="18" t="s">
        <v>5470</v>
      </c>
      <c r="D915" s="46">
        <v>43341</v>
      </c>
      <c r="E915" s="452">
        <v>33.579000000000001</v>
      </c>
      <c r="F915" s="461">
        <v>671580</v>
      </c>
      <c r="G915" s="46">
        <v>43341</v>
      </c>
      <c r="H915" s="452">
        <v>33.579000000000001</v>
      </c>
      <c r="I915" s="461">
        <v>671580</v>
      </c>
      <c r="J915" s="167" t="s">
        <v>5471</v>
      </c>
    </row>
    <row r="916" spans="1:10" hidden="1">
      <c r="A916" s="42" t="s">
        <v>5472</v>
      </c>
      <c r="B916" s="42" t="s">
        <v>5473</v>
      </c>
      <c r="C916" s="18" t="s">
        <v>5470</v>
      </c>
      <c r="D916" s="46">
        <v>43321</v>
      </c>
      <c r="E916" s="452">
        <v>32</v>
      </c>
      <c r="F916" s="461">
        <v>619663.5</v>
      </c>
      <c r="G916" s="46">
        <v>43321</v>
      </c>
      <c r="H916" s="452">
        <v>32</v>
      </c>
      <c r="I916" s="461">
        <v>619663.5</v>
      </c>
      <c r="J916" s="167" t="s">
        <v>5471</v>
      </c>
    </row>
    <row r="917" spans="1:10" hidden="1">
      <c r="A917" s="42" t="s">
        <v>5485</v>
      </c>
      <c r="B917" s="42" t="s">
        <v>5484</v>
      </c>
      <c r="C917" s="18" t="s">
        <v>2763</v>
      </c>
      <c r="D917" s="46"/>
      <c r="E917" s="452"/>
      <c r="F917" s="461"/>
      <c r="G917" s="46">
        <v>43381</v>
      </c>
      <c r="H917" s="452">
        <v>11700</v>
      </c>
      <c r="I917" s="461">
        <v>15908490</v>
      </c>
      <c r="J917" s="167" t="s">
        <v>4352</v>
      </c>
    </row>
    <row r="918" spans="1:10" hidden="1">
      <c r="A918" s="42" t="s">
        <v>5481</v>
      </c>
      <c r="B918" s="42" t="s">
        <v>82</v>
      </c>
      <c r="C918" s="18" t="s">
        <v>83</v>
      </c>
      <c r="D918" s="46">
        <v>43364</v>
      </c>
      <c r="E918" s="452">
        <v>105.191</v>
      </c>
      <c r="F918" s="461">
        <v>1909216.65</v>
      </c>
      <c r="G918" s="46">
        <v>43364</v>
      </c>
      <c r="H918" s="452">
        <v>105.191</v>
      </c>
      <c r="I918" s="461">
        <v>1909216.65</v>
      </c>
      <c r="J918" s="167" t="s">
        <v>4352</v>
      </c>
    </row>
    <row r="919" spans="1:10" hidden="1">
      <c r="A919" s="42" t="s">
        <v>5509</v>
      </c>
      <c r="B919" s="42" t="s">
        <v>240</v>
      </c>
      <c r="C919" s="18" t="s">
        <v>4795</v>
      </c>
      <c r="D919" s="46">
        <v>43370</v>
      </c>
      <c r="E919" s="452">
        <v>200</v>
      </c>
      <c r="F919" s="461">
        <v>3480000</v>
      </c>
      <c r="G919" s="46">
        <v>43370</v>
      </c>
      <c r="H919" s="452">
        <v>200</v>
      </c>
      <c r="I919" s="461">
        <v>3480000</v>
      </c>
      <c r="J919" s="167" t="s">
        <v>5271</v>
      </c>
    </row>
    <row r="920" spans="1:10" hidden="1">
      <c r="A920" s="42" t="s">
        <v>5510</v>
      </c>
      <c r="B920" s="42" t="s">
        <v>2765</v>
      </c>
      <c r="C920" s="18" t="s">
        <v>2842</v>
      </c>
      <c r="D920" s="46"/>
      <c r="E920" s="452"/>
      <c r="F920" s="461"/>
      <c r="G920" s="46">
        <v>43384</v>
      </c>
      <c r="H920" s="452">
        <v>12431.25</v>
      </c>
      <c r="I920" s="461">
        <v>16769756.25</v>
      </c>
      <c r="J920" s="167" t="s">
        <v>5271</v>
      </c>
    </row>
    <row r="921" spans="1:10" hidden="1">
      <c r="A921" s="42" t="s">
        <v>5516</v>
      </c>
      <c r="B921" s="42" t="s">
        <v>82</v>
      </c>
      <c r="C921" s="18" t="s">
        <v>83</v>
      </c>
      <c r="D921" s="46">
        <v>43381</v>
      </c>
      <c r="E921" s="452">
        <v>155.20099999999999</v>
      </c>
      <c r="F921" s="461">
        <v>2816898.15</v>
      </c>
      <c r="G921" s="46">
        <v>43381</v>
      </c>
      <c r="H921" s="452">
        <v>155.20099999999999</v>
      </c>
      <c r="I921" s="461">
        <v>2816898.15</v>
      </c>
      <c r="J921" s="167" t="s">
        <v>4352</v>
      </c>
    </row>
    <row r="922" spans="1:10" hidden="1">
      <c r="A922" s="42" t="s">
        <v>5520</v>
      </c>
      <c r="B922" s="42" t="s">
        <v>82</v>
      </c>
      <c r="C922" s="18" t="s">
        <v>83</v>
      </c>
      <c r="D922" s="46">
        <v>43395</v>
      </c>
      <c r="E922" s="452">
        <v>105.23099999999999</v>
      </c>
      <c r="F922" s="461">
        <v>1999389</v>
      </c>
      <c r="G922" s="46">
        <v>43395</v>
      </c>
      <c r="H922" s="452">
        <v>105.23099999999999</v>
      </c>
      <c r="I922" s="461">
        <v>1999389</v>
      </c>
      <c r="J922" s="167" t="s">
        <v>4352</v>
      </c>
    </row>
    <row r="923" spans="1:10" hidden="1">
      <c r="A923" s="42" t="s">
        <v>5529</v>
      </c>
      <c r="B923" s="42" t="s">
        <v>5530</v>
      </c>
      <c r="C923" s="18" t="s">
        <v>2797</v>
      </c>
      <c r="D923" s="46">
        <v>43402</v>
      </c>
      <c r="E923" s="452">
        <v>1562.2159999999999</v>
      </c>
      <c r="F923" s="461">
        <v>2107429.38</v>
      </c>
      <c r="G923" s="46">
        <v>43402</v>
      </c>
      <c r="H923" s="452">
        <v>1562.2159999999999</v>
      </c>
      <c r="I923" s="461">
        <v>2107429.38</v>
      </c>
      <c r="J923" s="167" t="s">
        <v>5271</v>
      </c>
    </row>
    <row r="924" spans="1:10" hidden="1">
      <c r="A924" s="42" t="s">
        <v>5534</v>
      </c>
      <c r="B924" s="42" t="s">
        <v>2765</v>
      </c>
      <c r="C924" s="18" t="s">
        <v>2763</v>
      </c>
      <c r="D924" s="46">
        <v>43396</v>
      </c>
      <c r="E924" s="452">
        <v>13993.466</v>
      </c>
      <c r="F924" s="461">
        <v>19015606.620000001</v>
      </c>
      <c r="G924" s="46">
        <v>43396</v>
      </c>
      <c r="H924" s="452">
        <v>2293.4659999999999</v>
      </c>
      <c r="I924" s="461">
        <v>3107116.62</v>
      </c>
      <c r="J924" s="167" t="s">
        <v>4352</v>
      </c>
    </row>
    <row r="925" spans="1:10" hidden="1">
      <c r="A925" s="42" t="s">
        <v>5538</v>
      </c>
      <c r="B925" s="42" t="s">
        <v>240</v>
      </c>
      <c r="C925" s="18" t="s">
        <v>4795</v>
      </c>
      <c r="D925" s="46">
        <v>43402</v>
      </c>
      <c r="E925" s="452">
        <v>64</v>
      </c>
      <c r="F925" s="461">
        <v>1168000</v>
      </c>
      <c r="G925" s="46">
        <v>43402</v>
      </c>
      <c r="H925" s="452">
        <v>64</v>
      </c>
      <c r="I925" s="461">
        <v>1168000</v>
      </c>
      <c r="J925" s="167" t="s">
        <v>5271</v>
      </c>
    </row>
    <row r="926" spans="1:10" hidden="1">
      <c r="A926" s="42" t="s">
        <v>5541</v>
      </c>
      <c r="B926" s="42" t="s">
        <v>2761</v>
      </c>
      <c r="C926" s="18" t="s">
        <v>2797</v>
      </c>
      <c r="D926" s="46">
        <v>43402</v>
      </c>
      <c r="E926" s="452">
        <v>11054.25</v>
      </c>
      <c r="F926" s="461">
        <v>14613718.5</v>
      </c>
      <c r="G926" s="46">
        <v>43402</v>
      </c>
      <c r="H926" s="452">
        <v>11054.25</v>
      </c>
      <c r="I926" s="461">
        <v>14613718.5</v>
      </c>
      <c r="J926" s="167" t="s">
        <v>5271</v>
      </c>
    </row>
    <row r="927" spans="1:10" hidden="1">
      <c r="A927" s="42" t="s">
        <v>5547</v>
      </c>
      <c r="B927" s="42" t="s">
        <v>2765</v>
      </c>
      <c r="C927" s="18" t="s">
        <v>2763</v>
      </c>
      <c r="D927" s="46">
        <v>43402</v>
      </c>
      <c r="E927" s="452">
        <v>10404</v>
      </c>
      <c r="F927" s="461">
        <v>13863330</v>
      </c>
      <c r="G927" s="46">
        <v>43402</v>
      </c>
      <c r="H927" s="452">
        <v>10404</v>
      </c>
      <c r="I927" s="461">
        <v>13863330</v>
      </c>
      <c r="J927" s="167" t="s">
        <v>4352</v>
      </c>
    </row>
    <row r="928" spans="1:10" hidden="1">
      <c r="A928" s="24" t="s">
        <v>5549</v>
      </c>
      <c r="B928" s="42" t="s">
        <v>82</v>
      </c>
      <c r="C928" s="18" t="s">
        <v>83</v>
      </c>
      <c r="D928" s="46">
        <v>43409</v>
      </c>
      <c r="E928" s="452">
        <v>104.093</v>
      </c>
      <c r="F928" s="461">
        <v>1977767</v>
      </c>
      <c r="G928" s="46">
        <v>43409</v>
      </c>
      <c r="H928" s="452">
        <v>104.093</v>
      </c>
      <c r="I928" s="461">
        <v>1977767</v>
      </c>
      <c r="J928" s="167" t="s">
        <v>4352</v>
      </c>
    </row>
    <row r="929" spans="1:10" hidden="1">
      <c r="A929" s="42" t="s">
        <v>5526</v>
      </c>
      <c r="B929" s="42" t="s">
        <v>240</v>
      </c>
      <c r="C929" s="18" t="s">
        <v>4795</v>
      </c>
      <c r="D929" s="46">
        <v>43404</v>
      </c>
      <c r="E929" s="452">
        <v>32</v>
      </c>
      <c r="F929" s="461">
        <v>544000</v>
      </c>
      <c r="G929" s="46">
        <v>43404</v>
      </c>
      <c r="H929" s="452">
        <v>32</v>
      </c>
      <c r="I929" s="461">
        <v>544000</v>
      </c>
      <c r="J929" s="167" t="s">
        <v>5271</v>
      </c>
    </row>
    <row r="930" spans="1:10" hidden="1">
      <c r="A930" s="42" t="s">
        <v>5557</v>
      </c>
      <c r="B930" s="42" t="s">
        <v>82</v>
      </c>
      <c r="C930" s="18" t="s">
        <v>83</v>
      </c>
      <c r="D930" s="46">
        <v>43420</v>
      </c>
      <c r="E930" s="452">
        <v>320.19400000000002</v>
      </c>
      <c r="F930" s="461">
        <v>5251181.5999999996</v>
      </c>
      <c r="G930" s="46">
        <v>43420</v>
      </c>
      <c r="H930" s="452">
        <v>320.19400000000002</v>
      </c>
      <c r="I930" s="461">
        <v>5251181.5999999996</v>
      </c>
      <c r="J930" s="167" t="s">
        <v>4352</v>
      </c>
    </row>
    <row r="931" spans="1:10" hidden="1">
      <c r="A931" s="42" t="s">
        <v>5563</v>
      </c>
      <c r="B931" s="42" t="s">
        <v>240</v>
      </c>
      <c r="C931" s="18" t="s">
        <v>4795</v>
      </c>
      <c r="D931" s="46">
        <v>43433</v>
      </c>
      <c r="E931" s="452">
        <v>128</v>
      </c>
      <c r="F931" s="461">
        <v>2003200</v>
      </c>
      <c r="G931" s="46">
        <v>43433</v>
      </c>
      <c r="H931" s="452">
        <v>128</v>
      </c>
      <c r="I931" s="461">
        <v>2003200</v>
      </c>
      <c r="J931" s="167" t="s">
        <v>5271</v>
      </c>
    </row>
    <row r="932" spans="1:10" hidden="1">
      <c r="A932" s="42" t="s">
        <v>5570</v>
      </c>
      <c r="B932" s="42" t="s">
        <v>5571</v>
      </c>
      <c r="C932" s="18" t="s">
        <v>2763</v>
      </c>
      <c r="D932" s="46">
        <v>43440</v>
      </c>
      <c r="E932" s="452">
        <v>2497.5509999999999</v>
      </c>
      <c r="F932" s="461">
        <v>3317716.01</v>
      </c>
      <c r="G932" s="46">
        <v>43440</v>
      </c>
      <c r="H932" s="452">
        <v>2497.5509999999999</v>
      </c>
      <c r="I932" s="461">
        <v>3317716.01</v>
      </c>
      <c r="J932" s="167" t="s">
        <v>4352</v>
      </c>
    </row>
    <row r="933" spans="1:10" hidden="1">
      <c r="A933" s="42" t="s">
        <v>5532</v>
      </c>
      <c r="B933" s="42" t="s">
        <v>2761</v>
      </c>
      <c r="C933" s="18" t="s">
        <v>2797</v>
      </c>
      <c r="D933" s="46">
        <v>43446</v>
      </c>
      <c r="E933" s="452">
        <f>E932+E927-E926</f>
        <v>1847.3009999999995</v>
      </c>
      <c r="F933" s="461">
        <v>2442131.92</v>
      </c>
      <c r="G933" s="46">
        <v>43446</v>
      </c>
      <c r="H933" s="452">
        <f>H932+H927-H926</f>
        <v>1847.3009999999995</v>
      </c>
      <c r="I933" s="461">
        <v>2442131.92</v>
      </c>
      <c r="J933" s="167" t="s">
        <v>5271</v>
      </c>
    </row>
    <row r="934" spans="1:10" hidden="1">
      <c r="A934" s="42" t="s">
        <v>5574</v>
      </c>
      <c r="B934" s="42" t="s">
        <v>5576</v>
      </c>
      <c r="C934" s="18" t="s">
        <v>83</v>
      </c>
      <c r="D934" s="46">
        <v>43441</v>
      </c>
      <c r="E934" s="452">
        <v>47.034999999999997</v>
      </c>
      <c r="F934" s="461">
        <v>770809.58</v>
      </c>
      <c r="G934" s="46">
        <v>43441</v>
      </c>
      <c r="H934" s="452">
        <v>47.034999999999997</v>
      </c>
      <c r="I934" s="461">
        <v>770809.58</v>
      </c>
      <c r="J934" s="167" t="s">
        <v>4352</v>
      </c>
    </row>
    <row r="935" spans="1:10" hidden="1">
      <c r="A935" s="42" t="s">
        <v>5575</v>
      </c>
      <c r="B935" s="42" t="s">
        <v>5576</v>
      </c>
      <c r="C935" s="18" t="s">
        <v>83</v>
      </c>
      <c r="D935" s="46">
        <v>43441</v>
      </c>
      <c r="E935" s="452">
        <v>339.029</v>
      </c>
      <c r="F935" s="461">
        <v>4644697.3</v>
      </c>
      <c r="G935" s="46">
        <v>43441</v>
      </c>
      <c r="H935" s="452">
        <v>339.029</v>
      </c>
      <c r="I935" s="461">
        <v>4644697.3</v>
      </c>
      <c r="J935" s="167" t="s">
        <v>4352</v>
      </c>
    </row>
    <row r="936" spans="1:10" hidden="1">
      <c r="A936" s="42" t="s">
        <v>5561</v>
      </c>
      <c r="B936" s="42" t="s">
        <v>82</v>
      </c>
      <c r="C936" s="18" t="s">
        <v>3042</v>
      </c>
      <c r="D936" s="46">
        <v>43451</v>
      </c>
      <c r="E936" s="452">
        <v>96.066000000000003</v>
      </c>
      <c r="F936" s="461">
        <v>1248858</v>
      </c>
      <c r="G936" s="46">
        <v>43458</v>
      </c>
      <c r="H936" s="452">
        <v>96.066000000000003</v>
      </c>
      <c r="I936" s="461">
        <v>1248858</v>
      </c>
      <c r="J936" s="167" t="s">
        <v>4352</v>
      </c>
    </row>
    <row r="937" spans="1:10" hidden="1">
      <c r="A937" s="42" t="s">
        <v>5565</v>
      </c>
      <c r="B937" s="42" t="s">
        <v>82</v>
      </c>
      <c r="C937" s="18" t="s">
        <v>3042</v>
      </c>
      <c r="D937" s="46">
        <v>43451</v>
      </c>
      <c r="E937" s="452">
        <v>96.025999999999996</v>
      </c>
      <c r="F937" s="461">
        <v>1272344.5</v>
      </c>
      <c r="G937" s="46">
        <v>43458</v>
      </c>
      <c r="H937" s="452">
        <v>96.025999999999996</v>
      </c>
      <c r="I937" s="461">
        <v>1272344.5</v>
      </c>
      <c r="J937" s="167" t="s">
        <v>4352</v>
      </c>
    </row>
    <row r="938" spans="1:10" hidden="1">
      <c r="A938" s="42" t="s">
        <v>5559</v>
      </c>
      <c r="B938" s="42" t="s">
        <v>194</v>
      </c>
      <c r="C938" s="18" t="s">
        <v>4795</v>
      </c>
      <c r="D938" s="46">
        <v>43451</v>
      </c>
      <c r="E938" s="452">
        <v>464</v>
      </c>
      <c r="F938" s="461">
        <v>6008800</v>
      </c>
      <c r="G938" s="46">
        <v>43451</v>
      </c>
      <c r="H938" s="452">
        <v>464</v>
      </c>
      <c r="I938" s="461">
        <v>6008800</v>
      </c>
      <c r="J938" s="167" t="s">
        <v>5271</v>
      </c>
    </row>
    <row r="939" spans="1:10" hidden="1">
      <c r="A939" s="42" t="s">
        <v>5562</v>
      </c>
      <c r="B939" s="42" t="s">
        <v>82</v>
      </c>
      <c r="C939" s="18" t="s">
        <v>83</v>
      </c>
      <c r="D939" s="46">
        <v>43454</v>
      </c>
      <c r="E939" s="452">
        <v>41.984000000000002</v>
      </c>
      <c r="F939" s="461">
        <v>575180.80000000005</v>
      </c>
      <c r="G939" s="46">
        <v>43454</v>
      </c>
      <c r="H939" s="452">
        <v>41.984000000000002</v>
      </c>
      <c r="I939" s="461">
        <v>575180.80000000005</v>
      </c>
      <c r="J939" s="167" t="s">
        <v>4352</v>
      </c>
    </row>
    <row r="940" spans="1:10" hidden="1">
      <c r="A940" s="42" t="s">
        <v>5588</v>
      </c>
      <c r="B940" s="42" t="s">
        <v>5585</v>
      </c>
      <c r="C940" s="18" t="s">
        <v>2763</v>
      </c>
      <c r="D940" s="46"/>
      <c r="E940" s="452"/>
      <c r="F940" s="461"/>
      <c r="G940" s="46">
        <v>43472</v>
      </c>
      <c r="H940" s="452">
        <v>17595.2</v>
      </c>
      <c r="I940" s="461">
        <v>20793127.600000001</v>
      </c>
      <c r="J940" s="167" t="s">
        <v>4352</v>
      </c>
    </row>
    <row r="941" spans="1:10" hidden="1">
      <c r="A941" s="42" t="s">
        <v>5601</v>
      </c>
      <c r="B941" s="42" t="s">
        <v>60</v>
      </c>
      <c r="C941" s="18" t="s">
        <v>5606</v>
      </c>
      <c r="D941" s="46">
        <v>43479</v>
      </c>
      <c r="E941" s="452">
        <v>273.76830000000001</v>
      </c>
      <c r="F941" s="461">
        <v>2361799.12</v>
      </c>
      <c r="G941" s="46">
        <v>43479</v>
      </c>
      <c r="H941" s="452">
        <v>273.76830000000001</v>
      </c>
      <c r="I941" s="461">
        <v>2361799.12</v>
      </c>
      <c r="J941" s="167" t="s">
        <v>5271</v>
      </c>
    </row>
    <row r="942" spans="1:10">
      <c r="A942" s="42" t="s">
        <v>5240</v>
      </c>
      <c r="B942" s="42" t="s">
        <v>60</v>
      </c>
      <c r="C942" s="18" t="s">
        <v>83</v>
      </c>
      <c r="D942" s="46">
        <v>43468</v>
      </c>
      <c r="E942" s="452">
        <v>273.76830000000001</v>
      </c>
      <c r="F942" s="461">
        <v>2313342.14</v>
      </c>
      <c r="G942" s="46">
        <v>43468</v>
      </c>
      <c r="H942" s="452">
        <v>273.76830000000001</v>
      </c>
      <c r="I942" s="461">
        <v>2313342.14</v>
      </c>
      <c r="J942" s="167" t="s">
        <v>4352</v>
      </c>
    </row>
    <row r="943" spans="1:10" hidden="1">
      <c r="A943" s="42" t="s">
        <v>5598</v>
      </c>
      <c r="B943" s="42" t="s">
        <v>82</v>
      </c>
      <c r="C943" s="18" t="s">
        <v>83</v>
      </c>
      <c r="D943" s="46">
        <v>43476</v>
      </c>
      <c r="E943" s="452">
        <v>190.11799999999999</v>
      </c>
      <c r="F943" s="461">
        <v>2699675.6</v>
      </c>
      <c r="G943" s="46">
        <v>43476</v>
      </c>
      <c r="H943" s="452">
        <v>190.11799999999999</v>
      </c>
      <c r="I943" s="461">
        <v>2699675.6</v>
      </c>
      <c r="J943" s="167" t="s">
        <v>4352</v>
      </c>
    </row>
    <row r="944" spans="1:10" hidden="1">
      <c r="A944" s="42" t="s">
        <v>5564</v>
      </c>
      <c r="B944" s="42" t="s">
        <v>194</v>
      </c>
      <c r="C944" s="18" t="s">
        <v>4795</v>
      </c>
      <c r="D944" s="46">
        <v>43824</v>
      </c>
      <c r="E944" s="452">
        <v>96</v>
      </c>
      <c r="F944" s="461">
        <v>1267200</v>
      </c>
      <c r="G944" s="46">
        <v>43824</v>
      </c>
      <c r="H944" s="452">
        <v>96</v>
      </c>
      <c r="I944" s="461">
        <v>1267200</v>
      </c>
      <c r="J944" s="167" t="s">
        <v>5271</v>
      </c>
    </row>
    <row r="945" spans="1:10">
      <c r="A945" s="42" t="s">
        <v>5626</v>
      </c>
      <c r="B945" s="42" t="s">
        <v>82</v>
      </c>
      <c r="C945" s="18" t="s">
        <v>83</v>
      </c>
      <c r="D945" s="46">
        <v>43490</v>
      </c>
      <c r="E945" s="452">
        <v>237.99199999999999</v>
      </c>
      <c r="F945" s="461">
        <v>3379486.4</v>
      </c>
      <c r="G945" s="46">
        <v>43490</v>
      </c>
      <c r="H945" s="452">
        <v>237.99199999999999</v>
      </c>
      <c r="I945" s="461">
        <v>3379486.4</v>
      </c>
      <c r="J945" s="167" t="s">
        <v>4352</v>
      </c>
    </row>
    <row r="946" spans="1:10">
      <c r="A946" s="42" t="s">
        <v>5627</v>
      </c>
      <c r="B946" s="42" t="s">
        <v>82</v>
      </c>
      <c r="C946" s="18" t="s">
        <v>3042</v>
      </c>
      <c r="D946" s="46">
        <v>43490</v>
      </c>
      <c r="E946" s="452">
        <v>300.09300000000002</v>
      </c>
      <c r="F946" s="461">
        <v>4066260.15</v>
      </c>
      <c r="G946" s="46">
        <v>43490</v>
      </c>
      <c r="H946" s="452">
        <v>300.09300000000002</v>
      </c>
      <c r="I946" s="461">
        <v>4066260.15</v>
      </c>
      <c r="J946" s="167" t="s">
        <v>4352</v>
      </c>
    </row>
    <row r="947" spans="1:10">
      <c r="A947" s="42" t="s">
        <v>5596</v>
      </c>
      <c r="B947" s="42" t="s">
        <v>240</v>
      </c>
      <c r="C947" s="18" t="s">
        <v>5631</v>
      </c>
      <c r="D947" s="46">
        <v>43490</v>
      </c>
      <c r="E947" s="452">
        <v>300</v>
      </c>
      <c r="F947" s="461">
        <v>4065000</v>
      </c>
      <c r="G947" s="46">
        <v>43490</v>
      </c>
      <c r="H947" s="452">
        <v>300</v>
      </c>
      <c r="I947" s="461">
        <v>4065000</v>
      </c>
      <c r="J947" s="167" t="s">
        <v>5632</v>
      </c>
    </row>
    <row r="948" spans="1:10">
      <c r="A948" s="42" t="s">
        <v>5597</v>
      </c>
      <c r="B948" s="42" t="s">
        <v>240</v>
      </c>
      <c r="C948" s="18" t="s">
        <v>4795</v>
      </c>
      <c r="D948" s="46">
        <v>43490</v>
      </c>
      <c r="E948" s="452">
        <v>300</v>
      </c>
      <c r="F948" s="461">
        <v>4050000</v>
      </c>
      <c r="G948" s="46">
        <v>43490</v>
      </c>
      <c r="H948" s="452">
        <v>300</v>
      </c>
      <c r="I948" s="461">
        <v>4050000</v>
      </c>
      <c r="J948" s="167" t="s">
        <v>5632</v>
      </c>
    </row>
    <row r="949" spans="1:10">
      <c r="A949" s="42" t="s">
        <v>5640</v>
      </c>
      <c r="B949" s="42" t="s">
        <v>5641</v>
      </c>
      <c r="C949" s="18" t="s">
        <v>2842</v>
      </c>
      <c r="D949" s="46"/>
      <c r="E949" s="452"/>
      <c r="F949" s="461"/>
      <c r="G949" s="46">
        <v>43494</v>
      </c>
      <c r="H949" s="452">
        <v>18694.54</v>
      </c>
      <c r="I949" s="461">
        <v>21910000</v>
      </c>
      <c r="J949" s="167" t="s">
        <v>5642</v>
      </c>
    </row>
    <row r="950" spans="1:10">
      <c r="A950" s="42" t="s">
        <v>5643</v>
      </c>
      <c r="B950" s="42" t="s">
        <v>82</v>
      </c>
      <c r="C950" s="18" t="s">
        <v>3042</v>
      </c>
      <c r="D950" s="46">
        <v>43494</v>
      </c>
      <c r="E950" s="452">
        <v>31.975999999999999</v>
      </c>
      <c r="F950" s="461">
        <v>441268.8</v>
      </c>
      <c r="G950" s="46">
        <v>43494</v>
      </c>
      <c r="H950" s="452">
        <v>31.975999999999999</v>
      </c>
      <c r="I950" s="461">
        <v>441268.8</v>
      </c>
      <c r="J950" s="167" t="s">
        <v>4352</v>
      </c>
    </row>
    <row r="951" spans="1:10">
      <c r="A951" s="42" t="s">
        <v>5647</v>
      </c>
      <c r="B951" s="42" t="s">
        <v>240</v>
      </c>
      <c r="C951" s="18" t="s">
        <v>5631</v>
      </c>
      <c r="D951" s="46">
        <v>43495</v>
      </c>
      <c r="E951" s="452">
        <v>640</v>
      </c>
      <c r="F951" s="461">
        <v>8768000</v>
      </c>
      <c r="G951" s="46">
        <v>43495</v>
      </c>
      <c r="H951" s="452">
        <v>640</v>
      </c>
      <c r="I951" s="461">
        <v>8768000</v>
      </c>
      <c r="J951" s="167" t="s">
        <v>5632</v>
      </c>
    </row>
    <row r="952" spans="1:10">
      <c r="A952" s="42" t="s">
        <v>5659</v>
      </c>
      <c r="B952" s="42" t="s">
        <v>2765</v>
      </c>
      <c r="C952" s="18" t="s">
        <v>5660</v>
      </c>
      <c r="D952" s="46">
        <v>43514</v>
      </c>
      <c r="E952" s="452">
        <v>21294.190999999999</v>
      </c>
      <c r="F952" s="461">
        <v>24936688.699999999</v>
      </c>
      <c r="G952" s="46">
        <v>43514</v>
      </c>
      <c r="H952" s="452">
        <v>3698.991</v>
      </c>
      <c r="I952" s="461">
        <v>4143561.1</v>
      </c>
      <c r="J952" s="167" t="s">
        <v>4352</v>
      </c>
    </row>
    <row r="953" spans="1:10">
      <c r="A953" s="42" t="s">
        <v>5664</v>
      </c>
      <c r="B953" s="42" t="s">
        <v>82</v>
      </c>
      <c r="C953" s="18" t="s">
        <v>3042</v>
      </c>
      <c r="D953" s="46">
        <v>43521</v>
      </c>
      <c r="E953" s="452">
        <v>320.17</v>
      </c>
      <c r="F953" s="461">
        <v>4370320.5</v>
      </c>
      <c r="G953" s="46">
        <v>43521</v>
      </c>
      <c r="H953" s="452">
        <v>320.17</v>
      </c>
      <c r="I953" s="461">
        <v>4370320.5</v>
      </c>
      <c r="J953" s="167" t="s">
        <v>4352</v>
      </c>
    </row>
    <row r="954" spans="1:10">
      <c r="A954" s="42" t="s">
        <v>5666</v>
      </c>
      <c r="B954" s="42" t="s">
        <v>2765</v>
      </c>
      <c r="C954" s="18" t="s">
        <v>2842</v>
      </c>
      <c r="D954" s="46">
        <v>43510</v>
      </c>
      <c r="E954" s="452">
        <v>21294.190999999999</v>
      </c>
      <c r="F954" s="461">
        <v>24742849.940000001</v>
      </c>
      <c r="G954" s="46">
        <v>43521</v>
      </c>
      <c r="H954" s="452">
        <v>2599.6509999999998</v>
      </c>
      <c r="I954" s="461">
        <v>2833849.94</v>
      </c>
      <c r="J954" s="167" t="s">
        <v>5271</v>
      </c>
    </row>
    <row r="955" spans="1:10">
      <c r="A955" s="42" t="s">
        <v>5672</v>
      </c>
      <c r="B955" s="42" t="s">
        <v>82</v>
      </c>
      <c r="C955" s="18" t="s">
        <v>83</v>
      </c>
      <c r="D955" s="46">
        <v>43528</v>
      </c>
      <c r="E955" s="452">
        <v>65.003</v>
      </c>
      <c r="F955" s="461">
        <v>942543.5</v>
      </c>
      <c r="G955" s="46">
        <v>43528</v>
      </c>
      <c r="H955" s="452">
        <v>65.003</v>
      </c>
      <c r="I955" s="461">
        <v>942543.5</v>
      </c>
      <c r="J955" s="167" t="s">
        <v>4352</v>
      </c>
    </row>
    <row r="956" spans="1:10">
      <c r="A956" s="42" t="s">
        <v>5673</v>
      </c>
      <c r="B956" s="42" t="s">
        <v>82</v>
      </c>
      <c r="C956" s="18" t="s">
        <v>83</v>
      </c>
      <c r="D956" s="46">
        <v>43528</v>
      </c>
      <c r="E956" s="452">
        <v>334.91699999999997</v>
      </c>
      <c r="F956" s="461">
        <v>4856296.5</v>
      </c>
      <c r="G956" s="46">
        <v>43528</v>
      </c>
      <c r="H956" s="452">
        <v>334.91699999999997</v>
      </c>
      <c r="I956" s="461">
        <v>4856296.5</v>
      </c>
      <c r="J956" s="167" t="s">
        <v>4352</v>
      </c>
    </row>
    <row r="957" spans="1:10">
      <c r="A957" s="42" t="s">
        <v>5677</v>
      </c>
      <c r="B957" s="42" t="s">
        <v>240</v>
      </c>
      <c r="C957" s="18" t="s">
        <v>75</v>
      </c>
      <c r="D957" s="46">
        <v>43536</v>
      </c>
      <c r="E957" s="452">
        <v>30</v>
      </c>
      <c r="F957" s="461">
        <v>402000</v>
      </c>
      <c r="G957" s="46">
        <v>43536</v>
      </c>
      <c r="H957" s="452">
        <v>30</v>
      </c>
      <c r="I957" s="461">
        <v>402000</v>
      </c>
      <c r="J957" s="167" t="s">
        <v>4352</v>
      </c>
    </row>
    <row r="958" spans="1:10">
      <c r="A958" s="42" t="s">
        <v>5685</v>
      </c>
      <c r="B958" s="42" t="s">
        <v>240</v>
      </c>
      <c r="C958" s="18" t="s">
        <v>5631</v>
      </c>
      <c r="D958" s="46">
        <v>43549</v>
      </c>
      <c r="E958" s="452">
        <v>898</v>
      </c>
      <c r="F958" s="461">
        <v>12033200</v>
      </c>
      <c r="G958" s="46">
        <v>43549</v>
      </c>
      <c r="H958" s="452">
        <v>880</v>
      </c>
      <c r="I958" s="461">
        <v>11792000</v>
      </c>
      <c r="J958" s="167" t="s">
        <v>5271</v>
      </c>
    </row>
    <row r="959" spans="1:10">
      <c r="A959" s="42" t="s">
        <v>5689</v>
      </c>
      <c r="B959" s="42" t="s">
        <v>240</v>
      </c>
      <c r="C959" s="18" t="s">
        <v>5631</v>
      </c>
      <c r="D959" s="46">
        <v>43542</v>
      </c>
      <c r="E959" s="452">
        <v>96</v>
      </c>
      <c r="F959" s="461">
        <v>1320000</v>
      </c>
      <c r="G959" s="46">
        <v>43542</v>
      </c>
      <c r="H959" s="452">
        <v>96</v>
      </c>
      <c r="I959" s="461">
        <v>1320000</v>
      </c>
      <c r="J959" s="167" t="s">
        <v>5271</v>
      </c>
    </row>
    <row r="960" spans="1:10">
      <c r="A960" s="42" t="s">
        <v>5692</v>
      </c>
      <c r="B960" s="42" t="s">
        <v>82</v>
      </c>
      <c r="C960" s="18" t="s">
        <v>3042</v>
      </c>
      <c r="D960" s="46">
        <v>43550</v>
      </c>
      <c r="E960" s="452">
        <v>398.14299999999997</v>
      </c>
      <c r="F960" s="461">
        <v>5434651.9500000002</v>
      </c>
      <c r="G960" s="46">
        <v>43550</v>
      </c>
      <c r="H960" s="452">
        <v>398.14299999999997</v>
      </c>
      <c r="I960" s="461">
        <v>5434651.9500000002</v>
      </c>
      <c r="J960" s="167" t="s">
        <v>4352</v>
      </c>
    </row>
    <row r="961" spans="1:10">
      <c r="A961" s="42" t="s">
        <v>5693</v>
      </c>
      <c r="B961" s="42" t="s">
        <v>82</v>
      </c>
      <c r="C961" s="18" t="s">
        <v>83</v>
      </c>
      <c r="D961" s="46">
        <v>43556</v>
      </c>
      <c r="E961" s="452">
        <v>248.01390000000001</v>
      </c>
      <c r="F961" s="461">
        <v>3596201.55</v>
      </c>
      <c r="G961" s="46">
        <v>43556</v>
      </c>
      <c r="H961" s="452">
        <v>248.01390000000001</v>
      </c>
      <c r="I961" s="461">
        <v>3596201.55</v>
      </c>
      <c r="J961" s="167" t="s">
        <v>4352</v>
      </c>
    </row>
    <row r="962" spans="1:10">
      <c r="A962" s="42" t="s">
        <v>5654</v>
      </c>
      <c r="B962" s="42" t="s">
        <v>240</v>
      </c>
      <c r="C962" s="18" t="s">
        <v>4795</v>
      </c>
      <c r="D962" s="46">
        <v>43549</v>
      </c>
      <c r="E962" s="452">
        <v>18</v>
      </c>
      <c r="F962" s="461">
        <v>241200</v>
      </c>
      <c r="G962" s="46">
        <v>43549</v>
      </c>
      <c r="H962" s="452">
        <v>18</v>
      </c>
      <c r="I962" s="461">
        <v>241200</v>
      </c>
      <c r="J962" s="167" t="s">
        <v>5271</v>
      </c>
    </row>
    <row r="963" spans="1:10">
      <c r="A963" s="42" t="s">
        <v>5707</v>
      </c>
      <c r="B963" s="42" t="s">
        <v>82</v>
      </c>
      <c r="C963" s="18" t="s">
        <v>83</v>
      </c>
      <c r="D963" s="46">
        <v>43564</v>
      </c>
      <c r="E963" s="452">
        <v>338.77010000000001</v>
      </c>
      <c r="F963" s="461">
        <v>4912166.45</v>
      </c>
      <c r="G963" s="46">
        <v>43564</v>
      </c>
      <c r="H963" s="452">
        <v>338.77010000000001</v>
      </c>
      <c r="I963" s="461">
        <v>4912166.45</v>
      </c>
      <c r="J963" s="167" t="s">
        <v>4352</v>
      </c>
    </row>
    <row r="964" spans="1:10">
      <c r="A964" s="42" t="s">
        <v>5728</v>
      </c>
      <c r="B964" s="42" t="s">
        <v>82</v>
      </c>
      <c r="C964" s="18" t="s">
        <v>83</v>
      </c>
      <c r="D964" s="46">
        <v>43579</v>
      </c>
      <c r="E964" s="452">
        <v>429.86599999999999</v>
      </c>
      <c r="F964" s="461">
        <v>5889164.2000000002</v>
      </c>
      <c r="G964" s="46">
        <v>43579</v>
      </c>
      <c r="H964" s="452">
        <v>429.86599999999999</v>
      </c>
      <c r="I964" s="461">
        <v>5889164.2000000002</v>
      </c>
      <c r="J964" s="167" t="s">
        <v>4352</v>
      </c>
    </row>
    <row r="965" spans="1:10">
      <c r="A965" s="42" t="s">
        <v>5729</v>
      </c>
      <c r="B965" s="42" t="s">
        <v>82</v>
      </c>
      <c r="C965" s="18" t="s">
        <v>3042</v>
      </c>
      <c r="D965" s="46">
        <v>43579</v>
      </c>
      <c r="E965" s="452">
        <v>124.92</v>
      </c>
      <c r="F965" s="461">
        <v>1672013.1</v>
      </c>
      <c r="G965" s="46">
        <v>43579</v>
      </c>
      <c r="H965" s="452">
        <v>124.92</v>
      </c>
      <c r="I965" s="461">
        <v>1672013.1</v>
      </c>
      <c r="J965" s="167" t="s">
        <v>4352</v>
      </c>
    </row>
    <row r="966" spans="1:10">
      <c r="A966" s="42" t="s">
        <v>5730</v>
      </c>
      <c r="B966" s="42" t="s">
        <v>240</v>
      </c>
      <c r="C966" s="18" t="s">
        <v>4795</v>
      </c>
      <c r="D966" s="46">
        <v>43580</v>
      </c>
      <c r="E966" s="452">
        <v>425</v>
      </c>
      <c r="F966" s="461">
        <v>5610000</v>
      </c>
      <c r="G966" s="46">
        <v>43580</v>
      </c>
      <c r="H966" s="452">
        <v>425</v>
      </c>
      <c r="I966" s="461">
        <v>5610000</v>
      </c>
      <c r="J966" s="167" t="s">
        <v>5271</v>
      </c>
    </row>
    <row r="967" spans="1:10">
      <c r="A967" s="42" t="s">
        <v>5734</v>
      </c>
      <c r="B967" s="42" t="s">
        <v>240</v>
      </c>
      <c r="C967" s="18" t="s">
        <v>5735</v>
      </c>
      <c r="D967" s="46">
        <v>43580</v>
      </c>
      <c r="E967" s="452">
        <v>192</v>
      </c>
      <c r="F967" s="461">
        <v>2498688</v>
      </c>
      <c r="G967" s="46">
        <v>43580</v>
      </c>
      <c r="H967" s="452">
        <v>192</v>
      </c>
      <c r="I967" s="461">
        <v>2498688</v>
      </c>
      <c r="J967" s="167" t="s">
        <v>5736</v>
      </c>
    </row>
    <row r="968" spans="1:10">
      <c r="A968" s="42" t="s">
        <v>5748</v>
      </c>
      <c r="B968" s="42" t="s">
        <v>82</v>
      </c>
      <c r="C968" s="18" t="s">
        <v>4795</v>
      </c>
      <c r="D968" s="46">
        <v>43593</v>
      </c>
      <c r="E968" s="452">
        <v>288</v>
      </c>
      <c r="F968" s="461">
        <v>3945600</v>
      </c>
      <c r="G968" s="46">
        <v>43593</v>
      </c>
      <c r="H968" s="452">
        <v>288</v>
      </c>
      <c r="I968" s="461">
        <v>3945600</v>
      </c>
      <c r="J968" s="167" t="s">
        <v>4352</v>
      </c>
    </row>
    <row r="969" spans="1:10">
      <c r="A969" s="42" t="s">
        <v>5749</v>
      </c>
      <c r="B969" s="42" t="s">
        <v>82</v>
      </c>
      <c r="C969" s="18" t="s">
        <v>83</v>
      </c>
      <c r="D969" s="46">
        <v>43599</v>
      </c>
      <c r="E969" s="452">
        <v>96.046999999999997</v>
      </c>
      <c r="F969" s="461">
        <v>1296634.5</v>
      </c>
      <c r="G969" s="46">
        <v>43599</v>
      </c>
      <c r="H969" s="452">
        <v>96.046999999999997</v>
      </c>
      <c r="I969" s="461">
        <v>1296634.5</v>
      </c>
      <c r="J969" s="167" t="s">
        <v>4352</v>
      </c>
    </row>
    <row r="970" spans="1:10">
      <c r="A970" s="42" t="s">
        <v>5762</v>
      </c>
      <c r="B970" s="42" t="s">
        <v>82</v>
      </c>
      <c r="C970" s="18" t="s">
        <v>3042</v>
      </c>
      <c r="D970" s="46">
        <v>43601</v>
      </c>
      <c r="E970" s="452">
        <v>381.07</v>
      </c>
      <c r="F970" s="461">
        <v>5227687.4000000004</v>
      </c>
      <c r="G970" s="46">
        <v>43601</v>
      </c>
      <c r="H970" s="452">
        <v>381.07</v>
      </c>
      <c r="I970" s="461">
        <v>5227687.4000000004</v>
      </c>
      <c r="J970" s="167" t="s">
        <v>4352</v>
      </c>
    </row>
    <row r="971" spans="1:10">
      <c r="A971" s="42" t="s">
        <v>5769</v>
      </c>
      <c r="B971" s="42" t="s">
        <v>82</v>
      </c>
      <c r="C971" s="18" t="s">
        <v>83</v>
      </c>
      <c r="D971" s="46">
        <v>43607</v>
      </c>
      <c r="E971" s="452">
        <v>299.95999999999998</v>
      </c>
      <c r="F971" s="461">
        <v>4244434</v>
      </c>
      <c r="G971" s="46">
        <v>43607</v>
      </c>
      <c r="H971" s="452">
        <v>299.95999999999998</v>
      </c>
      <c r="I971" s="461">
        <v>4244434</v>
      </c>
      <c r="J971" s="167" t="s">
        <v>4352</v>
      </c>
    </row>
    <row r="972" spans="1:10">
      <c r="A972" s="42" t="s">
        <v>5770</v>
      </c>
      <c r="B972" s="42" t="s">
        <v>240</v>
      </c>
      <c r="C972" s="18" t="s">
        <v>4795</v>
      </c>
      <c r="D972" s="46">
        <v>43607</v>
      </c>
      <c r="E972" s="452">
        <v>600</v>
      </c>
      <c r="F972" s="461">
        <v>8040000</v>
      </c>
      <c r="G972" s="46">
        <v>43607</v>
      </c>
      <c r="H972" s="452">
        <v>600</v>
      </c>
      <c r="I972" s="461">
        <v>8040000</v>
      </c>
      <c r="J972" s="167" t="s">
        <v>5271</v>
      </c>
    </row>
    <row r="973" spans="1:10">
      <c r="A973" s="42" t="s">
        <v>5771</v>
      </c>
      <c r="B973" s="42" t="s">
        <v>240</v>
      </c>
      <c r="C973" s="18" t="s">
        <v>5735</v>
      </c>
      <c r="D973" s="46">
        <v>43606</v>
      </c>
      <c r="E973" s="452">
        <v>192</v>
      </c>
      <c r="F973" s="461">
        <v>2547264</v>
      </c>
      <c r="G973" s="46">
        <v>43606</v>
      </c>
      <c r="H973" s="452">
        <v>192</v>
      </c>
      <c r="I973" s="461">
        <v>2547264</v>
      </c>
      <c r="J973" s="167" t="s">
        <v>5632</v>
      </c>
    </row>
    <row r="974" spans="1:10">
      <c r="A974" s="42" t="s">
        <v>5773</v>
      </c>
      <c r="B974" s="42" t="s">
        <v>240</v>
      </c>
      <c r="C974" s="18" t="s">
        <v>4795</v>
      </c>
      <c r="D974" s="46">
        <v>43608</v>
      </c>
      <c r="E974" s="452">
        <v>400</v>
      </c>
      <c r="F974" s="461">
        <v>5360000</v>
      </c>
      <c r="G974" s="46">
        <v>43608</v>
      </c>
      <c r="H974" s="452">
        <v>400</v>
      </c>
      <c r="I974" s="461">
        <v>5360000</v>
      </c>
      <c r="J974" s="167" t="s">
        <v>5271</v>
      </c>
    </row>
    <row r="975" spans="1:10">
      <c r="A975" s="42" t="s">
        <v>5779</v>
      </c>
      <c r="B975" s="42" t="s">
        <v>5780</v>
      </c>
      <c r="C975" s="18" t="s">
        <v>83</v>
      </c>
      <c r="D975" s="46">
        <v>43608</v>
      </c>
      <c r="E975" s="452">
        <v>411.35669999999999</v>
      </c>
      <c r="F975" s="461">
        <v>3069907.54</v>
      </c>
      <c r="G975" s="46">
        <v>43608</v>
      </c>
      <c r="H975" s="452">
        <v>411.35669999999999</v>
      </c>
      <c r="I975" s="461">
        <v>3069907.54</v>
      </c>
      <c r="J975" s="167" t="s">
        <v>4352</v>
      </c>
    </row>
    <row r="976" spans="1:10">
      <c r="A976" s="42" t="s">
        <v>5783</v>
      </c>
      <c r="B976" s="42" t="s">
        <v>82</v>
      </c>
      <c r="C976" s="18" t="s">
        <v>3042</v>
      </c>
      <c r="D976" s="46">
        <v>43609</v>
      </c>
      <c r="E976" s="452">
        <v>199.94</v>
      </c>
      <c r="F976" s="461">
        <v>2729181</v>
      </c>
      <c r="G976" s="46">
        <v>43609</v>
      </c>
      <c r="H976" s="452">
        <v>199.94</v>
      </c>
      <c r="I976" s="461">
        <v>2789163</v>
      </c>
      <c r="J976" s="167" t="s">
        <v>5271</v>
      </c>
    </row>
    <row r="977" spans="1:10">
      <c r="A977" s="42" t="s">
        <v>5713</v>
      </c>
      <c r="B977" s="42" t="s">
        <v>60</v>
      </c>
      <c r="C977" s="18" t="s">
        <v>5787</v>
      </c>
      <c r="D977" s="46">
        <v>43608</v>
      </c>
      <c r="E977" s="452">
        <v>411.35669999999999</v>
      </c>
      <c r="F977" s="461">
        <v>3007957.22</v>
      </c>
      <c r="G977" s="46">
        <v>43619</v>
      </c>
      <c r="H977" s="452">
        <v>411.35669999999999</v>
      </c>
      <c r="I977" s="461">
        <v>3007957.22</v>
      </c>
      <c r="J977" s="167" t="s">
        <v>5271</v>
      </c>
    </row>
    <row r="978" spans="1:10">
      <c r="A978" s="42" t="s">
        <v>5788</v>
      </c>
      <c r="B978" s="42" t="s">
        <v>240</v>
      </c>
      <c r="C978" s="18" t="s">
        <v>5789</v>
      </c>
      <c r="D978" s="46">
        <v>43604</v>
      </c>
      <c r="E978" s="452">
        <v>288</v>
      </c>
      <c r="F978" s="461">
        <v>3836160</v>
      </c>
      <c r="G978" s="46">
        <v>43604</v>
      </c>
      <c r="H978" s="452">
        <v>288</v>
      </c>
      <c r="I978" s="461">
        <v>3836160</v>
      </c>
      <c r="J978" s="167" t="s">
        <v>5271</v>
      </c>
    </row>
    <row r="979" spans="1:10">
      <c r="A979" s="42" t="s">
        <v>5754</v>
      </c>
      <c r="B979" s="42" t="s">
        <v>82</v>
      </c>
      <c r="C979" s="18" t="s">
        <v>83</v>
      </c>
      <c r="D979" s="46">
        <v>43619</v>
      </c>
      <c r="E979" s="452">
        <v>430.80399999999997</v>
      </c>
      <c r="F979" s="461">
        <v>6095876.5999999996</v>
      </c>
      <c r="G979" s="46">
        <v>43619</v>
      </c>
      <c r="H979" s="452">
        <v>430.80399999999997</v>
      </c>
      <c r="I979" s="461">
        <v>6095876.5999999996</v>
      </c>
      <c r="J979" s="167" t="s">
        <v>4352</v>
      </c>
    </row>
    <row r="980" spans="1:10">
      <c r="A980" s="42" t="s">
        <v>5802</v>
      </c>
      <c r="B980" s="42" t="s">
        <v>240</v>
      </c>
      <c r="C980" s="18" t="s">
        <v>5789</v>
      </c>
      <c r="D980" s="46">
        <v>43626</v>
      </c>
      <c r="E980" s="452">
        <v>192</v>
      </c>
      <c r="F980" s="461">
        <v>2595840</v>
      </c>
      <c r="G980" s="46">
        <v>43626</v>
      </c>
      <c r="H980" s="452">
        <v>192</v>
      </c>
      <c r="I980" s="461">
        <v>2595840</v>
      </c>
      <c r="J980" s="167" t="s">
        <v>5271</v>
      </c>
    </row>
    <row r="981" spans="1:10">
      <c r="A981" s="42" t="s">
        <v>5803</v>
      </c>
      <c r="B981" s="42" t="s">
        <v>82</v>
      </c>
      <c r="C981" s="18" t="s">
        <v>4795</v>
      </c>
      <c r="D981" s="46">
        <v>43626</v>
      </c>
      <c r="E981" s="452">
        <v>192</v>
      </c>
      <c r="F981" s="461">
        <v>2668800</v>
      </c>
      <c r="G981" s="46">
        <v>43626</v>
      </c>
      <c r="H981" s="452">
        <v>192</v>
      </c>
      <c r="I981" s="461">
        <v>2668800</v>
      </c>
      <c r="J981" s="167" t="s">
        <v>4352</v>
      </c>
    </row>
    <row r="982" spans="1:10">
      <c r="A982" s="42" t="s">
        <v>5809</v>
      </c>
      <c r="B982" s="42" t="s">
        <v>82</v>
      </c>
      <c r="C982" s="18" t="s">
        <v>83</v>
      </c>
      <c r="D982" s="46">
        <v>43629</v>
      </c>
      <c r="E982" s="452">
        <v>104.033</v>
      </c>
      <c r="F982" s="461">
        <v>1461663.65</v>
      </c>
      <c r="G982" s="46">
        <v>43629</v>
      </c>
      <c r="H982" s="452">
        <v>104.033</v>
      </c>
      <c r="I982" s="461">
        <v>1461663.65</v>
      </c>
      <c r="J982" s="167" t="s">
        <v>4352</v>
      </c>
    </row>
    <row r="983" spans="1:10">
      <c r="A983" s="42" t="s">
        <v>5821</v>
      </c>
      <c r="B983" s="42" t="s">
        <v>240</v>
      </c>
      <c r="C983" s="18" t="s">
        <v>5789</v>
      </c>
      <c r="D983" s="46">
        <v>43644</v>
      </c>
      <c r="E983" s="452">
        <v>320</v>
      </c>
      <c r="F983" s="461">
        <v>4294400</v>
      </c>
      <c r="G983" s="46">
        <v>43644</v>
      </c>
      <c r="H983" s="452">
        <v>320</v>
      </c>
      <c r="I983" s="461">
        <v>4294400</v>
      </c>
      <c r="J983" s="167" t="s">
        <v>5271</v>
      </c>
    </row>
    <row r="984" spans="1:10">
      <c r="A984" s="42" t="s">
        <v>5822</v>
      </c>
      <c r="B984" s="42" t="s">
        <v>240</v>
      </c>
      <c r="C984" s="18" t="s">
        <v>5735</v>
      </c>
      <c r="D984" s="46">
        <v>43644</v>
      </c>
      <c r="E984" s="452">
        <v>192</v>
      </c>
      <c r="F984" s="461">
        <v>2534400</v>
      </c>
      <c r="G984" s="46">
        <v>43644</v>
      </c>
      <c r="H984" s="452">
        <v>192</v>
      </c>
      <c r="I984" s="461">
        <v>2534400</v>
      </c>
      <c r="J984" s="167" t="s">
        <v>5632</v>
      </c>
    </row>
    <row r="985" spans="1:10">
      <c r="A985" s="42" t="s">
        <v>5825</v>
      </c>
      <c r="B985" s="42" t="s">
        <v>60</v>
      </c>
      <c r="C985" s="18" t="s">
        <v>5787</v>
      </c>
      <c r="D985" s="46">
        <v>43644</v>
      </c>
      <c r="E985" s="452">
        <v>299.76350000000002</v>
      </c>
      <c r="F985" s="461">
        <v>2219846.38</v>
      </c>
      <c r="G985" s="46">
        <v>43644</v>
      </c>
      <c r="H985" s="452">
        <v>299.76350000000002</v>
      </c>
      <c r="I985" s="461">
        <v>2219846.38</v>
      </c>
      <c r="J985" s="167" t="s">
        <v>5271</v>
      </c>
    </row>
    <row r="986" spans="1:10">
      <c r="A986" s="42" t="s">
        <v>5826</v>
      </c>
      <c r="B986" s="42" t="s">
        <v>82</v>
      </c>
      <c r="C986" s="18" t="s">
        <v>4795</v>
      </c>
      <c r="D986" s="46">
        <v>43643</v>
      </c>
      <c r="E986" s="452">
        <v>320</v>
      </c>
      <c r="F986" s="461">
        <v>4416000</v>
      </c>
      <c r="G986" s="46">
        <v>43643</v>
      </c>
      <c r="H986" s="452">
        <v>320</v>
      </c>
      <c r="I986" s="461">
        <v>4416000</v>
      </c>
      <c r="J986" s="167" t="s">
        <v>4352</v>
      </c>
    </row>
    <row r="987" spans="1:10">
      <c r="A987" s="42" t="s">
        <v>5827</v>
      </c>
      <c r="B987" s="42" t="s">
        <v>60</v>
      </c>
      <c r="C987" s="18" t="s">
        <v>83</v>
      </c>
      <c r="D987" s="46">
        <v>43643</v>
      </c>
      <c r="E987" s="452">
        <v>299.76350000000002</v>
      </c>
      <c r="F987" s="461">
        <v>2265230.5699999998</v>
      </c>
      <c r="G987" s="46">
        <v>43643</v>
      </c>
      <c r="H987" s="452">
        <v>299.76350000000002</v>
      </c>
      <c r="I987" s="461">
        <v>2265230.5699999998</v>
      </c>
      <c r="J987" s="167" t="s">
        <v>4352</v>
      </c>
    </row>
    <row r="988" spans="1:10">
      <c r="A988" s="42" t="s">
        <v>5837</v>
      </c>
      <c r="B988" s="42" t="s">
        <v>82</v>
      </c>
      <c r="C988" s="18" t="s">
        <v>83</v>
      </c>
      <c r="D988" s="46">
        <v>43651</v>
      </c>
      <c r="E988" s="452">
        <v>400.51900000000001</v>
      </c>
      <c r="F988" s="461">
        <v>5587240.0499999998</v>
      </c>
      <c r="G988" s="46">
        <v>43651</v>
      </c>
      <c r="H988" s="452">
        <v>400.51900000000001</v>
      </c>
      <c r="I988" s="461">
        <v>5587240.0499999998</v>
      </c>
      <c r="J988" s="167" t="s">
        <v>4352</v>
      </c>
    </row>
    <row r="989" spans="1:10">
      <c r="A989" s="42" t="s">
        <v>5831</v>
      </c>
      <c r="B989" s="42" t="s">
        <v>82</v>
      </c>
      <c r="C989" s="18" t="s">
        <v>4795</v>
      </c>
      <c r="D989" s="46">
        <v>43658</v>
      </c>
      <c r="E989" s="452">
        <v>186</v>
      </c>
      <c r="F989" s="461">
        <v>2566800</v>
      </c>
      <c r="G989" s="46">
        <v>43658</v>
      </c>
      <c r="H989" s="452">
        <v>186</v>
      </c>
      <c r="I989" s="461">
        <v>2566800</v>
      </c>
      <c r="J989" s="167" t="s">
        <v>4352</v>
      </c>
    </row>
    <row r="990" spans="1:10">
      <c r="A990" s="42" t="s">
        <v>5862</v>
      </c>
      <c r="B990" s="42" t="s">
        <v>60</v>
      </c>
      <c r="C990" s="18" t="s">
        <v>83</v>
      </c>
      <c r="D990" s="46">
        <v>43662</v>
      </c>
      <c r="E990" s="452">
        <v>64.311199999999999</v>
      </c>
      <c r="F990" s="461">
        <v>509987.82</v>
      </c>
      <c r="G990" s="46">
        <v>43662</v>
      </c>
      <c r="H990" s="452">
        <v>64.311199999999999</v>
      </c>
      <c r="I990" s="461">
        <v>509987.82</v>
      </c>
      <c r="J990" s="167" t="s">
        <v>4352</v>
      </c>
    </row>
    <row r="991" spans="1:10">
      <c r="A991" s="42" t="s">
        <v>5863</v>
      </c>
      <c r="B991" s="42" t="s">
        <v>82</v>
      </c>
      <c r="C991" s="18" t="s">
        <v>83</v>
      </c>
      <c r="D991" s="46">
        <v>43662</v>
      </c>
      <c r="E991" s="452">
        <v>45.079000000000001</v>
      </c>
      <c r="F991" s="461">
        <v>628852.05000000005</v>
      </c>
      <c r="G991" s="46">
        <v>43662</v>
      </c>
      <c r="H991" s="452">
        <v>45.079000000000001</v>
      </c>
      <c r="I991" s="461">
        <v>628852.05000000005</v>
      </c>
      <c r="J991" s="167" t="s">
        <v>4352</v>
      </c>
    </row>
    <row r="992" spans="1:10">
      <c r="A992" s="42" t="s">
        <v>5795</v>
      </c>
      <c r="B992" s="42" t="s">
        <v>240</v>
      </c>
      <c r="C992" s="18" t="s">
        <v>5735</v>
      </c>
      <c r="D992" s="46">
        <v>43672</v>
      </c>
      <c r="E992" s="452">
        <v>192</v>
      </c>
      <c r="F992" s="461">
        <v>2524800</v>
      </c>
      <c r="G992" s="46">
        <v>43672</v>
      </c>
      <c r="H992" s="452">
        <v>192</v>
      </c>
      <c r="I992" s="461">
        <v>2524800</v>
      </c>
      <c r="J992" s="167" t="s">
        <v>5632</v>
      </c>
    </row>
    <row r="993" spans="1:10">
      <c r="A993" s="42" t="s">
        <v>5830</v>
      </c>
      <c r="B993" s="42" t="s">
        <v>240</v>
      </c>
      <c r="C993" s="18" t="s">
        <v>5789</v>
      </c>
      <c r="D993" s="46">
        <v>43671</v>
      </c>
      <c r="E993" s="452">
        <v>186</v>
      </c>
      <c r="F993" s="461">
        <v>2496120</v>
      </c>
      <c r="G993" s="46">
        <v>43671</v>
      </c>
      <c r="H993" s="452">
        <v>186</v>
      </c>
      <c r="I993" s="461">
        <v>2496120</v>
      </c>
      <c r="J993" s="167" t="s">
        <v>5271</v>
      </c>
    </row>
    <row r="994" spans="1:10">
      <c r="A994" s="42" t="s">
        <v>5840</v>
      </c>
      <c r="B994" s="42" t="s">
        <v>240</v>
      </c>
      <c r="C994" s="18" t="s">
        <v>4795</v>
      </c>
      <c r="D994" s="46">
        <v>43666</v>
      </c>
      <c r="E994" s="452">
        <v>400</v>
      </c>
      <c r="F994" s="461">
        <v>5320000</v>
      </c>
      <c r="G994" s="46">
        <v>43666</v>
      </c>
      <c r="H994" s="452">
        <v>400</v>
      </c>
      <c r="I994" s="461">
        <v>5320000</v>
      </c>
      <c r="J994" s="167" t="s">
        <v>5271</v>
      </c>
    </row>
    <row r="995" spans="1:10">
      <c r="A995" s="42" t="s">
        <v>5841</v>
      </c>
      <c r="B995" s="42" t="s">
        <v>240</v>
      </c>
      <c r="C995" s="18" t="s">
        <v>5789</v>
      </c>
      <c r="D995" s="46">
        <v>43672</v>
      </c>
      <c r="E995" s="452">
        <v>288</v>
      </c>
      <c r="F995" s="461">
        <v>3844800</v>
      </c>
      <c r="G995" s="46">
        <v>43671</v>
      </c>
      <c r="H995" s="452">
        <v>288</v>
      </c>
      <c r="I995" s="461">
        <v>3844800</v>
      </c>
      <c r="J995" s="167" t="s">
        <v>5271</v>
      </c>
    </row>
    <row r="996" spans="1:10">
      <c r="A996" s="42" t="s">
        <v>5818</v>
      </c>
      <c r="B996" s="42" t="s">
        <v>82</v>
      </c>
      <c r="C996" s="18" t="s">
        <v>83</v>
      </c>
      <c r="D996" s="46">
        <v>43670</v>
      </c>
      <c r="E996" s="452">
        <v>220.024</v>
      </c>
      <c r="F996" s="461">
        <v>3069334.8</v>
      </c>
      <c r="G996" s="46">
        <v>43670</v>
      </c>
      <c r="H996" s="452">
        <v>220.024</v>
      </c>
      <c r="I996" s="461">
        <v>3069334.8</v>
      </c>
      <c r="J996" s="167" t="s">
        <v>4352</v>
      </c>
    </row>
    <row r="997" spans="1:10">
      <c r="A997" s="42" t="s">
        <v>5873</v>
      </c>
      <c r="B997" s="42" t="s">
        <v>60</v>
      </c>
      <c r="C997" s="18" t="s">
        <v>5787</v>
      </c>
      <c r="D997" s="46">
        <v>43676</v>
      </c>
      <c r="E997" s="452">
        <v>64.311199999999999</v>
      </c>
      <c r="F997" s="461">
        <v>477099.07</v>
      </c>
      <c r="G997" s="46">
        <v>43676</v>
      </c>
      <c r="H997" s="452">
        <v>64.311199999999999</v>
      </c>
      <c r="I997" s="461">
        <v>477099.07</v>
      </c>
      <c r="J997" s="167" t="s">
        <v>5271</v>
      </c>
    </row>
    <row r="998" spans="1:10">
      <c r="A998" s="42" t="s">
        <v>5878</v>
      </c>
      <c r="B998" s="42" t="s">
        <v>60</v>
      </c>
      <c r="C998" s="18" t="s">
        <v>5787</v>
      </c>
      <c r="D998" s="46">
        <v>43676</v>
      </c>
      <c r="E998" s="452">
        <v>196.70650000000001</v>
      </c>
      <c r="F998" s="461">
        <v>1528684.89</v>
      </c>
      <c r="G998" s="46">
        <v>43676</v>
      </c>
      <c r="H998" s="452">
        <v>196.70650000000001</v>
      </c>
      <c r="I998" s="461">
        <v>1528684.89</v>
      </c>
      <c r="J998" s="167" t="s">
        <v>5271</v>
      </c>
    </row>
    <row r="999" spans="1:10">
      <c r="A999" s="42" t="s">
        <v>5879</v>
      </c>
      <c r="B999" s="42" t="s">
        <v>60</v>
      </c>
      <c r="C999" s="18" t="s">
        <v>83</v>
      </c>
      <c r="D999" s="46">
        <v>43676</v>
      </c>
      <c r="E999" s="452">
        <v>196.70650000000001</v>
      </c>
      <c r="F999" s="461">
        <v>1559882.55</v>
      </c>
      <c r="G999" s="46">
        <v>43676</v>
      </c>
      <c r="H999" s="452">
        <v>196.70650000000001</v>
      </c>
      <c r="I999" s="461">
        <v>1559882.55</v>
      </c>
      <c r="J999" s="167" t="s">
        <v>4352</v>
      </c>
    </row>
    <row r="1000" spans="1:10">
      <c r="A1000" s="42" t="s">
        <v>5899</v>
      </c>
      <c r="B1000" s="42" t="s">
        <v>82</v>
      </c>
      <c r="C1000" s="18" t="s">
        <v>83</v>
      </c>
      <c r="D1000" s="46">
        <v>43683</v>
      </c>
      <c r="E1000" s="452">
        <v>278.75799999999998</v>
      </c>
      <c r="F1000" s="461">
        <v>3888674.1</v>
      </c>
      <c r="G1000" s="46">
        <v>43683</v>
      </c>
      <c r="H1000" s="452">
        <v>278.75799999999998</v>
      </c>
      <c r="I1000" s="461">
        <v>3888674.1</v>
      </c>
      <c r="J1000" s="167" t="s">
        <v>4352</v>
      </c>
    </row>
    <row r="1001" spans="1:10">
      <c r="A1001" s="42" t="s">
        <v>5859</v>
      </c>
      <c r="B1001" s="42" t="s">
        <v>82</v>
      </c>
      <c r="C1001" s="18" t="s">
        <v>4795</v>
      </c>
      <c r="D1001" s="46">
        <v>43691</v>
      </c>
      <c r="E1001" s="452">
        <v>420</v>
      </c>
      <c r="F1001" s="461">
        <v>5754000</v>
      </c>
      <c r="G1001" s="46">
        <v>43691</v>
      </c>
      <c r="H1001" s="452">
        <v>420</v>
      </c>
      <c r="I1001" s="461">
        <v>5754000</v>
      </c>
      <c r="J1001" s="167" t="s">
        <v>4352</v>
      </c>
    </row>
    <row r="1002" spans="1:10">
      <c r="A1002" s="42" t="s">
        <v>5880</v>
      </c>
      <c r="B1002" s="42" t="s">
        <v>82</v>
      </c>
      <c r="C1002" s="18" t="s">
        <v>4795</v>
      </c>
      <c r="D1002" s="46">
        <v>43691</v>
      </c>
      <c r="E1002" s="452">
        <v>314</v>
      </c>
      <c r="F1002" s="461">
        <v>4239000</v>
      </c>
      <c r="G1002" s="46">
        <v>43691</v>
      </c>
      <c r="H1002" s="452">
        <v>314</v>
      </c>
      <c r="I1002" s="461">
        <v>4239000</v>
      </c>
      <c r="J1002" s="167" t="s">
        <v>4352</v>
      </c>
    </row>
    <row r="1003" spans="1:10">
      <c r="A1003" s="42" t="s">
        <v>5918</v>
      </c>
      <c r="B1003" s="42" t="s">
        <v>240</v>
      </c>
      <c r="C1003" s="18" t="s">
        <v>5789</v>
      </c>
      <c r="D1003" s="46">
        <v>43698</v>
      </c>
      <c r="E1003" s="452">
        <v>420</v>
      </c>
      <c r="F1003" s="461">
        <v>5594400</v>
      </c>
      <c r="G1003" s="46">
        <v>43698</v>
      </c>
      <c r="H1003" s="452">
        <v>420</v>
      </c>
      <c r="I1003" s="461">
        <v>5594400</v>
      </c>
      <c r="J1003" s="167" t="s">
        <v>5271</v>
      </c>
    </row>
    <row r="1004" spans="1:10">
      <c r="A1004" s="42" t="s">
        <v>5919</v>
      </c>
      <c r="B1004" s="42" t="s">
        <v>240</v>
      </c>
      <c r="C1004" s="18" t="s">
        <v>5789</v>
      </c>
      <c r="D1004" s="46">
        <v>43698</v>
      </c>
      <c r="E1004" s="452">
        <v>314</v>
      </c>
      <c r="F1004" s="461">
        <v>4125960</v>
      </c>
      <c r="G1004" s="46">
        <v>43698</v>
      </c>
      <c r="H1004" s="452">
        <v>314</v>
      </c>
      <c r="I1004" s="461">
        <v>4125960</v>
      </c>
      <c r="J1004" s="167" t="s">
        <v>5271</v>
      </c>
    </row>
    <row r="1005" spans="1:10">
      <c r="A1005" s="42" t="s">
        <v>5930</v>
      </c>
      <c r="B1005" s="42" t="s">
        <v>82</v>
      </c>
      <c r="C1005" s="18" t="s">
        <v>83</v>
      </c>
      <c r="D1005" s="46">
        <v>43703</v>
      </c>
      <c r="E1005" s="452">
        <v>209.822</v>
      </c>
      <c r="F1005" s="461">
        <v>2807418.36</v>
      </c>
      <c r="G1005" s="46">
        <v>43703</v>
      </c>
      <c r="H1005" s="452">
        <v>209.822</v>
      </c>
      <c r="I1005" s="461">
        <v>2807418.36</v>
      </c>
      <c r="J1005" s="167" t="s">
        <v>4352</v>
      </c>
    </row>
    <row r="1006" spans="1:10">
      <c r="A1006" s="42" t="s">
        <v>5935</v>
      </c>
      <c r="B1006" s="42" t="s">
        <v>240</v>
      </c>
      <c r="C1006" s="18" t="s">
        <v>4795</v>
      </c>
      <c r="D1006" s="46">
        <v>43704</v>
      </c>
      <c r="E1006" s="452">
        <v>600</v>
      </c>
      <c r="F1006" s="461">
        <v>7200000</v>
      </c>
      <c r="G1006" s="46">
        <v>43704</v>
      </c>
      <c r="H1006" s="452">
        <v>600</v>
      </c>
      <c r="I1006" s="461">
        <v>7200000</v>
      </c>
      <c r="J1006" s="167" t="s">
        <v>5271</v>
      </c>
    </row>
    <row r="1007" spans="1:10">
      <c r="A1007" s="42" t="s">
        <v>5936</v>
      </c>
      <c r="B1007" s="42" t="s">
        <v>5937</v>
      </c>
      <c r="C1007" s="18" t="s">
        <v>3042</v>
      </c>
      <c r="D1007" s="46">
        <v>43703</v>
      </c>
      <c r="E1007" s="452">
        <v>386</v>
      </c>
      <c r="F1007" s="461">
        <v>4720780</v>
      </c>
      <c r="G1007" s="46">
        <v>43703</v>
      </c>
      <c r="H1007" s="452">
        <v>386</v>
      </c>
      <c r="I1007" s="461">
        <v>4720780</v>
      </c>
      <c r="J1007" s="167" t="s">
        <v>5271</v>
      </c>
    </row>
    <row r="1008" spans="1:10">
      <c r="A1008" s="42" t="s">
        <v>5952</v>
      </c>
      <c r="B1008" s="42" t="s">
        <v>5953</v>
      </c>
      <c r="C1008" s="18" t="s">
        <v>5954</v>
      </c>
      <c r="D1008" s="46">
        <v>43713</v>
      </c>
      <c r="E1008" s="452">
        <v>310.88099999999997</v>
      </c>
      <c r="F1008" s="461">
        <v>4159587.78</v>
      </c>
      <c r="G1008" s="46">
        <v>43713</v>
      </c>
      <c r="H1008" s="452">
        <v>310.88099999999997</v>
      </c>
      <c r="I1008" s="461">
        <v>4159587.78</v>
      </c>
      <c r="J1008" s="167" t="s">
        <v>5955</v>
      </c>
    </row>
    <row r="1009" spans="1:10">
      <c r="A1009" s="42" t="s">
        <v>5952</v>
      </c>
      <c r="B1009" s="42" t="s">
        <v>5953</v>
      </c>
      <c r="C1009" s="18" t="s">
        <v>5954</v>
      </c>
      <c r="D1009" s="46">
        <v>43717</v>
      </c>
      <c r="E1009" s="452">
        <v>99.042000000000002</v>
      </c>
      <c r="F1009" s="461">
        <v>1325181.96</v>
      </c>
      <c r="G1009" s="46">
        <v>43717</v>
      </c>
      <c r="H1009" s="452">
        <v>99.042000000000002</v>
      </c>
      <c r="I1009" s="461">
        <v>1325181.96</v>
      </c>
      <c r="J1009" s="167" t="s">
        <v>5955</v>
      </c>
    </row>
    <row r="1010" spans="1:10">
      <c r="A1010" s="42" t="s">
        <v>5900</v>
      </c>
      <c r="B1010" s="42" t="s">
        <v>60</v>
      </c>
      <c r="C1010" s="18" t="s">
        <v>83</v>
      </c>
      <c r="D1010" s="46">
        <v>43712</v>
      </c>
      <c r="E1010" s="452">
        <v>298.44260000000003</v>
      </c>
      <c r="F1010" s="461">
        <v>2342774.41</v>
      </c>
      <c r="G1010" s="46">
        <v>43712</v>
      </c>
      <c r="H1010" s="452">
        <v>298.44260000000003</v>
      </c>
      <c r="I1010" s="461">
        <v>2342774.41</v>
      </c>
      <c r="J1010" s="167" t="s">
        <v>5955</v>
      </c>
    </row>
    <row r="1011" spans="1:10">
      <c r="A1011" s="42" t="s">
        <v>5914</v>
      </c>
      <c r="B1011" s="42" t="s">
        <v>60</v>
      </c>
      <c r="C1011" s="18" t="s">
        <v>210</v>
      </c>
      <c r="D1011" s="46">
        <v>43712</v>
      </c>
      <c r="E1011" s="452">
        <v>196.15710000000001</v>
      </c>
      <c r="F1011" s="461">
        <v>1500601.82</v>
      </c>
      <c r="G1011" s="46">
        <v>43714</v>
      </c>
      <c r="H1011" s="452">
        <v>196.15710000000001</v>
      </c>
      <c r="I1011" s="461">
        <v>1500601.82</v>
      </c>
      <c r="J1011" s="167" t="s">
        <v>5271</v>
      </c>
    </row>
    <row r="1012" spans="1:10">
      <c r="A1012" s="42" t="s">
        <v>5897</v>
      </c>
      <c r="B1012" s="42" t="s">
        <v>60</v>
      </c>
      <c r="C1012" s="18" t="s">
        <v>5787</v>
      </c>
      <c r="D1012" s="46">
        <v>43712</v>
      </c>
      <c r="E1012" s="452">
        <v>102.2855</v>
      </c>
      <c r="F1012" s="461">
        <v>792712.63</v>
      </c>
      <c r="G1012" s="46">
        <v>43738</v>
      </c>
      <c r="H1012" s="452">
        <v>102.2855</v>
      </c>
      <c r="I1012" s="461">
        <v>792712.63</v>
      </c>
      <c r="J1012" s="167" t="s">
        <v>5271</v>
      </c>
    </row>
    <row r="1013" spans="1:10">
      <c r="A1013" s="42" t="s">
        <v>5990</v>
      </c>
      <c r="B1013" s="42" t="s">
        <v>82</v>
      </c>
      <c r="C1013" s="18" t="s">
        <v>3042</v>
      </c>
      <c r="D1013" s="46">
        <v>43719</v>
      </c>
      <c r="E1013" s="452">
        <v>131.83090000000001</v>
      </c>
      <c r="F1013" s="461">
        <v>1552308.85</v>
      </c>
      <c r="G1013" s="46">
        <v>43719</v>
      </c>
      <c r="H1013" s="452">
        <v>131.83090000000001</v>
      </c>
      <c r="I1013" s="461">
        <v>1552308.85</v>
      </c>
      <c r="J1013" s="167" t="s">
        <v>4352</v>
      </c>
    </row>
    <row r="1014" spans="1:10">
      <c r="A1014" s="42" t="s">
        <v>5992</v>
      </c>
      <c r="B1014" s="42" t="s">
        <v>82</v>
      </c>
      <c r="C1014" s="18" t="s">
        <v>4795</v>
      </c>
      <c r="D1014" s="46">
        <v>43719</v>
      </c>
      <c r="E1014" s="452">
        <v>98</v>
      </c>
      <c r="F1014" s="461">
        <v>1156400</v>
      </c>
      <c r="G1014" s="46">
        <v>43746</v>
      </c>
      <c r="H1014" s="452">
        <v>98</v>
      </c>
      <c r="I1014" s="461">
        <v>1156400</v>
      </c>
      <c r="J1014" s="167" t="s">
        <v>4352</v>
      </c>
    </row>
    <row r="1015" spans="1:10">
      <c r="A1015" s="42" t="s">
        <v>6001</v>
      </c>
      <c r="B1015" s="42" t="s">
        <v>82</v>
      </c>
      <c r="C1015" s="18" t="s">
        <v>83</v>
      </c>
      <c r="D1015" s="46">
        <v>43724</v>
      </c>
      <c r="E1015" s="452">
        <v>209.922</v>
      </c>
      <c r="F1015" s="461">
        <v>2460285.84</v>
      </c>
      <c r="G1015" s="46">
        <v>43724</v>
      </c>
      <c r="H1015" s="452">
        <v>209.922</v>
      </c>
      <c r="I1015" s="461">
        <v>2460285.84</v>
      </c>
      <c r="J1015" s="167" t="s">
        <v>4352</v>
      </c>
    </row>
    <row r="1016" spans="1:10">
      <c r="A1016" s="42" t="s">
        <v>5949</v>
      </c>
      <c r="B1016" s="42" t="s">
        <v>82</v>
      </c>
      <c r="C1016" s="18" t="s">
        <v>3042</v>
      </c>
      <c r="D1016" s="46">
        <v>43732</v>
      </c>
      <c r="E1016" s="452">
        <v>279.77179999999998</v>
      </c>
      <c r="F1016" s="461">
        <v>3250948.32</v>
      </c>
      <c r="G1016" s="46">
        <v>43732</v>
      </c>
      <c r="H1016" s="452">
        <v>279.77179999999998</v>
      </c>
      <c r="I1016" s="461">
        <v>3250948.32</v>
      </c>
      <c r="J1016" s="167" t="s">
        <v>4352</v>
      </c>
    </row>
    <row r="1017" spans="1:10">
      <c r="A1017" s="42" t="s">
        <v>5766</v>
      </c>
      <c r="B1017" s="42" t="s">
        <v>82</v>
      </c>
      <c r="C1017" s="18" t="s">
        <v>3042</v>
      </c>
      <c r="D1017" s="46">
        <v>43732</v>
      </c>
      <c r="E1017" s="452">
        <v>0</v>
      </c>
      <c r="F1017" s="461">
        <v>-59982</v>
      </c>
      <c r="G1017" s="46">
        <v>43732</v>
      </c>
      <c r="H1017" s="452">
        <v>0</v>
      </c>
      <c r="I1017" s="461">
        <v>-59982</v>
      </c>
      <c r="J1017" s="167" t="s">
        <v>4352</v>
      </c>
    </row>
    <row r="1018" spans="1:10">
      <c r="A1018" s="42" t="s">
        <v>5912</v>
      </c>
      <c r="B1018" s="42" t="s">
        <v>82</v>
      </c>
      <c r="C1018" s="18" t="s">
        <v>3042</v>
      </c>
      <c r="D1018" s="46">
        <v>43732</v>
      </c>
      <c r="E1018" s="452">
        <v>0</v>
      </c>
      <c r="F1018" s="461">
        <v>59982</v>
      </c>
      <c r="G1018" s="46">
        <v>43732</v>
      </c>
      <c r="H1018" s="452">
        <v>0</v>
      </c>
      <c r="I1018" s="461">
        <v>59982</v>
      </c>
      <c r="J1018" s="167" t="s">
        <v>4352</v>
      </c>
    </row>
    <row r="1019" spans="1:10">
      <c r="A1019" s="42" t="s">
        <v>6010</v>
      </c>
      <c r="B1019" s="42" t="s">
        <v>240</v>
      </c>
      <c r="C1019" s="18" t="s">
        <v>5735</v>
      </c>
      <c r="D1019" s="46">
        <v>43733</v>
      </c>
      <c r="E1019" s="452">
        <v>192</v>
      </c>
      <c r="F1019" s="461">
        <v>2150400</v>
      </c>
      <c r="G1019" s="46">
        <v>43733</v>
      </c>
      <c r="H1019" s="452">
        <v>192</v>
      </c>
      <c r="I1019" s="461">
        <v>2150400</v>
      </c>
      <c r="J1019" s="167" t="s">
        <v>5632</v>
      </c>
    </row>
    <row r="1020" spans="1:10">
      <c r="A1020" s="42" t="s">
        <v>6015</v>
      </c>
      <c r="B1020" s="42" t="s">
        <v>60</v>
      </c>
      <c r="C1020" s="18" t="s">
        <v>83</v>
      </c>
      <c r="D1020" s="46">
        <v>43738</v>
      </c>
      <c r="E1020" s="452">
        <v>441.78800000000001</v>
      </c>
      <c r="F1020" s="461">
        <v>3366424.56</v>
      </c>
      <c r="G1020" s="46">
        <v>43738</v>
      </c>
      <c r="H1020" s="452">
        <v>441.78800000000001</v>
      </c>
      <c r="I1020" s="461">
        <v>3366424.56</v>
      </c>
      <c r="J1020" s="167" t="s">
        <v>4352</v>
      </c>
    </row>
    <row r="1021" spans="1:10">
      <c r="A1021" s="42" t="s">
        <v>6026</v>
      </c>
      <c r="B1021" s="42" t="s">
        <v>240</v>
      </c>
      <c r="C1021" s="18" t="s">
        <v>5789</v>
      </c>
      <c r="D1021" s="46">
        <v>43732</v>
      </c>
      <c r="E1021" s="452">
        <v>98</v>
      </c>
      <c r="F1021" s="461">
        <v>1121120</v>
      </c>
      <c r="G1021" s="46">
        <v>43732</v>
      </c>
      <c r="H1021" s="452">
        <v>98</v>
      </c>
      <c r="I1021" s="461">
        <v>1121120</v>
      </c>
      <c r="J1021" s="167" t="s">
        <v>5271</v>
      </c>
    </row>
    <row r="1022" spans="1:10">
      <c r="A1022" s="42" t="s">
        <v>6028</v>
      </c>
      <c r="B1022" s="42" t="s">
        <v>82</v>
      </c>
      <c r="C1022" s="18" t="s">
        <v>83</v>
      </c>
      <c r="D1022" s="46">
        <v>43746</v>
      </c>
      <c r="E1022" s="452">
        <v>99.92</v>
      </c>
      <c r="F1022" s="461">
        <v>1171062.3999999999</v>
      </c>
      <c r="G1022" s="46">
        <v>43746</v>
      </c>
      <c r="H1022" s="452">
        <v>99.92</v>
      </c>
      <c r="I1022" s="461">
        <v>1171062.3999999999</v>
      </c>
      <c r="J1022" s="167" t="s">
        <v>4352</v>
      </c>
    </row>
    <row r="1023" spans="1:10">
      <c r="A1023" s="42" t="s">
        <v>5985</v>
      </c>
      <c r="B1023" s="42" t="s">
        <v>60</v>
      </c>
      <c r="C1023" s="18" t="s">
        <v>83</v>
      </c>
      <c r="D1023" s="46">
        <v>43746</v>
      </c>
      <c r="E1023" s="452">
        <v>64.574200000000005</v>
      </c>
      <c r="F1023" s="461">
        <v>492055.4</v>
      </c>
      <c r="G1023" s="46">
        <v>43746</v>
      </c>
      <c r="H1023" s="452">
        <v>64.574200000000005</v>
      </c>
      <c r="I1023" s="461">
        <v>492055.4</v>
      </c>
      <c r="J1023" s="167" t="s">
        <v>4352</v>
      </c>
    </row>
    <row r="1024" spans="1:10">
      <c r="A1024" s="42" t="s">
        <v>6040</v>
      </c>
      <c r="B1024" s="42" t="s">
        <v>240</v>
      </c>
      <c r="C1024" s="18" t="s">
        <v>4795</v>
      </c>
      <c r="D1024" s="46">
        <v>43731</v>
      </c>
      <c r="E1024" s="452">
        <v>600</v>
      </c>
      <c r="F1024" s="461">
        <v>6870000</v>
      </c>
      <c r="G1024" s="46">
        <v>43731</v>
      </c>
      <c r="H1024" s="452">
        <v>600</v>
      </c>
      <c r="I1024" s="461">
        <v>6870000</v>
      </c>
      <c r="J1024" s="167" t="s">
        <v>5271</v>
      </c>
    </row>
    <row r="1025" spans="1:10">
      <c r="A1025" s="42" t="s">
        <v>6041</v>
      </c>
      <c r="B1025" s="42" t="s">
        <v>82</v>
      </c>
      <c r="C1025" s="18" t="s">
        <v>83</v>
      </c>
      <c r="D1025" s="46">
        <v>43748</v>
      </c>
      <c r="E1025" s="452">
        <v>209.56200000000001</v>
      </c>
      <c r="F1025" s="461">
        <v>2523126.48</v>
      </c>
      <c r="G1025" s="46">
        <v>43748</v>
      </c>
      <c r="H1025" s="452">
        <v>209.56200000000001</v>
      </c>
      <c r="I1025" s="461">
        <v>2523126.48</v>
      </c>
      <c r="J1025" s="167" t="s">
        <v>4352</v>
      </c>
    </row>
    <row r="1026" spans="1:10">
      <c r="A1026" s="42" t="s">
        <v>6043</v>
      </c>
      <c r="B1026" s="42" t="s">
        <v>82</v>
      </c>
      <c r="C1026" s="18" t="s">
        <v>4795</v>
      </c>
      <c r="D1026" s="46">
        <v>43756</v>
      </c>
      <c r="E1026" s="452">
        <v>512</v>
      </c>
      <c r="F1026" s="461">
        <v>6041600</v>
      </c>
      <c r="G1026" s="46">
        <v>43756</v>
      </c>
      <c r="H1026" s="452">
        <v>512</v>
      </c>
      <c r="I1026" s="461">
        <v>6041600</v>
      </c>
      <c r="J1026" s="167" t="s">
        <v>4352</v>
      </c>
    </row>
    <row r="1027" spans="1:10">
      <c r="A1027" s="42" t="s">
        <v>6044</v>
      </c>
      <c r="B1027" s="42" t="s">
        <v>240</v>
      </c>
      <c r="C1027" s="18" t="s">
        <v>5789</v>
      </c>
      <c r="D1027" s="46">
        <v>43762</v>
      </c>
      <c r="E1027" s="452">
        <v>512</v>
      </c>
      <c r="F1027" s="461">
        <v>5857280</v>
      </c>
      <c r="G1027" s="46">
        <v>43762</v>
      </c>
      <c r="H1027" s="452">
        <v>512</v>
      </c>
      <c r="I1027" s="461">
        <v>5857280</v>
      </c>
      <c r="J1027" s="167" t="s">
        <v>5271</v>
      </c>
    </row>
    <row r="1028" spans="1:10">
      <c r="A1028" s="42" t="s">
        <v>6045</v>
      </c>
      <c r="B1028" s="42" t="s">
        <v>60</v>
      </c>
      <c r="C1028" s="18" t="s">
        <v>5787</v>
      </c>
      <c r="D1028" s="46">
        <v>43762</v>
      </c>
      <c r="E1028" s="452">
        <v>506.36219999999997</v>
      </c>
      <c r="F1028" s="461">
        <v>3781310.36</v>
      </c>
      <c r="G1028" s="46">
        <v>43762</v>
      </c>
      <c r="H1028" s="452">
        <v>506.36219999999997</v>
      </c>
      <c r="I1028" s="461">
        <v>3781310.36</v>
      </c>
      <c r="J1028" s="167" t="s">
        <v>5271</v>
      </c>
    </row>
    <row r="1029" spans="1:10">
      <c r="A1029" s="42" t="s">
        <v>6046</v>
      </c>
      <c r="B1029" s="42" t="s">
        <v>240</v>
      </c>
      <c r="C1029" s="18" t="s">
        <v>5735</v>
      </c>
      <c r="D1029" s="46">
        <v>43762</v>
      </c>
      <c r="E1029" s="452">
        <v>192</v>
      </c>
      <c r="F1029" s="461">
        <v>2150400</v>
      </c>
      <c r="G1029" s="46">
        <v>43762</v>
      </c>
      <c r="H1029" s="452">
        <v>192</v>
      </c>
      <c r="I1029" s="461">
        <v>2150400</v>
      </c>
      <c r="J1029" s="167" t="s">
        <v>5632</v>
      </c>
    </row>
    <row r="1030" spans="1:10">
      <c r="A1030" s="42" t="s">
        <v>6054</v>
      </c>
      <c r="B1030" s="42" t="s">
        <v>60</v>
      </c>
      <c r="C1030" s="18" t="s">
        <v>83</v>
      </c>
      <c r="D1030" s="46">
        <v>43773</v>
      </c>
      <c r="E1030" s="452">
        <v>302.32960000000003</v>
      </c>
      <c r="F1030" s="461">
        <v>2173880.11</v>
      </c>
      <c r="G1030" s="46">
        <v>43773</v>
      </c>
      <c r="H1030" s="452">
        <v>302.32960000000003</v>
      </c>
      <c r="I1030" s="461">
        <v>2173880.11</v>
      </c>
      <c r="J1030" s="167" t="s">
        <v>4352</v>
      </c>
    </row>
    <row r="1031" spans="1:10">
      <c r="A1031" s="42" t="s">
        <v>6053</v>
      </c>
      <c r="B1031" s="42" t="s">
        <v>82</v>
      </c>
      <c r="C1031" s="18" t="s">
        <v>83</v>
      </c>
      <c r="D1031" s="46">
        <v>43774</v>
      </c>
      <c r="E1031" s="452">
        <v>267.11919999999998</v>
      </c>
      <c r="F1031" s="461">
        <v>3178718.48</v>
      </c>
      <c r="G1031" s="46">
        <v>43774</v>
      </c>
      <c r="H1031" s="452">
        <v>267.11919999999998</v>
      </c>
      <c r="I1031" s="461">
        <v>3178718.48</v>
      </c>
      <c r="J1031" s="167" t="s">
        <v>4352</v>
      </c>
    </row>
    <row r="1032" spans="1:10">
      <c r="A1032" s="42" t="s">
        <v>6052</v>
      </c>
      <c r="B1032" s="42" t="s">
        <v>82</v>
      </c>
      <c r="C1032" s="18" t="s">
        <v>83</v>
      </c>
      <c r="D1032" s="46">
        <v>43783</v>
      </c>
      <c r="E1032" s="452">
        <v>202.89410000000001</v>
      </c>
      <c r="F1032" s="461">
        <v>2414439.79</v>
      </c>
      <c r="G1032" s="46">
        <v>43783</v>
      </c>
      <c r="H1032" s="452">
        <v>202.89410000000001</v>
      </c>
      <c r="I1032" s="461">
        <v>2414439.79</v>
      </c>
      <c r="J1032" s="167" t="s">
        <v>4352</v>
      </c>
    </row>
    <row r="1033" spans="1:10">
      <c r="A1033" s="42" t="s">
        <v>6071</v>
      </c>
      <c r="B1033" s="42" t="s">
        <v>60</v>
      </c>
      <c r="C1033" s="18" t="s">
        <v>5787</v>
      </c>
      <c r="D1033" s="46">
        <v>43775</v>
      </c>
      <c r="E1033" s="452">
        <v>302.32960000000003</v>
      </c>
      <c r="F1033" s="461">
        <v>2130344.64</v>
      </c>
      <c r="G1033" s="46">
        <v>43799</v>
      </c>
      <c r="H1033" s="452">
        <v>302.32960000000003</v>
      </c>
      <c r="I1033" s="461">
        <v>2130344.64</v>
      </c>
      <c r="J1033" s="167" t="s">
        <v>5271</v>
      </c>
    </row>
    <row r="1034" spans="1:10">
      <c r="A1034" s="42" t="s">
        <v>6086</v>
      </c>
      <c r="B1034" s="42" t="s">
        <v>240</v>
      </c>
      <c r="C1034" s="18" t="s">
        <v>4795</v>
      </c>
      <c r="D1034" s="46">
        <v>43799</v>
      </c>
      <c r="E1034" s="452">
        <v>100</v>
      </c>
      <c r="F1034" s="461">
        <v>1160000</v>
      </c>
      <c r="G1034" s="46">
        <v>43799</v>
      </c>
      <c r="H1034" s="452">
        <v>100</v>
      </c>
      <c r="I1034" s="461">
        <v>1160000</v>
      </c>
      <c r="J1034" s="167" t="s">
        <v>5271</v>
      </c>
    </row>
    <row r="1035" spans="1:10">
      <c r="A1035" s="42" t="s">
        <v>6087</v>
      </c>
      <c r="B1035" s="42" t="s">
        <v>240</v>
      </c>
      <c r="C1035" s="18" t="s">
        <v>3151</v>
      </c>
      <c r="D1035" s="46">
        <v>43799</v>
      </c>
      <c r="E1035" s="452">
        <v>288</v>
      </c>
      <c r="F1035" s="461">
        <v>3196800</v>
      </c>
      <c r="G1035" s="46">
        <v>43799</v>
      </c>
      <c r="H1035" s="452">
        <v>288</v>
      </c>
      <c r="I1035" s="461">
        <v>3196800</v>
      </c>
      <c r="J1035" s="167" t="s">
        <v>5271</v>
      </c>
    </row>
    <row r="1036" spans="1:10">
      <c r="A1036" s="42" t="s">
        <v>6088</v>
      </c>
      <c r="B1036" s="42" t="s">
        <v>240</v>
      </c>
      <c r="C1036" s="18" t="s">
        <v>5735</v>
      </c>
      <c r="D1036" s="46">
        <v>43795</v>
      </c>
      <c r="E1036" s="452">
        <v>192</v>
      </c>
      <c r="F1036" s="461">
        <v>2131200</v>
      </c>
      <c r="G1036" s="46">
        <v>43795</v>
      </c>
      <c r="H1036" s="452">
        <v>192</v>
      </c>
      <c r="I1036" s="461">
        <v>2131200</v>
      </c>
      <c r="J1036" s="167" t="s">
        <v>5632</v>
      </c>
    </row>
    <row r="1037" spans="1:10">
      <c r="A1037" s="42" t="s">
        <v>6091</v>
      </c>
      <c r="B1037" s="42" t="s">
        <v>60</v>
      </c>
      <c r="C1037" s="18" t="s">
        <v>83</v>
      </c>
      <c r="D1037" s="46">
        <v>43802</v>
      </c>
      <c r="E1037" s="452">
        <v>309.30059999999997</v>
      </c>
      <c r="F1037" s="461">
        <v>1823172.27</v>
      </c>
      <c r="G1037" s="46">
        <v>43802</v>
      </c>
      <c r="H1037" s="452">
        <v>309.30059999999997</v>
      </c>
      <c r="I1037" s="461">
        <v>1823172.27</v>
      </c>
      <c r="J1037" s="167" t="s">
        <v>4352</v>
      </c>
    </row>
    <row r="1038" spans="1:10">
      <c r="A1038" s="42"/>
      <c r="B1038" s="42"/>
      <c r="C1038" s="18"/>
      <c r="D1038" s="46"/>
      <c r="E1038" s="452"/>
      <c r="F1038" s="461"/>
      <c r="G1038" s="46"/>
      <c r="H1038" s="452"/>
      <c r="I1038" s="461"/>
      <c r="J1038" s="167"/>
    </row>
    <row r="1039" spans="1:10">
      <c r="A1039" s="42"/>
      <c r="B1039" s="42"/>
      <c r="C1039" s="18"/>
      <c r="D1039" s="46"/>
      <c r="E1039" s="452"/>
      <c r="F1039" s="461"/>
      <c r="G1039" s="46"/>
      <c r="H1039" s="452"/>
      <c r="I1039" s="461"/>
      <c r="J1039" s="167"/>
    </row>
    <row r="1040" spans="1:10">
      <c r="A1040" s="42"/>
      <c r="B1040" s="42"/>
      <c r="C1040" s="18"/>
      <c r="D1040" s="46"/>
      <c r="E1040" s="452"/>
      <c r="F1040" s="461"/>
      <c r="G1040" s="46"/>
      <c r="H1040" s="452"/>
      <c r="I1040" s="461"/>
      <c r="J1040" s="167"/>
    </row>
    <row r="1041" spans="1:10">
      <c r="A1041" s="42"/>
      <c r="B1041" s="42"/>
      <c r="C1041" s="18"/>
      <c r="D1041" s="46"/>
      <c r="E1041" s="452"/>
      <c r="F1041" s="461"/>
      <c r="G1041" s="46"/>
      <c r="H1041" s="452"/>
      <c r="I1041" s="461"/>
      <c r="J1041" s="167"/>
    </row>
    <row r="1042" spans="1:10">
      <c r="A1042" s="42"/>
      <c r="B1042" s="42"/>
      <c r="C1042" s="18"/>
      <c r="D1042" s="46"/>
      <c r="E1042" s="452"/>
      <c r="F1042" s="461"/>
      <c r="G1042" s="46"/>
      <c r="H1042" s="452"/>
      <c r="I1042" s="461"/>
      <c r="J1042" s="167"/>
    </row>
    <row r="1043" spans="1:10">
      <c r="A1043" s="42"/>
      <c r="B1043" s="42"/>
      <c r="C1043" s="18"/>
      <c r="D1043" s="46"/>
      <c r="E1043" s="452"/>
      <c r="F1043" s="461"/>
      <c r="G1043" s="46"/>
      <c r="H1043" s="452"/>
      <c r="I1043" s="461"/>
      <c r="J1043" s="167"/>
    </row>
    <row r="1044" spans="1:10">
      <c r="A1044" s="42"/>
      <c r="B1044" s="42"/>
      <c r="C1044" s="18"/>
      <c r="D1044" s="46"/>
      <c r="E1044" s="452"/>
      <c r="F1044" s="461"/>
      <c r="G1044" s="46"/>
      <c r="H1044" s="452"/>
      <c r="I1044" s="461"/>
      <c r="J1044" s="167"/>
    </row>
    <row r="1045" spans="1:10">
      <c r="A1045" s="42"/>
      <c r="B1045" s="42"/>
      <c r="C1045" s="18"/>
      <c r="D1045" s="46"/>
      <c r="E1045" s="452"/>
      <c r="F1045" s="461"/>
      <c r="G1045" s="46"/>
      <c r="H1045" s="452"/>
      <c r="I1045" s="461"/>
      <c r="J1045" s="167"/>
    </row>
    <row r="1046" spans="1:10">
      <c r="A1046" s="42"/>
      <c r="B1046" s="42"/>
      <c r="C1046" s="18"/>
      <c r="D1046" s="46"/>
      <c r="E1046" s="452"/>
      <c r="F1046" s="461"/>
      <c r="G1046" s="46"/>
      <c r="H1046" s="452"/>
      <c r="I1046" s="461"/>
      <c r="J1046" s="167"/>
    </row>
    <row r="1047" spans="1:10">
      <c r="A1047" s="42"/>
      <c r="B1047" s="42"/>
      <c r="C1047" s="18"/>
      <c r="D1047" s="46"/>
      <c r="E1047" s="452"/>
      <c r="F1047" s="461"/>
      <c r="G1047" s="46"/>
      <c r="H1047" s="452"/>
      <c r="I1047" s="461"/>
      <c r="J1047" s="167"/>
    </row>
    <row r="1048" spans="1:10">
      <c r="A1048" s="42"/>
      <c r="B1048" s="42"/>
      <c r="C1048" s="18"/>
      <c r="D1048" s="46"/>
      <c r="E1048" s="452"/>
      <c r="F1048" s="461"/>
      <c r="G1048" s="46"/>
      <c r="H1048" s="452"/>
      <c r="I1048" s="461"/>
      <c r="J1048" s="167"/>
    </row>
    <row r="1049" spans="1:10">
      <c r="A1049" s="42"/>
      <c r="B1049" s="42"/>
      <c r="C1049" s="18"/>
      <c r="D1049" s="46"/>
      <c r="E1049" s="452"/>
      <c r="F1049" s="461"/>
      <c r="G1049" s="46"/>
      <c r="H1049" s="452"/>
      <c r="I1049" s="461"/>
      <c r="J1049" s="167"/>
    </row>
    <row r="1050" spans="1:10">
      <c r="A1050" s="42"/>
      <c r="B1050" s="42"/>
      <c r="C1050" s="18"/>
      <c r="D1050" s="46"/>
      <c r="E1050" s="452"/>
      <c r="F1050" s="461"/>
      <c r="G1050" s="46"/>
      <c r="H1050" s="452"/>
      <c r="I1050" s="461"/>
      <c r="J1050" s="167"/>
    </row>
  </sheetData>
  <protectedRanges>
    <protectedRange password="CF7A" sqref="B2" name="区域1"/>
    <protectedRange sqref="A183:B184 A222:B222 A289:B290 A340:B343 B436:B437" name="可编辑！"/>
    <protectedRange sqref="A383:A385" name="可编辑！_1"/>
    <protectedRange sqref="A524:A531" name="可编辑！_2"/>
    <protectedRange sqref="A532:A535" name="可编辑！_3"/>
    <protectedRange sqref="A542:A545" name="可编辑！_5"/>
    <protectedRange sqref="A556:A563" name="可编辑！_4"/>
    <protectedRange sqref="D556:D563 G556:G563" name="可编辑！_6"/>
    <protectedRange sqref="E556:E563 H556:H563" name="可编辑！_7"/>
    <protectedRange sqref="A564:B571" name="可编辑！_8"/>
    <protectedRange sqref="D564:D571 G564:G571" name="可编辑！_9"/>
    <protectedRange sqref="E564:E571 H564:H571" name="可编辑！_10"/>
    <protectedRange sqref="A611:A614" name="可编辑！_11"/>
    <protectedRange sqref="A615:A628" name="可编辑！_12"/>
    <protectedRange sqref="D615:D628 G615:G628" name="可编辑！_13"/>
    <protectedRange sqref="E615:E628 H615:H628" name="可编辑！_14"/>
    <protectedRange sqref="A644:A653" name="可编辑！_15"/>
    <protectedRange sqref="D644:D653" name="可编辑！_16"/>
    <protectedRange sqref="G644:G653" name="可编辑！_17"/>
    <protectedRange sqref="E644:E653" name="可编辑！_18"/>
    <protectedRange sqref="H644:H653" name="可编辑！_19"/>
    <protectedRange sqref="A659:A660" name="可编辑！_20"/>
    <protectedRange sqref="A661:A664" name="可编辑！_21"/>
    <protectedRange sqref="A665:A666" name="可编辑！_22"/>
    <protectedRange sqref="A667:B668 B669:B674" name="可编辑！_23"/>
    <protectedRange sqref="A669:A672" name="可编辑！_24"/>
    <protectedRange sqref="A673:A674" name="可编辑！_25"/>
    <protectedRange sqref="A675:B676 D675:E676 G675:H676" name="可编辑！_26"/>
    <protectedRange sqref="A677:B680 D677:D680 G677:G680" name="可编辑！_27"/>
    <protectedRange sqref="A699:B710" name="可编辑！_28"/>
    <protectedRange sqref="D699:D704" name="可编辑！_29"/>
    <protectedRange sqref="D705:D710" name="可编辑！_30"/>
    <protectedRange sqref="G699:G704" name="可编辑！_31"/>
    <protectedRange sqref="G705:G710" name="可编辑！_32"/>
    <protectedRange sqref="E699:E704" name="可编辑！_33"/>
    <protectedRange sqref="E705:E710" name="可编辑！_34"/>
    <protectedRange sqref="H699:H704" name="可编辑！_35"/>
    <protectedRange sqref="H705:H710" name="可编辑！_36"/>
    <protectedRange sqref="A724:A729" name="可编辑！_37"/>
    <protectedRange sqref="A737:A740" name="可编辑！_38"/>
    <protectedRange sqref="B737:B740" name="可编辑！_39"/>
    <protectedRange sqref="A741:B742" name="可编辑！_40"/>
    <protectedRange sqref="A759:A768" name="可编辑！_41"/>
    <protectedRange sqref="E759:E768" name="可编辑！_42"/>
    <protectedRange sqref="H759:H768" name="可编辑！_43"/>
    <protectedRange sqref="A773:A782" name="可编辑！_44"/>
    <protectedRange sqref="E773:E782" name="可编辑！_45"/>
    <protectedRange sqref="H773:H782" name="可编辑！_46"/>
    <protectedRange sqref="A812:B821" name="可编辑！_47"/>
    <protectedRange sqref="A822:B831" name="可编辑！_48"/>
    <protectedRange sqref="D812:D821 G812:G821" name="可编辑！_49"/>
    <protectedRange sqref="D822:D831 G822:G831" name="可编辑！_50"/>
    <protectedRange sqref="E812:E831" name="可编辑！_51"/>
    <protectedRange sqref="H812:H831" name="可编辑！_52"/>
    <protectedRange sqref="A852:B852" name="可编辑！_53"/>
    <protectedRange sqref="A855:B863 A898:B898" name="可编辑！_54"/>
    <protectedRange sqref="D855:D858 D898" name="可编辑！_55"/>
    <protectedRange sqref="G855:G858 G898" name="可编辑！_56"/>
    <protectedRange sqref="D859:D862" name="可编辑！_57"/>
    <protectedRange sqref="G859:G862" name="可编辑！_58"/>
    <protectedRange sqref="E855:E858 E898" name="可编辑！_59"/>
    <protectedRange sqref="E859:E862" name="可编辑！_60"/>
    <protectedRange sqref="H855:H858 H898" name="可编辑！_61"/>
    <protectedRange sqref="H859:H862" name="可编辑！_62"/>
    <protectedRange sqref="A868:A871" name="可编辑！_63"/>
    <protectedRange sqref="A875:B876" name="可编辑！_64"/>
    <protectedRange sqref="A894:B895" name="可编辑！_65"/>
    <protectedRange sqref="A896:B897" name="可编辑！_65_1"/>
    <protectedRange sqref="A905:B910 B911" name="可编辑！_66"/>
    <protectedRange sqref="D905:E910" name="可编辑！_67"/>
    <protectedRange sqref="G905:H910" name="可编辑！_68"/>
    <protectedRange sqref="A939:B939 B943" name="可编辑！_69"/>
    <protectedRange sqref="A945:B945 B955:B956 B961 B963:B964 B969 B971 B979 B981:B982 B986 B988:B989 B991 B996 B1000:B1002 B1005 B1008:B1009 B1014:B1018 B1022 B1025:B1026 B1031:B1032" name="可编辑！_70"/>
    <protectedRange sqref="A946:B946 B950 B953 B960 B965 B968 B970 B976" name="可编辑！_71"/>
    <protectedRange sqref="A947:B948 B951 B957:B959 B962 B966:B967 B972:B974 B978 B980 B983:B984 B992:B995 B1003:B1004 B1006 B1019 B1021 B1024 B1027 B1029 B1034:B1036" name="可编辑！_72"/>
  </protectedRanges>
  <autoFilter ref="A1:J944" xr:uid="{00000000-0009-0000-0000-000003000000}">
    <filterColumn colId="0">
      <filters>
        <filter val="SMXG1807Ms1"/>
      </filters>
    </filterColumn>
  </autoFilter>
  <phoneticPr fontId="14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 filterMode="1"/>
  <dimension ref="A1:L1844"/>
  <sheetViews>
    <sheetView workbookViewId="0">
      <pane ySplit="1" topLeftCell="A1827" activePane="bottomLeft" state="frozen"/>
      <selection activeCell="H499" sqref="H499"/>
      <selection pane="bottomLeft" activeCell="H1835" sqref="H1835"/>
    </sheetView>
  </sheetViews>
  <sheetFormatPr defaultRowHeight="15"/>
  <cols>
    <col min="1" max="1" width="19.5" style="45" bestFit="1" customWidth="1"/>
    <col min="2" max="2" width="15" style="45" customWidth="1"/>
    <col min="3" max="3" width="32.375" style="45" customWidth="1"/>
    <col min="4" max="4" width="12.125" style="45" bestFit="1" customWidth="1"/>
    <col min="5" max="5" width="16.125" style="44" customWidth="1"/>
    <col min="6" max="6" width="13.875" style="45" bestFit="1" customWidth="1"/>
    <col min="7" max="7" width="15.5" style="149" customWidth="1"/>
    <col min="8" max="8" width="17" style="45" customWidth="1"/>
    <col min="9" max="9" width="10.625" style="143" customWidth="1"/>
    <col min="10" max="10" width="13.875" style="45" bestFit="1" customWidth="1"/>
    <col min="11" max="12" width="10.625" style="45" customWidth="1"/>
    <col min="13" max="16384" width="9" style="45"/>
  </cols>
  <sheetData>
    <row r="1" spans="1:12" s="23" customFormat="1" ht="30" customHeight="1">
      <c r="A1" s="39" t="s">
        <v>6037</v>
      </c>
      <c r="B1" s="23" t="s">
        <v>57</v>
      </c>
      <c r="C1" s="23" t="s">
        <v>58</v>
      </c>
      <c r="D1" s="40" t="s">
        <v>155</v>
      </c>
      <c r="E1" s="460" t="s">
        <v>156</v>
      </c>
      <c r="F1" s="23" t="s">
        <v>157</v>
      </c>
      <c r="G1" s="149" t="s">
        <v>158</v>
      </c>
      <c r="H1" s="23" t="s">
        <v>59</v>
      </c>
      <c r="I1" s="41" t="s">
        <v>159</v>
      </c>
      <c r="J1" s="23" t="s">
        <v>160</v>
      </c>
      <c r="K1" s="23" t="s">
        <v>161</v>
      </c>
      <c r="L1" s="23" t="s">
        <v>162</v>
      </c>
    </row>
    <row r="2" spans="1:12" ht="30" hidden="1" customHeight="1">
      <c r="A2" s="42" t="s">
        <v>66</v>
      </c>
      <c r="B2" s="18" t="s">
        <v>61</v>
      </c>
      <c r="C2" s="18" t="s">
        <v>67</v>
      </c>
      <c r="D2" s="43">
        <v>42342</v>
      </c>
      <c r="E2" s="44">
        <v>575000</v>
      </c>
      <c r="H2" s="45" t="s">
        <v>56</v>
      </c>
    </row>
    <row r="3" spans="1:12" ht="30" hidden="1" customHeight="1">
      <c r="A3" s="42" t="s">
        <v>73</v>
      </c>
      <c r="B3" s="18" t="s">
        <v>74</v>
      </c>
      <c r="C3" s="18" t="s">
        <v>75</v>
      </c>
      <c r="D3" s="43">
        <v>42342</v>
      </c>
      <c r="E3" s="44">
        <v>36299.56</v>
      </c>
      <c r="H3" s="45" t="s">
        <v>118</v>
      </c>
    </row>
    <row r="4" spans="1:12" ht="30" hidden="1" customHeight="1">
      <c r="A4" s="42" t="s">
        <v>76</v>
      </c>
      <c r="B4" s="18" t="s">
        <v>77</v>
      </c>
      <c r="C4" s="18" t="s">
        <v>78</v>
      </c>
      <c r="D4" s="43">
        <v>42345</v>
      </c>
      <c r="E4" s="44">
        <v>76000</v>
      </c>
      <c r="H4" s="45" t="s">
        <v>118</v>
      </c>
    </row>
    <row r="5" spans="1:12" ht="30" hidden="1" customHeight="1">
      <c r="A5" s="42" t="s">
        <v>79</v>
      </c>
      <c r="B5" s="18" t="s">
        <v>77</v>
      </c>
      <c r="C5" s="18" t="s">
        <v>80</v>
      </c>
      <c r="D5" s="43">
        <v>42345</v>
      </c>
      <c r="E5" s="44">
        <v>76000</v>
      </c>
      <c r="H5" s="45" t="s">
        <v>119</v>
      </c>
    </row>
    <row r="6" spans="1:12" ht="30" hidden="1" customHeight="1">
      <c r="A6" s="42" t="s">
        <v>81</v>
      </c>
      <c r="B6" s="18" t="s">
        <v>82</v>
      </c>
      <c r="C6" s="18" t="s">
        <v>83</v>
      </c>
      <c r="D6" s="43">
        <v>42335</v>
      </c>
      <c r="E6" s="44">
        <v>297003.18</v>
      </c>
      <c r="H6" s="45" t="s">
        <v>118</v>
      </c>
    </row>
    <row r="7" spans="1:12" ht="30" hidden="1" customHeight="1">
      <c r="A7" s="42" t="s">
        <v>84</v>
      </c>
      <c r="B7" s="18" t="s">
        <v>85</v>
      </c>
      <c r="C7" s="18" t="s">
        <v>83</v>
      </c>
      <c r="D7" s="43">
        <v>42335</v>
      </c>
      <c r="E7" s="44">
        <v>192627.06</v>
      </c>
      <c r="H7" s="45" t="s">
        <v>118</v>
      </c>
    </row>
    <row r="8" spans="1:12" ht="30" hidden="1" customHeight="1">
      <c r="A8" s="42" t="s">
        <v>86</v>
      </c>
      <c r="B8" s="18" t="s">
        <v>61</v>
      </c>
      <c r="C8" s="18" t="s">
        <v>83</v>
      </c>
      <c r="D8" s="43">
        <v>42335</v>
      </c>
      <c r="E8" s="44">
        <v>3001380.33</v>
      </c>
      <c r="H8" s="45" t="s">
        <v>118</v>
      </c>
    </row>
    <row r="9" spans="1:12" ht="30" hidden="1" customHeight="1">
      <c r="A9" s="42" t="s">
        <v>87</v>
      </c>
      <c r="B9" s="18" t="s">
        <v>85</v>
      </c>
      <c r="C9" s="18" t="s">
        <v>83</v>
      </c>
      <c r="D9" s="43">
        <v>42335</v>
      </c>
      <c r="E9" s="44">
        <v>8989.4299999999348</v>
      </c>
      <c r="H9" s="45" t="s">
        <v>118</v>
      </c>
    </row>
    <row r="10" spans="1:12" ht="30" hidden="1" customHeight="1">
      <c r="A10" s="42" t="s">
        <v>88</v>
      </c>
      <c r="B10" s="18" t="s">
        <v>61</v>
      </c>
      <c r="C10" s="18" t="s">
        <v>53</v>
      </c>
      <c r="D10" s="43">
        <v>42345</v>
      </c>
      <c r="E10" s="44">
        <v>1000000</v>
      </c>
      <c r="H10" s="45" t="s">
        <v>56</v>
      </c>
    </row>
    <row r="11" spans="1:12" ht="30" hidden="1" customHeight="1">
      <c r="A11" s="42" t="s">
        <v>66</v>
      </c>
      <c r="B11" s="18" t="s">
        <v>61</v>
      </c>
      <c r="C11" s="18" t="s">
        <v>67</v>
      </c>
      <c r="D11" s="43">
        <v>42345</v>
      </c>
      <c r="E11" s="44">
        <v>705000</v>
      </c>
      <c r="H11" s="45" t="s">
        <v>56</v>
      </c>
    </row>
    <row r="12" spans="1:12" ht="30" hidden="1" customHeight="1">
      <c r="A12" s="42" t="s">
        <v>89</v>
      </c>
      <c r="B12" s="18" t="s">
        <v>61</v>
      </c>
      <c r="C12" s="18" t="s">
        <v>90</v>
      </c>
      <c r="D12" s="43">
        <v>42345</v>
      </c>
      <c r="E12" s="44">
        <v>720000</v>
      </c>
      <c r="H12" s="45" t="s">
        <v>56</v>
      </c>
    </row>
    <row r="13" spans="1:12" ht="30" hidden="1" customHeight="1">
      <c r="A13" s="42" t="s">
        <v>91</v>
      </c>
      <c r="B13" s="18" t="s">
        <v>61</v>
      </c>
      <c r="C13" s="18" t="s">
        <v>90</v>
      </c>
      <c r="D13" s="43">
        <v>42345</v>
      </c>
      <c r="E13" s="44">
        <v>238082.75</v>
      </c>
      <c r="H13" s="45" t="s">
        <v>56</v>
      </c>
    </row>
    <row r="14" spans="1:12" ht="30" hidden="1" customHeight="1">
      <c r="A14" s="42" t="s">
        <v>76</v>
      </c>
      <c r="B14" s="18" t="s">
        <v>77</v>
      </c>
      <c r="C14" s="18" t="s">
        <v>78</v>
      </c>
      <c r="D14" s="43">
        <v>42345</v>
      </c>
      <c r="E14" s="44">
        <v>152000</v>
      </c>
      <c r="H14" s="45" t="s">
        <v>118</v>
      </c>
    </row>
    <row r="15" spans="1:12" ht="30" hidden="1" customHeight="1">
      <c r="A15" s="42" t="s">
        <v>79</v>
      </c>
      <c r="B15" s="18" t="s">
        <v>77</v>
      </c>
      <c r="C15" s="18" t="s">
        <v>80</v>
      </c>
      <c r="D15" s="43">
        <v>42345</v>
      </c>
      <c r="E15" s="44">
        <v>152000</v>
      </c>
      <c r="H15" s="45" t="s">
        <v>119</v>
      </c>
    </row>
    <row r="16" spans="1:12" ht="30" hidden="1" customHeight="1">
      <c r="A16" s="42" t="s">
        <v>92</v>
      </c>
      <c r="B16" s="18" t="s">
        <v>93</v>
      </c>
      <c r="C16" s="18" t="s">
        <v>94</v>
      </c>
      <c r="D16" s="43">
        <v>42345</v>
      </c>
      <c r="E16" s="44">
        <v>120000</v>
      </c>
      <c r="H16" s="45" t="s">
        <v>119</v>
      </c>
    </row>
    <row r="17" spans="1:8" ht="30" hidden="1" customHeight="1">
      <c r="A17" s="42" t="s">
        <v>95</v>
      </c>
      <c r="B17" s="18" t="s">
        <v>93</v>
      </c>
      <c r="C17" s="18" t="s">
        <v>96</v>
      </c>
      <c r="D17" s="43">
        <v>42345</v>
      </c>
      <c r="E17" s="44">
        <v>2316104.35</v>
      </c>
      <c r="H17" s="45" t="s">
        <v>56</v>
      </c>
    </row>
    <row r="18" spans="1:8" ht="30" hidden="1" customHeight="1">
      <c r="A18" s="42" t="s">
        <v>97</v>
      </c>
      <c r="B18" s="18" t="s">
        <v>98</v>
      </c>
      <c r="C18" s="18" t="s">
        <v>99</v>
      </c>
      <c r="D18" s="43">
        <v>42346</v>
      </c>
      <c r="E18" s="44">
        <v>2331000</v>
      </c>
      <c r="H18" s="45" t="s">
        <v>56</v>
      </c>
    </row>
    <row r="19" spans="1:8" ht="30" hidden="1" customHeight="1">
      <c r="A19" s="42" t="s">
        <v>66</v>
      </c>
      <c r="B19" s="18" t="s">
        <v>61</v>
      </c>
      <c r="C19" s="18" t="s">
        <v>67</v>
      </c>
      <c r="D19" s="43">
        <v>42346</v>
      </c>
      <c r="E19" s="44">
        <v>575000</v>
      </c>
      <c r="H19" s="45" t="s">
        <v>56</v>
      </c>
    </row>
    <row r="20" spans="1:8" ht="30" hidden="1" customHeight="1">
      <c r="A20" s="42" t="s">
        <v>66</v>
      </c>
      <c r="B20" s="18" t="s">
        <v>61</v>
      </c>
      <c r="C20" s="18" t="s">
        <v>67</v>
      </c>
      <c r="D20" s="43">
        <v>42349</v>
      </c>
      <c r="E20" s="44">
        <v>570000</v>
      </c>
      <c r="H20" s="45" t="s">
        <v>56</v>
      </c>
    </row>
    <row r="21" spans="1:8" ht="30" hidden="1" customHeight="1">
      <c r="A21" s="42" t="s">
        <v>100</v>
      </c>
      <c r="B21" s="18" t="s">
        <v>93</v>
      </c>
      <c r="C21" s="18" t="s">
        <v>101</v>
      </c>
      <c r="D21" s="43">
        <v>42349</v>
      </c>
      <c r="E21" s="44">
        <v>358339.11</v>
      </c>
      <c r="H21" s="45" t="s">
        <v>56</v>
      </c>
    </row>
    <row r="22" spans="1:8" ht="30" hidden="1" customHeight="1">
      <c r="A22" s="42" t="s">
        <v>66</v>
      </c>
      <c r="B22" s="18" t="s">
        <v>61</v>
      </c>
      <c r="C22" s="18" t="s">
        <v>67</v>
      </c>
      <c r="D22" s="43">
        <v>42352</v>
      </c>
      <c r="E22" s="44">
        <v>850000</v>
      </c>
      <c r="H22" s="45" t="s">
        <v>56</v>
      </c>
    </row>
    <row r="23" spans="1:8" ht="30" hidden="1" customHeight="1">
      <c r="A23" s="42" t="s">
        <v>102</v>
      </c>
      <c r="B23" s="18" t="s">
        <v>103</v>
      </c>
      <c r="C23" s="18" t="s">
        <v>104</v>
      </c>
      <c r="D23" s="43">
        <v>42352</v>
      </c>
      <c r="E23" s="44">
        <v>323200</v>
      </c>
      <c r="H23" s="45" t="s">
        <v>56</v>
      </c>
    </row>
    <row r="24" spans="1:8" ht="30" hidden="1" customHeight="1">
      <c r="A24" s="42" t="s">
        <v>66</v>
      </c>
      <c r="B24" s="18" t="s">
        <v>61</v>
      </c>
      <c r="C24" s="18" t="s">
        <v>67</v>
      </c>
      <c r="D24" s="43">
        <v>42353</v>
      </c>
      <c r="E24" s="44">
        <v>430000</v>
      </c>
      <c r="H24" s="45" t="s">
        <v>56</v>
      </c>
    </row>
    <row r="25" spans="1:8" ht="30" hidden="1" customHeight="1">
      <c r="A25" s="42" t="s">
        <v>79</v>
      </c>
      <c r="B25" s="18" t="s">
        <v>77</v>
      </c>
      <c r="C25" s="18" t="s">
        <v>80</v>
      </c>
      <c r="D25" s="43">
        <v>42353</v>
      </c>
      <c r="E25" s="44">
        <v>182000</v>
      </c>
      <c r="H25" s="45" t="s">
        <v>119</v>
      </c>
    </row>
    <row r="26" spans="1:8" ht="30" hidden="1" customHeight="1">
      <c r="A26" s="42" t="s">
        <v>105</v>
      </c>
      <c r="B26" s="18" t="s">
        <v>106</v>
      </c>
      <c r="C26" s="18" t="s">
        <v>107</v>
      </c>
      <c r="D26" s="43">
        <v>42342</v>
      </c>
      <c r="E26" s="44">
        <v>121187.12</v>
      </c>
      <c r="H26" s="45" t="s">
        <v>119</v>
      </c>
    </row>
    <row r="27" spans="1:8" ht="30" hidden="1" customHeight="1">
      <c r="A27" s="42" t="s">
        <v>76</v>
      </c>
      <c r="B27" s="18" t="s">
        <v>77</v>
      </c>
      <c r="C27" s="18" t="s">
        <v>78</v>
      </c>
      <c r="D27" s="43">
        <v>42349</v>
      </c>
      <c r="E27" s="44">
        <v>250000</v>
      </c>
      <c r="H27" s="45" t="s">
        <v>118</v>
      </c>
    </row>
    <row r="28" spans="1:8" ht="30" hidden="1" customHeight="1">
      <c r="A28" s="42" t="s">
        <v>76</v>
      </c>
      <c r="B28" s="18" t="s">
        <v>77</v>
      </c>
      <c r="C28" s="18" t="s">
        <v>78</v>
      </c>
      <c r="D28" s="43">
        <v>42349</v>
      </c>
      <c r="E28" s="44">
        <v>666000</v>
      </c>
      <c r="H28" s="45" t="s">
        <v>118</v>
      </c>
    </row>
    <row r="29" spans="1:8" ht="30" hidden="1" customHeight="1">
      <c r="A29" s="42" t="s">
        <v>76</v>
      </c>
      <c r="B29" s="18" t="s">
        <v>77</v>
      </c>
      <c r="C29" s="18" t="s">
        <v>78</v>
      </c>
      <c r="D29" s="43">
        <v>42353</v>
      </c>
      <c r="E29" s="44">
        <v>122000</v>
      </c>
      <c r="H29" s="45" t="s">
        <v>118</v>
      </c>
    </row>
    <row r="30" spans="1:8" ht="30" hidden="1" customHeight="1">
      <c r="A30" s="42" t="s">
        <v>76</v>
      </c>
      <c r="B30" s="18" t="s">
        <v>77</v>
      </c>
      <c r="C30" s="18" t="s">
        <v>78</v>
      </c>
      <c r="D30" s="43">
        <v>42353</v>
      </c>
      <c r="E30" s="44">
        <v>60000</v>
      </c>
      <c r="H30" s="45" t="s">
        <v>118</v>
      </c>
    </row>
    <row r="31" spans="1:8" ht="30" hidden="1" customHeight="1">
      <c r="A31" s="42" t="s">
        <v>76</v>
      </c>
      <c r="B31" s="18" t="s">
        <v>77</v>
      </c>
      <c r="C31" s="18" t="s">
        <v>78</v>
      </c>
      <c r="D31" s="43">
        <v>42354</v>
      </c>
      <c r="E31" s="44">
        <v>152000</v>
      </c>
      <c r="H31" s="45" t="s">
        <v>118</v>
      </c>
    </row>
    <row r="32" spans="1:8" ht="30" hidden="1" customHeight="1">
      <c r="A32" s="42" t="s">
        <v>76</v>
      </c>
      <c r="B32" s="18" t="s">
        <v>77</v>
      </c>
      <c r="C32" s="18" t="s">
        <v>78</v>
      </c>
      <c r="D32" s="43">
        <v>42355</v>
      </c>
      <c r="E32" s="44">
        <v>152000</v>
      </c>
      <c r="H32" s="45" t="s">
        <v>118</v>
      </c>
    </row>
    <row r="33" spans="1:8" ht="30" hidden="1" customHeight="1">
      <c r="A33" s="42" t="s">
        <v>76</v>
      </c>
      <c r="B33" s="18" t="s">
        <v>77</v>
      </c>
      <c r="C33" s="18" t="s">
        <v>78</v>
      </c>
      <c r="D33" s="43">
        <v>42359</v>
      </c>
      <c r="E33" s="44">
        <v>130000</v>
      </c>
      <c r="H33" s="45" t="s">
        <v>118</v>
      </c>
    </row>
    <row r="34" spans="1:8" ht="30" hidden="1" customHeight="1">
      <c r="A34" s="42" t="s">
        <v>79</v>
      </c>
      <c r="B34" s="18" t="s">
        <v>77</v>
      </c>
      <c r="C34" s="18" t="s">
        <v>80</v>
      </c>
      <c r="D34" s="43">
        <v>42349</v>
      </c>
      <c r="E34" s="44">
        <v>305000</v>
      </c>
      <c r="H34" s="45" t="s">
        <v>119</v>
      </c>
    </row>
    <row r="35" spans="1:8" ht="30" hidden="1" customHeight="1">
      <c r="A35" s="42" t="s">
        <v>79</v>
      </c>
      <c r="B35" s="18" t="s">
        <v>77</v>
      </c>
      <c r="C35" s="18" t="s">
        <v>80</v>
      </c>
      <c r="D35" s="43">
        <v>42349</v>
      </c>
      <c r="E35" s="44">
        <v>666000</v>
      </c>
      <c r="H35" s="45" t="s">
        <v>119</v>
      </c>
    </row>
    <row r="36" spans="1:8" ht="30" hidden="1" customHeight="1">
      <c r="A36" s="42" t="s">
        <v>79</v>
      </c>
      <c r="B36" s="18" t="s">
        <v>77</v>
      </c>
      <c r="C36" s="18" t="s">
        <v>80</v>
      </c>
      <c r="D36" s="43">
        <v>42355</v>
      </c>
      <c r="E36" s="44">
        <v>152000</v>
      </c>
      <c r="H36" s="45" t="s">
        <v>119</v>
      </c>
    </row>
    <row r="37" spans="1:8" ht="30" hidden="1" customHeight="1">
      <c r="A37" s="42" t="s">
        <v>79</v>
      </c>
      <c r="B37" s="18" t="s">
        <v>77</v>
      </c>
      <c r="C37" s="18" t="s">
        <v>80</v>
      </c>
      <c r="D37" s="43">
        <v>42355</v>
      </c>
      <c r="E37" s="44">
        <v>152000</v>
      </c>
      <c r="H37" s="45" t="s">
        <v>119</v>
      </c>
    </row>
    <row r="38" spans="1:8" ht="30" hidden="1" customHeight="1">
      <c r="A38" s="42" t="s">
        <v>79</v>
      </c>
      <c r="B38" s="18" t="s">
        <v>77</v>
      </c>
      <c r="C38" s="18" t="s">
        <v>80</v>
      </c>
      <c r="D38" s="43">
        <v>42359</v>
      </c>
      <c r="E38" s="44">
        <v>130000</v>
      </c>
      <c r="H38" s="45" t="s">
        <v>119</v>
      </c>
    </row>
    <row r="39" spans="1:8" ht="30" hidden="1" customHeight="1">
      <c r="A39" s="42" t="s">
        <v>108</v>
      </c>
      <c r="B39" s="18" t="s">
        <v>109</v>
      </c>
      <c r="C39" s="18" t="s">
        <v>110</v>
      </c>
      <c r="D39" s="43">
        <v>42359</v>
      </c>
      <c r="E39" s="44">
        <v>340400</v>
      </c>
      <c r="H39" s="45" t="s">
        <v>56</v>
      </c>
    </row>
    <row r="40" spans="1:8" ht="30" hidden="1" customHeight="1">
      <c r="A40" s="42" t="s">
        <v>111</v>
      </c>
      <c r="B40" s="18" t="s">
        <v>98</v>
      </c>
      <c r="C40" s="18" t="s">
        <v>83</v>
      </c>
      <c r="D40" s="43">
        <v>42352</v>
      </c>
      <c r="E40" s="44">
        <v>2282720.3199999998</v>
      </c>
      <c r="H40" s="45" t="s">
        <v>118</v>
      </c>
    </row>
    <row r="41" spans="1:8" ht="30" hidden="1" customHeight="1">
      <c r="A41" s="42" t="s">
        <v>112</v>
      </c>
      <c r="B41" s="18" t="s">
        <v>93</v>
      </c>
      <c r="C41" s="18" t="s">
        <v>83</v>
      </c>
      <c r="D41" s="43">
        <v>42352</v>
      </c>
      <c r="E41" s="44">
        <v>5058258.2</v>
      </c>
      <c r="H41" s="45" t="s">
        <v>118</v>
      </c>
    </row>
    <row r="42" spans="1:8" ht="30" hidden="1" customHeight="1">
      <c r="A42" s="42" t="s">
        <v>113</v>
      </c>
      <c r="B42" s="18" t="s">
        <v>93</v>
      </c>
      <c r="C42" s="18" t="s">
        <v>83</v>
      </c>
      <c r="D42" s="43">
        <v>42352</v>
      </c>
      <c r="E42" s="44">
        <v>1332945.7700000033</v>
      </c>
      <c r="H42" s="45" t="s">
        <v>118</v>
      </c>
    </row>
    <row r="43" spans="1:8" ht="30" hidden="1" customHeight="1">
      <c r="A43" s="42" t="s">
        <v>114</v>
      </c>
      <c r="B43" s="18" t="s">
        <v>106</v>
      </c>
      <c r="C43" s="18" t="s">
        <v>83</v>
      </c>
      <c r="D43" s="43">
        <v>42352</v>
      </c>
      <c r="E43" s="44">
        <v>950951.22</v>
      </c>
      <c r="H43" s="45" t="s">
        <v>118</v>
      </c>
    </row>
    <row r="44" spans="1:8" ht="30" hidden="1" customHeight="1">
      <c r="A44" s="42" t="s">
        <v>87</v>
      </c>
      <c r="B44" s="18" t="s">
        <v>85</v>
      </c>
      <c r="C44" s="18" t="s">
        <v>83</v>
      </c>
      <c r="D44" s="43">
        <v>42349</v>
      </c>
      <c r="E44" s="44">
        <v>426528.12000000005</v>
      </c>
      <c r="H44" s="45" t="s">
        <v>118</v>
      </c>
    </row>
    <row r="45" spans="1:8" ht="30" hidden="1" customHeight="1">
      <c r="A45" s="42" t="s">
        <v>115</v>
      </c>
      <c r="B45" s="18" t="s">
        <v>61</v>
      </c>
      <c r="C45" s="18" t="s">
        <v>83</v>
      </c>
      <c r="D45" s="43">
        <v>42349</v>
      </c>
      <c r="E45" s="44">
        <v>3073471.88</v>
      </c>
      <c r="H45" s="45" t="s">
        <v>118</v>
      </c>
    </row>
    <row r="46" spans="1:8" ht="30" hidden="1" customHeight="1">
      <c r="A46" s="42" t="s">
        <v>115</v>
      </c>
      <c r="B46" s="18" t="s">
        <v>61</v>
      </c>
      <c r="C46" s="18" t="s">
        <v>83</v>
      </c>
      <c r="D46" s="43">
        <v>42366</v>
      </c>
      <c r="E46" s="44">
        <v>1892103.1600000001</v>
      </c>
      <c r="H46" s="45" t="s">
        <v>118</v>
      </c>
    </row>
    <row r="47" spans="1:8" ht="30" hidden="1" customHeight="1">
      <c r="A47" s="42" t="s">
        <v>116</v>
      </c>
      <c r="B47" s="18" t="s">
        <v>85</v>
      </c>
      <c r="C47" s="18" t="s">
        <v>83</v>
      </c>
      <c r="D47" s="43">
        <v>42366</v>
      </c>
      <c r="E47" s="44">
        <v>793104.72</v>
      </c>
      <c r="H47" s="45" t="s">
        <v>118</v>
      </c>
    </row>
    <row r="48" spans="1:8" ht="30" hidden="1" customHeight="1">
      <c r="A48" s="42" t="s">
        <v>117</v>
      </c>
      <c r="B48" s="18" t="s">
        <v>103</v>
      </c>
      <c r="C48" s="18" t="s">
        <v>104</v>
      </c>
      <c r="D48" s="43">
        <v>42368</v>
      </c>
      <c r="E48" s="44">
        <v>328000</v>
      </c>
      <c r="H48" s="45" t="s">
        <v>56</v>
      </c>
    </row>
    <row r="49" spans="1:8" ht="30" hidden="1" customHeight="1">
      <c r="A49" s="42" t="s">
        <v>66</v>
      </c>
      <c r="B49" s="18" t="s">
        <v>61</v>
      </c>
      <c r="C49" s="18" t="s">
        <v>67</v>
      </c>
      <c r="D49" s="43">
        <v>42374</v>
      </c>
      <c r="E49" s="44">
        <v>763729.22</v>
      </c>
      <c r="H49" s="45" t="s">
        <v>56</v>
      </c>
    </row>
    <row r="50" spans="1:8" ht="30" hidden="1" customHeight="1">
      <c r="A50" s="42" t="s">
        <v>50</v>
      </c>
      <c r="B50" s="18" t="s">
        <v>61</v>
      </c>
      <c r="C50" s="18" t="s">
        <v>53</v>
      </c>
      <c r="D50" s="43">
        <v>42376</v>
      </c>
      <c r="E50" s="44">
        <v>300000</v>
      </c>
      <c r="H50" s="45" t="s">
        <v>56</v>
      </c>
    </row>
    <row r="51" spans="1:8" ht="30" hidden="1" customHeight="1">
      <c r="A51" s="42" t="s">
        <v>102</v>
      </c>
      <c r="B51" s="18" t="s">
        <v>103</v>
      </c>
      <c r="C51" s="18" t="s">
        <v>104</v>
      </c>
      <c r="D51" s="43">
        <v>42380</v>
      </c>
      <c r="E51" s="44">
        <v>80517.2</v>
      </c>
      <c r="H51" s="45" t="s">
        <v>56</v>
      </c>
    </row>
    <row r="52" spans="1:8" ht="30" customHeight="1">
      <c r="A52" s="42" t="s">
        <v>179</v>
      </c>
      <c r="B52" s="48" t="s">
        <v>430</v>
      </c>
      <c r="C52" s="18" t="s">
        <v>180</v>
      </c>
      <c r="D52" s="43">
        <v>42384</v>
      </c>
      <c r="E52" s="44">
        <v>500000</v>
      </c>
      <c r="H52" s="45" t="s">
        <v>178</v>
      </c>
    </row>
    <row r="53" spans="1:8" ht="30" customHeight="1">
      <c r="A53" s="42" t="s">
        <v>189</v>
      </c>
      <c r="B53" s="48" t="s">
        <v>430</v>
      </c>
      <c r="C53" s="18" t="s">
        <v>190</v>
      </c>
      <c r="D53" s="43">
        <v>42387</v>
      </c>
      <c r="E53" s="44">
        <v>1600000</v>
      </c>
      <c r="H53" s="45" t="s">
        <v>56</v>
      </c>
    </row>
    <row r="54" spans="1:8" ht="30" hidden="1" customHeight="1">
      <c r="A54" s="42" t="s">
        <v>191</v>
      </c>
      <c r="B54" s="18" t="s">
        <v>61</v>
      </c>
      <c r="C54" s="18" t="s">
        <v>53</v>
      </c>
      <c r="D54" s="43">
        <v>42387</v>
      </c>
      <c r="E54" s="44">
        <v>75492</v>
      </c>
      <c r="H54" s="45" t="s">
        <v>56</v>
      </c>
    </row>
    <row r="55" spans="1:8" ht="30" hidden="1" customHeight="1">
      <c r="A55" s="42" t="s">
        <v>88</v>
      </c>
      <c r="B55" s="18" t="s">
        <v>61</v>
      </c>
      <c r="C55" s="18" t="s">
        <v>53</v>
      </c>
      <c r="D55" s="43">
        <v>42387</v>
      </c>
      <c r="E55" s="44">
        <v>231732.61</v>
      </c>
      <c r="H55" s="45" t="s">
        <v>56</v>
      </c>
    </row>
    <row r="56" spans="1:8" ht="30" hidden="1" customHeight="1">
      <c r="A56" s="42" t="s">
        <v>197</v>
      </c>
      <c r="B56" s="18" t="s">
        <v>61</v>
      </c>
      <c r="C56" s="18" t="s">
        <v>53</v>
      </c>
      <c r="D56" s="43">
        <v>42389</v>
      </c>
      <c r="E56" s="44">
        <v>858000</v>
      </c>
      <c r="H56" s="45" t="s">
        <v>56</v>
      </c>
    </row>
    <row r="57" spans="1:8" ht="30" hidden="1" customHeight="1">
      <c r="A57" s="42" t="s">
        <v>205</v>
      </c>
      <c r="B57" s="18" t="s">
        <v>206</v>
      </c>
      <c r="C57" s="18" t="s">
        <v>207</v>
      </c>
      <c r="D57" s="43">
        <v>42389</v>
      </c>
      <c r="E57" s="44">
        <v>81503.8</v>
      </c>
      <c r="H57" s="45" t="s">
        <v>208</v>
      </c>
    </row>
    <row r="58" spans="1:8" ht="30" hidden="1" customHeight="1">
      <c r="A58" s="42" t="s">
        <v>89</v>
      </c>
      <c r="B58" s="18" t="s">
        <v>61</v>
      </c>
      <c r="C58" s="18" t="s">
        <v>90</v>
      </c>
      <c r="D58" s="43">
        <v>42390</v>
      </c>
      <c r="E58" s="44">
        <v>127727.79</v>
      </c>
      <c r="H58" s="45" t="s">
        <v>56</v>
      </c>
    </row>
    <row r="59" spans="1:8" ht="30" hidden="1" customHeight="1">
      <c r="A59" s="42" t="s">
        <v>348</v>
      </c>
      <c r="B59" s="18" t="s">
        <v>61</v>
      </c>
      <c r="C59" s="18" t="s">
        <v>210</v>
      </c>
      <c r="D59" s="43">
        <v>42390</v>
      </c>
      <c r="E59" s="44">
        <v>116400</v>
      </c>
      <c r="H59" s="45" t="s">
        <v>56</v>
      </c>
    </row>
    <row r="60" spans="1:8" ht="30" hidden="1" customHeight="1">
      <c r="A60" s="42" t="s">
        <v>186</v>
      </c>
      <c r="B60" s="18" t="s">
        <v>61</v>
      </c>
      <c r="C60" s="18" t="s">
        <v>212</v>
      </c>
      <c r="D60" s="43">
        <v>42391</v>
      </c>
      <c r="E60" s="44">
        <v>985000</v>
      </c>
      <c r="H60" s="45" t="s">
        <v>56</v>
      </c>
    </row>
    <row r="61" spans="1:8" ht="30" hidden="1" customHeight="1">
      <c r="A61" s="42" t="s">
        <v>138</v>
      </c>
      <c r="B61" s="18" t="s">
        <v>103</v>
      </c>
      <c r="C61" s="18" t="s">
        <v>139</v>
      </c>
      <c r="D61" s="43">
        <v>42391</v>
      </c>
      <c r="E61" s="44">
        <v>206810.2</v>
      </c>
      <c r="H61" s="45" t="s">
        <v>118</v>
      </c>
    </row>
    <row r="62" spans="1:8" ht="30" hidden="1" customHeight="1">
      <c r="A62" s="42" t="s">
        <v>183</v>
      </c>
      <c r="B62" s="18" t="s">
        <v>61</v>
      </c>
      <c r="C62" s="18" t="s">
        <v>53</v>
      </c>
      <c r="D62" s="43">
        <v>42394</v>
      </c>
      <c r="E62" s="44">
        <v>500000</v>
      </c>
      <c r="H62" s="45" t="s">
        <v>56</v>
      </c>
    </row>
    <row r="63" spans="1:8" ht="30" hidden="1" customHeight="1">
      <c r="A63" s="42" t="s">
        <v>186</v>
      </c>
      <c r="B63" s="18" t="s">
        <v>61</v>
      </c>
      <c r="C63" s="18" t="s">
        <v>212</v>
      </c>
      <c r="D63" s="43">
        <v>42394</v>
      </c>
      <c r="E63" s="44">
        <v>1300000</v>
      </c>
      <c r="H63" s="45" t="s">
        <v>56</v>
      </c>
    </row>
    <row r="64" spans="1:8" ht="30" hidden="1" customHeight="1">
      <c r="A64" s="42" t="s">
        <v>225</v>
      </c>
      <c r="B64" s="18" t="s">
        <v>93</v>
      </c>
      <c r="C64" s="18" t="s">
        <v>233</v>
      </c>
      <c r="D64" s="43">
        <v>42382</v>
      </c>
      <c r="E64" s="44">
        <v>860000</v>
      </c>
      <c r="H64" s="45" t="s">
        <v>56</v>
      </c>
    </row>
    <row r="65" spans="1:8" ht="30" hidden="1" customHeight="1">
      <c r="A65" s="42" t="s">
        <v>225</v>
      </c>
      <c r="B65" s="18" t="s">
        <v>93</v>
      </c>
      <c r="C65" s="18" t="s">
        <v>233</v>
      </c>
      <c r="D65" s="43">
        <v>42388</v>
      </c>
      <c r="E65" s="44">
        <v>575000</v>
      </c>
      <c r="H65" s="45" t="s">
        <v>56</v>
      </c>
    </row>
    <row r="66" spans="1:8" ht="30" hidden="1" customHeight="1">
      <c r="A66" s="42" t="s">
        <v>229</v>
      </c>
      <c r="B66" s="18" t="s">
        <v>230</v>
      </c>
      <c r="C66" s="18" t="s">
        <v>234</v>
      </c>
      <c r="D66" s="43">
        <v>42384</v>
      </c>
      <c r="E66" s="44">
        <v>2100000</v>
      </c>
      <c r="H66" s="45" t="s">
        <v>119</v>
      </c>
    </row>
    <row r="67" spans="1:8" ht="30" hidden="1" customHeight="1">
      <c r="A67" s="42" t="s">
        <v>229</v>
      </c>
      <c r="B67" s="18" t="s">
        <v>230</v>
      </c>
      <c r="C67" s="18" t="s">
        <v>234</v>
      </c>
      <c r="D67" s="43">
        <v>42389</v>
      </c>
      <c r="E67" s="44">
        <v>680000</v>
      </c>
      <c r="H67" s="45" t="s">
        <v>119</v>
      </c>
    </row>
    <row r="68" spans="1:8" ht="30" customHeight="1">
      <c r="A68" s="42" t="s">
        <v>50</v>
      </c>
      <c r="B68" s="18" t="s">
        <v>430</v>
      </c>
      <c r="C68" s="18" t="s">
        <v>53</v>
      </c>
      <c r="D68" s="43">
        <v>42396</v>
      </c>
      <c r="E68" s="44">
        <v>433127.11</v>
      </c>
      <c r="H68" s="45" t="s">
        <v>56</v>
      </c>
    </row>
    <row r="69" spans="1:8" ht="30" hidden="1" customHeight="1">
      <c r="A69" s="42" t="s">
        <v>136</v>
      </c>
      <c r="B69" s="18" t="s">
        <v>103</v>
      </c>
      <c r="C69" s="18" t="s">
        <v>139</v>
      </c>
      <c r="D69" s="43">
        <v>42397</v>
      </c>
      <c r="E69" s="44">
        <v>211491.68</v>
      </c>
      <c r="H69" s="45" t="s">
        <v>118</v>
      </c>
    </row>
    <row r="70" spans="1:8" ht="30" customHeight="1">
      <c r="A70" s="42" t="s">
        <v>86</v>
      </c>
      <c r="B70" s="18" t="s">
        <v>430</v>
      </c>
      <c r="C70" s="18" t="s">
        <v>83</v>
      </c>
      <c r="D70" s="43">
        <v>42380</v>
      </c>
      <c r="E70" s="44">
        <v>648853.64</v>
      </c>
      <c r="H70" s="45" t="s">
        <v>118</v>
      </c>
    </row>
    <row r="71" spans="1:8" ht="30" customHeight="1">
      <c r="A71" s="42" t="s">
        <v>115</v>
      </c>
      <c r="B71" s="18" t="s">
        <v>60</v>
      </c>
      <c r="C71" s="18" t="s">
        <v>83</v>
      </c>
      <c r="D71" s="43">
        <v>42380</v>
      </c>
      <c r="E71" s="44">
        <v>251544.1</v>
      </c>
      <c r="H71" s="45" t="s">
        <v>118</v>
      </c>
    </row>
    <row r="72" spans="1:8" ht="30" customHeight="1">
      <c r="A72" s="42" t="s">
        <v>72</v>
      </c>
      <c r="B72" s="18" t="s">
        <v>60</v>
      </c>
      <c r="C72" s="18" t="s">
        <v>83</v>
      </c>
      <c r="D72" s="43">
        <v>42380</v>
      </c>
      <c r="E72" s="44">
        <v>5639641.8700000001</v>
      </c>
      <c r="H72" s="45" t="s">
        <v>119</v>
      </c>
    </row>
    <row r="73" spans="1:8" ht="30" customHeight="1">
      <c r="A73" s="42" t="s">
        <v>260</v>
      </c>
      <c r="B73" s="18" t="s">
        <v>60</v>
      </c>
      <c r="C73" s="18" t="s">
        <v>180</v>
      </c>
      <c r="D73" s="43">
        <v>42398</v>
      </c>
      <c r="E73" s="44">
        <v>2180000</v>
      </c>
      <c r="H73" s="45" t="s">
        <v>56</v>
      </c>
    </row>
    <row r="74" spans="1:8" ht="30" customHeight="1">
      <c r="A74" s="42" t="s">
        <v>267</v>
      </c>
      <c r="B74" s="18" t="s">
        <v>240</v>
      </c>
      <c r="C74" s="18" t="s">
        <v>269</v>
      </c>
      <c r="D74" s="43">
        <v>42396</v>
      </c>
      <c r="E74" s="44">
        <v>1230000</v>
      </c>
      <c r="H74" s="45" t="s">
        <v>56</v>
      </c>
    </row>
    <row r="75" spans="1:8" ht="30" customHeight="1">
      <c r="A75" s="42" t="s">
        <v>270</v>
      </c>
      <c r="B75" s="18" t="s">
        <v>240</v>
      </c>
      <c r="C75" s="18" t="s">
        <v>269</v>
      </c>
      <c r="D75" s="43">
        <v>42398</v>
      </c>
      <c r="E75" s="44">
        <v>800000</v>
      </c>
      <c r="H75" s="45" t="s">
        <v>56</v>
      </c>
    </row>
    <row r="76" spans="1:8" ht="30" hidden="1" customHeight="1">
      <c r="A76" s="42" t="s">
        <v>277</v>
      </c>
      <c r="B76" s="18" t="s">
        <v>82</v>
      </c>
      <c r="C76" s="18" t="s">
        <v>278</v>
      </c>
      <c r="D76" s="43">
        <v>42398</v>
      </c>
      <c r="E76" s="44">
        <v>2140000</v>
      </c>
      <c r="H76" s="45" t="s">
        <v>118</v>
      </c>
    </row>
    <row r="77" spans="1:8" ht="30" customHeight="1">
      <c r="A77" s="42" t="s">
        <v>270</v>
      </c>
      <c r="B77" s="18" t="s">
        <v>240</v>
      </c>
      <c r="C77" s="18" t="s">
        <v>269</v>
      </c>
      <c r="D77" s="43">
        <v>42401</v>
      </c>
      <c r="E77" s="44">
        <v>1248000</v>
      </c>
      <c r="H77" s="45" t="s">
        <v>56</v>
      </c>
    </row>
    <row r="78" spans="1:8" ht="30" customHeight="1">
      <c r="A78" s="42" t="s">
        <v>260</v>
      </c>
      <c r="B78" s="18" t="s">
        <v>60</v>
      </c>
      <c r="C78" s="18" t="s">
        <v>180</v>
      </c>
      <c r="D78" s="43">
        <v>42401</v>
      </c>
      <c r="E78" s="44">
        <v>1220000</v>
      </c>
      <c r="H78" s="45" t="s">
        <v>56</v>
      </c>
    </row>
    <row r="79" spans="1:8" ht="30" customHeight="1">
      <c r="A79" s="42" t="s">
        <v>276</v>
      </c>
      <c r="B79" s="18" t="s">
        <v>60</v>
      </c>
      <c r="C79" s="18" t="s">
        <v>180</v>
      </c>
      <c r="D79" s="43">
        <v>42405</v>
      </c>
      <c r="E79" s="44">
        <v>2250000</v>
      </c>
      <c r="H79" s="45" t="s">
        <v>56</v>
      </c>
    </row>
    <row r="80" spans="1:8" ht="30" hidden="1" customHeight="1">
      <c r="A80" s="42" t="s">
        <v>138</v>
      </c>
      <c r="B80" s="18" t="s">
        <v>103</v>
      </c>
      <c r="C80" s="18" t="s">
        <v>139</v>
      </c>
      <c r="D80" s="43">
        <v>42404</v>
      </c>
      <c r="E80" s="44">
        <v>206900</v>
      </c>
      <c r="H80" s="45" t="s">
        <v>118</v>
      </c>
    </row>
    <row r="81" spans="1:8" ht="30" hidden="1" customHeight="1">
      <c r="A81" s="42" t="s">
        <v>136</v>
      </c>
      <c r="B81" s="18" t="s">
        <v>103</v>
      </c>
      <c r="C81" s="18" t="s">
        <v>139</v>
      </c>
      <c r="D81" s="43">
        <v>42404</v>
      </c>
      <c r="E81" s="44">
        <v>211600</v>
      </c>
      <c r="H81" s="45" t="s">
        <v>118</v>
      </c>
    </row>
    <row r="82" spans="1:8" ht="30" hidden="1" customHeight="1">
      <c r="A82" s="42" t="s">
        <v>225</v>
      </c>
      <c r="B82" s="18" t="s">
        <v>93</v>
      </c>
      <c r="C82" s="18" t="s">
        <v>233</v>
      </c>
      <c r="D82" s="43">
        <v>42403</v>
      </c>
      <c r="E82" s="44">
        <v>327514.86751999985</v>
      </c>
      <c r="H82" s="45" t="s">
        <v>56</v>
      </c>
    </row>
    <row r="83" spans="1:8" ht="30" hidden="1" customHeight="1">
      <c r="A83" s="42" t="s">
        <v>293</v>
      </c>
      <c r="B83" s="18" t="s">
        <v>93</v>
      </c>
      <c r="C83" s="18" t="s">
        <v>294</v>
      </c>
      <c r="D83" s="43">
        <v>42405</v>
      </c>
      <c r="E83" s="44">
        <v>430000</v>
      </c>
      <c r="H83" s="45" t="s">
        <v>56</v>
      </c>
    </row>
    <row r="84" spans="1:8" ht="30" hidden="1" customHeight="1">
      <c r="A84" s="42" t="s">
        <v>288</v>
      </c>
      <c r="B84" s="18" t="s">
        <v>93</v>
      </c>
      <c r="C84" s="18" t="s">
        <v>233</v>
      </c>
      <c r="D84" s="43">
        <v>42395</v>
      </c>
      <c r="E84" s="44">
        <v>580000</v>
      </c>
      <c r="H84" s="45" t="s">
        <v>56</v>
      </c>
    </row>
    <row r="85" spans="1:8" ht="30" hidden="1" customHeight="1">
      <c r="A85" s="42" t="s">
        <v>288</v>
      </c>
      <c r="B85" s="18" t="s">
        <v>93</v>
      </c>
      <c r="C85" s="18" t="s">
        <v>233</v>
      </c>
      <c r="D85" s="43">
        <v>42396</v>
      </c>
      <c r="E85" s="44">
        <v>1030000</v>
      </c>
      <c r="H85" s="45" t="s">
        <v>56</v>
      </c>
    </row>
    <row r="86" spans="1:8" ht="30" hidden="1" customHeight="1">
      <c r="A86" s="42" t="s">
        <v>288</v>
      </c>
      <c r="B86" s="18" t="s">
        <v>93</v>
      </c>
      <c r="C86" s="18" t="s">
        <v>233</v>
      </c>
      <c r="D86" s="43">
        <v>42401</v>
      </c>
      <c r="E86" s="44">
        <v>905000</v>
      </c>
      <c r="H86" s="45" t="s">
        <v>56</v>
      </c>
    </row>
    <row r="87" spans="1:8" ht="30" hidden="1" customHeight="1">
      <c r="A87" s="42" t="s">
        <v>288</v>
      </c>
      <c r="B87" s="18" t="s">
        <v>93</v>
      </c>
      <c r="C87" s="18" t="s">
        <v>233</v>
      </c>
      <c r="D87" s="43">
        <v>42402</v>
      </c>
      <c r="E87" s="44">
        <v>520000</v>
      </c>
      <c r="H87" s="45" t="s">
        <v>56</v>
      </c>
    </row>
    <row r="88" spans="1:8" ht="30" hidden="1" customHeight="1">
      <c r="A88" s="42" t="s">
        <v>289</v>
      </c>
      <c r="B88" s="18" t="s">
        <v>93</v>
      </c>
      <c r="C88" s="18" t="s">
        <v>234</v>
      </c>
      <c r="D88" s="43">
        <v>42401</v>
      </c>
      <c r="E88" s="44">
        <v>1155000</v>
      </c>
      <c r="H88" s="45" t="s">
        <v>56</v>
      </c>
    </row>
    <row r="89" spans="1:8" ht="30" customHeight="1">
      <c r="A89" s="42" t="s">
        <v>65</v>
      </c>
      <c r="B89" s="18" t="s">
        <v>60</v>
      </c>
      <c r="C89" s="18" t="s">
        <v>83</v>
      </c>
      <c r="D89" s="43">
        <v>42403</v>
      </c>
      <c r="E89" s="44">
        <v>797692.02</v>
      </c>
      <c r="H89" s="45" t="s">
        <v>118</v>
      </c>
    </row>
    <row r="90" spans="1:8" ht="30" hidden="1" customHeight="1">
      <c r="A90" s="42" t="s">
        <v>150</v>
      </c>
      <c r="B90" s="18" t="s">
        <v>85</v>
      </c>
      <c r="C90" s="18" t="s">
        <v>83</v>
      </c>
      <c r="D90" s="43">
        <v>42403</v>
      </c>
      <c r="E90" s="44">
        <v>713719.2</v>
      </c>
      <c r="H90" s="45" t="s">
        <v>118</v>
      </c>
    </row>
    <row r="91" spans="1:8" ht="30" hidden="1" customHeight="1">
      <c r="A91" s="42" t="s">
        <v>151</v>
      </c>
      <c r="B91" s="18" t="s">
        <v>82</v>
      </c>
      <c r="C91" s="18" t="s">
        <v>83</v>
      </c>
      <c r="D91" s="43">
        <v>42403</v>
      </c>
      <c r="E91" s="44">
        <v>1938693.6</v>
      </c>
      <c r="H91" s="45" t="s">
        <v>118</v>
      </c>
    </row>
    <row r="92" spans="1:8" ht="30" customHeight="1">
      <c r="A92" s="42" t="s">
        <v>301</v>
      </c>
      <c r="B92" s="18" t="s">
        <v>60</v>
      </c>
      <c r="C92" s="18" t="s">
        <v>321</v>
      </c>
      <c r="D92" s="43">
        <v>42381</v>
      </c>
      <c r="E92" s="44">
        <v>6086502</v>
      </c>
      <c r="H92" s="45" t="s">
        <v>118</v>
      </c>
    </row>
    <row r="93" spans="1:8" ht="30" customHeight="1">
      <c r="A93" s="42" t="s">
        <v>182</v>
      </c>
      <c r="B93" s="18" t="s">
        <v>60</v>
      </c>
      <c r="C93" s="18" t="s">
        <v>321</v>
      </c>
      <c r="D93" s="43">
        <v>42381</v>
      </c>
      <c r="E93" s="44">
        <v>5217006.5999999996</v>
      </c>
      <c r="H93" s="45" t="s">
        <v>118</v>
      </c>
    </row>
    <row r="94" spans="1:8" ht="30" hidden="1" customHeight="1">
      <c r="A94" s="42" t="s">
        <v>163</v>
      </c>
      <c r="B94" s="18" t="s">
        <v>85</v>
      </c>
      <c r="C94" s="18" t="s">
        <v>321</v>
      </c>
      <c r="D94" s="43">
        <v>42391</v>
      </c>
      <c r="E94" s="44">
        <v>679548.16</v>
      </c>
      <c r="H94" s="45" t="s">
        <v>118</v>
      </c>
    </row>
    <row r="95" spans="1:8" ht="30" hidden="1" customHeight="1">
      <c r="A95" s="42" t="s">
        <v>169</v>
      </c>
      <c r="B95" s="18" t="s">
        <v>82</v>
      </c>
      <c r="C95" s="18" t="s">
        <v>321</v>
      </c>
      <c r="D95" s="43">
        <v>42381</v>
      </c>
      <c r="E95" s="44">
        <v>914090.4</v>
      </c>
      <c r="H95" s="45" t="s">
        <v>118</v>
      </c>
    </row>
    <row r="96" spans="1:8" ht="30" customHeight="1">
      <c r="A96" s="42" t="s">
        <v>303</v>
      </c>
      <c r="B96" s="18" t="s">
        <v>60</v>
      </c>
      <c r="C96" s="18" t="s">
        <v>321</v>
      </c>
      <c r="D96" s="43">
        <v>42398</v>
      </c>
      <c r="E96" s="44">
        <v>8989298.4499999993</v>
      </c>
      <c r="H96" s="45" t="s">
        <v>118</v>
      </c>
    </row>
    <row r="97" spans="1:8" ht="30" customHeight="1">
      <c r="A97" s="42" t="s">
        <v>284</v>
      </c>
      <c r="B97" s="18" t="s">
        <v>60</v>
      </c>
      <c r="C97" s="18" t="s">
        <v>321</v>
      </c>
      <c r="D97" s="43">
        <v>42398</v>
      </c>
      <c r="E97" s="44">
        <v>5992865.6399999997</v>
      </c>
      <c r="H97" s="45" t="s">
        <v>118</v>
      </c>
    </row>
    <row r="98" spans="1:8" ht="30" hidden="1" customHeight="1">
      <c r="A98" s="42" t="s">
        <v>279</v>
      </c>
      <c r="B98" s="18" t="s">
        <v>85</v>
      </c>
      <c r="C98" s="18" t="s">
        <v>321</v>
      </c>
      <c r="D98" s="43">
        <v>42398</v>
      </c>
      <c r="E98" s="44">
        <v>334155.77</v>
      </c>
      <c r="H98" s="45" t="s">
        <v>118</v>
      </c>
    </row>
    <row r="99" spans="1:8" ht="30" hidden="1" customHeight="1">
      <c r="A99" s="42" t="s">
        <v>283</v>
      </c>
      <c r="B99" s="18" t="s">
        <v>82</v>
      </c>
      <c r="C99" s="18" t="s">
        <v>321</v>
      </c>
      <c r="D99" s="43">
        <v>42398</v>
      </c>
      <c r="E99" s="44">
        <v>812604.04</v>
      </c>
      <c r="H99" s="45" t="s">
        <v>118</v>
      </c>
    </row>
    <row r="100" spans="1:8" ht="30" customHeight="1">
      <c r="A100" s="42" t="s">
        <v>276</v>
      </c>
      <c r="B100" s="18" t="s">
        <v>60</v>
      </c>
      <c r="C100" s="18" t="s">
        <v>180</v>
      </c>
      <c r="D100" s="43">
        <v>42402</v>
      </c>
      <c r="E100" s="44">
        <v>934000</v>
      </c>
      <c r="H100" s="45" t="s">
        <v>56</v>
      </c>
    </row>
    <row r="101" spans="1:8" ht="30" customHeight="1">
      <c r="A101" s="42" t="s">
        <v>276</v>
      </c>
      <c r="B101" s="18" t="s">
        <v>60</v>
      </c>
      <c r="C101" s="18" t="s">
        <v>180</v>
      </c>
      <c r="D101" s="43">
        <v>42419</v>
      </c>
      <c r="E101" s="44">
        <v>200000</v>
      </c>
      <c r="H101" s="45" t="s">
        <v>56</v>
      </c>
    </row>
    <row r="102" spans="1:8" ht="30" customHeight="1">
      <c r="A102" s="42" t="s">
        <v>179</v>
      </c>
      <c r="B102" s="18" t="s">
        <v>60</v>
      </c>
      <c r="C102" s="18" t="s">
        <v>180</v>
      </c>
      <c r="D102" s="43">
        <v>42401</v>
      </c>
      <c r="E102" s="44">
        <v>503442.18</v>
      </c>
      <c r="H102" s="45" t="s">
        <v>56</v>
      </c>
    </row>
    <row r="103" spans="1:8" ht="30" customHeight="1">
      <c r="A103" s="42" t="s">
        <v>276</v>
      </c>
      <c r="B103" s="18" t="s">
        <v>60</v>
      </c>
      <c r="C103" s="18" t="s">
        <v>180</v>
      </c>
      <c r="D103" s="43">
        <v>42423</v>
      </c>
      <c r="E103" s="44">
        <v>1790000</v>
      </c>
      <c r="H103" s="45" t="s">
        <v>56</v>
      </c>
    </row>
    <row r="104" spans="1:8" ht="30" customHeight="1">
      <c r="A104" s="42" t="s">
        <v>316</v>
      </c>
      <c r="B104" s="18" t="s">
        <v>60</v>
      </c>
      <c r="C104" s="18" t="s">
        <v>212</v>
      </c>
      <c r="D104" s="43">
        <v>42423</v>
      </c>
      <c r="E104" s="44">
        <v>1400000</v>
      </c>
      <c r="H104" s="45" t="s">
        <v>56</v>
      </c>
    </row>
    <row r="105" spans="1:8" ht="30" customHeight="1">
      <c r="A105" s="42" t="s">
        <v>312</v>
      </c>
      <c r="B105" s="18" t="s">
        <v>60</v>
      </c>
      <c r="C105" s="18" t="s">
        <v>53</v>
      </c>
      <c r="D105" s="43">
        <v>42423</v>
      </c>
      <c r="E105" s="44">
        <v>1460000</v>
      </c>
      <c r="H105" s="45" t="s">
        <v>56</v>
      </c>
    </row>
    <row r="106" spans="1:8" ht="30" hidden="1" customHeight="1">
      <c r="A106" s="42" t="s">
        <v>348</v>
      </c>
      <c r="B106" s="18" t="s">
        <v>61</v>
      </c>
      <c r="C106" s="18" t="s">
        <v>210</v>
      </c>
      <c r="D106" s="43">
        <v>42423</v>
      </c>
      <c r="E106" s="44">
        <v>465600</v>
      </c>
      <c r="H106" s="45" t="s">
        <v>56</v>
      </c>
    </row>
    <row r="107" spans="1:8" ht="30" customHeight="1">
      <c r="A107" s="42" t="s">
        <v>260</v>
      </c>
      <c r="B107" s="18" t="s">
        <v>430</v>
      </c>
      <c r="C107" s="18" t="s">
        <v>180</v>
      </c>
      <c r="D107" s="43">
        <v>42424</v>
      </c>
      <c r="E107" s="44">
        <v>1495000</v>
      </c>
      <c r="H107" s="45" t="s">
        <v>56</v>
      </c>
    </row>
    <row r="108" spans="1:8" ht="30" customHeight="1">
      <c r="A108" s="42" t="s">
        <v>312</v>
      </c>
      <c r="B108" s="18" t="s">
        <v>60</v>
      </c>
      <c r="C108" s="18" t="s">
        <v>53</v>
      </c>
      <c r="D108" s="43">
        <v>42424</v>
      </c>
      <c r="E108" s="44">
        <v>475000</v>
      </c>
      <c r="H108" s="45" t="s">
        <v>56</v>
      </c>
    </row>
    <row r="109" spans="1:8" ht="30" customHeight="1">
      <c r="A109" s="42" t="s">
        <v>182</v>
      </c>
      <c r="B109" s="18" t="s">
        <v>60</v>
      </c>
      <c r="C109" s="18" t="s">
        <v>321</v>
      </c>
      <c r="D109" s="43">
        <v>42424</v>
      </c>
      <c r="E109" s="44">
        <v>2026564.5652794288</v>
      </c>
      <c r="H109" s="45" t="s">
        <v>118</v>
      </c>
    </row>
    <row r="110" spans="1:8" ht="30" hidden="1" customHeight="1">
      <c r="A110" s="42" t="s">
        <v>163</v>
      </c>
      <c r="B110" s="18" t="s">
        <v>85</v>
      </c>
      <c r="C110" s="18" t="s">
        <v>321</v>
      </c>
      <c r="D110" s="43">
        <v>42424</v>
      </c>
      <c r="E110" s="44">
        <v>114629.7</v>
      </c>
      <c r="H110" s="45" t="s">
        <v>118</v>
      </c>
    </row>
    <row r="111" spans="1:8" ht="30" hidden="1" customHeight="1">
      <c r="A111" s="42" t="s">
        <v>169</v>
      </c>
      <c r="B111" s="18" t="s">
        <v>82</v>
      </c>
      <c r="C111" s="18" t="s">
        <v>321</v>
      </c>
      <c r="D111" s="43">
        <v>42424</v>
      </c>
      <c r="E111" s="44">
        <v>51889.83</v>
      </c>
      <c r="H111" s="45" t="s">
        <v>118</v>
      </c>
    </row>
    <row r="112" spans="1:8" ht="30" customHeight="1">
      <c r="A112" s="42" t="s">
        <v>276</v>
      </c>
      <c r="B112" s="18" t="s">
        <v>60</v>
      </c>
      <c r="C112" s="18" t="s">
        <v>180</v>
      </c>
      <c r="D112" s="43">
        <v>42429</v>
      </c>
      <c r="E112" s="44">
        <v>1160000</v>
      </c>
      <c r="H112" s="45" t="s">
        <v>56</v>
      </c>
    </row>
    <row r="113" spans="1:10" ht="30" hidden="1" customHeight="1">
      <c r="A113" s="42" t="s">
        <v>229</v>
      </c>
      <c r="B113" s="18" t="s">
        <v>230</v>
      </c>
      <c r="C113" s="18" t="s">
        <v>234</v>
      </c>
      <c r="D113" s="43">
        <v>42426</v>
      </c>
      <c r="E113" s="44">
        <v>615181.22</v>
      </c>
      <c r="H113" s="45" t="s">
        <v>119</v>
      </c>
    </row>
    <row r="114" spans="1:10" ht="30" hidden="1" customHeight="1">
      <c r="A114" s="42" t="s">
        <v>232</v>
      </c>
      <c r="B114" s="18" t="s">
        <v>230</v>
      </c>
      <c r="C114" s="18" t="s">
        <v>321</v>
      </c>
      <c r="D114" s="43">
        <v>42391</v>
      </c>
      <c r="E114" s="44">
        <v>3222519.3</v>
      </c>
      <c r="H114" s="45" t="s">
        <v>118</v>
      </c>
    </row>
    <row r="115" spans="1:10" ht="30" hidden="1" customHeight="1">
      <c r="A115" s="42" t="s">
        <v>288</v>
      </c>
      <c r="B115" s="18" t="s">
        <v>93</v>
      </c>
      <c r="C115" s="18" t="s">
        <v>233</v>
      </c>
      <c r="D115" s="43">
        <v>42423</v>
      </c>
      <c r="E115" s="44">
        <v>805973.48</v>
      </c>
      <c r="H115" s="45" t="s">
        <v>56</v>
      </c>
    </row>
    <row r="116" spans="1:10" ht="30" hidden="1" customHeight="1">
      <c r="A116" s="42" t="s">
        <v>289</v>
      </c>
      <c r="B116" s="18" t="s">
        <v>93</v>
      </c>
      <c r="C116" s="18" t="s">
        <v>234</v>
      </c>
      <c r="D116" s="43">
        <v>42426</v>
      </c>
      <c r="E116" s="44">
        <v>201485.36</v>
      </c>
      <c r="H116" s="45" t="s">
        <v>56</v>
      </c>
    </row>
    <row r="117" spans="1:10" ht="30" hidden="1" customHeight="1">
      <c r="A117" s="42" t="s">
        <v>228</v>
      </c>
      <c r="B117" s="18" t="s">
        <v>93</v>
      </c>
      <c r="C117" s="18" t="s">
        <v>321</v>
      </c>
      <c r="D117" s="43">
        <v>42391</v>
      </c>
      <c r="E117" s="44">
        <v>1675509.57</v>
      </c>
      <c r="H117" s="45" t="s">
        <v>118</v>
      </c>
    </row>
    <row r="118" spans="1:10" ht="30" hidden="1" customHeight="1">
      <c r="A118" s="42" t="s">
        <v>304</v>
      </c>
      <c r="B118" s="18" t="s">
        <v>93</v>
      </c>
      <c r="C118" s="18" t="s">
        <v>321</v>
      </c>
      <c r="D118" s="43">
        <v>42398</v>
      </c>
      <c r="E118" s="44">
        <v>5056480.38</v>
      </c>
      <c r="H118" s="45" t="s">
        <v>118</v>
      </c>
    </row>
    <row r="119" spans="1:10" ht="30" hidden="1" customHeight="1">
      <c r="A119" s="42" t="s">
        <v>228</v>
      </c>
      <c r="B119" s="18" t="s">
        <v>93</v>
      </c>
      <c r="C119" s="18" t="s">
        <v>321</v>
      </c>
      <c r="D119" s="43">
        <v>42425</v>
      </c>
      <c r="E119" s="44">
        <v>90557.62</v>
      </c>
      <c r="H119" s="45" t="s">
        <v>118</v>
      </c>
    </row>
    <row r="120" spans="1:10" ht="30" hidden="1" customHeight="1">
      <c r="A120" s="42" t="s">
        <v>232</v>
      </c>
      <c r="B120" s="18" t="s">
        <v>230</v>
      </c>
      <c r="C120" s="18" t="s">
        <v>321</v>
      </c>
      <c r="D120" s="43">
        <v>42425</v>
      </c>
      <c r="E120" s="44">
        <v>240556.1</v>
      </c>
      <c r="H120" s="45" t="s">
        <v>118</v>
      </c>
    </row>
    <row r="121" spans="1:10" ht="30" customHeight="1">
      <c r="A121" s="42" t="s">
        <v>183</v>
      </c>
      <c r="B121" s="18" t="s">
        <v>402</v>
      </c>
      <c r="C121" s="18" t="s">
        <v>53</v>
      </c>
      <c r="D121" s="43">
        <v>42430</v>
      </c>
      <c r="E121" s="44">
        <v>250855.77</v>
      </c>
      <c r="H121" s="45" t="s">
        <v>56</v>
      </c>
    </row>
    <row r="122" spans="1:10" ht="30" customHeight="1">
      <c r="A122" s="42" t="s">
        <v>186</v>
      </c>
      <c r="B122" s="18" t="s">
        <v>60</v>
      </c>
      <c r="C122" s="18" t="s">
        <v>212</v>
      </c>
      <c r="D122" s="43">
        <v>42430</v>
      </c>
      <c r="E122" s="44">
        <v>424519.28</v>
      </c>
      <c r="H122" s="45" t="s">
        <v>56</v>
      </c>
    </row>
    <row r="123" spans="1:10" ht="30" customHeight="1">
      <c r="A123" s="42" t="s">
        <v>361</v>
      </c>
      <c r="B123" s="18" t="s">
        <v>402</v>
      </c>
      <c r="C123" s="18" t="s">
        <v>90</v>
      </c>
      <c r="D123" s="43">
        <v>42430</v>
      </c>
      <c r="E123" s="44">
        <v>610000</v>
      </c>
      <c r="H123" s="45" t="s">
        <v>56</v>
      </c>
    </row>
    <row r="124" spans="1:10" ht="30" customHeight="1">
      <c r="A124" s="42" t="s">
        <v>361</v>
      </c>
      <c r="B124" s="18" t="s">
        <v>402</v>
      </c>
      <c r="C124" s="18" t="s">
        <v>90</v>
      </c>
      <c r="D124" s="43">
        <v>42431</v>
      </c>
      <c r="E124" s="44">
        <v>163000</v>
      </c>
      <c r="H124" s="45" t="s">
        <v>56</v>
      </c>
    </row>
    <row r="125" spans="1:10" ht="30" customHeight="1">
      <c r="A125" s="42" t="s">
        <v>276</v>
      </c>
      <c r="B125" s="18" t="s">
        <v>60</v>
      </c>
      <c r="C125" s="18" t="s">
        <v>180</v>
      </c>
      <c r="D125" s="43">
        <v>42431</v>
      </c>
      <c r="E125" s="44">
        <v>1000000</v>
      </c>
      <c r="H125" s="45" t="s">
        <v>56</v>
      </c>
    </row>
    <row r="126" spans="1:10" ht="30" hidden="1" customHeight="1">
      <c r="A126" s="42" t="s">
        <v>399</v>
      </c>
      <c r="B126" s="18" t="s">
        <v>159</v>
      </c>
      <c r="C126" s="18" t="s">
        <v>405</v>
      </c>
      <c r="D126" s="43">
        <v>42430</v>
      </c>
      <c r="H126" s="45" t="s">
        <v>119</v>
      </c>
      <c r="I126" s="143">
        <v>870</v>
      </c>
    </row>
    <row r="127" spans="1:10" ht="30" hidden="1" customHeight="1">
      <c r="A127" s="42" t="s">
        <v>399</v>
      </c>
      <c r="B127" s="18" t="s">
        <v>160</v>
      </c>
      <c r="C127" s="18" t="s">
        <v>405</v>
      </c>
      <c r="D127" s="43">
        <v>42430</v>
      </c>
      <c r="H127" s="45" t="s">
        <v>119</v>
      </c>
      <c r="J127" s="45">
        <v>4285</v>
      </c>
    </row>
    <row r="128" spans="1:10" ht="30" hidden="1" customHeight="1">
      <c r="A128" s="42" t="s">
        <v>399</v>
      </c>
      <c r="B128" s="18" t="s">
        <v>404</v>
      </c>
      <c r="C128" s="18" t="s">
        <v>406</v>
      </c>
      <c r="D128" s="43">
        <v>42430</v>
      </c>
      <c r="H128" s="45" t="s">
        <v>119</v>
      </c>
      <c r="J128" s="45">
        <v>1595.6</v>
      </c>
    </row>
    <row r="129" spans="1:8" ht="30" customHeight="1">
      <c r="A129" s="42" t="s">
        <v>425</v>
      </c>
      <c r="B129" s="18" t="s">
        <v>60</v>
      </c>
      <c r="C129" s="18" t="s">
        <v>90</v>
      </c>
      <c r="D129" s="43">
        <v>42432</v>
      </c>
      <c r="E129" s="44">
        <v>230000</v>
      </c>
      <c r="H129" s="45" t="s">
        <v>56</v>
      </c>
    </row>
    <row r="130" spans="1:8" ht="30" customHeight="1">
      <c r="A130" s="42" t="s">
        <v>276</v>
      </c>
      <c r="B130" s="18" t="s">
        <v>60</v>
      </c>
      <c r="C130" s="18" t="s">
        <v>180</v>
      </c>
      <c r="D130" s="43">
        <v>42432</v>
      </c>
      <c r="E130" s="44">
        <v>938000</v>
      </c>
      <c r="H130" s="45" t="s">
        <v>56</v>
      </c>
    </row>
    <row r="131" spans="1:8" ht="30" customHeight="1">
      <c r="A131" s="42" t="s">
        <v>276</v>
      </c>
      <c r="B131" s="18" t="s">
        <v>60</v>
      </c>
      <c r="C131" s="18" t="s">
        <v>180</v>
      </c>
      <c r="D131" s="43">
        <v>42433</v>
      </c>
      <c r="E131" s="44">
        <v>467000</v>
      </c>
      <c r="H131" s="45" t="s">
        <v>56</v>
      </c>
    </row>
    <row r="132" spans="1:8" ht="30" customHeight="1">
      <c r="A132" s="42" t="s">
        <v>425</v>
      </c>
      <c r="B132" s="18" t="s">
        <v>60</v>
      </c>
      <c r="C132" s="18" t="s">
        <v>90</v>
      </c>
      <c r="D132" s="43">
        <v>42436</v>
      </c>
      <c r="E132" s="44">
        <v>500000</v>
      </c>
      <c r="H132" s="45" t="s">
        <v>56</v>
      </c>
    </row>
    <row r="133" spans="1:8" ht="30" customHeight="1">
      <c r="A133" s="42" t="s">
        <v>399</v>
      </c>
      <c r="B133" s="18" t="s">
        <v>240</v>
      </c>
      <c r="C133" s="18" t="s">
        <v>474</v>
      </c>
      <c r="D133" s="43">
        <v>42437</v>
      </c>
      <c r="E133" s="44">
        <v>83958.88</v>
      </c>
      <c r="H133" s="45" t="s">
        <v>475</v>
      </c>
    </row>
    <row r="134" spans="1:8" ht="30" customHeight="1">
      <c r="A134" s="42" t="s">
        <v>276</v>
      </c>
      <c r="B134" s="18" t="s">
        <v>60</v>
      </c>
      <c r="C134" s="18" t="s">
        <v>180</v>
      </c>
      <c r="D134" s="43">
        <v>42437</v>
      </c>
      <c r="E134" s="44">
        <v>467000</v>
      </c>
      <c r="H134" s="45" t="s">
        <v>56</v>
      </c>
    </row>
    <row r="135" spans="1:8" ht="30" customHeight="1">
      <c r="A135" s="42" t="s">
        <v>476</v>
      </c>
      <c r="B135" s="18" t="s">
        <v>60</v>
      </c>
      <c r="C135" s="18" t="s">
        <v>180</v>
      </c>
      <c r="D135" s="43">
        <v>42437</v>
      </c>
      <c r="E135" s="44">
        <v>428000</v>
      </c>
      <c r="H135" s="45" t="s">
        <v>56</v>
      </c>
    </row>
    <row r="136" spans="1:8" ht="30" customHeight="1">
      <c r="A136" s="42" t="s">
        <v>476</v>
      </c>
      <c r="B136" s="18" t="s">
        <v>60</v>
      </c>
      <c r="C136" s="18" t="s">
        <v>180</v>
      </c>
      <c r="D136" s="43">
        <v>42440</v>
      </c>
      <c r="E136" s="44">
        <v>428000</v>
      </c>
      <c r="H136" s="45" t="s">
        <v>56</v>
      </c>
    </row>
    <row r="137" spans="1:8" ht="30" customHeight="1">
      <c r="A137" s="42" t="s">
        <v>425</v>
      </c>
      <c r="B137" s="18" t="s">
        <v>60</v>
      </c>
      <c r="C137" s="18" t="s">
        <v>90</v>
      </c>
      <c r="D137" s="43">
        <v>42440</v>
      </c>
      <c r="E137" s="44">
        <v>418000</v>
      </c>
      <c r="H137" s="45" t="s">
        <v>56</v>
      </c>
    </row>
    <row r="138" spans="1:8" ht="30" customHeight="1">
      <c r="A138" s="42" t="s">
        <v>476</v>
      </c>
      <c r="B138" s="18" t="s">
        <v>60</v>
      </c>
      <c r="C138" s="18" t="s">
        <v>180</v>
      </c>
      <c r="D138" s="43">
        <v>42443</v>
      </c>
      <c r="E138" s="44">
        <v>500000</v>
      </c>
      <c r="H138" s="45" t="s">
        <v>56</v>
      </c>
    </row>
    <row r="139" spans="1:8" ht="30" customHeight="1">
      <c r="A139" s="42" t="s">
        <v>425</v>
      </c>
      <c r="B139" s="18" t="s">
        <v>60</v>
      </c>
      <c r="C139" s="18" t="s">
        <v>90</v>
      </c>
      <c r="D139" s="43">
        <v>42443</v>
      </c>
      <c r="E139" s="44">
        <v>500000</v>
      </c>
      <c r="H139" s="45" t="s">
        <v>56</v>
      </c>
    </row>
    <row r="140" spans="1:8" ht="30" customHeight="1">
      <c r="A140" s="42" t="s">
        <v>477</v>
      </c>
      <c r="B140" s="18" t="s">
        <v>60</v>
      </c>
      <c r="C140" s="18" t="s">
        <v>212</v>
      </c>
      <c r="D140" s="43">
        <v>42443</v>
      </c>
      <c r="E140" s="44">
        <v>485000</v>
      </c>
      <c r="H140" s="45" t="s">
        <v>56</v>
      </c>
    </row>
    <row r="141" spans="1:8" ht="30" customHeight="1">
      <c r="A141" s="42" t="s">
        <v>312</v>
      </c>
      <c r="B141" s="18" t="s">
        <v>60</v>
      </c>
      <c r="C141" s="18" t="s">
        <v>53</v>
      </c>
      <c r="D141" s="43">
        <v>42444</v>
      </c>
      <c r="E141" s="44">
        <v>358598.82</v>
      </c>
      <c r="H141" s="45" t="s">
        <v>56</v>
      </c>
    </row>
    <row r="142" spans="1:8" ht="30" customHeight="1">
      <c r="A142" s="42" t="s">
        <v>478</v>
      </c>
      <c r="B142" s="18" t="s">
        <v>60</v>
      </c>
      <c r="C142" s="18" t="s">
        <v>53</v>
      </c>
      <c r="D142" s="43">
        <v>42444</v>
      </c>
      <c r="E142" s="44">
        <v>81401.179999999993</v>
      </c>
      <c r="H142" s="45" t="s">
        <v>56</v>
      </c>
    </row>
    <row r="143" spans="1:8" ht="30" customHeight="1">
      <c r="A143" s="42" t="s">
        <v>478</v>
      </c>
      <c r="B143" s="18" t="s">
        <v>60</v>
      </c>
      <c r="C143" s="18" t="s">
        <v>53</v>
      </c>
      <c r="D143" s="43">
        <v>42444</v>
      </c>
      <c r="E143" s="44">
        <v>170000</v>
      </c>
      <c r="H143" s="45" t="s">
        <v>56</v>
      </c>
    </row>
    <row r="144" spans="1:8" ht="30" customHeight="1">
      <c r="A144" s="42" t="s">
        <v>425</v>
      </c>
      <c r="B144" s="18" t="s">
        <v>60</v>
      </c>
      <c r="C144" s="18" t="s">
        <v>90</v>
      </c>
      <c r="D144" s="43">
        <v>42445</v>
      </c>
      <c r="E144" s="44">
        <v>200000</v>
      </c>
      <c r="H144" s="45" t="s">
        <v>56</v>
      </c>
    </row>
    <row r="145" spans="1:8" ht="30" customHeight="1">
      <c r="A145" s="42" t="s">
        <v>476</v>
      </c>
      <c r="B145" s="18" t="s">
        <v>60</v>
      </c>
      <c r="C145" s="18" t="s">
        <v>180</v>
      </c>
      <c r="D145" s="43">
        <v>42445</v>
      </c>
      <c r="E145" s="44">
        <v>600000</v>
      </c>
      <c r="H145" s="45" t="s">
        <v>56</v>
      </c>
    </row>
    <row r="146" spans="1:8" ht="30" customHeight="1">
      <c r="A146" s="42" t="s">
        <v>476</v>
      </c>
      <c r="B146" s="18" t="s">
        <v>60</v>
      </c>
      <c r="C146" s="18" t="s">
        <v>180</v>
      </c>
      <c r="D146" s="43">
        <v>42445</v>
      </c>
      <c r="E146" s="44">
        <v>1000000</v>
      </c>
      <c r="H146" s="45" t="s">
        <v>56</v>
      </c>
    </row>
    <row r="147" spans="1:8" ht="30" customHeight="1">
      <c r="A147" s="42" t="s">
        <v>425</v>
      </c>
      <c r="B147" s="18" t="s">
        <v>60</v>
      </c>
      <c r="C147" s="18" t="s">
        <v>90</v>
      </c>
      <c r="D147" s="43">
        <v>42447</v>
      </c>
      <c r="E147" s="44">
        <v>707000</v>
      </c>
      <c r="H147" s="45" t="s">
        <v>56</v>
      </c>
    </row>
    <row r="148" spans="1:8" ht="30" customHeight="1">
      <c r="A148" s="42" t="s">
        <v>425</v>
      </c>
      <c r="B148" s="18" t="s">
        <v>60</v>
      </c>
      <c r="C148" s="18" t="s">
        <v>90</v>
      </c>
      <c r="D148" s="43">
        <v>42450</v>
      </c>
      <c r="E148" s="44">
        <v>194000</v>
      </c>
      <c r="H148" s="45" t="s">
        <v>56</v>
      </c>
    </row>
    <row r="149" spans="1:8" ht="30" customHeight="1">
      <c r="A149" s="42" t="s">
        <v>442</v>
      </c>
      <c r="B149" s="18" t="s">
        <v>60</v>
      </c>
      <c r="C149" s="18" t="s">
        <v>180</v>
      </c>
      <c r="D149" s="43">
        <v>42450</v>
      </c>
      <c r="E149" s="44">
        <v>526000</v>
      </c>
      <c r="H149" s="45" t="s">
        <v>56</v>
      </c>
    </row>
    <row r="150" spans="1:8" ht="30" customHeight="1">
      <c r="A150" s="42" t="s">
        <v>444</v>
      </c>
      <c r="B150" s="18" t="s">
        <v>60</v>
      </c>
      <c r="C150" s="18" t="s">
        <v>491</v>
      </c>
      <c r="D150" s="43">
        <v>42451</v>
      </c>
      <c r="E150" s="44">
        <v>700000</v>
      </c>
      <c r="H150" s="45" t="s">
        <v>492</v>
      </c>
    </row>
    <row r="151" spans="1:8" ht="30" customHeight="1">
      <c r="A151" s="42" t="s">
        <v>465</v>
      </c>
      <c r="B151" s="18" t="s">
        <v>60</v>
      </c>
      <c r="C151" s="18" t="s">
        <v>491</v>
      </c>
      <c r="D151" s="43">
        <v>42451</v>
      </c>
      <c r="E151" s="44">
        <v>255000</v>
      </c>
      <c r="H151" s="45" t="s">
        <v>492</v>
      </c>
    </row>
    <row r="152" spans="1:8" ht="30" customHeight="1">
      <c r="A152" s="42" t="s">
        <v>444</v>
      </c>
      <c r="B152" s="18" t="s">
        <v>60</v>
      </c>
      <c r="C152" s="18" t="s">
        <v>491</v>
      </c>
      <c r="D152" s="43">
        <v>42453</v>
      </c>
      <c r="E152" s="44">
        <v>245000</v>
      </c>
      <c r="H152" s="45" t="s">
        <v>492</v>
      </c>
    </row>
    <row r="153" spans="1:8" ht="30" customHeight="1">
      <c r="A153" s="42" t="s">
        <v>499</v>
      </c>
      <c r="B153" s="18" t="s">
        <v>60</v>
      </c>
      <c r="C153" s="18" t="s">
        <v>212</v>
      </c>
      <c r="D153" s="43">
        <v>42453</v>
      </c>
      <c r="E153" s="44">
        <v>694000</v>
      </c>
      <c r="H153" s="45" t="s">
        <v>56</v>
      </c>
    </row>
    <row r="154" spans="1:8" ht="30" customHeight="1">
      <c r="A154" s="42" t="s">
        <v>316</v>
      </c>
      <c r="B154" s="18" t="s">
        <v>60</v>
      </c>
      <c r="C154" s="18" t="s">
        <v>212</v>
      </c>
      <c r="D154" s="43">
        <v>42453</v>
      </c>
      <c r="E154" s="44">
        <v>251348.05000000005</v>
      </c>
      <c r="H154" s="45" t="s">
        <v>56</v>
      </c>
    </row>
    <row r="155" spans="1:8" ht="30" customHeight="1">
      <c r="A155" s="42" t="s">
        <v>500</v>
      </c>
      <c r="B155" s="18" t="s">
        <v>60</v>
      </c>
      <c r="C155" s="18" t="s">
        <v>180</v>
      </c>
      <c r="D155" s="43">
        <v>42453</v>
      </c>
      <c r="E155" s="44">
        <v>1100000</v>
      </c>
      <c r="H155" s="45" t="s">
        <v>56</v>
      </c>
    </row>
    <row r="156" spans="1:8" ht="30" customHeight="1">
      <c r="A156" s="42" t="s">
        <v>501</v>
      </c>
      <c r="B156" s="18" t="s">
        <v>60</v>
      </c>
      <c r="C156" s="18" t="s">
        <v>90</v>
      </c>
      <c r="D156" s="43">
        <v>42453</v>
      </c>
      <c r="E156" s="44">
        <v>270000</v>
      </c>
      <c r="H156" s="45" t="s">
        <v>56</v>
      </c>
    </row>
    <row r="157" spans="1:8" ht="30" customHeight="1">
      <c r="A157" s="42" t="s">
        <v>504</v>
      </c>
      <c r="B157" s="18" t="s">
        <v>505</v>
      </c>
      <c r="C157" s="18" t="s">
        <v>506</v>
      </c>
      <c r="D157" s="43">
        <v>42453</v>
      </c>
      <c r="E157" s="44">
        <v>158798.96</v>
      </c>
      <c r="H157" s="45" t="s">
        <v>507</v>
      </c>
    </row>
    <row r="158" spans="1:8" ht="30" customHeight="1">
      <c r="A158" s="42" t="s">
        <v>508</v>
      </c>
      <c r="B158" s="18" t="s">
        <v>509</v>
      </c>
      <c r="C158" s="18" t="s">
        <v>510</v>
      </c>
      <c r="D158" s="43">
        <v>42454</v>
      </c>
      <c r="E158" s="44">
        <v>586000</v>
      </c>
      <c r="H158" s="45" t="s">
        <v>507</v>
      </c>
    </row>
    <row r="159" spans="1:8" ht="30" customHeight="1">
      <c r="A159" s="42" t="s">
        <v>511</v>
      </c>
      <c r="B159" s="18" t="s">
        <v>509</v>
      </c>
      <c r="C159" s="18" t="s">
        <v>512</v>
      </c>
      <c r="D159" s="43">
        <v>42454</v>
      </c>
      <c r="E159" s="44">
        <v>1000000</v>
      </c>
      <c r="H159" s="45" t="s">
        <v>507</v>
      </c>
    </row>
    <row r="160" spans="1:8" ht="30" customHeight="1">
      <c r="A160" s="42" t="s">
        <v>455</v>
      </c>
      <c r="B160" s="18" t="s">
        <v>60</v>
      </c>
      <c r="C160" s="18" t="s">
        <v>53</v>
      </c>
      <c r="D160" s="43">
        <v>42458</v>
      </c>
      <c r="E160" s="44">
        <v>580000</v>
      </c>
      <c r="H160" s="45" t="s">
        <v>56</v>
      </c>
    </row>
    <row r="161" spans="1:8" ht="30" customHeight="1">
      <c r="A161" s="42" t="s">
        <v>522</v>
      </c>
      <c r="B161" s="18" t="s">
        <v>466</v>
      </c>
      <c r="C161" s="18" t="s">
        <v>180</v>
      </c>
      <c r="D161" s="43">
        <v>42458</v>
      </c>
      <c r="E161" s="44">
        <v>360000</v>
      </c>
      <c r="H161" s="45" t="s">
        <v>178</v>
      </c>
    </row>
    <row r="162" spans="1:8" ht="30" customHeight="1">
      <c r="A162" s="42" t="s">
        <v>403</v>
      </c>
      <c r="B162" s="18" t="s">
        <v>466</v>
      </c>
      <c r="C162" s="18" t="s">
        <v>523</v>
      </c>
      <c r="D162" s="43">
        <v>42458</v>
      </c>
      <c r="E162" s="44">
        <v>188000</v>
      </c>
      <c r="H162" s="45" t="s">
        <v>178</v>
      </c>
    </row>
    <row r="163" spans="1:8" ht="30" customHeight="1">
      <c r="A163" s="42" t="s">
        <v>563</v>
      </c>
      <c r="B163" s="18" t="s">
        <v>268</v>
      </c>
      <c r="C163" s="18" t="s">
        <v>524</v>
      </c>
      <c r="D163" s="43">
        <v>42443</v>
      </c>
      <c r="E163" s="44">
        <v>3046.93</v>
      </c>
      <c r="H163" s="45" t="s">
        <v>475</v>
      </c>
    </row>
    <row r="164" spans="1:8" ht="30" hidden="1" customHeight="1">
      <c r="A164" s="42" t="s">
        <v>567</v>
      </c>
      <c r="B164" s="18" t="s">
        <v>568</v>
      </c>
      <c r="C164" s="18" t="s">
        <v>569</v>
      </c>
      <c r="D164" s="43">
        <v>42452</v>
      </c>
      <c r="E164" s="44">
        <v>460000</v>
      </c>
      <c r="H164" s="45" t="s">
        <v>56</v>
      </c>
    </row>
    <row r="165" spans="1:8" ht="30" hidden="1" customHeight="1">
      <c r="A165" s="42" t="s">
        <v>570</v>
      </c>
      <c r="B165" s="18" t="s">
        <v>568</v>
      </c>
      <c r="C165" s="18" t="s">
        <v>233</v>
      </c>
      <c r="D165" s="43">
        <v>42452</v>
      </c>
      <c r="E165" s="44">
        <v>740000</v>
      </c>
      <c r="H165" s="45" t="s">
        <v>56</v>
      </c>
    </row>
    <row r="166" spans="1:8" ht="30" hidden="1" customHeight="1">
      <c r="A166" s="42" t="s">
        <v>575</v>
      </c>
      <c r="B166" s="18" t="s">
        <v>576</v>
      </c>
      <c r="C166" s="18" t="s">
        <v>234</v>
      </c>
      <c r="D166" s="43">
        <v>42458</v>
      </c>
      <c r="E166" s="44">
        <v>760000</v>
      </c>
      <c r="H166" s="45" t="s">
        <v>119</v>
      </c>
    </row>
    <row r="167" spans="1:8" ht="30" hidden="1" customHeight="1">
      <c r="A167" s="42" t="s">
        <v>579</v>
      </c>
      <c r="B167" s="18" t="s">
        <v>568</v>
      </c>
      <c r="C167" s="18" t="s">
        <v>569</v>
      </c>
      <c r="D167" s="43">
        <v>42443</v>
      </c>
      <c r="E167" s="44">
        <v>84547.64</v>
      </c>
      <c r="H167" s="45" t="s">
        <v>56</v>
      </c>
    </row>
    <row r="168" spans="1:8" ht="30" customHeight="1">
      <c r="A168" s="42" t="s">
        <v>501</v>
      </c>
      <c r="B168" s="18" t="s">
        <v>60</v>
      </c>
      <c r="C168" s="18" t="s">
        <v>90</v>
      </c>
      <c r="D168" s="43">
        <v>42468</v>
      </c>
      <c r="E168" s="44">
        <v>106000</v>
      </c>
      <c r="H168" s="45" t="s">
        <v>56</v>
      </c>
    </row>
    <row r="169" spans="1:8" ht="30" customHeight="1">
      <c r="A169" s="42" t="s">
        <v>602</v>
      </c>
      <c r="B169" s="18" t="s">
        <v>603</v>
      </c>
      <c r="C169" s="18" t="s">
        <v>168</v>
      </c>
      <c r="D169" s="43">
        <v>42467</v>
      </c>
      <c r="E169" s="44">
        <v>7153330.2999999998</v>
      </c>
      <c r="H169" s="45" t="s">
        <v>118</v>
      </c>
    </row>
    <row r="170" spans="1:8" ht="30" customHeight="1">
      <c r="A170" s="42" t="s">
        <v>580</v>
      </c>
      <c r="B170" s="18" t="s">
        <v>603</v>
      </c>
      <c r="C170" s="18" t="s">
        <v>479</v>
      </c>
      <c r="D170" s="43">
        <v>42471</v>
      </c>
      <c r="E170" s="44">
        <v>255000</v>
      </c>
      <c r="H170" s="45" t="s">
        <v>56</v>
      </c>
    </row>
    <row r="171" spans="1:8" ht="30" customHeight="1">
      <c r="A171" s="42" t="s">
        <v>610</v>
      </c>
      <c r="B171" s="18" t="s">
        <v>240</v>
      </c>
      <c r="C171" s="18" t="s">
        <v>210</v>
      </c>
      <c r="D171" s="43">
        <v>42472</v>
      </c>
      <c r="E171" s="44">
        <v>121476</v>
      </c>
      <c r="H171" s="45" t="s">
        <v>56</v>
      </c>
    </row>
    <row r="172" spans="1:8" ht="30" customHeight="1">
      <c r="A172" s="42" t="s">
        <v>622</v>
      </c>
      <c r="B172" s="18" t="s">
        <v>603</v>
      </c>
      <c r="C172" s="18" t="s">
        <v>212</v>
      </c>
      <c r="D172" s="43">
        <v>42473</v>
      </c>
      <c r="E172" s="44">
        <v>1000000</v>
      </c>
      <c r="H172" s="45" t="s">
        <v>56</v>
      </c>
    </row>
    <row r="173" spans="1:8" ht="30" customHeight="1">
      <c r="A173" s="42" t="s">
        <v>623</v>
      </c>
      <c r="B173" s="18" t="s">
        <v>603</v>
      </c>
      <c r="C173" s="18" t="s">
        <v>90</v>
      </c>
      <c r="D173" s="43">
        <v>42473</v>
      </c>
      <c r="E173" s="44">
        <v>440000</v>
      </c>
      <c r="H173" s="45" t="s">
        <v>56</v>
      </c>
    </row>
    <row r="174" spans="1:8" ht="30" customHeight="1">
      <c r="A174" s="42" t="s">
        <v>620</v>
      </c>
      <c r="B174" s="18" t="s">
        <v>603</v>
      </c>
      <c r="C174" s="18" t="s">
        <v>624</v>
      </c>
      <c r="D174" s="43">
        <v>42473</v>
      </c>
      <c r="E174" s="44">
        <v>114000</v>
      </c>
      <c r="H174" s="45" t="s">
        <v>118</v>
      </c>
    </row>
    <row r="175" spans="1:8" ht="30" customHeight="1">
      <c r="A175" s="42" t="s">
        <v>297</v>
      </c>
      <c r="B175" s="18" t="s">
        <v>603</v>
      </c>
      <c r="C175" s="18" t="s">
        <v>180</v>
      </c>
      <c r="D175" s="43">
        <v>42474</v>
      </c>
      <c r="E175" s="44">
        <v>1793021.95</v>
      </c>
      <c r="H175" s="45" t="s">
        <v>56</v>
      </c>
    </row>
    <row r="176" spans="1:8" ht="30" customHeight="1">
      <c r="A176" s="42" t="s">
        <v>344</v>
      </c>
      <c r="B176" s="18" t="s">
        <v>603</v>
      </c>
      <c r="C176" s="18" t="s">
        <v>180</v>
      </c>
      <c r="D176" s="43">
        <v>42474</v>
      </c>
      <c r="E176" s="44">
        <v>-528.91</v>
      </c>
      <c r="H176" s="45" t="s">
        <v>56</v>
      </c>
    </row>
    <row r="177" spans="1:8" ht="30" customHeight="1">
      <c r="A177" s="42" t="s">
        <v>620</v>
      </c>
      <c r="B177" s="18" t="s">
        <v>603</v>
      </c>
      <c r="C177" s="18" t="s">
        <v>624</v>
      </c>
      <c r="D177" s="43">
        <v>42475</v>
      </c>
      <c r="E177" s="44">
        <v>-131.1</v>
      </c>
      <c r="H177" s="45" t="s">
        <v>119</v>
      </c>
    </row>
    <row r="178" spans="1:8" ht="30" customHeight="1">
      <c r="A178" s="42" t="s">
        <v>542</v>
      </c>
      <c r="B178" s="18" t="s">
        <v>603</v>
      </c>
      <c r="C178" s="18" t="s">
        <v>180</v>
      </c>
      <c r="D178" s="43">
        <v>42475</v>
      </c>
      <c r="E178" s="44">
        <v>1399000</v>
      </c>
      <c r="H178" s="45" t="s">
        <v>56</v>
      </c>
    </row>
    <row r="179" spans="1:8" ht="30" customHeight="1">
      <c r="A179" s="42" t="s">
        <v>631</v>
      </c>
      <c r="B179" s="18" t="s">
        <v>603</v>
      </c>
      <c r="C179" s="18" t="s">
        <v>212</v>
      </c>
      <c r="D179" s="43">
        <v>42475</v>
      </c>
      <c r="E179" s="44">
        <v>233331.79</v>
      </c>
      <c r="H179" s="45" t="s">
        <v>56</v>
      </c>
    </row>
    <row r="180" spans="1:8" ht="30" customHeight="1">
      <c r="A180" s="42" t="s">
        <v>399</v>
      </c>
      <c r="B180" s="18" t="s">
        <v>240</v>
      </c>
      <c r="C180" s="18" t="s">
        <v>474</v>
      </c>
      <c r="D180" s="43">
        <v>42468</v>
      </c>
      <c r="E180" s="44">
        <v>4410.93</v>
      </c>
      <c r="H180" s="45" t="s">
        <v>475</v>
      </c>
    </row>
    <row r="181" spans="1:8" ht="30" customHeight="1">
      <c r="A181" s="42" t="s">
        <v>318</v>
      </c>
      <c r="B181" s="18" t="s">
        <v>641</v>
      </c>
      <c r="C181" s="18" t="s">
        <v>321</v>
      </c>
      <c r="D181" s="43">
        <v>42478</v>
      </c>
      <c r="E181" s="44">
        <v>-998621.84999999963</v>
      </c>
      <c r="F181" s="45" t="s">
        <v>640</v>
      </c>
      <c r="G181" s="149">
        <v>42539</v>
      </c>
      <c r="H181" s="45" t="s">
        <v>118</v>
      </c>
    </row>
    <row r="182" spans="1:8" ht="30" customHeight="1">
      <c r="A182" s="42" t="s">
        <v>642</v>
      </c>
      <c r="B182" s="18" t="s">
        <v>641</v>
      </c>
      <c r="C182" s="18" t="s">
        <v>321</v>
      </c>
      <c r="D182" s="43">
        <v>42478</v>
      </c>
      <c r="E182" s="44">
        <v>647001.1041022595</v>
      </c>
      <c r="F182" s="45" t="s">
        <v>640</v>
      </c>
      <c r="G182" s="149">
        <v>42539</v>
      </c>
      <c r="H182" s="45" t="s">
        <v>118</v>
      </c>
    </row>
    <row r="183" spans="1:8" ht="30" customHeight="1">
      <c r="A183" s="42" t="s">
        <v>280</v>
      </c>
      <c r="B183" s="18" t="s">
        <v>641</v>
      </c>
      <c r="C183" s="18" t="s">
        <v>321</v>
      </c>
      <c r="D183" s="43">
        <v>42478</v>
      </c>
      <c r="E183" s="44">
        <v>908180.4658263959</v>
      </c>
      <c r="F183" s="45" t="s">
        <v>640</v>
      </c>
      <c r="G183" s="149">
        <v>42539</v>
      </c>
      <c r="H183" s="45" t="s">
        <v>118</v>
      </c>
    </row>
    <row r="184" spans="1:8" ht="30" hidden="1" customHeight="1">
      <c r="A184" s="42" t="s">
        <v>643</v>
      </c>
      <c r="B184" s="18" t="s">
        <v>644</v>
      </c>
      <c r="C184" s="18" t="s">
        <v>321</v>
      </c>
      <c r="D184" s="43">
        <v>42478</v>
      </c>
      <c r="E184" s="44">
        <v>37029.409999999974</v>
      </c>
      <c r="F184" s="45" t="s">
        <v>640</v>
      </c>
      <c r="G184" s="149">
        <v>42539</v>
      </c>
      <c r="H184" s="45" t="s">
        <v>118</v>
      </c>
    </row>
    <row r="185" spans="1:8" ht="30" hidden="1" customHeight="1">
      <c r="A185" s="42" t="s">
        <v>645</v>
      </c>
      <c r="B185" s="18" t="s">
        <v>646</v>
      </c>
      <c r="C185" s="18" t="s">
        <v>321</v>
      </c>
      <c r="D185" s="43">
        <v>42478</v>
      </c>
      <c r="E185" s="44">
        <v>90244.199999999953</v>
      </c>
      <c r="F185" s="45" t="s">
        <v>640</v>
      </c>
      <c r="G185" s="149">
        <v>42539</v>
      </c>
      <c r="H185" s="45" t="s">
        <v>118</v>
      </c>
    </row>
    <row r="186" spans="1:8" ht="30" hidden="1" customHeight="1">
      <c r="A186" s="42" t="s">
        <v>285</v>
      </c>
      <c r="B186" s="18" t="s">
        <v>218</v>
      </c>
      <c r="C186" s="18" t="s">
        <v>321</v>
      </c>
      <c r="D186" s="43">
        <v>42478</v>
      </c>
      <c r="E186" s="44">
        <v>392779.97134462837</v>
      </c>
      <c r="F186" s="45" t="s">
        <v>640</v>
      </c>
      <c r="G186" s="149">
        <v>42539</v>
      </c>
      <c r="H186" s="45" t="s">
        <v>118</v>
      </c>
    </row>
    <row r="187" spans="1:8" ht="30" customHeight="1">
      <c r="A187" s="42" t="s">
        <v>482</v>
      </c>
      <c r="B187" s="18" t="s">
        <v>603</v>
      </c>
      <c r="C187" s="18" t="s">
        <v>53</v>
      </c>
      <c r="D187" s="43">
        <v>42480</v>
      </c>
      <c r="E187" s="44">
        <v>355776.55</v>
      </c>
      <c r="H187" s="45" t="s">
        <v>56</v>
      </c>
    </row>
    <row r="188" spans="1:8" ht="30" customHeight="1">
      <c r="A188" s="42" t="s">
        <v>618</v>
      </c>
      <c r="B188" s="18" t="s">
        <v>603</v>
      </c>
      <c r="C188" s="18" t="s">
        <v>212</v>
      </c>
      <c r="D188" s="43">
        <v>42482</v>
      </c>
      <c r="E188" s="44">
        <v>800000</v>
      </c>
      <c r="H188" s="45" t="s">
        <v>56</v>
      </c>
    </row>
    <row r="189" spans="1:8" ht="30" customHeight="1">
      <c r="A189" s="42" t="s">
        <v>709</v>
      </c>
      <c r="B189" s="18" t="s">
        <v>710</v>
      </c>
      <c r="C189" s="18" t="s">
        <v>711</v>
      </c>
      <c r="D189" s="43">
        <v>42482</v>
      </c>
      <c r="E189" s="44">
        <v>958000</v>
      </c>
      <c r="H189" s="45" t="s">
        <v>712</v>
      </c>
    </row>
    <row r="190" spans="1:8" ht="30" customHeight="1">
      <c r="A190" s="42" t="s">
        <v>713</v>
      </c>
      <c r="B190" s="18" t="s">
        <v>714</v>
      </c>
      <c r="C190" s="18" t="s">
        <v>715</v>
      </c>
      <c r="D190" s="43">
        <v>42486</v>
      </c>
      <c r="E190" s="44">
        <v>1376200</v>
      </c>
      <c r="H190" s="45" t="s">
        <v>712</v>
      </c>
    </row>
    <row r="191" spans="1:8" ht="30" hidden="1" customHeight="1">
      <c r="A191" s="42" t="s">
        <v>716</v>
      </c>
      <c r="B191" s="18" t="s">
        <v>717</v>
      </c>
      <c r="C191" s="18" t="s">
        <v>718</v>
      </c>
      <c r="D191" s="43">
        <v>42486</v>
      </c>
      <c r="E191" s="44">
        <v>378055.29</v>
      </c>
      <c r="H191" s="45" t="s">
        <v>118</v>
      </c>
    </row>
    <row r="192" spans="1:8" ht="30" hidden="1" customHeight="1">
      <c r="A192" s="42" t="s">
        <v>383</v>
      </c>
      <c r="B192" s="18" t="s">
        <v>719</v>
      </c>
      <c r="C192" s="18" t="s">
        <v>718</v>
      </c>
      <c r="D192" s="43">
        <v>42467</v>
      </c>
      <c r="E192" s="44">
        <v>541134.34</v>
      </c>
      <c r="H192" s="45" t="s">
        <v>118</v>
      </c>
    </row>
    <row r="193" spans="1:8" ht="30" customHeight="1">
      <c r="A193" s="42" t="s">
        <v>720</v>
      </c>
      <c r="B193" s="18" t="s">
        <v>721</v>
      </c>
      <c r="C193" s="18" t="s">
        <v>506</v>
      </c>
      <c r="D193" s="43">
        <v>42487</v>
      </c>
      <c r="E193" s="44">
        <v>610000</v>
      </c>
      <c r="H193" s="45" t="s">
        <v>56</v>
      </c>
    </row>
    <row r="194" spans="1:8" ht="30" customHeight="1">
      <c r="A194" s="42" t="s">
        <v>722</v>
      </c>
      <c r="B194" s="18" t="s">
        <v>721</v>
      </c>
      <c r="C194" s="18" t="s">
        <v>506</v>
      </c>
      <c r="D194" s="43">
        <v>42487</v>
      </c>
      <c r="E194" s="44">
        <v>358900</v>
      </c>
      <c r="H194" s="45" t="s">
        <v>56</v>
      </c>
    </row>
    <row r="195" spans="1:8" ht="30" customHeight="1">
      <c r="A195" s="42" t="s">
        <v>610</v>
      </c>
      <c r="B195" s="18" t="s">
        <v>194</v>
      </c>
      <c r="C195" s="18" t="s">
        <v>210</v>
      </c>
      <c r="D195" s="43">
        <v>42487</v>
      </c>
      <c r="E195" s="44">
        <v>485904</v>
      </c>
      <c r="H195" s="45" t="s">
        <v>56</v>
      </c>
    </row>
    <row r="196" spans="1:8" ht="30" customHeight="1">
      <c r="A196" s="42" t="s">
        <v>542</v>
      </c>
      <c r="B196" s="18" t="s">
        <v>603</v>
      </c>
      <c r="C196" s="18" t="s">
        <v>180</v>
      </c>
      <c r="D196" s="43">
        <v>42488</v>
      </c>
      <c r="E196" s="44">
        <v>500000</v>
      </c>
      <c r="H196" s="45" t="s">
        <v>56</v>
      </c>
    </row>
    <row r="197" spans="1:8" ht="30" hidden="1" customHeight="1">
      <c r="A197" s="42" t="s">
        <v>571</v>
      </c>
      <c r="B197" s="18" t="s">
        <v>218</v>
      </c>
      <c r="C197" s="18" t="s">
        <v>321</v>
      </c>
      <c r="D197" s="43">
        <v>42486</v>
      </c>
      <c r="E197" s="44">
        <v>611454.42000000004</v>
      </c>
      <c r="H197" s="45" t="s">
        <v>118</v>
      </c>
    </row>
    <row r="198" spans="1:8" ht="30" hidden="1" customHeight="1">
      <c r="A198" s="42" t="s">
        <v>652</v>
      </c>
      <c r="B198" s="18" t="s">
        <v>218</v>
      </c>
      <c r="C198" s="18" t="s">
        <v>321</v>
      </c>
      <c r="D198" s="43">
        <v>42486</v>
      </c>
      <c r="E198" s="44">
        <v>2082438.51</v>
      </c>
      <c r="H198" s="45" t="s">
        <v>118</v>
      </c>
    </row>
    <row r="199" spans="1:8" ht="30" hidden="1" customHeight="1">
      <c r="A199" s="42" t="s">
        <v>651</v>
      </c>
      <c r="B199" s="18" t="s">
        <v>219</v>
      </c>
      <c r="C199" s="18" t="s">
        <v>234</v>
      </c>
      <c r="D199" s="43">
        <v>42488</v>
      </c>
      <c r="E199" s="44">
        <v>6000000</v>
      </c>
      <c r="H199" s="45" t="s">
        <v>119</v>
      </c>
    </row>
    <row r="200" spans="1:8" ht="30" hidden="1" customHeight="1">
      <c r="A200" s="42" t="s">
        <v>384</v>
      </c>
      <c r="B200" s="18" t="s">
        <v>219</v>
      </c>
      <c r="C200" s="18" t="s">
        <v>234</v>
      </c>
      <c r="D200" s="43">
        <v>42488</v>
      </c>
      <c r="E200" s="44">
        <v>155854.21</v>
      </c>
      <c r="H200" s="45" t="s">
        <v>119</v>
      </c>
    </row>
    <row r="201" spans="1:8" ht="30" hidden="1" customHeight="1">
      <c r="A201" s="42" t="s">
        <v>567</v>
      </c>
      <c r="B201" s="18" t="s">
        <v>218</v>
      </c>
      <c r="C201" s="18" t="s">
        <v>286</v>
      </c>
      <c r="D201" s="43">
        <v>42478</v>
      </c>
      <c r="E201" s="44">
        <v>127799.61</v>
      </c>
      <c r="H201" s="45" t="s">
        <v>56</v>
      </c>
    </row>
    <row r="202" spans="1:8" ht="30" hidden="1" customHeight="1">
      <c r="A202" s="42" t="s">
        <v>570</v>
      </c>
      <c r="B202" s="18" t="s">
        <v>218</v>
      </c>
      <c r="C202" s="18" t="s">
        <v>233</v>
      </c>
      <c r="D202" s="43">
        <v>42488</v>
      </c>
      <c r="E202" s="44">
        <v>336068.95</v>
      </c>
      <c r="H202" s="45" t="s">
        <v>56</v>
      </c>
    </row>
    <row r="203" spans="1:8" ht="30" hidden="1" customHeight="1">
      <c r="A203" s="42" t="s">
        <v>570</v>
      </c>
      <c r="B203" s="18" t="s">
        <v>218</v>
      </c>
      <c r="C203" s="18" t="s">
        <v>233</v>
      </c>
      <c r="D203" s="43">
        <v>42466</v>
      </c>
      <c r="E203" s="44">
        <v>900000</v>
      </c>
      <c r="H203" s="45" t="s">
        <v>56</v>
      </c>
    </row>
    <row r="204" spans="1:8" ht="30" hidden="1" customHeight="1">
      <c r="A204" s="42" t="s">
        <v>570</v>
      </c>
      <c r="B204" s="18" t="s">
        <v>218</v>
      </c>
      <c r="C204" s="18" t="s">
        <v>233</v>
      </c>
      <c r="D204" s="43">
        <v>42473</v>
      </c>
      <c r="E204" s="44">
        <v>600000</v>
      </c>
      <c r="H204" s="45" t="s">
        <v>56</v>
      </c>
    </row>
    <row r="205" spans="1:8" ht="30" hidden="1" customHeight="1">
      <c r="A205" s="42" t="s">
        <v>570</v>
      </c>
      <c r="B205" s="18" t="s">
        <v>218</v>
      </c>
      <c r="C205" s="18" t="s">
        <v>233</v>
      </c>
      <c r="D205" s="43">
        <v>42480</v>
      </c>
      <c r="E205" s="44">
        <v>660000</v>
      </c>
      <c r="H205" s="45" t="s">
        <v>56</v>
      </c>
    </row>
    <row r="206" spans="1:8" ht="30" hidden="1" customHeight="1">
      <c r="A206" s="42" t="s">
        <v>732</v>
      </c>
      <c r="B206" s="18" t="s">
        <v>218</v>
      </c>
      <c r="C206" s="18" t="s">
        <v>233</v>
      </c>
      <c r="D206" s="43">
        <v>42480</v>
      </c>
      <c r="E206" s="44">
        <v>770000</v>
      </c>
      <c r="H206" s="45" t="s">
        <v>56</v>
      </c>
    </row>
    <row r="207" spans="1:8" ht="30" hidden="1" customHeight="1">
      <c r="A207" s="42" t="s">
        <v>735</v>
      </c>
      <c r="B207" s="18" t="s">
        <v>736</v>
      </c>
      <c r="C207" s="18" t="s">
        <v>737</v>
      </c>
      <c r="D207" s="43">
        <v>42481</v>
      </c>
      <c r="E207" s="44">
        <v>12000</v>
      </c>
      <c r="H207" s="45" t="s">
        <v>119</v>
      </c>
    </row>
    <row r="208" spans="1:8" ht="30" hidden="1" customHeight="1">
      <c r="A208" s="42" t="s">
        <v>735</v>
      </c>
      <c r="B208" s="18" t="s">
        <v>736</v>
      </c>
      <c r="C208" s="18" t="s">
        <v>737</v>
      </c>
      <c r="D208" s="43">
        <v>42486</v>
      </c>
      <c r="E208" s="44">
        <v>28000</v>
      </c>
      <c r="H208" s="45" t="s">
        <v>119</v>
      </c>
    </row>
    <row r="209" spans="1:10" ht="30" hidden="1" customHeight="1">
      <c r="A209" s="42" t="s">
        <v>611</v>
      </c>
      <c r="B209" s="18" t="s">
        <v>764</v>
      </c>
      <c r="C209" s="18" t="s">
        <v>763</v>
      </c>
      <c r="D209" s="43">
        <v>42493</v>
      </c>
      <c r="H209" s="45" t="s">
        <v>119</v>
      </c>
      <c r="J209" s="45">
        <v>4285</v>
      </c>
    </row>
    <row r="210" spans="1:10" ht="30" hidden="1" customHeight="1">
      <c r="A210" s="42" t="s">
        <v>611</v>
      </c>
      <c r="B210" s="18" t="s">
        <v>768</v>
      </c>
      <c r="C210" s="18" t="s">
        <v>763</v>
      </c>
      <c r="D210" s="43">
        <v>42493</v>
      </c>
      <c r="H210" s="45" t="s">
        <v>119</v>
      </c>
      <c r="I210" s="143">
        <v>870</v>
      </c>
    </row>
    <row r="211" spans="1:10" ht="30" hidden="1" customHeight="1">
      <c r="A211" s="42" t="s">
        <v>611</v>
      </c>
      <c r="B211" s="18" t="s">
        <v>766</v>
      </c>
      <c r="C211" s="18" t="s">
        <v>765</v>
      </c>
      <c r="D211" s="43">
        <v>42493</v>
      </c>
      <c r="H211" s="45" t="s">
        <v>119</v>
      </c>
      <c r="J211" s="45">
        <v>260.19</v>
      </c>
    </row>
    <row r="212" spans="1:10" ht="30" hidden="1" customHeight="1">
      <c r="A212" s="42" t="s">
        <v>767</v>
      </c>
      <c r="B212" s="18" t="s">
        <v>766</v>
      </c>
      <c r="C212" s="18" t="s">
        <v>765</v>
      </c>
      <c r="D212" s="43">
        <v>42493</v>
      </c>
      <c r="H212" s="45" t="s">
        <v>119</v>
      </c>
      <c r="J212" s="45">
        <v>607.07000000000005</v>
      </c>
    </row>
    <row r="213" spans="1:10" ht="30" customHeight="1">
      <c r="A213" s="42" t="s">
        <v>795</v>
      </c>
      <c r="B213" s="18" t="s">
        <v>796</v>
      </c>
      <c r="C213" s="18" t="s">
        <v>797</v>
      </c>
      <c r="D213" s="43">
        <v>42494</v>
      </c>
      <c r="E213" s="44">
        <v>500000</v>
      </c>
      <c r="H213" s="45" t="s">
        <v>798</v>
      </c>
    </row>
    <row r="214" spans="1:10" ht="30" customHeight="1">
      <c r="A214" s="42" t="s">
        <v>799</v>
      </c>
      <c r="B214" s="18" t="s">
        <v>796</v>
      </c>
      <c r="C214" s="18" t="s">
        <v>800</v>
      </c>
      <c r="D214" s="43">
        <v>42494</v>
      </c>
      <c r="E214" s="44">
        <v>500000</v>
      </c>
      <c r="H214" s="45" t="s">
        <v>798</v>
      </c>
    </row>
    <row r="215" spans="1:10" ht="30" customHeight="1">
      <c r="A215" s="42" t="s">
        <v>801</v>
      </c>
      <c r="B215" s="18" t="s">
        <v>796</v>
      </c>
      <c r="C215" s="18" t="s">
        <v>802</v>
      </c>
      <c r="D215" s="43">
        <v>42494</v>
      </c>
      <c r="E215" s="44">
        <v>1000000</v>
      </c>
      <c r="H215" s="45" t="s">
        <v>798</v>
      </c>
    </row>
    <row r="216" spans="1:10" ht="30" hidden="1" customHeight="1">
      <c r="A216" s="42" t="s">
        <v>815</v>
      </c>
      <c r="B216" s="18" t="s">
        <v>814</v>
      </c>
      <c r="C216" s="18" t="s">
        <v>813</v>
      </c>
      <c r="D216" s="43">
        <v>42499</v>
      </c>
      <c r="H216" s="45" t="s">
        <v>119</v>
      </c>
      <c r="I216" s="143">
        <v>2550</v>
      </c>
    </row>
    <row r="217" spans="1:10" ht="30" hidden="1" customHeight="1">
      <c r="A217" s="42" t="s">
        <v>825</v>
      </c>
      <c r="B217" s="18" t="s">
        <v>826</v>
      </c>
      <c r="C217" s="18" t="s">
        <v>827</v>
      </c>
      <c r="D217" s="43">
        <v>42499</v>
      </c>
      <c r="H217" s="45" t="s">
        <v>119</v>
      </c>
      <c r="J217" s="45">
        <v>13538</v>
      </c>
    </row>
    <row r="218" spans="1:10" ht="30" customHeight="1">
      <c r="A218" s="42" t="s">
        <v>828</v>
      </c>
      <c r="B218" s="18" t="s">
        <v>829</v>
      </c>
      <c r="C218" s="18" t="s">
        <v>830</v>
      </c>
      <c r="D218" s="43">
        <v>42494</v>
      </c>
      <c r="E218" s="44">
        <v>5000000</v>
      </c>
      <c r="F218" s="45" t="s">
        <v>823</v>
      </c>
      <c r="H218" s="45" t="s">
        <v>118</v>
      </c>
    </row>
    <row r="219" spans="1:10" ht="30" customHeight="1">
      <c r="A219" s="42" t="s">
        <v>831</v>
      </c>
      <c r="B219" s="18" t="s">
        <v>829</v>
      </c>
      <c r="C219" s="18" t="s">
        <v>832</v>
      </c>
      <c r="D219" s="43">
        <v>42499</v>
      </c>
      <c r="E219" s="44">
        <v>9921848.6699999999</v>
      </c>
      <c r="F219" s="45" t="s">
        <v>824</v>
      </c>
      <c r="H219" s="45" t="s">
        <v>118</v>
      </c>
    </row>
    <row r="220" spans="1:10" ht="30" customHeight="1">
      <c r="A220" s="42" t="s">
        <v>833</v>
      </c>
      <c r="B220" s="18" t="s">
        <v>829</v>
      </c>
      <c r="C220" s="18" t="s">
        <v>832</v>
      </c>
      <c r="D220" s="43">
        <v>42499</v>
      </c>
      <c r="E220" s="44">
        <v>392062.47999999952</v>
      </c>
      <c r="F220" s="45" t="s">
        <v>824</v>
      </c>
      <c r="H220" s="45" t="s">
        <v>118</v>
      </c>
    </row>
    <row r="221" spans="1:10" ht="30" customHeight="1">
      <c r="A221" s="42" t="s">
        <v>837</v>
      </c>
      <c r="B221" s="18" t="s">
        <v>603</v>
      </c>
      <c r="C221" s="18" t="s">
        <v>180</v>
      </c>
      <c r="D221" s="43">
        <v>42500</v>
      </c>
      <c r="E221" s="44">
        <v>1761022.8</v>
      </c>
      <c r="H221" s="45" t="s">
        <v>56</v>
      </c>
    </row>
    <row r="222" spans="1:10" ht="30" customHeight="1">
      <c r="A222" s="42" t="s">
        <v>836</v>
      </c>
      <c r="B222" s="18" t="s">
        <v>603</v>
      </c>
      <c r="C222" s="18" t="s">
        <v>180</v>
      </c>
      <c r="D222" s="43">
        <v>42500</v>
      </c>
      <c r="E222" s="44">
        <v>1000000</v>
      </c>
      <c r="H222" s="45" t="s">
        <v>56</v>
      </c>
    </row>
    <row r="223" spans="1:10" ht="30" customHeight="1">
      <c r="A223" s="42" t="s">
        <v>838</v>
      </c>
      <c r="B223" s="18" t="s">
        <v>603</v>
      </c>
      <c r="C223" s="18" t="s">
        <v>90</v>
      </c>
      <c r="D223" s="43">
        <v>42500</v>
      </c>
      <c r="E223" s="44">
        <v>531630.55000000005</v>
      </c>
      <c r="H223" s="45" t="s">
        <v>56</v>
      </c>
    </row>
    <row r="224" spans="1:10" ht="30" customHeight="1">
      <c r="A224" s="42" t="s">
        <v>580</v>
      </c>
      <c r="B224" s="18" t="s">
        <v>603</v>
      </c>
      <c r="C224" s="18" t="s">
        <v>90</v>
      </c>
      <c r="D224" s="43">
        <v>42500</v>
      </c>
      <c r="E224" s="44">
        <v>883000</v>
      </c>
      <c r="H224" s="45" t="s">
        <v>56</v>
      </c>
    </row>
    <row r="225" spans="1:8" ht="30" customHeight="1">
      <c r="A225" s="42" t="s">
        <v>674</v>
      </c>
      <c r="B225" s="18" t="s">
        <v>603</v>
      </c>
      <c r="C225" s="18" t="s">
        <v>90</v>
      </c>
      <c r="D225" s="43">
        <v>42500</v>
      </c>
      <c r="E225" s="44">
        <v>420000</v>
      </c>
      <c r="H225" s="45" t="s">
        <v>56</v>
      </c>
    </row>
    <row r="226" spans="1:8" ht="30" customHeight="1">
      <c r="A226" s="42" t="s">
        <v>683</v>
      </c>
      <c r="B226" s="18" t="s">
        <v>603</v>
      </c>
      <c r="C226" s="18" t="s">
        <v>212</v>
      </c>
      <c r="D226" s="43">
        <v>42500</v>
      </c>
      <c r="E226" s="44">
        <v>363714.01</v>
      </c>
      <c r="H226" s="45" t="s">
        <v>56</v>
      </c>
    </row>
    <row r="227" spans="1:8" ht="30" customHeight="1">
      <c r="A227" s="42" t="s">
        <v>618</v>
      </c>
      <c r="B227" s="18" t="s">
        <v>603</v>
      </c>
      <c r="C227" s="18" t="s">
        <v>212</v>
      </c>
      <c r="D227" s="43">
        <v>42500</v>
      </c>
      <c r="E227" s="44">
        <v>426438.83</v>
      </c>
      <c r="H227" s="45" t="s">
        <v>56</v>
      </c>
    </row>
    <row r="228" spans="1:8" ht="30" customHeight="1">
      <c r="A228" s="42" t="s">
        <v>839</v>
      </c>
      <c r="B228" s="18" t="s">
        <v>603</v>
      </c>
      <c r="C228" s="18" t="s">
        <v>53</v>
      </c>
      <c r="D228" s="43">
        <v>42500</v>
      </c>
      <c r="E228" s="44">
        <v>1400000</v>
      </c>
      <c r="H228" s="45" t="s">
        <v>56</v>
      </c>
    </row>
    <row r="229" spans="1:8" ht="30" customHeight="1">
      <c r="A229" s="42" t="s">
        <v>840</v>
      </c>
      <c r="B229" s="18" t="s">
        <v>603</v>
      </c>
      <c r="C229" s="18" t="s">
        <v>53</v>
      </c>
      <c r="D229" s="43">
        <v>42500</v>
      </c>
      <c r="E229" s="44">
        <v>1230000</v>
      </c>
      <c r="H229" s="45" t="s">
        <v>56</v>
      </c>
    </row>
    <row r="230" spans="1:8" ht="30" hidden="1" customHeight="1">
      <c r="A230" s="45" t="s">
        <v>845</v>
      </c>
      <c r="B230" s="18" t="s">
        <v>846</v>
      </c>
      <c r="C230" s="18" t="s">
        <v>168</v>
      </c>
      <c r="D230" s="43">
        <v>42499</v>
      </c>
      <c r="E230" s="44">
        <v>1672225.55</v>
      </c>
      <c r="F230" s="45" t="s">
        <v>824</v>
      </c>
      <c r="H230" s="45" t="s">
        <v>118</v>
      </c>
    </row>
    <row r="231" spans="1:8" ht="30" hidden="1" customHeight="1">
      <c r="A231" s="42" t="s">
        <v>847</v>
      </c>
      <c r="B231" s="18" t="s">
        <v>846</v>
      </c>
      <c r="C231" s="18" t="s">
        <v>233</v>
      </c>
      <c r="D231" s="43">
        <v>42500</v>
      </c>
      <c r="E231" s="44">
        <v>325952.28000000003</v>
      </c>
      <c r="H231" s="45" t="s">
        <v>56</v>
      </c>
    </row>
    <row r="232" spans="1:8" ht="30" hidden="1" customHeight="1">
      <c r="A232" s="42" t="s">
        <v>848</v>
      </c>
      <c r="B232" s="18" t="s">
        <v>846</v>
      </c>
      <c r="C232" s="18" t="s">
        <v>233</v>
      </c>
      <c r="D232" s="43">
        <v>42494</v>
      </c>
      <c r="E232" s="44">
        <v>710000</v>
      </c>
      <c r="H232" s="45" t="s">
        <v>56</v>
      </c>
    </row>
    <row r="233" spans="1:8" ht="30" hidden="1" customHeight="1">
      <c r="A233" s="42" t="s">
        <v>848</v>
      </c>
      <c r="B233" s="18" t="s">
        <v>846</v>
      </c>
      <c r="C233" s="18" t="s">
        <v>233</v>
      </c>
      <c r="D233" s="43">
        <v>42500</v>
      </c>
      <c r="E233" s="44">
        <v>580000</v>
      </c>
      <c r="H233" s="45" t="s">
        <v>56</v>
      </c>
    </row>
    <row r="234" spans="1:8" ht="30" hidden="1" customHeight="1">
      <c r="A234" s="42" t="s">
        <v>849</v>
      </c>
      <c r="B234" s="18" t="s">
        <v>850</v>
      </c>
      <c r="C234" s="18" t="s">
        <v>234</v>
      </c>
      <c r="D234" s="43">
        <v>42496</v>
      </c>
      <c r="E234" s="44">
        <v>1536000</v>
      </c>
      <c r="H234" s="45" t="s">
        <v>119</v>
      </c>
    </row>
    <row r="235" spans="1:8" ht="30" hidden="1" customHeight="1">
      <c r="A235" s="42" t="s">
        <v>857</v>
      </c>
      <c r="B235" s="18" t="s">
        <v>858</v>
      </c>
      <c r="C235" s="18" t="s">
        <v>859</v>
      </c>
      <c r="D235" s="43">
        <v>42501</v>
      </c>
      <c r="E235" s="44">
        <v>2247989.9900000002</v>
      </c>
      <c r="F235" s="45" t="s">
        <v>824</v>
      </c>
      <c r="H235" s="45" t="s">
        <v>118</v>
      </c>
    </row>
    <row r="236" spans="1:8" ht="30" hidden="1" customHeight="1">
      <c r="A236" s="42" t="s">
        <v>860</v>
      </c>
      <c r="B236" s="18" t="s">
        <v>861</v>
      </c>
      <c r="C236" s="18" t="s">
        <v>859</v>
      </c>
      <c r="D236" s="43">
        <v>42501</v>
      </c>
      <c r="E236" s="44">
        <v>939844.24</v>
      </c>
      <c r="F236" s="45" t="s">
        <v>824</v>
      </c>
      <c r="H236" s="45" t="s">
        <v>118</v>
      </c>
    </row>
    <row r="237" spans="1:8" ht="30" customHeight="1">
      <c r="A237" s="42" t="s">
        <v>674</v>
      </c>
      <c r="B237" s="18" t="s">
        <v>603</v>
      </c>
      <c r="C237" s="18" t="s">
        <v>90</v>
      </c>
      <c r="D237" s="43">
        <v>42501</v>
      </c>
      <c r="E237" s="44">
        <v>366000</v>
      </c>
      <c r="H237" s="45" t="s">
        <v>56</v>
      </c>
    </row>
    <row r="238" spans="1:8" ht="30" customHeight="1">
      <c r="A238" s="42" t="s">
        <v>867</v>
      </c>
      <c r="B238" s="18" t="s">
        <v>868</v>
      </c>
      <c r="C238" s="18" t="s">
        <v>869</v>
      </c>
      <c r="D238" s="43">
        <v>42502</v>
      </c>
      <c r="E238" s="44">
        <v>784000</v>
      </c>
      <c r="H238" s="45" t="s">
        <v>870</v>
      </c>
    </row>
    <row r="239" spans="1:8" ht="30" customHeight="1">
      <c r="A239" s="42" t="s">
        <v>611</v>
      </c>
      <c r="B239" s="18" t="s">
        <v>868</v>
      </c>
      <c r="C239" s="18" t="s">
        <v>871</v>
      </c>
      <c r="D239" s="43">
        <v>42506</v>
      </c>
      <c r="E239" s="44">
        <v>86638.86</v>
      </c>
      <c r="H239" s="45" t="s">
        <v>872</v>
      </c>
    </row>
    <row r="240" spans="1:8" ht="30" customHeight="1">
      <c r="A240" s="42" t="s">
        <v>1022</v>
      </c>
      <c r="B240" s="18" t="s">
        <v>194</v>
      </c>
      <c r="C240" s="18" t="s">
        <v>524</v>
      </c>
      <c r="D240" s="43">
        <v>42506</v>
      </c>
      <c r="E240" s="44">
        <v>202148.95</v>
      </c>
      <c r="H240" s="45" t="s">
        <v>882</v>
      </c>
    </row>
    <row r="241" spans="1:8" ht="30" customHeight="1">
      <c r="A241" s="42" t="s">
        <v>806</v>
      </c>
      <c r="B241" s="18" t="s">
        <v>603</v>
      </c>
      <c r="C241" s="18" t="s">
        <v>180</v>
      </c>
      <c r="D241" s="43">
        <v>42509</v>
      </c>
      <c r="E241" s="44">
        <v>1160000</v>
      </c>
      <c r="H241" s="45" t="s">
        <v>56</v>
      </c>
    </row>
    <row r="242" spans="1:8" ht="30" customHeight="1">
      <c r="A242" s="42" t="s">
        <v>873</v>
      </c>
      <c r="B242" s="18" t="s">
        <v>194</v>
      </c>
      <c r="C242" s="18" t="s">
        <v>210</v>
      </c>
      <c r="D242" s="43">
        <v>42509</v>
      </c>
      <c r="E242" s="44">
        <v>796000</v>
      </c>
      <c r="H242" s="45" t="s">
        <v>56</v>
      </c>
    </row>
    <row r="243" spans="1:8" ht="30" hidden="1" customHeight="1">
      <c r="A243" s="42" t="s">
        <v>732</v>
      </c>
      <c r="B243" s="18" t="s">
        <v>218</v>
      </c>
      <c r="C243" s="18" t="s">
        <v>233</v>
      </c>
      <c r="D243" s="43">
        <v>42514</v>
      </c>
      <c r="E243" s="44">
        <v>455465.3</v>
      </c>
      <c r="H243" s="45" t="s">
        <v>56</v>
      </c>
    </row>
    <row r="244" spans="1:8" ht="30" hidden="1" customHeight="1">
      <c r="A244" s="42" t="s">
        <v>906</v>
      </c>
      <c r="B244" s="18" t="s">
        <v>218</v>
      </c>
      <c r="C244" s="18" t="s">
        <v>321</v>
      </c>
      <c r="D244" s="43">
        <v>42514</v>
      </c>
      <c r="E244" s="44">
        <v>2636006.7400000002</v>
      </c>
      <c r="F244" s="45" t="s">
        <v>824</v>
      </c>
      <c r="H244" s="45" t="s">
        <v>118</v>
      </c>
    </row>
    <row r="245" spans="1:8" ht="30" hidden="1" customHeight="1">
      <c r="A245" s="42" t="s">
        <v>942</v>
      </c>
      <c r="B245" s="18" t="s">
        <v>943</v>
      </c>
      <c r="C245" s="18" t="s">
        <v>944</v>
      </c>
      <c r="D245" s="43">
        <v>42514</v>
      </c>
      <c r="E245" s="44">
        <v>8448011.1799999997</v>
      </c>
      <c r="F245" s="45" t="s">
        <v>945</v>
      </c>
      <c r="H245" s="45" t="s">
        <v>118</v>
      </c>
    </row>
    <row r="246" spans="1:8" ht="30" customHeight="1">
      <c r="A246" s="42" t="s">
        <v>946</v>
      </c>
      <c r="B246" s="18" t="s">
        <v>947</v>
      </c>
      <c r="C246" s="18" t="s">
        <v>948</v>
      </c>
      <c r="D246" s="43">
        <v>42515</v>
      </c>
      <c r="E246" s="44">
        <v>1000000</v>
      </c>
      <c r="H246" s="45" t="s">
        <v>949</v>
      </c>
    </row>
    <row r="247" spans="1:8" ht="30" customHeight="1">
      <c r="A247" s="42" t="s">
        <v>950</v>
      </c>
      <c r="B247" s="18" t="s">
        <v>947</v>
      </c>
      <c r="C247" s="18" t="s">
        <v>948</v>
      </c>
      <c r="D247" s="43">
        <v>42513</v>
      </c>
      <c r="E247" s="44">
        <v>279706.19999999995</v>
      </c>
      <c r="H247" s="45" t="s">
        <v>949</v>
      </c>
    </row>
    <row r="248" spans="1:8" ht="30" customHeight="1">
      <c r="A248" s="42" t="s">
        <v>951</v>
      </c>
      <c r="B248" s="18" t="s">
        <v>947</v>
      </c>
      <c r="C248" s="18" t="s">
        <v>952</v>
      </c>
      <c r="D248" s="43">
        <v>42516</v>
      </c>
      <c r="E248" s="44">
        <v>487000</v>
      </c>
      <c r="H248" s="45" t="s">
        <v>949</v>
      </c>
    </row>
    <row r="249" spans="1:8" ht="30" customHeight="1">
      <c r="A249" s="42" t="s">
        <v>953</v>
      </c>
      <c r="B249" s="18" t="s">
        <v>947</v>
      </c>
      <c r="C249" s="18" t="s">
        <v>954</v>
      </c>
      <c r="D249" s="43">
        <v>42516</v>
      </c>
      <c r="E249" s="44">
        <v>1000000</v>
      </c>
      <c r="H249" s="45" t="s">
        <v>949</v>
      </c>
    </row>
    <row r="250" spans="1:8" ht="30" customHeight="1">
      <c r="A250" s="42" t="s">
        <v>955</v>
      </c>
      <c r="B250" s="18" t="s">
        <v>947</v>
      </c>
      <c r="C250" s="18" t="s">
        <v>956</v>
      </c>
      <c r="D250" s="43">
        <v>42516</v>
      </c>
      <c r="E250" s="44">
        <v>230000</v>
      </c>
      <c r="H250" s="45" t="s">
        <v>949</v>
      </c>
    </row>
    <row r="251" spans="1:8" ht="30" customHeight="1">
      <c r="A251" s="42" t="s">
        <v>972</v>
      </c>
      <c r="B251" s="18" t="s">
        <v>973</v>
      </c>
      <c r="C251" s="18" t="s">
        <v>974</v>
      </c>
      <c r="D251" s="43">
        <v>42513</v>
      </c>
      <c r="E251" s="44">
        <v>686000</v>
      </c>
      <c r="H251" s="45" t="s">
        <v>975</v>
      </c>
    </row>
    <row r="252" spans="1:8" ht="30" customHeight="1">
      <c r="A252" s="42" t="s">
        <v>976</v>
      </c>
      <c r="B252" s="18" t="s">
        <v>977</v>
      </c>
      <c r="C252" s="18" t="s">
        <v>978</v>
      </c>
      <c r="D252" s="43">
        <v>42520</v>
      </c>
      <c r="E252" s="44">
        <v>796000</v>
      </c>
      <c r="H252" s="45" t="s">
        <v>975</v>
      </c>
    </row>
    <row r="253" spans="1:8" ht="30" customHeight="1">
      <c r="A253" s="42" t="s">
        <v>979</v>
      </c>
      <c r="B253" s="18" t="s">
        <v>980</v>
      </c>
      <c r="C253" s="18" t="s">
        <v>981</v>
      </c>
      <c r="D253" s="43">
        <v>42520</v>
      </c>
      <c r="E253" s="44">
        <v>260000</v>
      </c>
      <c r="H253" s="45" t="s">
        <v>975</v>
      </c>
    </row>
    <row r="254" spans="1:8" ht="30" customHeight="1">
      <c r="A254" s="42" t="s">
        <v>810</v>
      </c>
      <c r="B254" s="18" t="s">
        <v>603</v>
      </c>
      <c r="C254" s="18" t="s">
        <v>212</v>
      </c>
      <c r="D254" s="43">
        <v>42521</v>
      </c>
      <c r="E254" s="44">
        <v>200000</v>
      </c>
      <c r="H254" s="45" t="s">
        <v>56</v>
      </c>
    </row>
    <row r="255" spans="1:8" ht="30" customHeight="1">
      <c r="A255" s="42" t="s">
        <v>874</v>
      </c>
      <c r="B255" s="18" t="s">
        <v>194</v>
      </c>
      <c r="C255" s="18" t="s">
        <v>992</v>
      </c>
      <c r="D255" s="43">
        <v>42520</v>
      </c>
      <c r="E255" s="44">
        <v>60800</v>
      </c>
      <c r="H255" s="45" t="s">
        <v>1078</v>
      </c>
    </row>
    <row r="256" spans="1:8" ht="30" customHeight="1">
      <c r="A256" s="42" t="s">
        <v>611</v>
      </c>
      <c r="B256" s="18" t="s">
        <v>194</v>
      </c>
      <c r="C256" s="18" t="s">
        <v>474</v>
      </c>
      <c r="D256" s="43">
        <v>42521</v>
      </c>
      <c r="E256" s="44">
        <v>4559.9399999999996</v>
      </c>
      <c r="H256" s="45" t="s">
        <v>475</v>
      </c>
    </row>
    <row r="257" spans="1:10" ht="30" customHeight="1">
      <c r="A257" s="42" t="s">
        <v>767</v>
      </c>
      <c r="B257" s="18" t="s">
        <v>194</v>
      </c>
      <c r="C257" s="18" t="s">
        <v>474</v>
      </c>
      <c r="D257" s="43">
        <v>42521</v>
      </c>
      <c r="E257" s="44">
        <v>10631.48</v>
      </c>
      <c r="H257" s="45" t="s">
        <v>475</v>
      </c>
    </row>
    <row r="258" spans="1:10" ht="30" hidden="1" customHeight="1">
      <c r="A258" s="42" t="s">
        <v>739</v>
      </c>
      <c r="B258" s="18" t="s">
        <v>764</v>
      </c>
      <c r="C258" s="18" t="s">
        <v>1006</v>
      </c>
      <c r="D258" s="43">
        <v>42513</v>
      </c>
      <c r="H258" s="45" t="s">
        <v>119</v>
      </c>
      <c r="J258" s="45">
        <v>15477.85</v>
      </c>
    </row>
    <row r="259" spans="1:10" ht="30" hidden="1" customHeight="1">
      <c r="A259" s="42" t="s">
        <v>739</v>
      </c>
      <c r="B259" s="18" t="s">
        <v>768</v>
      </c>
      <c r="C259" s="18" t="s">
        <v>1006</v>
      </c>
      <c r="D259" s="43">
        <v>42515</v>
      </c>
      <c r="H259" s="45" t="s">
        <v>119</v>
      </c>
      <c r="I259" s="143">
        <v>8546.98</v>
      </c>
    </row>
    <row r="260" spans="1:10" ht="30" hidden="1" customHeight="1">
      <c r="A260" s="42" t="s">
        <v>739</v>
      </c>
      <c r="B260" s="18" t="s">
        <v>764</v>
      </c>
      <c r="C260" s="18" t="s">
        <v>1006</v>
      </c>
      <c r="D260" s="43">
        <v>42522</v>
      </c>
      <c r="H260" s="45" t="s">
        <v>119</v>
      </c>
      <c r="J260" s="45">
        <v>400</v>
      </c>
    </row>
    <row r="261" spans="1:10" ht="30" hidden="1" customHeight="1">
      <c r="A261" s="42" t="s">
        <v>901</v>
      </c>
      <c r="B261" s="18" t="s">
        <v>218</v>
      </c>
      <c r="C261" s="18" t="s">
        <v>233</v>
      </c>
      <c r="D261" s="43">
        <v>42506</v>
      </c>
      <c r="E261" s="44">
        <v>1200000</v>
      </c>
      <c r="H261" s="45" t="s">
        <v>56</v>
      </c>
    </row>
    <row r="262" spans="1:10" ht="30" hidden="1" customHeight="1">
      <c r="A262" s="42" t="s">
        <v>901</v>
      </c>
      <c r="B262" s="18" t="s">
        <v>218</v>
      </c>
      <c r="C262" s="18" t="s">
        <v>233</v>
      </c>
      <c r="D262" s="43">
        <v>42510</v>
      </c>
      <c r="E262" s="44">
        <v>800000</v>
      </c>
      <c r="H262" s="45" t="s">
        <v>56</v>
      </c>
    </row>
    <row r="263" spans="1:10" ht="30" hidden="1" customHeight="1">
      <c r="A263" s="42" t="s">
        <v>901</v>
      </c>
      <c r="B263" s="18" t="s">
        <v>218</v>
      </c>
      <c r="C263" s="18" t="s">
        <v>233</v>
      </c>
      <c r="D263" s="43">
        <v>42520</v>
      </c>
      <c r="E263" s="44">
        <v>1180000</v>
      </c>
      <c r="H263" s="45" t="s">
        <v>56</v>
      </c>
    </row>
    <row r="264" spans="1:10" ht="30" hidden="1" customHeight="1">
      <c r="A264" s="42" t="s">
        <v>1007</v>
      </c>
      <c r="B264" s="18" t="s">
        <v>218</v>
      </c>
      <c r="C264" s="18" t="s">
        <v>101</v>
      </c>
      <c r="D264" s="43">
        <v>42513</v>
      </c>
      <c r="E264" s="44">
        <v>800000</v>
      </c>
      <c r="H264" s="45" t="s">
        <v>56</v>
      </c>
    </row>
    <row r="265" spans="1:10" ht="30" hidden="1" customHeight="1">
      <c r="A265" s="42" t="s">
        <v>1007</v>
      </c>
      <c r="B265" s="18" t="s">
        <v>218</v>
      </c>
      <c r="C265" s="18" t="s">
        <v>101</v>
      </c>
      <c r="D265" s="43">
        <v>42514</v>
      </c>
      <c r="E265" s="44">
        <v>680000</v>
      </c>
      <c r="H265" s="45" t="s">
        <v>56</v>
      </c>
    </row>
    <row r="266" spans="1:10" ht="30" hidden="1" customHeight="1">
      <c r="A266" s="42" t="s">
        <v>1007</v>
      </c>
      <c r="B266" s="18" t="s">
        <v>218</v>
      </c>
      <c r="C266" s="18" t="s">
        <v>101</v>
      </c>
      <c r="D266" s="43">
        <v>42516</v>
      </c>
      <c r="E266" s="44">
        <v>1090000</v>
      </c>
      <c r="H266" s="45" t="s">
        <v>56</v>
      </c>
    </row>
    <row r="267" spans="1:10" ht="30" hidden="1" customHeight="1">
      <c r="A267" s="42" t="s">
        <v>1007</v>
      </c>
      <c r="B267" s="18" t="s">
        <v>218</v>
      </c>
      <c r="C267" s="18" t="s">
        <v>101</v>
      </c>
      <c r="D267" s="43">
        <v>42520</v>
      </c>
      <c r="E267" s="44">
        <v>1190000</v>
      </c>
      <c r="H267" s="45" t="s">
        <v>56</v>
      </c>
    </row>
    <row r="268" spans="1:10" ht="30" hidden="1" customHeight="1">
      <c r="A268" s="42" t="s">
        <v>1007</v>
      </c>
      <c r="B268" s="18" t="s">
        <v>218</v>
      </c>
      <c r="C268" s="18" t="s">
        <v>101</v>
      </c>
      <c r="D268" s="43">
        <v>42520</v>
      </c>
      <c r="E268" s="44">
        <v>1120000</v>
      </c>
      <c r="H268" s="45" t="s">
        <v>56</v>
      </c>
    </row>
    <row r="269" spans="1:10" ht="30" hidden="1" customHeight="1">
      <c r="A269" s="42" t="s">
        <v>1007</v>
      </c>
      <c r="B269" s="18" t="s">
        <v>218</v>
      </c>
      <c r="C269" s="18" t="s">
        <v>101</v>
      </c>
      <c r="D269" s="43">
        <v>42521</v>
      </c>
      <c r="E269" s="44">
        <v>1200000</v>
      </c>
      <c r="H269" s="45" t="s">
        <v>56</v>
      </c>
    </row>
    <row r="270" spans="1:10" ht="30" customHeight="1">
      <c r="A270" s="42" t="s">
        <v>1017</v>
      </c>
      <c r="B270" s="18" t="s">
        <v>1018</v>
      </c>
      <c r="C270" s="18" t="s">
        <v>1019</v>
      </c>
      <c r="D270" s="43">
        <v>42524</v>
      </c>
      <c r="E270" s="44">
        <v>707040</v>
      </c>
      <c r="H270" s="45" t="s">
        <v>178</v>
      </c>
    </row>
    <row r="271" spans="1:10" ht="30" customHeight="1">
      <c r="A271" s="42" t="s">
        <v>810</v>
      </c>
      <c r="B271" s="18" t="s">
        <v>603</v>
      </c>
      <c r="C271" s="18" t="s">
        <v>212</v>
      </c>
      <c r="D271" s="43">
        <v>42524</v>
      </c>
      <c r="E271" s="44">
        <v>1000000</v>
      </c>
      <c r="H271" s="45" t="s">
        <v>56</v>
      </c>
    </row>
    <row r="272" spans="1:10" ht="30" hidden="1" customHeight="1">
      <c r="A272" s="42" t="s">
        <v>1024</v>
      </c>
      <c r="B272" s="18" t="s">
        <v>768</v>
      </c>
      <c r="C272" s="18" t="s">
        <v>405</v>
      </c>
      <c r="D272" s="43">
        <v>42527</v>
      </c>
      <c r="H272" s="45" t="s">
        <v>119</v>
      </c>
      <c r="I272" s="143">
        <v>2030</v>
      </c>
    </row>
    <row r="273" spans="1:10" ht="30" hidden="1" customHeight="1">
      <c r="A273" s="42" t="s">
        <v>1024</v>
      </c>
      <c r="B273" s="18" t="s">
        <v>764</v>
      </c>
      <c r="C273" s="18" t="s">
        <v>405</v>
      </c>
      <c r="D273" s="43">
        <v>42527</v>
      </c>
      <c r="H273" s="45" t="s">
        <v>119</v>
      </c>
      <c r="J273" s="45">
        <v>8901</v>
      </c>
    </row>
    <row r="274" spans="1:10" ht="30" customHeight="1">
      <c r="A274" s="42" t="s">
        <v>1036</v>
      </c>
      <c r="B274" s="18" t="s">
        <v>1037</v>
      </c>
      <c r="C274" s="18" t="s">
        <v>1038</v>
      </c>
      <c r="D274" s="43">
        <v>42527</v>
      </c>
      <c r="E274" s="44">
        <v>319670.39</v>
      </c>
      <c r="H274" s="45" t="s">
        <v>1039</v>
      </c>
    </row>
    <row r="275" spans="1:10" ht="30" customHeight="1">
      <c r="A275" s="42" t="s">
        <v>580</v>
      </c>
      <c r="B275" s="18" t="s">
        <v>603</v>
      </c>
      <c r="C275" s="18" t="s">
        <v>90</v>
      </c>
      <c r="D275" s="43">
        <v>42528</v>
      </c>
      <c r="E275" s="44">
        <v>598267.96</v>
      </c>
      <c r="H275" s="45" t="s">
        <v>56</v>
      </c>
    </row>
    <row r="276" spans="1:10" ht="30" customHeight="1">
      <c r="A276" s="42" t="s">
        <v>674</v>
      </c>
      <c r="B276" s="18" t="s">
        <v>603</v>
      </c>
      <c r="C276" s="18" t="s">
        <v>90</v>
      </c>
      <c r="D276" s="43">
        <v>42528</v>
      </c>
      <c r="E276" s="44">
        <v>232272.80000000005</v>
      </c>
      <c r="H276" s="45" t="s">
        <v>56</v>
      </c>
    </row>
    <row r="277" spans="1:10" ht="30" customHeight="1">
      <c r="A277" s="42" t="s">
        <v>1161</v>
      </c>
      <c r="B277" s="18" t="s">
        <v>194</v>
      </c>
      <c r="C277" s="18" t="s">
        <v>474</v>
      </c>
      <c r="D277" s="43">
        <v>42530</v>
      </c>
      <c r="E277" s="44">
        <v>58032.05</v>
      </c>
      <c r="H277" s="45" t="s">
        <v>475</v>
      </c>
    </row>
    <row r="278" spans="1:10" ht="30" customHeight="1">
      <c r="A278" s="42" t="s">
        <v>1061</v>
      </c>
      <c r="B278" s="18" t="s">
        <v>194</v>
      </c>
      <c r="C278" s="18" t="s">
        <v>869</v>
      </c>
      <c r="D278" s="43">
        <v>42533</v>
      </c>
      <c r="E278" s="44">
        <v>364450</v>
      </c>
      <c r="H278" s="45" t="s">
        <v>56</v>
      </c>
    </row>
    <row r="279" spans="1:10" ht="30" customHeight="1">
      <c r="A279" s="42" t="s">
        <v>1062</v>
      </c>
      <c r="B279" s="18" t="s">
        <v>194</v>
      </c>
      <c r="C279" s="18" t="s">
        <v>278</v>
      </c>
      <c r="D279" s="43">
        <v>42534</v>
      </c>
      <c r="E279" s="44">
        <v>1034250</v>
      </c>
      <c r="H279" s="45" t="s">
        <v>56</v>
      </c>
    </row>
    <row r="280" spans="1:10" ht="30" customHeight="1">
      <c r="A280" s="42" t="s">
        <v>810</v>
      </c>
      <c r="B280" s="18" t="s">
        <v>603</v>
      </c>
      <c r="C280" s="18" t="s">
        <v>212</v>
      </c>
      <c r="D280" s="43">
        <v>42529</v>
      </c>
      <c r="E280" s="44">
        <v>790000</v>
      </c>
      <c r="H280" s="45" t="s">
        <v>56</v>
      </c>
    </row>
    <row r="281" spans="1:10" ht="30" hidden="1" customHeight="1">
      <c r="A281" s="42" t="s">
        <v>1072</v>
      </c>
      <c r="B281" s="18" t="s">
        <v>412</v>
      </c>
      <c r="C281" s="18" t="s">
        <v>1064</v>
      </c>
      <c r="D281" s="43">
        <v>42534</v>
      </c>
      <c r="E281" s="44">
        <v>261000</v>
      </c>
      <c r="H281" s="45" t="s">
        <v>118</v>
      </c>
    </row>
    <row r="282" spans="1:10" ht="30" hidden="1" customHeight="1">
      <c r="A282" s="42" t="s">
        <v>739</v>
      </c>
      <c r="B282" s="18" t="s">
        <v>736</v>
      </c>
      <c r="C282" s="18" t="s">
        <v>1077</v>
      </c>
      <c r="D282" s="43">
        <v>42528</v>
      </c>
      <c r="E282" s="44">
        <v>10866.61</v>
      </c>
      <c r="H282" s="45" t="s">
        <v>475</v>
      </c>
    </row>
    <row r="283" spans="1:10" ht="30" hidden="1" customHeight="1">
      <c r="A283" s="42" t="s">
        <v>739</v>
      </c>
      <c r="B283" s="18" t="s">
        <v>736</v>
      </c>
      <c r="C283" s="18" t="s">
        <v>1077</v>
      </c>
      <c r="D283" s="43">
        <v>42534</v>
      </c>
      <c r="E283" s="44">
        <v>-221.25</v>
      </c>
      <c r="H283" s="45" t="s">
        <v>1078</v>
      </c>
    </row>
    <row r="284" spans="1:10" ht="30" hidden="1" customHeight="1">
      <c r="A284" s="42" t="s">
        <v>901</v>
      </c>
      <c r="B284" s="18" t="s">
        <v>218</v>
      </c>
      <c r="C284" s="18" t="s">
        <v>233</v>
      </c>
      <c r="D284" s="43">
        <v>42527</v>
      </c>
      <c r="E284" s="44">
        <v>1040000</v>
      </c>
      <c r="H284" s="45" t="s">
        <v>56</v>
      </c>
    </row>
    <row r="285" spans="1:10" ht="30" hidden="1" customHeight="1">
      <c r="A285" s="42" t="s">
        <v>1082</v>
      </c>
      <c r="B285" s="18" t="s">
        <v>218</v>
      </c>
      <c r="C285" s="18" t="s">
        <v>101</v>
      </c>
      <c r="D285" s="43">
        <v>42527</v>
      </c>
      <c r="E285" s="44">
        <v>1430000</v>
      </c>
      <c r="H285" s="45" t="s">
        <v>56</v>
      </c>
    </row>
    <row r="286" spans="1:10" ht="30" hidden="1" customHeight="1">
      <c r="A286" s="42" t="s">
        <v>1082</v>
      </c>
      <c r="B286" s="18" t="s">
        <v>218</v>
      </c>
      <c r="C286" s="18" t="s">
        <v>101</v>
      </c>
      <c r="D286" s="43">
        <v>42529</v>
      </c>
      <c r="E286" s="44">
        <v>720000</v>
      </c>
      <c r="H286" s="45" t="s">
        <v>56</v>
      </c>
    </row>
    <row r="287" spans="1:10" ht="30" hidden="1" customHeight="1">
      <c r="A287" s="42" t="s">
        <v>1082</v>
      </c>
      <c r="B287" s="18" t="s">
        <v>218</v>
      </c>
      <c r="C287" s="18" t="s">
        <v>101</v>
      </c>
      <c r="D287" s="43">
        <v>42533</v>
      </c>
      <c r="E287" s="44">
        <v>720000</v>
      </c>
      <c r="H287" s="45" t="s">
        <v>56</v>
      </c>
    </row>
    <row r="288" spans="1:10" ht="30" customHeight="1">
      <c r="A288" s="42" t="s">
        <v>1099</v>
      </c>
      <c r="B288" s="18" t="s">
        <v>1100</v>
      </c>
      <c r="C288" s="18" t="s">
        <v>1101</v>
      </c>
      <c r="D288" s="43">
        <v>42536</v>
      </c>
      <c r="E288" s="44">
        <v>4635158.51</v>
      </c>
      <c r="H288" s="45" t="s">
        <v>118</v>
      </c>
    </row>
    <row r="289" spans="1:8" ht="30" hidden="1" customHeight="1">
      <c r="A289" s="42" t="s">
        <v>855</v>
      </c>
      <c r="B289" s="18" t="s">
        <v>1102</v>
      </c>
      <c r="C289" s="18" t="s">
        <v>1101</v>
      </c>
      <c r="D289" s="43">
        <v>42536</v>
      </c>
      <c r="E289" s="44">
        <v>2688534.31</v>
      </c>
      <c r="H289" s="45" t="s">
        <v>118</v>
      </c>
    </row>
    <row r="290" spans="1:8" ht="30" customHeight="1">
      <c r="A290" s="42" t="s">
        <v>1087</v>
      </c>
      <c r="B290" s="18" t="s">
        <v>1103</v>
      </c>
      <c r="C290" s="18" t="s">
        <v>1104</v>
      </c>
      <c r="D290" s="43">
        <v>42536</v>
      </c>
      <c r="E290" s="44">
        <v>594000</v>
      </c>
      <c r="H290" s="45" t="s">
        <v>1105</v>
      </c>
    </row>
    <row r="291" spans="1:8" ht="30" customHeight="1">
      <c r="A291" s="42" t="s">
        <v>1097</v>
      </c>
      <c r="B291" s="18" t="s">
        <v>1106</v>
      </c>
      <c r="C291" s="18" t="s">
        <v>1107</v>
      </c>
      <c r="D291" s="43">
        <v>42537</v>
      </c>
      <c r="E291" s="44">
        <v>460000</v>
      </c>
      <c r="H291" s="45" t="s">
        <v>1105</v>
      </c>
    </row>
    <row r="292" spans="1:8" ht="30" customHeight="1">
      <c r="A292" s="42" t="s">
        <v>1098</v>
      </c>
      <c r="B292" s="18" t="s">
        <v>1100</v>
      </c>
      <c r="C292" s="18" t="s">
        <v>1108</v>
      </c>
      <c r="D292" s="43">
        <v>42537</v>
      </c>
      <c r="E292" s="44">
        <v>459000</v>
      </c>
      <c r="H292" s="45" t="s">
        <v>1105</v>
      </c>
    </row>
    <row r="293" spans="1:8" ht="30" customHeight="1">
      <c r="A293" s="42" t="s">
        <v>1120</v>
      </c>
      <c r="B293" s="18" t="s">
        <v>603</v>
      </c>
      <c r="C293" s="18" t="s">
        <v>1302</v>
      </c>
      <c r="D293" s="43">
        <v>42541</v>
      </c>
      <c r="E293" s="44">
        <v>1160000</v>
      </c>
      <c r="H293" s="45" t="s">
        <v>492</v>
      </c>
    </row>
    <row r="294" spans="1:8" ht="30" customHeight="1">
      <c r="A294" s="42" t="s">
        <v>1097</v>
      </c>
      <c r="B294" s="18" t="s">
        <v>1129</v>
      </c>
      <c r="C294" s="18" t="s">
        <v>1130</v>
      </c>
      <c r="D294" s="43">
        <v>42529</v>
      </c>
      <c r="E294" s="44">
        <v>80000</v>
      </c>
      <c r="H294" s="45" t="s">
        <v>1131</v>
      </c>
    </row>
    <row r="295" spans="1:8" ht="30" customHeight="1">
      <c r="A295" s="42" t="s">
        <v>1121</v>
      </c>
      <c r="B295" s="18" t="s">
        <v>1132</v>
      </c>
      <c r="C295" s="18" t="s">
        <v>1133</v>
      </c>
      <c r="D295" s="43">
        <v>42543</v>
      </c>
      <c r="E295" s="44">
        <v>788000</v>
      </c>
      <c r="H295" s="45" t="s">
        <v>1131</v>
      </c>
    </row>
    <row r="296" spans="1:8" ht="30" customHeight="1">
      <c r="A296" s="42" t="s">
        <v>946</v>
      </c>
      <c r="B296" s="18" t="s">
        <v>1134</v>
      </c>
      <c r="C296" s="18" t="s">
        <v>1130</v>
      </c>
      <c r="D296" s="43">
        <v>42543</v>
      </c>
      <c r="E296" s="44">
        <v>297517.75</v>
      </c>
      <c r="H296" s="45" t="s">
        <v>1131</v>
      </c>
    </row>
    <row r="297" spans="1:8" ht="30" customHeight="1">
      <c r="A297" s="42" t="s">
        <v>1127</v>
      </c>
      <c r="B297" s="18" t="s">
        <v>1129</v>
      </c>
      <c r="C297" s="18" t="s">
        <v>1135</v>
      </c>
      <c r="D297" s="43">
        <v>42543</v>
      </c>
      <c r="E297" s="44">
        <v>703000</v>
      </c>
      <c r="H297" s="45" t="s">
        <v>1131</v>
      </c>
    </row>
    <row r="298" spans="1:8" ht="30" hidden="1" customHeight="1">
      <c r="A298" s="42" t="s">
        <v>1082</v>
      </c>
      <c r="B298" s="18" t="s">
        <v>1139</v>
      </c>
      <c r="C298" s="18" t="s">
        <v>101</v>
      </c>
      <c r="D298" s="43">
        <v>42535</v>
      </c>
      <c r="E298" s="44">
        <v>500000</v>
      </c>
      <c r="H298" s="45" t="s">
        <v>56</v>
      </c>
    </row>
    <row r="299" spans="1:8" ht="30" hidden="1" customHeight="1">
      <c r="A299" s="42" t="s">
        <v>1082</v>
      </c>
      <c r="B299" s="18" t="s">
        <v>1139</v>
      </c>
      <c r="C299" s="18" t="s">
        <v>101</v>
      </c>
      <c r="D299" s="43">
        <v>42536</v>
      </c>
      <c r="E299" s="44">
        <v>460000</v>
      </c>
      <c r="H299" s="45" t="s">
        <v>56</v>
      </c>
    </row>
    <row r="300" spans="1:8" ht="30" hidden="1" customHeight="1">
      <c r="A300" s="42" t="s">
        <v>1142</v>
      </c>
      <c r="B300" s="18" t="s">
        <v>1139</v>
      </c>
      <c r="C300" s="18" t="s">
        <v>321</v>
      </c>
      <c r="D300" s="43">
        <v>42543</v>
      </c>
      <c r="E300" s="44">
        <v>2516580.3199999998</v>
      </c>
      <c r="H300" s="45" t="s">
        <v>118</v>
      </c>
    </row>
    <row r="301" spans="1:8" ht="30" hidden="1" customHeight="1">
      <c r="A301" s="42" t="s">
        <v>1162</v>
      </c>
      <c r="B301" s="18" t="s">
        <v>1139</v>
      </c>
      <c r="C301" s="18" t="s">
        <v>321</v>
      </c>
      <c r="D301" s="43">
        <v>42543</v>
      </c>
      <c r="E301" s="44">
        <v>4216215.25</v>
      </c>
      <c r="H301" s="45" t="s">
        <v>118</v>
      </c>
    </row>
    <row r="302" spans="1:8" ht="30" customHeight="1">
      <c r="A302" s="42" t="s">
        <v>542</v>
      </c>
      <c r="B302" s="18" t="s">
        <v>603</v>
      </c>
      <c r="C302" s="18" t="s">
        <v>180</v>
      </c>
      <c r="D302" s="43">
        <v>42533</v>
      </c>
      <c r="E302" s="44">
        <v>771786.81</v>
      </c>
      <c r="H302" s="45" t="s">
        <v>56</v>
      </c>
    </row>
    <row r="303" spans="1:8" ht="30" hidden="1" customHeight="1">
      <c r="A303" s="42" t="s">
        <v>901</v>
      </c>
      <c r="B303" s="18" t="s">
        <v>1147</v>
      </c>
      <c r="C303" s="18" t="s">
        <v>1148</v>
      </c>
      <c r="D303" s="43">
        <v>42538</v>
      </c>
      <c r="E303" s="44">
        <v>468386.52</v>
      </c>
      <c r="H303" s="45" t="s">
        <v>1149</v>
      </c>
    </row>
    <row r="304" spans="1:8" ht="30" customHeight="1">
      <c r="A304" s="42" t="s">
        <v>1124</v>
      </c>
      <c r="B304" s="18" t="s">
        <v>1150</v>
      </c>
      <c r="C304" s="18" t="s">
        <v>1151</v>
      </c>
      <c r="D304" s="43">
        <v>42545</v>
      </c>
      <c r="E304" s="44">
        <v>1103200</v>
      </c>
      <c r="H304" s="45" t="s">
        <v>1149</v>
      </c>
    </row>
    <row r="305" spans="1:8" ht="31.5" customHeight="1">
      <c r="A305" s="42" t="s">
        <v>1024</v>
      </c>
      <c r="B305" s="18" t="s">
        <v>194</v>
      </c>
      <c r="C305" s="18" t="s">
        <v>474</v>
      </c>
      <c r="D305" s="43">
        <v>42535</v>
      </c>
      <c r="E305" s="44">
        <v>232153.37</v>
      </c>
      <c r="H305" s="45" t="s">
        <v>475</v>
      </c>
    </row>
    <row r="306" spans="1:8" ht="30" customHeight="1">
      <c r="A306" s="42" t="s">
        <v>1024</v>
      </c>
      <c r="B306" s="18" t="s">
        <v>194</v>
      </c>
      <c r="C306" s="18" t="s">
        <v>474</v>
      </c>
      <c r="D306" s="43">
        <v>42548</v>
      </c>
      <c r="E306" s="44">
        <v>12219.04</v>
      </c>
      <c r="H306" s="45" t="s">
        <v>475</v>
      </c>
    </row>
    <row r="307" spans="1:8" ht="30" customHeight="1">
      <c r="A307" s="42" t="s">
        <v>1175</v>
      </c>
      <c r="B307" s="18" t="s">
        <v>1176</v>
      </c>
      <c r="C307" s="18" t="s">
        <v>1177</v>
      </c>
      <c r="D307" s="43">
        <v>42548</v>
      </c>
      <c r="E307" s="44">
        <v>3046.37</v>
      </c>
      <c r="H307" s="45" t="s">
        <v>1178</v>
      </c>
    </row>
    <row r="308" spans="1:8" ht="30" customHeight="1">
      <c r="A308" s="42" t="s">
        <v>1179</v>
      </c>
      <c r="B308" s="18" t="s">
        <v>1176</v>
      </c>
      <c r="C308" s="18" t="s">
        <v>1180</v>
      </c>
      <c r="D308" s="43">
        <v>42548</v>
      </c>
      <c r="E308" s="44">
        <v>60800</v>
      </c>
      <c r="H308" s="45" t="s">
        <v>1181</v>
      </c>
    </row>
    <row r="309" spans="1:8" ht="30" customHeight="1">
      <c r="A309" s="42" t="s">
        <v>1182</v>
      </c>
      <c r="B309" s="18" t="s">
        <v>1176</v>
      </c>
      <c r="C309" s="18" t="s">
        <v>1180</v>
      </c>
      <c r="D309" s="43">
        <v>42545</v>
      </c>
      <c r="E309" s="44">
        <v>242400</v>
      </c>
      <c r="H309" s="45" t="s">
        <v>1181</v>
      </c>
    </row>
    <row r="310" spans="1:8" ht="30" hidden="1" customHeight="1">
      <c r="A310" s="42" t="s">
        <v>1007</v>
      </c>
      <c r="B310" s="18" t="s">
        <v>218</v>
      </c>
      <c r="C310" s="18" t="s">
        <v>101</v>
      </c>
      <c r="D310" s="43">
        <v>42545</v>
      </c>
      <c r="E310" s="44">
        <v>889573.61</v>
      </c>
      <c r="H310" s="45" t="s">
        <v>56</v>
      </c>
    </row>
    <row r="311" spans="1:8" ht="30" hidden="1" customHeight="1">
      <c r="A311" s="42" t="s">
        <v>1082</v>
      </c>
      <c r="B311" s="18" t="s">
        <v>218</v>
      </c>
      <c r="C311" s="18" t="s">
        <v>101</v>
      </c>
      <c r="D311" s="43">
        <v>42545</v>
      </c>
      <c r="E311" s="44">
        <v>310426.39</v>
      </c>
      <c r="H311" s="45" t="s">
        <v>56</v>
      </c>
    </row>
    <row r="312" spans="1:8" ht="30" hidden="1" customHeight="1">
      <c r="A312" s="42" t="s">
        <v>1204</v>
      </c>
      <c r="B312" s="18" t="s">
        <v>218</v>
      </c>
      <c r="C312" s="18" t="s">
        <v>101</v>
      </c>
      <c r="D312" s="43">
        <v>42550</v>
      </c>
      <c r="E312" s="44">
        <v>249472.08</v>
      </c>
      <c r="H312" s="45" t="s">
        <v>56</v>
      </c>
    </row>
    <row r="313" spans="1:8" ht="30" hidden="1" customHeight="1">
      <c r="A313" s="42" t="s">
        <v>1205</v>
      </c>
      <c r="B313" s="18" t="s">
        <v>218</v>
      </c>
      <c r="C313" s="18" t="s">
        <v>101</v>
      </c>
      <c r="D313" s="43">
        <v>42545</v>
      </c>
      <c r="E313" s="44">
        <v>610000</v>
      </c>
      <c r="H313" s="45" t="s">
        <v>56</v>
      </c>
    </row>
    <row r="314" spans="1:8" ht="30" hidden="1" customHeight="1">
      <c r="A314" s="42" t="s">
        <v>1205</v>
      </c>
      <c r="B314" s="18" t="s">
        <v>218</v>
      </c>
      <c r="C314" s="18" t="s">
        <v>101</v>
      </c>
      <c r="D314" s="43">
        <v>42548</v>
      </c>
      <c r="E314" s="44">
        <v>960000</v>
      </c>
      <c r="H314" s="45" t="s">
        <v>56</v>
      </c>
    </row>
    <row r="315" spans="1:8" ht="30" customHeight="1">
      <c r="A315" s="42" t="s">
        <v>1097</v>
      </c>
      <c r="B315" s="18" t="s">
        <v>1106</v>
      </c>
      <c r="C315" s="18" t="s">
        <v>53</v>
      </c>
      <c r="D315" s="43">
        <v>42551</v>
      </c>
      <c r="E315" s="44">
        <v>530000</v>
      </c>
      <c r="H315" s="45" t="s">
        <v>56</v>
      </c>
    </row>
    <row r="316" spans="1:8" ht="30" customHeight="1">
      <c r="A316" s="42" t="s">
        <v>1098</v>
      </c>
      <c r="B316" s="18" t="s">
        <v>1106</v>
      </c>
      <c r="C316" s="18" t="s">
        <v>212</v>
      </c>
      <c r="D316" s="43">
        <v>42551</v>
      </c>
      <c r="E316" s="44">
        <v>460000</v>
      </c>
      <c r="H316" s="45" t="s">
        <v>56</v>
      </c>
    </row>
    <row r="317" spans="1:8" ht="30" customHeight="1">
      <c r="A317" s="42" t="s">
        <v>810</v>
      </c>
      <c r="B317" s="18" t="s">
        <v>1106</v>
      </c>
      <c r="C317" s="18" t="s">
        <v>212</v>
      </c>
      <c r="D317" s="43">
        <v>42551</v>
      </c>
      <c r="E317" s="44">
        <v>600000</v>
      </c>
      <c r="H317" s="45" t="s">
        <v>56</v>
      </c>
    </row>
    <row r="318" spans="1:8" ht="30" customHeight="1">
      <c r="A318" s="42" t="s">
        <v>1087</v>
      </c>
      <c r="B318" s="18" t="s">
        <v>194</v>
      </c>
      <c r="C318" s="18" t="s">
        <v>210</v>
      </c>
      <c r="D318" s="43">
        <v>42555</v>
      </c>
      <c r="E318" s="44">
        <v>594000</v>
      </c>
      <c r="H318" s="45" t="s">
        <v>56</v>
      </c>
    </row>
    <row r="319" spans="1:8" ht="30" customHeight="1">
      <c r="A319" s="42" t="s">
        <v>1225</v>
      </c>
      <c r="B319" s="18" t="s">
        <v>194</v>
      </c>
      <c r="C319" s="18" t="s">
        <v>869</v>
      </c>
      <c r="D319" s="43">
        <v>42556</v>
      </c>
      <c r="E319" s="44">
        <v>366300</v>
      </c>
      <c r="H319" s="45" t="s">
        <v>56</v>
      </c>
    </row>
    <row r="320" spans="1:8" ht="30" customHeight="1">
      <c r="A320" s="42" t="s">
        <v>1229</v>
      </c>
      <c r="B320" s="18" t="s">
        <v>1230</v>
      </c>
      <c r="C320" s="18" t="s">
        <v>1231</v>
      </c>
      <c r="D320" s="43">
        <v>42555</v>
      </c>
      <c r="E320" s="44">
        <v>372960</v>
      </c>
      <c r="H320" s="45" t="s">
        <v>1232</v>
      </c>
    </row>
    <row r="321" spans="1:8" ht="30" customHeight="1">
      <c r="A321" s="42" t="s">
        <v>1267</v>
      </c>
      <c r="B321" s="18" t="s">
        <v>194</v>
      </c>
      <c r="C321" s="18" t="s">
        <v>474</v>
      </c>
      <c r="D321" s="43">
        <v>42558</v>
      </c>
      <c r="E321" s="44">
        <v>60207.200000000004</v>
      </c>
      <c r="H321" s="45" t="s">
        <v>475</v>
      </c>
    </row>
    <row r="322" spans="1:8" ht="30" customHeight="1">
      <c r="A322" s="42" t="s">
        <v>1268</v>
      </c>
      <c r="B322" s="18" t="s">
        <v>194</v>
      </c>
      <c r="C322" s="18" t="s">
        <v>474</v>
      </c>
      <c r="D322" s="43">
        <v>42558</v>
      </c>
      <c r="E322" s="44">
        <v>90310.8</v>
      </c>
      <c r="H322" s="45" t="s">
        <v>475</v>
      </c>
    </row>
    <row r="323" spans="1:8" ht="30" customHeight="1">
      <c r="A323" s="42" t="s">
        <v>1269</v>
      </c>
      <c r="B323" s="18" t="s">
        <v>194</v>
      </c>
      <c r="C323" s="18" t="s">
        <v>474</v>
      </c>
      <c r="D323" s="43">
        <v>42558</v>
      </c>
      <c r="E323" s="44">
        <v>90310.8</v>
      </c>
      <c r="H323" s="45" t="s">
        <v>475</v>
      </c>
    </row>
    <row r="324" spans="1:8" ht="30" customHeight="1">
      <c r="A324" s="42" t="s">
        <v>1270</v>
      </c>
      <c r="B324" s="18" t="s">
        <v>194</v>
      </c>
      <c r="C324" s="18" t="s">
        <v>474</v>
      </c>
      <c r="D324" s="43">
        <v>42558</v>
      </c>
      <c r="E324" s="44">
        <v>45147</v>
      </c>
      <c r="H324" s="45" t="s">
        <v>475</v>
      </c>
    </row>
    <row r="325" spans="1:8" ht="30" customHeight="1">
      <c r="A325" s="42" t="s">
        <v>807</v>
      </c>
      <c r="B325" s="18" t="s">
        <v>710</v>
      </c>
      <c r="C325" s="18" t="s">
        <v>90</v>
      </c>
      <c r="D325" s="43">
        <v>42558</v>
      </c>
      <c r="E325" s="44">
        <v>100556.05</v>
      </c>
      <c r="H325" s="45" t="s">
        <v>178</v>
      </c>
    </row>
    <row r="326" spans="1:8" ht="30" customHeight="1">
      <c r="A326" s="42" t="s">
        <v>1278</v>
      </c>
      <c r="B326" s="18" t="s">
        <v>1279</v>
      </c>
      <c r="C326" s="18" t="s">
        <v>1280</v>
      </c>
      <c r="D326" s="43">
        <v>42558</v>
      </c>
      <c r="E326" s="44">
        <v>1850</v>
      </c>
      <c r="H326" s="45" t="s">
        <v>1281</v>
      </c>
    </row>
    <row r="327" spans="1:8" ht="30" customHeight="1">
      <c r="A327" s="42" t="s">
        <v>1282</v>
      </c>
      <c r="B327" s="18" t="s">
        <v>1283</v>
      </c>
      <c r="C327" s="18" t="s">
        <v>1284</v>
      </c>
      <c r="D327" s="43">
        <v>42559</v>
      </c>
      <c r="E327" s="44">
        <v>840000</v>
      </c>
      <c r="H327" s="45" t="s">
        <v>1281</v>
      </c>
    </row>
    <row r="328" spans="1:8" ht="30" hidden="1" customHeight="1">
      <c r="A328" s="42" t="s">
        <v>1273</v>
      </c>
      <c r="B328" s="18" t="s">
        <v>1272</v>
      </c>
      <c r="C328" s="18" t="s">
        <v>101</v>
      </c>
      <c r="D328" s="43">
        <v>42559</v>
      </c>
      <c r="E328" s="44">
        <v>1130000</v>
      </c>
      <c r="H328" s="45" t="s">
        <v>56</v>
      </c>
    </row>
    <row r="329" spans="1:8" ht="30" customHeight="1">
      <c r="A329" s="42" t="s">
        <v>1215</v>
      </c>
      <c r="B329" s="18" t="s">
        <v>1100</v>
      </c>
      <c r="C329" s="18" t="s">
        <v>90</v>
      </c>
      <c r="D329" s="43">
        <v>42562</v>
      </c>
      <c r="E329" s="44">
        <v>58999</v>
      </c>
      <c r="H329" s="45" t="s">
        <v>56</v>
      </c>
    </row>
    <row r="330" spans="1:8" ht="30" customHeight="1">
      <c r="A330" s="42" t="s">
        <v>1303</v>
      </c>
      <c r="B330" s="18" t="s">
        <v>1100</v>
      </c>
      <c r="C330" s="18" t="s">
        <v>1304</v>
      </c>
      <c r="D330" s="43">
        <v>42562</v>
      </c>
      <c r="E330" s="44">
        <v>325455.82</v>
      </c>
      <c r="H330" s="45" t="s">
        <v>56</v>
      </c>
    </row>
    <row r="331" spans="1:8" ht="30" customHeight="1">
      <c r="A331" s="42" t="s">
        <v>1305</v>
      </c>
      <c r="B331" s="18" t="s">
        <v>1100</v>
      </c>
      <c r="C331" s="18" t="s">
        <v>1306</v>
      </c>
      <c r="D331" s="43">
        <v>42562</v>
      </c>
      <c r="E331" s="44">
        <v>262172.67000000039</v>
      </c>
      <c r="H331" s="45" t="s">
        <v>56</v>
      </c>
    </row>
    <row r="332" spans="1:8" ht="30" customHeight="1">
      <c r="A332" s="42" t="s">
        <v>1307</v>
      </c>
      <c r="B332" s="18" t="s">
        <v>1100</v>
      </c>
      <c r="C332" s="18" t="s">
        <v>1306</v>
      </c>
      <c r="D332" s="43">
        <v>42562</v>
      </c>
      <c r="E332" s="44">
        <v>1482254.0300000003</v>
      </c>
      <c r="H332" s="45" t="s">
        <v>56</v>
      </c>
    </row>
    <row r="333" spans="1:8" ht="30" customHeight="1">
      <c r="A333" s="42" t="s">
        <v>1215</v>
      </c>
      <c r="B333" s="18" t="s">
        <v>603</v>
      </c>
      <c r="C333" s="18" t="s">
        <v>90</v>
      </c>
      <c r="D333" s="43">
        <v>42564</v>
      </c>
      <c r="E333" s="44">
        <v>654564</v>
      </c>
      <c r="H333" s="45" t="s">
        <v>56</v>
      </c>
    </row>
    <row r="334" spans="1:8" ht="30" customHeight="1">
      <c r="A334" s="42" t="s">
        <v>1226</v>
      </c>
      <c r="B334" s="18" t="s">
        <v>603</v>
      </c>
      <c r="C334" s="18" t="s">
        <v>90</v>
      </c>
      <c r="D334" s="43">
        <v>42565</v>
      </c>
      <c r="E334" s="44">
        <v>315000</v>
      </c>
      <c r="H334" s="45" t="s">
        <v>56</v>
      </c>
    </row>
    <row r="335" spans="1:8" ht="30" customHeight="1">
      <c r="A335" s="42" t="s">
        <v>806</v>
      </c>
      <c r="B335" s="18" t="s">
        <v>603</v>
      </c>
      <c r="C335" s="18" t="s">
        <v>180</v>
      </c>
      <c r="D335" s="43">
        <v>42565</v>
      </c>
      <c r="E335" s="44">
        <v>474500.99</v>
      </c>
      <c r="H335" s="45" t="s">
        <v>56</v>
      </c>
    </row>
    <row r="336" spans="1:8" ht="30" customHeight="1">
      <c r="A336" s="42" t="s">
        <v>1127</v>
      </c>
      <c r="B336" s="18" t="s">
        <v>603</v>
      </c>
      <c r="C336" s="18" t="s">
        <v>180</v>
      </c>
      <c r="D336" s="43">
        <v>42565</v>
      </c>
      <c r="E336" s="44">
        <v>191813.28</v>
      </c>
      <c r="H336" s="45" t="s">
        <v>56</v>
      </c>
    </row>
    <row r="337" spans="1:8" ht="30" customHeight="1">
      <c r="A337" s="42" t="s">
        <v>1339</v>
      </c>
      <c r="B337" s="18" t="s">
        <v>1340</v>
      </c>
      <c r="C337" s="18" t="s">
        <v>1341</v>
      </c>
      <c r="D337" s="43">
        <v>42565</v>
      </c>
      <c r="E337" s="44">
        <v>1140000</v>
      </c>
      <c r="H337" s="45" t="s">
        <v>1342</v>
      </c>
    </row>
    <row r="338" spans="1:8" ht="30" hidden="1" customHeight="1">
      <c r="A338" s="42" t="s">
        <v>1343</v>
      </c>
      <c r="B338" s="18" t="s">
        <v>1344</v>
      </c>
      <c r="C338" s="18" t="s">
        <v>1345</v>
      </c>
      <c r="D338" s="43">
        <v>42565</v>
      </c>
      <c r="E338" s="44">
        <v>414000</v>
      </c>
      <c r="H338" s="45" t="s">
        <v>1342</v>
      </c>
    </row>
    <row r="339" spans="1:8" ht="30" hidden="1" customHeight="1">
      <c r="A339" s="42" t="s">
        <v>1367</v>
      </c>
      <c r="B339" s="18" t="s">
        <v>1359</v>
      </c>
      <c r="C339" s="18" t="s">
        <v>1364</v>
      </c>
      <c r="D339" s="43">
        <v>42555</v>
      </c>
      <c r="E339" s="44">
        <v>2995378.69</v>
      </c>
      <c r="H339" s="45" t="s">
        <v>118</v>
      </c>
    </row>
    <row r="340" spans="1:8" ht="30" hidden="1" customHeight="1">
      <c r="A340" s="42" t="s">
        <v>1368</v>
      </c>
      <c r="B340" s="18" t="s">
        <v>1359</v>
      </c>
      <c r="C340" s="18" t="s">
        <v>1364</v>
      </c>
      <c r="D340" s="43">
        <v>42555</v>
      </c>
      <c r="E340" s="44">
        <v>2828004.5200000005</v>
      </c>
      <c r="H340" s="45" t="s">
        <v>118</v>
      </c>
    </row>
    <row r="341" spans="1:8" ht="30" hidden="1" customHeight="1">
      <c r="A341" s="42" t="s">
        <v>1369</v>
      </c>
      <c r="B341" s="18" t="s">
        <v>1359</v>
      </c>
      <c r="C341" s="18" t="s">
        <v>1365</v>
      </c>
      <c r="D341" s="43">
        <v>42555</v>
      </c>
      <c r="E341" s="44">
        <v>242706.85</v>
      </c>
      <c r="H341" s="45" t="s">
        <v>1366</v>
      </c>
    </row>
    <row r="342" spans="1:8" ht="30" hidden="1" customHeight="1">
      <c r="A342" s="42" t="s">
        <v>1370</v>
      </c>
      <c r="B342" s="18" t="s">
        <v>1371</v>
      </c>
      <c r="C342" s="18" t="s">
        <v>233</v>
      </c>
      <c r="D342" s="43">
        <v>42538</v>
      </c>
      <c r="E342" s="44">
        <v>710000</v>
      </c>
      <c r="H342" s="45" t="s">
        <v>56</v>
      </c>
    </row>
    <row r="343" spans="1:8" ht="30" hidden="1" customHeight="1">
      <c r="A343" s="42" t="s">
        <v>1370</v>
      </c>
      <c r="B343" s="18" t="s">
        <v>1371</v>
      </c>
      <c r="C343" s="18" t="s">
        <v>233</v>
      </c>
      <c r="D343" s="43">
        <v>42548</v>
      </c>
      <c r="E343" s="44">
        <v>700000</v>
      </c>
      <c r="H343" s="45" t="s">
        <v>56</v>
      </c>
    </row>
    <row r="344" spans="1:8" ht="30" hidden="1" customHeight="1">
      <c r="A344" s="42" t="s">
        <v>1374</v>
      </c>
      <c r="B344" s="18" t="s">
        <v>1371</v>
      </c>
      <c r="C344" s="18" t="s">
        <v>101</v>
      </c>
      <c r="D344" s="43">
        <v>42557</v>
      </c>
      <c r="E344" s="44">
        <v>218294.22</v>
      </c>
      <c r="H344" s="45" t="s">
        <v>56</v>
      </c>
    </row>
    <row r="345" spans="1:8" ht="30" hidden="1" customHeight="1">
      <c r="A345" s="42" t="s">
        <v>1377</v>
      </c>
      <c r="B345" s="18" t="s">
        <v>1371</v>
      </c>
      <c r="C345" s="18" t="s">
        <v>101</v>
      </c>
      <c r="D345" s="43">
        <v>42552</v>
      </c>
      <c r="E345" s="44">
        <v>2180000</v>
      </c>
      <c r="H345" s="45" t="s">
        <v>56</v>
      </c>
    </row>
    <row r="346" spans="1:8" ht="30" hidden="1" customHeight="1">
      <c r="A346" s="42" t="s">
        <v>1377</v>
      </c>
      <c r="B346" s="18" t="s">
        <v>1371</v>
      </c>
      <c r="C346" s="18" t="s">
        <v>101</v>
      </c>
      <c r="D346" s="43">
        <v>42555</v>
      </c>
      <c r="E346" s="44">
        <v>1060000</v>
      </c>
      <c r="H346" s="45" t="s">
        <v>56</v>
      </c>
    </row>
    <row r="347" spans="1:8" ht="30" hidden="1" customHeight="1">
      <c r="A347" s="42" t="s">
        <v>1377</v>
      </c>
      <c r="B347" s="18" t="s">
        <v>1371</v>
      </c>
      <c r="C347" s="18" t="s">
        <v>101</v>
      </c>
      <c r="D347" s="43">
        <v>42557</v>
      </c>
      <c r="E347" s="44">
        <v>910000</v>
      </c>
      <c r="H347" s="45" t="s">
        <v>56</v>
      </c>
    </row>
    <row r="348" spans="1:8" ht="30" customHeight="1">
      <c r="A348" s="22" t="s">
        <v>803</v>
      </c>
      <c r="B348" s="17" t="s">
        <v>603</v>
      </c>
      <c r="C348" s="16" t="s">
        <v>168</v>
      </c>
      <c r="D348" s="34">
        <v>42566</v>
      </c>
      <c r="E348" s="175">
        <v>200712.48</v>
      </c>
      <c r="H348" s="45" t="s">
        <v>118</v>
      </c>
    </row>
    <row r="349" spans="1:8" ht="30" hidden="1" customHeight="1">
      <c r="A349" s="22" t="s">
        <v>1020</v>
      </c>
      <c r="B349" s="17" t="s">
        <v>412</v>
      </c>
      <c r="C349" s="16" t="s">
        <v>168</v>
      </c>
      <c r="D349" s="34">
        <v>42566</v>
      </c>
      <c r="E349" s="175">
        <v>3027219.25</v>
      </c>
      <c r="H349" s="45" t="s">
        <v>118</v>
      </c>
    </row>
    <row r="350" spans="1:8" ht="30" customHeight="1">
      <c r="A350" s="22" t="s">
        <v>1054</v>
      </c>
      <c r="B350" s="17" t="s">
        <v>603</v>
      </c>
      <c r="C350" s="16" t="s">
        <v>168</v>
      </c>
      <c r="D350" s="34">
        <v>42566</v>
      </c>
      <c r="E350" s="175">
        <v>4641720.6500000004</v>
      </c>
      <c r="H350" s="45" t="s">
        <v>118</v>
      </c>
    </row>
    <row r="351" spans="1:8" ht="30" hidden="1" customHeight="1">
      <c r="A351" s="22" t="s">
        <v>1109</v>
      </c>
      <c r="B351" s="17" t="s">
        <v>412</v>
      </c>
      <c r="C351" s="16" t="s">
        <v>168</v>
      </c>
      <c r="D351" s="34">
        <v>42566</v>
      </c>
      <c r="E351" s="175">
        <v>2233159.2200000002</v>
      </c>
      <c r="H351" s="45" t="s">
        <v>118</v>
      </c>
    </row>
    <row r="352" spans="1:8" ht="30" hidden="1" customHeight="1">
      <c r="A352" s="22" t="s">
        <v>1405</v>
      </c>
      <c r="B352" s="17" t="s">
        <v>1264</v>
      </c>
      <c r="C352" s="16" t="s">
        <v>390</v>
      </c>
      <c r="D352" s="34">
        <v>42566</v>
      </c>
      <c r="E352" s="175">
        <v>573112.53</v>
      </c>
      <c r="H352" s="45" t="s">
        <v>118</v>
      </c>
    </row>
    <row r="353" spans="1:8" ht="30" hidden="1" customHeight="1">
      <c r="A353" s="22" t="s">
        <v>1379</v>
      </c>
      <c r="B353" s="17" t="s">
        <v>1406</v>
      </c>
      <c r="C353" s="16" t="s">
        <v>1201</v>
      </c>
      <c r="D353" s="34">
        <v>42569</v>
      </c>
      <c r="E353" s="141">
        <v>735000</v>
      </c>
      <c r="H353" s="45" t="s">
        <v>208</v>
      </c>
    </row>
    <row r="354" spans="1:8" ht="30" customHeight="1">
      <c r="A354" s="22" t="s">
        <v>1324</v>
      </c>
      <c r="B354" s="17" t="s">
        <v>603</v>
      </c>
      <c r="C354" s="16" t="s">
        <v>479</v>
      </c>
      <c r="D354" s="34">
        <v>42569</v>
      </c>
      <c r="E354" s="141">
        <v>700000</v>
      </c>
      <c r="H354" s="45" t="s">
        <v>56</v>
      </c>
    </row>
    <row r="355" spans="1:8" ht="30" customHeight="1">
      <c r="A355" s="22" t="s">
        <v>1324</v>
      </c>
      <c r="B355" s="17" t="s">
        <v>603</v>
      </c>
      <c r="C355" s="16" t="s">
        <v>479</v>
      </c>
      <c r="D355" s="34">
        <v>42570</v>
      </c>
      <c r="E355" s="141">
        <v>273000</v>
      </c>
      <c r="H355" s="45" t="s">
        <v>56</v>
      </c>
    </row>
    <row r="356" spans="1:8" ht="30" customHeight="1">
      <c r="A356" s="22" t="s">
        <v>1389</v>
      </c>
      <c r="B356" s="17" t="s">
        <v>603</v>
      </c>
      <c r="C356" s="16" t="s">
        <v>351</v>
      </c>
      <c r="D356" s="34">
        <v>42570</v>
      </c>
      <c r="E356" s="141">
        <v>436000</v>
      </c>
      <c r="H356" s="45" t="s">
        <v>56</v>
      </c>
    </row>
    <row r="357" spans="1:8" ht="30" customHeight="1">
      <c r="A357" s="22" t="s">
        <v>1420</v>
      </c>
      <c r="B357" s="17" t="s">
        <v>1421</v>
      </c>
      <c r="C357" s="16" t="s">
        <v>1422</v>
      </c>
      <c r="D357" s="34">
        <v>42570</v>
      </c>
      <c r="E357" s="141">
        <v>300000</v>
      </c>
      <c r="H357" s="45" t="s">
        <v>1423</v>
      </c>
    </row>
    <row r="358" spans="1:8" ht="30" customHeight="1">
      <c r="A358" s="22" t="s">
        <v>1424</v>
      </c>
      <c r="B358" s="17" t="s">
        <v>1421</v>
      </c>
      <c r="C358" s="16" t="s">
        <v>1425</v>
      </c>
      <c r="D358" s="34">
        <v>42570</v>
      </c>
      <c r="E358" s="141">
        <v>147000</v>
      </c>
      <c r="H358" s="45" t="s">
        <v>1423</v>
      </c>
    </row>
    <row r="359" spans="1:8" ht="30" customHeight="1">
      <c r="A359" s="22" t="s">
        <v>1426</v>
      </c>
      <c r="B359" s="17" t="s">
        <v>1421</v>
      </c>
      <c r="C359" s="16" t="s">
        <v>1427</v>
      </c>
      <c r="D359" s="34">
        <v>42571</v>
      </c>
      <c r="E359" s="141">
        <v>972697.05</v>
      </c>
      <c r="H359" s="45" t="s">
        <v>1423</v>
      </c>
    </row>
    <row r="360" spans="1:8" ht="30" customHeight="1">
      <c r="A360" s="22" t="s">
        <v>1420</v>
      </c>
      <c r="B360" s="17" t="s">
        <v>1421</v>
      </c>
      <c r="C360" s="16" t="s">
        <v>1422</v>
      </c>
      <c r="D360" s="34">
        <v>42571</v>
      </c>
      <c r="E360" s="141">
        <v>443000</v>
      </c>
      <c r="H360" s="45" t="s">
        <v>1423</v>
      </c>
    </row>
    <row r="361" spans="1:8" ht="30" customHeight="1">
      <c r="A361" s="22" t="s">
        <v>1428</v>
      </c>
      <c r="B361" s="17" t="s">
        <v>1421</v>
      </c>
      <c r="C361" s="16" t="s">
        <v>1429</v>
      </c>
      <c r="D361" s="34">
        <v>42571</v>
      </c>
      <c r="E361" s="141">
        <v>300000</v>
      </c>
      <c r="H361" s="45" t="s">
        <v>1423</v>
      </c>
    </row>
    <row r="362" spans="1:8" ht="30" customHeight="1">
      <c r="A362" s="22" t="s">
        <v>2168</v>
      </c>
      <c r="B362" s="17" t="s">
        <v>194</v>
      </c>
      <c r="C362" s="16" t="s">
        <v>274</v>
      </c>
      <c r="D362" s="34">
        <v>42571</v>
      </c>
      <c r="E362" s="141">
        <v>172640.04</v>
      </c>
      <c r="H362" s="45" t="s">
        <v>475</v>
      </c>
    </row>
    <row r="363" spans="1:8" ht="30" hidden="1" customHeight="1">
      <c r="A363" s="22" t="s">
        <v>1379</v>
      </c>
      <c r="B363" s="17" t="s">
        <v>1272</v>
      </c>
      <c r="C363" s="16" t="s">
        <v>902</v>
      </c>
      <c r="D363" s="34">
        <v>42571</v>
      </c>
      <c r="E363" s="141">
        <v>735000</v>
      </c>
      <c r="H363" s="45" t="s">
        <v>56</v>
      </c>
    </row>
    <row r="364" spans="1:8" ht="30" customHeight="1">
      <c r="A364" s="22" t="s">
        <v>1324</v>
      </c>
      <c r="B364" s="17" t="s">
        <v>603</v>
      </c>
      <c r="C364" s="16" t="s">
        <v>479</v>
      </c>
      <c r="D364" s="34">
        <v>42571</v>
      </c>
      <c r="E364" s="141">
        <v>326000</v>
      </c>
      <c r="H364" s="45" t="s">
        <v>56</v>
      </c>
    </row>
    <row r="365" spans="1:8" ht="30" customHeight="1">
      <c r="A365" s="22" t="s">
        <v>1390</v>
      </c>
      <c r="B365" s="17" t="s">
        <v>603</v>
      </c>
      <c r="C365" s="16" t="s">
        <v>1392</v>
      </c>
      <c r="D365" s="34">
        <v>42573</v>
      </c>
      <c r="E365" s="141">
        <v>1000000</v>
      </c>
      <c r="H365" s="45" t="s">
        <v>56</v>
      </c>
    </row>
    <row r="366" spans="1:8" ht="30" customHeight="1">
      <c r="A366" s="22" t="s">
        <v>1442</v>
      </c>
      <c r="B366" s="17" t="s">
        <v>603</v>
      </c>
      <c r="C366" s="16" t="s">
        <v>195</v>
      </c>
      <c r="D366" s="34">
        <v>42576</v>
      </c>
      <c r="E366" s="141">
        <v>297000</v>
      </c>
      <c r="H366" s="45" t="s">
        <v>56</v>
      </c>
    </row>
    <row r="367" spans="1:8" ht="30" hidden="1" customHeight="1">
      <c r="A367" s="22" t="s">
        <v>1489</v>
      </c>
      <c r="B367" s="17" t="s">
        <v>1272</v>
      </c>
      <c r="C367" s="16" t="s">
        <v>902</v>
      </c>
      <c r="D367" s="34">
        <v>42576</v>
      </c>
      <c r="E367" s="141">
        <v>1130000</v>
      </c>
      <c r="H367" s="45" t="s">
        <v>56</v>
      </c>
    </row>
    <row r="368" spans="1:8" ht="30" hidden="1" customHeight="1">
      <c r="A368" s="22" t="s">
        <v>1461</v>
      </c>
      <c r="B368" s="17" t="s">
        <v>1455</v>
      </c>
      <c r="C368" s="16" t="s">
        <v>233</v>
      </c>
      <c r="D368" s="34">
        <v>42569</v>
      </c>
      <c r="E368" s="141">
        <v>347503.41</v>
      </c>
      <c r="H368" s="45" t="s">
        <v>56</v>
      </c>
    </row>
    <row r="369" spans="1:10" ht="30" hidden="1" customHeight="1">
      <c r="A369" s="22" t="s">
        <v>1463</v>
      </c>
      <c r="B369" s="17" t="s">
        <v>1455</v>
      </c>
      <c r="C369" s="16" t="s">
        <v>101</v>
      </c>
      <c r="D369" s="34">
        <v>42566</v>
      </c>
      <c r="E369" s="141">
        <v>336729.64</v>
      </c>
      <c r="H369" s="45" t="s">
        <v>56</v>
      </c>
    </row>
    <row r="370" spans="1:10" ht="30" hidden="1" customHeight="1">
      <c r="A370" s="22" t="s">
        <v>1463</v>
      </c>
      <c r="B370" s="17" t="s">
        <v>1455</v>
      </c>
      <c r="C370" s="16" t="s">
        <v>101</v>
      </c>
      <c r="D370" s="34">
        <v>42572</v>
      </c>
      <c r="E370" s="141">
        <v>644704.25</v>
      </c>
      <c r="H370" s="45" t="s">
        <v>56</v>
      </c>
    </row>
    <row r="371" spans="1:10" ht="30" hidden="1" customHeight="1">
      <c r="A371" s="22" t="s">
        <v>2363</v>
      </c>
      <c r="B371" s="17" t="s">
        <v>1470</v>
      </c>
      <c r="C371" s="16" t="s">
        <v>748</v>
      </c>
      <c r="D371" s="34">
        <v>42552</v>
      </c>
      <c r="E371" s="141">
        <v>78000</v>
      </c>
      <c r="H371" s="45" t="s">
        <v>119</v>
      </c>
    </row>
    <row r="372" spans="1:10" ht="30" hidden="1" customHeight="1">
      <c r="A372" s="22" t="s">
        <v>2364</v>
      </c>
      <c r="B372" s="17" t="s">
        <v>1470</v>
      </c>
      <c r="C372" s="16" t="s">
        <v>748</v>
      </c>
      <c r="D372" s="34">
        <v>42558</v>
      </c>
      <c r="E372" s="141">
        <v>78000</v>
      </c>
      <c r="H372" s="45" t="s">
        <v>119</v>
      </c>
    </row>
    <row r="373" spans="1:10" ht="30" hidden="1" customHeight="1">
      <c r="A373" s="22" t="s">
        <v>2363</v>
      </c>
      <c r="B373" s="17" t="s">
        <v>1470</v>
      </c>
      <c r="C373" s="16" t="s">
        <v>748</v>
      </c>
      <c r="D373" s="34">
        <v>42563</v>
      </c>
      <c r="E373" s="141">
        <v>273000</v>
      </c>
      <c r="H373" s="45" t="s">
        <v>119</v>
      </c>
    </row>
    <row r="374" spans="1:10" ht="30" hidden="1" customHeight="1">
      <c r="A374" s="22" t="s">
        <v>2365</v>
      </c>
      <c r="B374" s="17" t="s">
        <v>1470</v>
      </c>
      <c r="C374" s="16" t="s">
        <v>748</v>
      </c>
      <c r="D374" s="34">
        <v>42569</v>
      </c>
      <c r="E374" s="141">
        <v>78000</v>
      </c>
      <c r="H374" s="45" t="s">
        <v>119</v>
      </c>
    </row>
    <row r="375" spans="1:10" ht="30" hidden="1" customHeight="1">
      <c r="A375" s="22" t="s">
        <v>2364</v>
      </c>
      <c r="B375" s="17" t="s">
        <v>1470</v>
      </c>
      <c r="C375" s="16" t="s">
        <v>748</v>
      </c>
      <c r="D375" s="34">
        <v>42571</v>
      </c>
      <c r="E375" s="141">
        <v>273000</v>
      </c>
      <c r="H375" s="45" t="s">
        <v>119</v>
      </c>
    </row>
    <row r="376" spans="1:10" ht="30" hidden="1" customHeight="1">
      <c r="A376" s="42" t="s">
        <v>1458</v>
      </c>
      <c r="B376" s="17" t="s">
        <v>1488</v>
      </c>
      <c r="C376" s="18" t="s">
        <v>1006</v>
      </c>
      <c r="D376" s="43">
        <v>42563</v>
      </c>
      <c r="H376" s="45" t="s">
        <v>119</v>
      </c>
      <c r="J376" s="45">
        <v>38343.449999999997</v>
      </c>
    </row>
    <row r="377" spans="1:10" ht="30" hidden="1" customHeight="1">
      <c r="A377" s="22" t="s">
        <v>1485</v>
      </c>
      <c r="B377" s="17" t="s">
        <v>1488</v>
      </c>
      <c r="C377" s="16" t="s">
        <v>1486</v>
      </c>
      <c r="D377" s="34">
        <v>42571</v>
      </c>
      <c r="E377" s="141"/>
      <c r="H377" s="45" t="s">
        <v>119</v>
      </c>
      <c r="J377" s="45">
        <v>38343.449999999997</v>
      </c>
    </row>
    <row r="378" spans="1:10" ht="30" hidden="1" customHeight="1">
      <c r="A378" s="22" t="s">
        <v>1487</v>
      </c>
      <c r="B378" s="17" t="s">
        <v>1488</v>
      </c>
      <c r="C378" s="16" t="s">
        <v>1486</v>
      </c>
      <c r="D378" s="34">
        <v>42496</v>
      </c>
      <c r="E378" s="141"/>
      <c r="H378" s="45" t="s">
        <v>119</v>
      </c>
      <c r="J378" s="45">
        <v>2950.7</v>
      </c>
    </row>
    <row r="379" spans="1:10" ht="30" hidden="1" customHeight="1">
      <c r="A379" s="22" t="s">
        <v>1478</v>
      </c>
      <c r="B379" s="17" t="s">
        <v>1272</v>
      </c>
      <c r="C379" s="16" t="s">
        <v>233</v>
      </c>
      <c r="D379" s="34">
        <v>42577</v>
      </c>
      <c r="E379" s="141">
        <v>942000</v>
      </c>
      <c r="H379" s="45" t="s">
        <v>56</v>
      </c>
    </row>
    <row r="380" spans="1:10" ht="30" hidden="1" customHeight="1">
      <c r="A380" s="22" t="s">
        <v>1273</v>
      </c>
      <c r="B380" s="17" t="s">
        <v>1272</v>
      </c>
      <c r="C380" s="16" t="s">
        <v>101</v>
      </c>
      <c r="D380" s="34">
        <v>42578</v>
      </c>
      <c r="E380" s="141">
        <v>440000</v>
      </c>
      <c r="H380" s="45" t="s">
        <v>56</v>
      </c>
    </row>
    <row r="381" spans="1:10" ht="30" customHeight="1">
      <c r="A381" s="22" t="s">
        <v>1411</v>
      </c>
      <c r="B381" s="17" t="s">
        <v>603</v>
      </c>
      <c r="C381" s="16" t="s">
        <v>210</v>
      </c>
      <c r="D381" s="34">
        <v>42578</v>
      </c>
      <c r="E381" s="141">
        <v>458000</v>
      </c>
      <c r="H381" s="45" t="s">
        <v>56</v>
      </c>
    </row>
    <row r="382" spans="1:10" ht="30" customHeight="1">
      <c r="A382" s="22" t="s">
        <v>1400</v>
      </c>
      <c r="B382" s="17" t="s">
        <v>603</v>
      </c>
      <c r="C382" s="16" t="s">
        <v>180</v>
      </c>
      <c r="D382" s="34">
        <v>42579</v>
      </c>
      <c r="E382" s="141">
        <v>1000000</v>
      </c>
      <c r="H382" s="45" t="s">
        <v>56</v>
      </c>
    </row>
    <row r="383" spans="1:10" ht="30" hidden="1" customHeight="1">
      <c r="A383" s="22" t="s">
        <v>1430</v>
      </c>
      <c r="B383" s="17" t="s">
        <v>1272</v>
      </c>
      <c r="C383" s="16" t="s">
        <v>101</v>
      </c>
      <c r="D383" s="34">
        <v>42579</v>
      </c>
      <c r="E383" s="141">
        <v>1150000</v>
      </c>
      <c r="H383" s="45" t="s">
        <v>56</v>
      </c>
    </row>
    <row r="384" spans="1:10" ht="30" hidden="1" customHeight="1">
      <c r="A384" s="22" t="s">
        <v>1500</v>
      </c>
      <c r="B384" s="17" t="s">
        <v>768</v>
      </c>
      <c r="C384" s="16" t="s">
        <v>405</v>
      </c>
      <c r="D384" s="34">
        <v>42565</v>
      </c>
      <c r="E384" s="141"/>
      <c r="H384" s="45" t="s">
        <v>119</v>
      </c>
      <c r="I384" s="143">
        <v>1530</v>
      </c>
    </row>
    <row r="385" spans="1:10" ht="30" hidden="1" customHeight="1">
      <c r="A385" s="22" t="s">
        <v>1500</v>
      </c>
      <c r="B385" s="17" t="s">
        <v>764</v>
      </c>
      <c r="C385" s="16" t="s">
        <v>405</v>
      </c>
      <c r="D385" s="34">
        <v>42565</v>
      </c>
      <c r="E385" s="141"/>
      <c r="H385" s="45" t="s">
        <v>119</v>
      </c>
      <c r="J385" s="45">
        <v>7054.92</v>
      </c>
    </row>
    <row r="386" spans="1:10" ht="30" hidden="1" customHeight="1">
      <c r="A386" s="22" t="s">
        <v>1136</v>
      </c>
      <c r="B386" s="17" t="s">
        <v>218</v>
      </c>
      <c r="C386" s="16" t="s">
        <v>101</v>
      </c>
      <c r="D386" s="34">
        <v>42579</v>
      </c>
      <c r="E386" s="141">
        <v>169228.24</v>
      </c>
      <c r="H386" s="45" t="s">
        <v>56</v>
      </c>
    </row>
    <row r="387" spans="1:10" ht="30" hidden="1" customHeight="1">
      <c r="A387" s="22" t="s">
        <v>1458</v>
      </c>
      <c r="B387" s="17" t="s">
        <v>764</v>
      </c>
      <c r="C387" s="16" t="s">
        <v>1006</v>
      </c>
      <c r="D387" s="34">
        <v>42577</v>
      </c>
      <c r="E387" s="141"/>
      <c r="H387" s="45" t="s">
        <v>119</v>
      </c>
      <c r="J387" s="45">
        <v>180360</v>
      </c>
    </row>
    <row r="388" spans="1:10" ht="30" customHeight="1">
      <c r="A388" s="22" t="s">
        <v>1401</v>
      </c>
      <c r="B388" s="17" t="s">
        <v>603</v>
      </c>
      <c r="C388" s="16" t="s">
        <v>1446</v>
      </c>
      <c r="D388" s="34">
        <v>42583</v>
      </c>
      <c r="E388" s="141">
        <v>800000</v>
      </c>
      <c r="H388" s="45" t="s">
        <v>56</v>
      </c>
    </row>
    <row r="389" spans="1:10" ht="30" hidden="1" customHeight="1">
      <c r="A389" s="22" t="s">
        <v>1511</v>
      </c>
      <c r="B389" s="17" t="s">
        <v>412</v>
      </c>
      <c r="C389" s="16" t="s">
        <v>321</v>
      </c>
      <c r="D389" s="34">
        <v>42584</v>
      </c>
      <c r="E389" s="175">
        <v>761893.46</v>
      </c>
      <c r="H389" s="45" t="s">
        <v>118</v>
      </c>
    </row>
    <row r="390" spans="1:10" ht="30" hidden="1" customHeight="1">
      <c r="A390" s="22" t="s">
        <v>1512</v>
      </c>
      <c r="B390" s="17" t="s">
        <v>644</v>
      </c>
      <c r="C390" s="16" t="s">
        <v>321</v>
      </c>
      <c r="D390" s="34">
        <v>42584</v>
      </c>
      <c r="E390" s="175">
        <v>557025.52</v>
      </c>
      <c r="H390" s="45" t="s">
        <v>118</v>
      </c>
    </row>
    <row r="391" spans="1:10" ht="30" customHeight="1">
      <c r="A391" s="22" t="s">
        <v>1513</v>
      </c>
      <c r="B391" s="17" t="s">
        <v>603</v>
      </c>
      <c r="C391" s="16" t="s">
        <v>321</v>
      </c>
      <c r="D391" s="34">
        <v>42584</v>
      </c>
      <c r="E391" s="175">
        <v>4127791.66</v>
      </c>
      <c r="H391" s="45" t="s">
        <v>118</v>
      </c>
    </row>
    <row r="392" spans="1:10" ht="30" hidden="1" customHeight="1">
      <c r="A392" s="22" t="s">
        <v>1454</v>
      </c>
      <c r="B392" s="17" t="s">
        <v>218</v>
      </c>
      <c r="C392" s="16" t="s">
        <v>321</v>
      </c>
      <c r="D392" s="34">
        <v>42572</v>
      </c>
      <c r="E392" s="175">
        <v>1841359.77</v>
      </c>
      <c r="H392" s="45" t="s">
        <v>118</v>
      </c>
    </row>
    <row r="393" spans="1:10" ht="30" hidden="1" customHeight="1">
      <c r="A393" s="22" t="s">
        <v>1430</v>
      </c>
      <c r="B393" s="17" t="s">
        <v>1272</v>
      </c>
      <c r="C393" s="16" t="s">
        <v>101</v>
      </c>
      <c r="D393" s="34">
        <v>42584</v>
      </c>
      <c r="E393" s="141">
        <v>1030000</v>
      </c>
      <c r="H393" s="45" t="s">
        <v>56</v>
      </c>
    </row>
    <row r="394" spans="1:10" ht="30" customHeight="1">
      <c r="A394" s="22" t="s">
        <v>1400</v>
      </c>
      <c r="B394" s="17" t="s">
        <v>603</v>
      </c>
      <c r="C394" s="16" t="s">
        <v>180</v>
      </c>
      <c r="D394" s="34">
        <v>42585</v>
      </c>
      <c r="E394" s="141">
        <v>690000</v>
      </c>
      <c r="H394" s="45" t="s">
        <v>56</v>
      </c>
    </row>
    <row r="395" spans="1:10" ht="30" hidden="1" customHeight="1">
      <c r="A395" s="22" t="s">
        <v>1430</v>
      </c>
      <c r="B395" s="17" t="s">
        <v>1272</v>
      </c>
      <c r="C395" s="16" t="s">
        <v>101</v>
      </c>
      <c r="D395" s="34">
        <v>42585</v>
      </c>
      <c r="E395" s="141">
        <v>843000</v>
      </c>
      <c r="H395" s="45" t="s">
        <v>56</v>
      </c>
    </row>
    <row r="396" spans="1:10" ht="30" customHeight="1">
      <c r="A396" s="22" t="s">
        <v>1544</v>
      </c>
      <c r="B396" s="17" t="s">
        <v>1545</v>
      </c>
      <c r="C396" s="16" t="s">
        <v>1546</v>
      </c>
      <c r="D396" s="34">
        <v>42580</v>
      </c>
      <c r="E396" s="141">
        <v>4507.1400000000003</v>
      </c>
      <c r="H396" s="45" t="s">
        <v>1547</v>
      </c>
    </row>
    <row r="397" spans="1:10" ht="30" customHeight="1">
      <c r="A397" s="22" t="s">
        <v>1473</v>
      </c>
      <c r="B397" s="17" t="s">
        <v>1545</v>
      </c>
      <c r="C397" s="16" t="s">
        <v>1548</v>
      </c>
      <c r="D397" s="34">
        <v>42577</v>
      </c>
      <c r="E397" s="141">
        <v>302463</v>
      </c>
      <c r="H397" s="45" t="s">
        <v>1549</v>
      </c>
    </row>
    <row r="398" spans="1:10" ht="30" customHeight="1">
      <c r="A398" s="22" t="s">
        <v>991</v>
      </c>
      <c r="B398" s="17" t="s">
        <v>1545</v>
      </c>
      <c r="C398" s="16" t="s">
        <v>871</v>
      </c>
      <c r="D398" s="34">
        <v>42587</v>
      </c>
      <c r="E398" s="141">
        <v>7517.5</v>
      </c>
      <c r="H398" s="45" t="s">
        <v>1547</v>
      </c>
    </row>
    <row r="399" spans="1:10" ht="30" hidden="1" customHeight="1">
      <c r="A399" s="22" t="s">
        <v>1572</v>
      </c>
      <c r="B399" s="17" t="s">
        <v>1272</v>
      </c>
      <c r="C399" s="16" t="s">
        <v>101</v>
      </c>
      <c r="D399" s="34">
        <v>42590</v>
      </c>
      <c r="E399" s="141">
        <v>1210000</v>
      </c>
      <c r="H399" s="45" t="s">
        <v>56</v>
      </c>
    </row>
    <row r="400" spans="1:10" ht="30" customHeight="1">
      <c r="A400" s="22" t="s">
        <v>1570</v>
      </c>
      <c r="B400" s="17" t="s">
        <v>603</v>
      </c>
      <c r="C400" s="16" t="s">
        <v>1446</v>
      </c>
      <c r="D400" s="34">
        <v>42590</v>
      </c>
      <c r="E400" s="141">
        <v>420000</v>
      </c>
      <c r="H400" s="45" t="s">
        <v>56</v>
      </c>
    </row>
    <row r="401" spans="1:8" ht="30" customHeight="1">
      <c r="A401" s="22" t="s">
        <v>1540</v>
      </c>
      <c r="B401" s="17" t="s">
        <v>603</v>
      </c>
      <c r="C401" s="16" t="s">
        <v>210</v>
      </c>
      <c r="D401" s="34">
        <v>42590</v>
      </c>
      <c r="E401" s="141">
        <v>1160000</v>
      </c>
      <c r="H401" s="45" t="s">
        <v>119</v>
      </c>
    </row>
    <row r="402" spans="1:8" ht="30" customHeight="1">
      <c r="A402" s="22" t="s">
        <v>1598</v>
      </c>
      <c r="B402" s="17" t="s">
        <v>194</v>
      </c>
      <c r="C402" s="16" t="s">
        <v>869</v>
      </c>
      <c r="D402" s="34">
        <v>42592</v>
      </c>
      <c r="E402" s="141">
        <v>380000</v>
      </c>
      <c r="H402" s="45" t="s">
        <v>56</v>
      </c>
    </row>
    <row r="403" spans="1:8" ht="30" hidden="1" customHeight="1">
      <c r="A403" s="22" t="s">
        <v>1217</v>
      </c>
      <c r="B403" s="17" t="s">
        <v>82</v>
      </c>
      <c r="C403" s="16" t="s">
        <v>321</v>
      </c>
      <c r="D403" s="34">
        <v>42593</v>
      </c>
      <c r="E403" s="173">
        <v>772946.14</v>
      </c>
      <c r="H403" s="45" t="s">
        <v>1593</v>
      </c>
    </row>
    <row r="404" spans="1:8" ht="30" customHeight="1">
      <c r="A404" s="22" t="s">
        <v>1219</v>
      </c>
      <c r="B404" s="17" t="s">
        <v>60</v>
      </c>
      <c r="C404" s="16" t="s">
        <v>321</v>
      </c>
      <c r="D404" s="34">
        <v>42593</v>
      </c>
      <c r="E404" s="173">
        <v>2407826.6</v>
      </c>
      <c r="H404" s="45" t="s">
        <v>118</v>
      </c>
    </row>
    <row r="405" spans="1:8" ht="30" customHeight="1">
      <c r="A405" s="22" t="s">
        <v>2124</v>
      </c>
      <c r="B405" s="17" t="s">
        <v>194</v>
      </c>
      <c r="C405" s="16" t="s">
        <v>474</v>
      </c>
      <c r="D405" s="34">
        <v>42594</v>
      </c>
      <c r="E405" s="141">
        <v>288318.5</v>
      </c>
      <c r="H405" s="45" t="s">
        <v>475</v>
      </c>
    </row>
    <row r="406" spans="1:8" ht="30" customHeight="1">
      <c r="A406" s="22" t="s">
        <v>1570</v>
      </c>
      <c r="B406" s="17" t="s">
        <v>430</v>
      </c>
      <c r="C406" s="16" t="s">
        <v>1446</v>
      </c>
      <c r="D406" s="34">
        <v>42594</v>
      </c>
      <c r="E406" s="141">
        <v>800000</v>
      </c>
      <c r="H406" s="45" t="s">
        <v>178</v>
      </c>
    </row>
    <row r="407" spans="1:8" ht="30" customHeight="1">
      <c r="A407" s="22" t="s">
        <v>1540</v>
      </c>
      <c r="B407" s="17" t="s">
        <v>430</v>
      </c>
      <c r="C407" s="16" t="s">
        <v>210</v>
      </c>
      <c r="D407" s="34">
        <v>42594</v>
      </c>
      <c r="E407" s="141">
        <v>800000</v>
      </c>
      <c r="H407" s="45" t="s">
        <v>119</v>
      </c>
    </row>
    <row r="408" spans="1:8" ht="30" customHeight="1">
      <c r="A408" s="22" t="s">
        <v>1570</v>
      </c>
      <c r="B408" s="17" t="s">
        <v>430</v>
      </c>
      <c r="C408" s="16" t="s">
        <v>1446</v>
      </c>
      <c r="D408" s="34">
        <v>42594</v>
      </c>
      <c r="E408" s="141">
        <v>890000</v>
      </c>
      <c r="H408" s="45" t="s">
        <v>178</v>
      </c>
    </row>
    <row r="409" spans="1:8" ht="30" customHeight="1">
      <c r="A409" s="22" t="s">
        <v>1540</v>
      </c>
      <c r="B409" s="17" t="s">
        <v>430</v>
      </c>
      <c r="C409" s="16" t="s">
        <v>210</v>
      </c>
      <c r="D409" s="34">
        <v>42594</v>
      </c>
      <c r="E409" s="141">
        <v>600000</v>
      </c>
      <c r="H409" s="45" t="s">
        <v>119</v>
      </c>
    </row>
    <row r="410" spans="1:8" ht="30" customHeight="1">
      <c r="A410" s="22" t="s">
        <v>1400</v>
      </c>
      <c r="B410" s="17" t="s">
        <v>603</v>
      </c>
      <c r="C410" s="16" t="s">
        <v>180</v>
      </c>
      <c r="D410" s="34">
        <v>42594</v>
      </c>
      <c r="E410" s="141">
        <v>489000</v>
      </c>
      <c r="H410" s="45" t="s">
        <v>56</v>
      </c>
    </row>
    <row r="411" spans="1:8" ht="30" hidden="1" customHeight="1">
      <c r="A411" s="22" t="s">
        <v>1275</v>
      </c>
      <c r="B411" s="17" t="s">
        <v>1380</v>
      </c>
      <c r="C411" s="16" t="s">
        <v>233</v>
      </c>
      <c r="D411" s="34">
        <v>42594</v>
      </c>
      <c r="E411" s="141">
        <v>890000</v>
      </c>
      <c r="H411" s="45" t="s">
        <v>56</v>
      </c>
    </row>
    <row r="412" spans="1:8" ht="30" hidden="1" customHeight="1">
      <c r="A412" s="22" t="s">
        <v>1379</v>
      </c>
      <c r="B412" s="17" t="s">
        <v>1380</v>
      </c>
      <c r="C412" s="16" t="s">
        <v>101</v>
      </c>
      <c r="D412" s="34">
        <v>42599</v>
      </c>
      <c r="E412" s="141">
        <v>1118344.75</v>
      </c>
      <c r="H412" s="45" t="s">
        <v>56</v>
      </c>
    </row>
    <row r="413" spans="1:8" ht="30" hidden="1" customHeight="1">
      <c r="A413" s="22" t="s">
        <v>1613</v>
      </c>
      <c r="B413" s="17" t="s">
        <v>1614</v>
      </c>
      <c r="C413" s="16" t="s">
        <v>1615</v>
      </c>
      <c r="D413" s="34">
        <v>42599</v>
      </c>
      <c r="E413" s="141">
        <v>169987.3</v>
      </c>
      <c r="H413" s="45" t="s">
        <v>1616</v>
      </c>
    </row>
    <row r="414" spans="1:8" ht="30" hidden="1" customHeight="1">
      <c r="A414" s="22" t="s">
        <v>1617</v>
      </c>
      <c r="B414" s="17" t="s">
        <v>1614</v>
      </c>
      <c r="C414" s="16" t="s">
        <v>1615</v>
      </c>
      <c r="D414" s="34">
        <v>42599</v>
      </c>
      <c r="E414" s="141">
        <v>1000000</v>
      </c>
      <c r="H414" s="45" t="s">
        <v>1616</v>
      </c>
    </row>
    <row r="415" spans="1:8" ht="30" customHeight="1">
      <c r="A415" s="22" t="s">
        <v>1618</v>
      </c>
      <c r="B415" s="17" t="s">
        <v>1619</v>
      </c>
      <c r="C415" s="16" t="s">
        <v>1620</v>
      </c>
      <c r="D415" s="34">
        <v>42599</v>
      </c>
      <c r="E415" s="141">
        <v>395200</v>
      </c>
      <c r="H415" s="45" t="s">
        <v>1616</v>
      </c>
    </row>
    <row r="416" spans="1:8" ht="30" hidden="1" customHeight="1">
      <c r="A416" s="22" t="s">
        <v>2365</v>
      </c>
      <c r="B416" s="17" t="s">
        <v>736</v>
      </c>
      <c r="C416" s="16" t="s">
        <v>748</v>
      </c>
      <c r="D416" s="34">
        <v>42584</v>
      </c>
      <c r="E416" s="141">
        <v>273000</v>
      </c>
      <c r="H416" s="45" t="s">
        <v>119</v>
      </c>
    </row>
    <row r="417" spans="1:10" ht="30" hidden="1" customHeight="1">
      <c r="A417" s="22" t="s">
        <v>2366</v>
      </c>
      <c r="B417" s="17" t="s">
        <v>736</v>
      </c>
      <c r="C417" s="16" t="s">
        <v>748</v>
      </c>
      <c r="D417" s="34">
        <v>42598</v>
      </c>
      <c r="E417" s="141">
        <v>273000</v>
      </c>
      <c r="H417" s="45" t="s">
        <v>119</v>
      </c>
    </row>
    <row r="418" spans="1:10" ht="30" hidden="1" customHeight="1">
      <c r="A418" s="42" t="s">
        <v>1627</v>
      </c>
      <c r="B418" s="17" t="s">
        <v>764</v>
      </c>
      <c r="C418" s="16" t="s">
        <v>1006</v>
      </c>
      <c r="D418" s="43">
        <v>42585</v>
      </c>
      <c r="H418" s="45" t="s">
        <v>119</v>
      </c>
      <c r="J418" s="45">
        <v>180005</v>
      </c>
    </row>
    <row r="419" spans="1:10" ht="30" hidden="1" customHeight="1">
      <c r="A419" s="22" t="s">
        <v>1628</v>
      </c>
      <c r="B419" s="17" t="s">
        <v>1631</v>
      </c>
      <c r="C419" s="16" t="s">
        <v>1006</v>
      </c>
      <c r="D419" s="34">
        <v>42598</v>
      </c>
      <c r="E419" s="141"/>
      <c r="H419" s="45" t="s">
        <v>119</v>
      </c>
      <c r="J419" s="45">
        <v>38892.449999999997</v>
      </c>
    </row>
    <row r="420" spans="1:10" ht="30" hidden="1" customHeight="1">
      <c r="A420" s="22" t="s">
        <v>1628</v>
      </c>
      <c r="B420" s="17" t="s">
        <v>160</v>
      </c>
      <c r="C420" s="16" t="s">
        <v>1006</v>
      </c>
      <c r="D420" s="34">
        <v>42598</v>
      </c>
      <c r="E420" s="141"/>
      <c r="H420" s="45" t="s">
        <v>119</v>
      </c>
      <c r="J420" s="45">
        <v>181305</v>
      </c>
    </row>
    <row r="421" spans="1:10" ht="30" customHeight="1">
      <c r="A421" s="22" t="s">
        <v>453</v>
      </c>
      <c r="B421" s="17" t="s">
        <v>60</v>
      </c>
      <c r="C421" s="16" t="s">
        <v>144</v>
      </c>
      <c r="D421" s="34">
        <v>42515</v>
      </c>
      <c r="E421" s="141">
        <v>2711419.4399999995</v>
      </c>
      <c r="F421" s="45" t="s">
        <v>823</v>
      </c>
      <c r="H421" s="45" t="s">
        <v>118</v>
      </c>
    </row>
    <row r="422" spans="1:10" ht="30" customHeight="1">
      <c r="A422" s="22" t="s">
        <v>545</v>
      </c>
      <c r="B422" s="17" t="s">
        <v>60</v>
      </c>
      <c r="C422" s="16" t="s">
        <v>144</v>
      </c>
      <c r="D422" s="34">
        <v>42515</v>
      </c>
      <c r="E422" s="141">
        <v>4788580.5600000005</v>
      </c>
      <c r="F422" s="45" t="s">
        <v>823</v>
      </c>
      <c r="H422" s="45" t="s">
        <v>118</v>
      </c>
    </row>
    <row r="423" spans="1:10" ht="30" customHeight="1">
      <c r="A423" s="22" t="s">
        <v>545</v>
      </c>
      <c r="B423" s="17" t="s">
        <v>60</v>
      </c>
      <c r="C423" s="16" t="s">
        <v>144</v>
      </c>
      <c r="D423" s="34">
        <v>42538</v>
      </c>
      <c r="E423" s="141">
        <v>4389588.58</v>
      </c>
      <c r="F423" s="45" t="s">
        <v>823</v>
      </c>
      <c r="H423" s="45" t="s">
        <v>118</v>
      </c>
    </row>
    <row r="424" spans="1:10" ht="30" customHeight="1">
      <c r="A424" s="22" t="s">
        <v>804</v>
      </c>
      <c r="B424" s="17" t="s">
        <v>60</v>
      </c>
      <c r="C424" s="16" t="s">
        <v>144</v>
      </c>
      <c r="D424" s="34">
        <v>42538</v>
      </c>
      <c r="E424" s="141">
        <v>2610411.42</v>
      </c>
      <c r="F424" s="45" t="s">
        <v>823</v>
      </c>
      <c r="H424" s="45" t="s">
        <v>118</v>
      </c>
    </row>
    <row r="425" spans="1:10" ht="30" customHeight="1">
      <c r="A425" s="22" t="s">
        <v>804</v>
      </c>
      <c r="B425" s="17" t="s">
        <v>60</v>
      </c>
      <c r="C425" s="16" t="s">
        <v>144</v>
      </c>
      <c r="D425" s="34">
        <v>42570</v>
      </c>
      <c r="E425" s="141">
        <v>794469.54</v>
      </c>
      <c r="F425" s="45" t="s">
        <v>823</v>
      </c>
      <c r="H425" s="45" t="s">
        <v>118</v>
      </c>
    </row>
    <row r="426" spans="1:10" ht="30" customHeight="1">
      <c r="A426" s="22" t="s">
        <v>1055</v>
      </c>
      <c r="B426" s="17" t="s">
        <v>60</v>
      </c>
      <c r="C426" s="16" t="s">
        <v>144</v>
      </c>
      <c r="D426" s="34">
        <v>42570</v>
      </c>
      <c r="E426" s="141">
        <v>2205530.46</v>
      </c>
      <c r="F426" s="45" t="s">
        <v>823</v>
      </c>
      <c r="H426" s="45" t="s">
        <v>118</v>
      </c>
    </row>
    <row r="427" spans="1:10" ht="30" customHeight="1">
      <c r="A427" s="22" t="s">
        <v>1055</v>
      </c>
      <c r="B427" s="17" t="s">
        <v>60</v>
      </c>
      <c r="C427" s="16" t="s">
        <v>144</v>
      </c>
      <c r="D427" s="34">
        <v>42597</v>
      </c>
      <c r="E427" s="141">
        <v>309515.81999999983</v>
      </c>
      <c r="F427" s="45" t="s">
        <v>1629</v>
      </c>
      <c r="G427" s="149">
        <v>42777</v>
      </c>
      <c r="H427" s="45" t="s">
        <v>118</v>
      </c>
    </row>
    <row r="428" spans="1:10" ht="30" customHeight="1">
      <c r="A428" s="22" t="s">
        <v>1220</v>
      </c>
      <c r="B428" s="17" t="s">
        <v>60</v>
      </c>
      <c r="C428" s="16" t="s">
        <v>144</v>
      </c>
      <c r="D428" s="34">
        <v>42597</v>
      </c>
      <c r="E428" s="141">
        <v>3690484.18</v>
      </c>
      <c r="F428" s="45" t="s">
        <v>1629</v>
      </c>
      <c r="G428" s="149">
        <v>42777</v>
      </c>
      <c r="H428" s="45" t="s">
        <v>118</v>
      </c>
    </row>
    <row r="429" spans="1:10" ht="30" hidden="1" customHeight="1">
      <c r="A429" s="22" t="s">
        <v>1572</v>
      </c>
      <c r="B429" s="17" t="s">
        <v>1380</v>
      </c>
      <c r="C429" s="16" t="s">
        <v>101</v>
      </c>
      <c r="D429" s="34">
        <v>42600</v>
      </c>
      <c r="E429" s="141">
        <v>1250000</v>
      </c>
      <c r="H429" s="45" t="s">
        <v>56</v>
      </c>
    </row>
    <row r="430" spans="1:10" ht="30" hidden="1" customHeight="1">
      <c r="A430" s="22" t="s">
        <v>1597</v>
      </c>
      <c r="B430" s="17" t="s">
        <v>93</v>
      </c>
      <c r="C430" s="16" t="s">
        <v>233</v>
      </c>
      <c r="D430" s="34">
        <v>42601</v>
      </c>
      <c r="E430" s="141">
        <v>700000</v>
      </c>
      <c r="H430" s="45" t="s">
        <v>56</v>
      </c>
    </row>
    <row r="431" spans="1:10" ht="30" customHeight="1">
      <c r="A431" s="22" t="s">
        <v>1220</v>
      </c>
      <c r="B431" s="17" t="s">
        <v>60</v>
      </c>
      <c r="C431" s="16" t="s">
        <v>144</v>
      </c>
      <c r="D431" s="34">
        <v>42604</v>
      </c>
      <c r="E431" s="141">
        <v>3394456.0200000009</v>
      </c>
      <c r="F431" s="45" t="s">
        <v>1629</v>
      </c>
      <c r="G431" s="149">
        <v>42784</v>
      </c>
      <c r="H431" s="45" t="s">
        <v>118</v>
      </c>
    </row>
    <row r="432" spans="1:10" ht="30" customHeight="1">
      <c r="A432" s="22" t="s">
        <v>1585</v>
      </c>
      <c r="B432" s="17" t="s">
        <v>445</v>
      </c>
      <c r="C432" s="16" t="s">
        <v>144</v>
      </c>
      <c r="D432" s="34">
        <v>42604</v>
      </c>
      <c r="E432" s="141">
        <v>605543.97999999905</v>
      </c>
      <c r="F432" s="45" t="s">
        <v>1629</v>
      </c>
      <c r="G432" s="149">
        <v>42784</v>
      </c>
      <c r="H432" s="45" t="s">
        <v>1719</v>
      </c>
    </row>
    <row r="433" spans="1:8" ht="30" customHeight="1">
      <c r="A433" s="22" t="s">
        <v>991</v>
      </c>
      <c r="B433" s="17" t="s">
        <v>240</v>
      </c>
      <c r="C433" s="16" t="s">
        <v>474</v>
      </c>
      <c r="D433" s="34">
        <v>42600</v>
      </c>
      <c r="E433" s="141">
        <v>3001.96</v>
      </c>
      <c r="H433" s="45" t="s">
        <v>872</v>
      </c>
    </row>
    <row r="434" spans="1:8" ht="30" hidden="1" customHeight="1">
      <c r="A434" s="22" t="s">
        <v>1888</v>
      </c>
      <c r="B434" s="17" t="s">
        <v>1720</v>
      </c>
      <c r="C434" s="16" t="s">
        <v>1721</v>
      </c>
      <c r="D434" s="34">
        <v>42605</v>
      </c>
      <c r="E434" s="141">
        <v>600000</v>
      </c>
      <c r="H434" s="45" t="s">
        <v>1722</v>
      </c>
    </row>
    <row r="435" spans="1:8" ht="30" hidden="1" customHeight="1">
      <c r="A435" s="22" t="s">
        <v>1723</v>
      </c>
      <c r="B435" s="17" t="s">
        <v>1724</v>
      </c>
      <c r="C435" s="16" t="s">
        <v>1721</v>
      </c>
      <c r="D435" s="34">
        <v>42605</v>
      </c>
      <c r="E435" s="141">
        <v>300000</v>
      </c>
      <c r="H435" s="45" t="s">
        <v>1725</v>
      </c>
    </row>
    <row r="436" spans="1:8" ht="30" hidden="1" customHeight="1">
      <c r="A436" s="22" t="s">
        <v>1726</v>
      </c>
      <c r="B436" s="17" t="s">
        <v>1720</v>
      </c>
      <c r="C436" s="16" t="s">
        <v>1721</v>
      </c>
      <c r="D436" s="34">
        <v>42605</v>
      </c>
      <c r="E436" s="141">
        <v>223195.03000000003</v>
      </c>
      <c r="H436" s="45" t="s">
        <v>1725</v>
      </c>
    </row>
    <row r="437" spans="1:8" ht="30" hidden="1" customHeight="1">
      <c r="A437" s="22" t="s">
        <v>1727</v>
      </c>
      <c r="B437" s="17" t="s">
        <v>1720</v>
      </c>
      <c r="C437" s="16" t="s">
        <v>1728</v>
      </c>
      <c r="D437" s="34">
        <v>42605</v>
      </c>
      <c r="E437" s="141">
        <v>1210000</v>
      </c>
      <c r="H437" s="45" t="s">
        <v>1725</v>
      </c>
    </row>
    <row r="438" spans="1:8" ht="30" customHeight="1">
      <c r="A438" s="22" t="s">
        <v>1729</v>
      </c>
      <c r="B438" s="17" t="s">
        <v>1730</v>
      </c>
      <c r="C438" s="16" t="s">
        <v>1731</v>
      </c>
      <c r="D438" s="34">
        <v>42605</v>
      </c>
      <c r="E438" s="141">
        <v>1000000</v>
      </c>
      <c r="H438" s="45" t="s">
        <v>1725</v>
      </c>
    </row>
    <row r="439" spans="1:8" ht="30" customHeight="1">
      <c r="A439" s="22" t="s">
        <v>1732</v>
      </c>
      <c r="B439" s="17" t="s">
        <v>1730</v>
      </c>
      <c r="C439" s="16" t="s">
        <v>1731</v>
      </c>
      <c r="D439" s="34">
        <v>42605</v>
      </c>
      <c r="E439" s="141">
        <v>500000</v>
      </c>
      <c r="H439" s="45" t="s">
        <v>1725</v>
      </c>
    </row>
    <row r="440" spans="1:8" ht="30" customHeight="1">
      <c r="A440" s="22" t="s">
        <v>1743</v>
      </c>
      <c r="B440" s="17" t="s">
        <v>240</v>
      </c>
      <c r="C440" s="16" t="s">
        <v>1746</v>
      </c>
      <c r="D440" s="34">
        <v>42606</v>
      </c>
      <c r="E440" s="141">
        <v>395200</v>
      </c>
      <c r="H440" s="45" t="s">
        <v>119</v>
      </c>
    </row>
    <row r="441" spans="1:8" ht="30" customHeight="1">
      <c r="A441" s="22" t="s">
        <v>1497</v>
      </c>
      <c r="B441" s="17" t="s">
        <v>60</v>
      </c>
      <c r="C441" s="16" t="s">
        <v>144</v>
      </c>
      <c r="D441" s="34">
        <v>42606</v>
      </c>
      <c r="E441" s="141">
        <v>3622906.810000001</v>
      </c>
      <c r="F441" s="45" t="s">
        <v>1629</v>
      </c>
      <c r="G441" s="149">
        <v>42785</v>
      </c>
      <c r="H441" s="45" t="s">
        <v>118</v>
      </c>
    </row>
    <row r="442" spans="1:8" ht="30" customHeight="1">
      <c r="A442" s="22" t="s">
        <v>545</v>
      </c>
      <c r="B442" s="17" t="s">
        <v>60</v>
      </c>
      <c r="C442" s="16" t="s">
        <v>144</v>
      </c>
      <c r="D442" s="34">
        <v>42606</v>
      </c>
      <c r="E442" s="141">
        <v>42471</v>
      </c>
      <c r="F442" s="45" t="s">
        <v>1629</v>
      </c>
      <c r="G442" s="149">
        <v>42785</v>
      </c>
      <c r="H442" s="45" t="s">
        <v>118</v>
      </c>
    </row>
    <row r="443" spans="1:8" ht="30" customHeight="1">
      <c r="A443" s="22" t="s">
        <v>1220</v>
      </c>
      <c r="B443" s="17" t="s">
        <v>60</v>
      </c>
      <c r="C443" s="16" t="s">
        <v>144</v>
      </c>
      <c r="D443" s="34">
        <v>42606</v>
      </c>
      <c r="E443" s="141">
        <v>624299.18999999948</v>
      </c>
      <c r="F443" s="45" t="s">
        <v>1629</v>
      </c>
      <c r="G443" s="149">
        <v>42785</v>
      </c>
      <c r="H443" s="45" t="s">
        <v>118</v>
      </c>
    </row>
    <row r="444" spans="1:8" ht="30" customHeight="1">
      <c r="A444" s="22" t="s">
        <v>1497</v>
      </c>
      <c r="B444" s="17" t="s">
        <v>60</v>
      </c>
      <c r="C444" s="16" t="s">
        <v>144</v>
      </c>
      <c r="D444" s="34">
        <v>42606</v>
      </c>
      <c r="E444" s="141">
        <v>2510322.9999999995</v>
      </c>
      <c r="F444" s="45" t="s">
        <v>1629</v>
      </c>
      <c r="G444" s="149">
        <v>42785</v>
      </c>
      <c r="H444" s="45" t="s">
        <v>118</v>
      </c>
    </row>
    <row r="445" spans="1:8" ht="30" customHeight="1">
      <c r="A445" s="22" t="s">
        <v>1842</v>
      </c>
      <c r="B445" s="17" t="s">
        <v>773</v>
      </c>
      <c r="C445" s="16" t="s">
        <v>978</v>
      </c>
      <c r="D445" s="34">
        <v>42607</v>
      </c>
      <c r="E445" s="141">
        <v>967000</v>
      </c>
      <c r="H445" s="45" t="s">
        <v>1843</v>
      </c>
    </row>
    <row r="446" spans="1:8" ht="30" customHeight="1">
      <c r="A446" s="22" t="s">
        <v>1507</v>
      </c>
      <c r="B446" s="17" t="s">
        <v>773</v>
      </c>
      <c r="C446" s="16" t="s">
        <v>190</v>
      </c>
      <c r="D446" s="34">
        <v>42607</v>
      </c>
      <c r="E446" s="141">
        <v>850000</v>
      </c>
      <c r="H446" s="45" t="s">
        <v>208</v>
      </c>
    </row>
    <row r="447" spans="1:8" ht="30" customHeight="1">
      <c r="A447" s="22" t="s">
        <v>1632</v>
      </c>
      <c r="B447" s="17" t="s">
        <v>773</v>
      </c>
      <c r="C447" s="16" t="s">
        <v>190</v>
      </c>
      <c r="D447" s="34">
        <v>42607</v>
      </c>
      <c r="E447" s="141">
        <v>450000</v>
      </c>
      <c r="H447" s="45" t="s">
        <v>1843</v>
      </c>
    </row>
    <row r="448" spans="1:8" ht="30" customHeight="1">
      <c r="A448" s="22" t="s">
        <v>1632</v>
      </c>
      <c r="B448" s="17" t="s">
        <v>773</v>
      </c>
      <c r="C448" s="16" t="s">
        <v>190</v>
      </c>
      <c r="D448" s="34">
        <v>42607</v>
      </c>
      <c r="E448" s="141">
        <v>1000000</v>
      </c>
      <c r="H448" s="45" t="s">
        <v>1843</v>
      </c>
    </row>
    <row r="449" spans="1:10" ht="30" customHeight="1">
      <c r="A449" s="22" t="s">
        <v>1390</v>
      </c>
      <c r="B449" s="17" t="s">
        <v>773</v>
      </c>
      <c r="C449" s="16" t="s">
        <v>1844</v>
      </c>
      <c r="D449" s="34">
        <v>42607</v>
      </c>
      <c r="E449" s="141">
        <v>1000000</v>
      </c>
      <c r="H449" s="45" t="s">
        <v>208</v>
      </c>
    </row>
    <row r="450" spans="1:10" ht="30" hidden="1" customHeight="1">
      <c r="A450" s="22" t="s">
        <v>1845</v>
      </c>
      <c r="B450" s="17" t="s">
        <v>291</v>
      </c>
      <c r="C450" s="16" t="s">
        <v>233</v>
      </c>
      <c r="D450" s="34">
        <v>42607</v>
      </c>
      <c r="E450" s="141">
        <v>780000</v>
      </c>
      <c r="H450" s="45" t="s">
        <v>1843</v>
      </c>
    </row>
    <row r="451" spans="1:10" ht="30" customHeight="1">
      <c r="A451" s="22" t="s">
        <v>1774</v>
      </c>
      <c r="B451" s="17" t="s">
        <v>240</v>
      </c>
      <c r="C451" s="16" t="s">
        <v>1846</v>
      </c>
      <c r="D451" s="34">
        <v>42608</v>
      </c>
      <c r="E451" s="141">
        <v>410400</v>
      </c>
      <c r="H451" s="45" t="s">
        <v>1843</v>
      </c>
    </row>
    <row r="452" spans="1:10" ht="30" customHeight="1">
      <c r="A452" s="22" t="s">
        <v>1527</v>
      </c>
      <c r="B452" s="17" t="s">
        <v>60</v>
      </c>
      <c r="C452" s="17" t="s">
        <v>321</v>
      </c>
      <c r="D452" s="34">
        <v>42608</v>
      </c>
      <c r="E452" s="141">
        <v>1303552.0600000005</v>
      </c>
      <c r="H452" s="45" t="s">
        <v>1847</v>
      </c>
    </row>
    <row r="453" spans="1:10" ht="30" customHeight="1">
      <c r="A453" s="22" t="s">
        <v>1716</v>
      </c>
      <c r="B453" s="17" t="s">
        <v>60</v>
      </c>
      <c r="C453" s="17" t="s">
        <v>321</v>
      </c>
      <c r="D453" s="34">
        <v>42608</v>
      </c>
      <c r="E453" s="141">
        <v>993209.6</v>
      </c>
      <c r="H453" s="45" t="s">
        <v>1847</v>
      </c>
    </row>
    <row r="454" spans="1:10" ht="30" customHeight="1">
      <c r="A454" s="22" t="s">
        <v>1804</v>
      </c>
      <c r="B454" s="17" t="s">
        <v>60</v>
      </c>
      <c r="C454" s="17" t="s">
        <v>321</v>
      </c>
      <c r="D454" s="34">
        <v>42608</v>
      </c>
      <c r="E454" s="141">
        <v>2778555.11</v>
      </c>
      <c r="H454" s="45" t="s">
        <v>1847</v>
      </c>
    </row>
    <row r="455" spans="1:10" ht="30" hidden="1" customHeight="1">
      <c r="A455" s="22" t="s">
        <v>1531</v>
      </c>
      <c r="B455" s="17" t="s">
        <v>1480</v>
      </c>
      <c r="C455" s="16" t="s">
        <v>1848</v>
      </c>
      <c r="D455" s="34">
        <v>42611</v>
      </c>
      <c r="E455" s="141">
        <v>395722.67</v>
      </c>
      <c r="H455" s="45" t="s">
        <v>208</v>
      </c>
    </row>
    <row r="456" spans="1:10" ht="30" customHeight="1">
      <c r="A456" s="22" t="s">
        <v>1696</v>
      </c>
      <c r="B456" s="17" t="s">
        <v>773</v>
      </c>
      <c r="C456" s="16" t="s">
        <v>190</v>
      </c>
      <c r="D456" s="34">
        <v>42612</v>
      </c>
      <c r="E456" s="141">
        <v>1760000</v>
      </c>
      <c r="H456" s="45" t="s">
        <v>1843</v>
      </c>
    </row>
    <row r="457" spans="1:10" ht="30" customHeight="1">
      <c r="A457" s="22" t="s">
        <v>1849</v>
      </c>
      <c r="B457" s="17" t="s">
        <v>773</v>
      </c>
      <c r="C457" s="16" t="s">
        <v>1844</v>
      </c>
      <c r="D457" s="34">
        <v>42612</v>
      </c>
      <c r="E457" s="141">
        <v>1000000</v>
      </c>
      <c r="H457" s="45" t="s">
        <v>1843</v>
      </c>
    </row>
    <row r="458" spans="1:10" ht="30" customHeight="1">
      <c r="A458" s="22" t="s">
        <v>1850</v>
      </c>
      <c r="B458" s="17" t="s">
        <v>1781</v>
      </c>
      <c r="C458" s="16" t="s">
        <v>204</v>
      </c>
      <c r="D458" s="34">
        <v>42612</v>
      </c>
      <c r="E458" s="141">
        <v>1060000</v>
      </c>
      <c r="H458" s="45" t="s">
        <v>1843</v>
      </c>
    </row>
    <row r="459" spans="1:10" ht="30" customHeight="1">
      <c r="A459" s="22" t="s">
        <v>1851</v>
      </c>
      <c r="B459" s="17" t="s">
        <v>1781</v>
      </c>
      <c r="C459" s="16" t="s">
        <v>90</v>
      </c>
      <c r="D459" s="34">
        <v>42612</v>
      </c>
      <c r="E459" s="141">
        <v>400000</v>
      </c>
      <c r="H459" s="45" t="s">
        <v>208</v>
      </c>
    </row>
    <row r="460" spans="1:10" ht="30" customHeight="1">
      <c r="A460" s="22" t="s">
        <v>1308</v>
      </c>
      <c r="B460" s="17" t="s">
        <v>240</v>
      </c>
      <c r="C460" s="16" t="s">
        <v>474</v>
      </c>
      <c r="D460" s="34">
        <v>42612</v>
      </c>
      <c r="E460" s="141">
        <v>15166.7</v>
      </c>
      <c r="H460" s="45" t="s">
        <v>1547</v>
      </c>
    </row>
    <row r="461" spans="1:10" ht="30" hidden="1" customHeight="1">
      <c r="A461" s="22" t="s">
        <v>1852</v>
      </c>
      <c r="B461" s="17" t="s">
        <v>1853</v>
      </c>
      <c r="C461" s="16" t="s">
        <v>1076</v>
      </c>
      <c r="D461" s="34">
        <v>42598</v>
      </c>
      <c r="E461" s="141">
        <v>106966.6</v>
      </c>
      <c r="H461" s="45" t="s">
        <v>1547</v>
      </c>
    </row>
    <row r="462" spans="1:10" ht="30" hidden="1" customHeight="1">
      <c r="A462" s="22" t="s">
        <v>1854</v>
      </c>
      <c r="B462" s="17" t="s">
        <v>1853</v>
      </c>
      <c r="C462" s="16" t="s">
        <v>1076</v>
      </c>
      <c r="D462" s="34">
        <v>42606</v>
      </c>
      <c r="E462" s="141">
        <v>106966.6</v>
      </c>
      <c r="H462" s="45" t="s">
        <v>1547</v>
      </c>
    </row>
    <row r="463" spans="1:10" ht="30" hidden="1" customHeight="1">
      <c r="A463" s="22" t="s">
        <v>1811</v>
      </c>
      <c r="B463" s="17" t="s">
        <v>1631</v>
      </c>
      <c r="C463" s="16" t="s">
        <v>1855</v>
      </c>
      <c r="D463" s="34">
        <v>42598</v>
      </c>
      <c r="E463" s="141"/>
      <c r="H463" s="45" t="s">
        <v>1843</v>
      </c>
      <c r="J463" s="45">
        <v>38892.449999999997</v>
      </c>
    </row>
    <row r="464" spans="1:10" ht="30" hidden="1" customHeight="1">
      <c r="A464" s="22" t="s">
        <v>1856</v>
      </c>
      <c r="B464" s="17" t="s">
        <v>1631</v>
      </c>
      <c r="C464" s="16" t="s">
        <v>1855</v>
      </c>
      <c r="D464" s="34">
        <v>42612</v>
      </c>
      <c r="E464" s="141"/>
      <c r="H464" s="45" t="s">
        <v>1843</v>
      </c>
      <c r="J464" s="45">
        <v>38892.449999999997</v>
      </c>
    </row>
    <row r="465" spans="1:8" ht="30" hidden="1" customHeight="1">
      <c r="A465" s="22" t="s">
        <v>1818</v>
      </c>
      <c r="B465" s="17" t="s">
        <v>230</v>
      </c>
      <c r="C465" s="16" t="s">
        <v>321</v>
      </c>
      <c r="D465" s="34">
        <v>42611</v>
      </c>
      <c r="E465" s="175">
        <v>1044800.61</v>
      </c>
      <c r="H465" s="45" t="s">
        <v>1847</v>
      </c>
    </row>
    <row r="466" spans="1:8" ht="30" hidden="1" customHeight="1">
      <c r="A466" s="22" t="s">
        <v>1857</v>
      </c>
      <c r="B466" s="17" t="s">
        <v>230</v>
      </c>
      <c r="C466" s="16" t="s">
        <v>234</v>
      </c>
      <c r="D466" s="34">
        <v>42607</v>
      </c>
      <c r="E466" s="141">
        <v>639719.56999999995</v>
      </c>
      <c r="H466" s="45" t="s">
        <v>1843</v>
      </c>
    </row>
    <row r="467" spans="1:8" ht="30" hidden="1" customHeight="1">
      <c r="A467" s="22" t="s">
        <v>1857</v>
      </c>
      <c r="B467" s="17" t="s">
        <v>230</v>
      </c>
      <c r="C467" s="16" t="s">
        <v>234</v>
      </c>
      <c r="D467" s="34">
        <v>42611</v>
      </c>
      <c r="E467" s="141">
        <v>1000000</v>
      </c>
      <c r="H467" s="45" t="s">
        <v>1843</v>
      </c>
    </row>
    <row r="468" spans="1:8" ht="30" hidden="1" customHeight="1">
      <c r="A468" s="22" t="s">
        <v>2373</v>
      </c>
      <c r="B468" s="17" t="s">
        <v>1853</v>
      </c>
      <c r="C468" s="16" t="s">
        <v>1858</v>
      </c>
      <c r="D468" s="34">
        <v>42611</v>
      </c>
      <c r="E468" s="141">
        <v>273000</v>
      </c>
      <c r="H468" s="45" t="s">
        <v>1843</v>
      </c>
    </row>
    <row r="469" spans="1:8" ht="30" customHeight="1">
      <c r="A469" s="22" t="s">
        <v>1859</v>
      </c>
      <c r="B469" s="17" t="s">
        <v>240</v>
      </c>
      <c r="C469" s="16" t="s">
        <v>992</v>
      </c>
      <c r="D469" s="34">
        <v>42612</v>
      </c>
      <c r="E469" s="141">
        <v>214900</v>
      </c>
      <c r="H469" s="45" t="s">
        <v>1549</v>
      </c>
    </row>
    <row r="470" spans="1:8" ht="30" customHeight="1">
      <c r="A470" s="22" t="s">
        <v>1860</v>
      </c>
      <c r="B470" s="17" t="s">
        <v>240</v>
      </c>
      <c r="C470" s="16" t="s">
        <v>1861</v>
      </c>
      <c r="D470" s="34">
        <v>42606</v>
      </c>
      <c r="E470" s="141">
        <v>92100</v>
      </c>
      <c r="H470" s="45" t="s">
        <v>1862</v>
      </c>
    </row>
    <row r="471" spans="1:8" ht="30" hidden="1" customHeight="1">
      <c r="A471" s="22" t="s">
        <v>1572</v>
      </c>
      <c r="B471" s="17" t="s">
        <v>1380</v>
      </c>
      <c r="C471" s="16" t="s">
        <v>101</v>
      </c>
      <c r="D471" s="34">
        <v>42614</v>
      </c>
      <c r="E471" s="141">
        <v>1210000</v>
      </c>
      <c r="H471" s="45" t="s">
        <v>56</v>
      </c>
    </row>
    <row r="472" spans="1:8" ht="30" customHeight="1">
      <c r="A472" s="22" t="s">
        <v>1251</v>
      </c>
      <c r="B472" s="17" t="s">
        <v>402</v>
      </c>
      <c r="C472" s="16" t="s">
        <v>90</v>
      </c>
      <c r="D472" s="34">
        <v>42613</v>
      </c>
      <c r="E472" s="141">
        <v>32546.400000000001</v>
      </c>
      <c r="H472" s="45" t="s">
        <v>56</v>
      </c>
    </row>
    <row r="473" spans="1:8" ht="30" customHeight="1">
      <c r="A473" s="22" t="s">
        <v>1592</v>
      </c>
      <c r="B473" s="17" t="s">
        <v>402</v>
      </c>
      <c r="C473" s="16" t="s">
        <v>53</v>
      </c>
      <c r="D473" s="34">
        <v>42614</v>
      </c>
      <c r="E473" s="141">
        <v>530000</v>
      </c>
      <c r="H473" s="45" t="s">
        <v>56</v>
      </c>
    </row>
    <row r="474" spans="1:8" ht="30" customHeight="1">
      <c r="A474" s="22" t="s">
        <v>1540</v>
      </c>
      <c r="B474" s="17" t="s">
        <v>60</v>
      </c>
      <c r="C474" s="16" t="s">
        <v>210</v>
      </c>
      <c r="D474" s="34">
        <v>42614</v>
      </c>
      <c r="E474" s="141">
        <v>1500000</v>
      </c>
      <c r="H474" s="45" t="s">
        <v>119</v>
      </c>
    </row>
    <row r="475" spans="1:8" ht="30" hidden="1" customHeight="1">
      <c r="A475" s="22" t="s">
        <v>1768</v>
      </c>
      <c r="B475" s="17" t="s">
        <v>93</v>
      </c>
      <c r="C475" s="16" t="s">
        <v>233</v>
      </c>
      <c r="D475" s="34">
        <v>42615</v>
      </c>
      <c r="E475" s="141">
        <v>1170000</v>
      </c>
      <c r="H475" s="45" t="s">
        <v>119</v>
      </c>
    </row>
    <row r="476" spans="1:8" ht="30" hidden="1" customHeight="1">
      <c r="A476" s="22" t="s">
        <v>1572</v>
      </c>
      <c r="B476" s="17" t="s">
        <v>1380</v>
      </c>
      <c r="C476" s="16" t="s">
        <v>101</v>
      </c>
      <c r="D476" s="34">
        <v>42615</v>
      </c>
      <c r="E476" s="141">
        <v>217736.27</v>
      </c>
      <c r="H476" s="45" t="s">
        <v>56</v>
      </c>
    </row>
    <row r="477" spans="1:8" ht="30" hidden="1" customHeight="1">
      <c r="A477" s="22" t="s">
        <v>1572</v>
      </c>
      <c r="B477" s="17" t="s">
        <v>1380</v>
      </c>
      <c r="C477" s="16" t="s">
        <v>101</v>
      </c>
      <c r="D477" s="34">
        <v>42615</v>
      </c>
      <c r="E477" s="141">
        <v>1000000</v>
      </c>
      <c r="H477" s="45" t="s">
        <v>56</v>
      </c>
    </row>
    <row r="478" spans="1:8" ht="30" customHeight="1">
      <c r="A478" s="22" t="s">
        <v>1219</v>
      </c>
      <c r="B478" s="17" t="s">
        <v>60</v>
      </c>
      <c r="C478" s="16" t="s">
        <v>321</v>
      </c>
      <c r="D478" s="34">
        <v>42619</v>
      </c>
      <c r="E478" s="172">
        <v>192036.14744351961</v>
      </c>
      <c r="H478" s="45" t="s">
        <v>1894</v>
      </c>
    </row>
    <row r="479" spans="1:8" ht="30" customHeight="1">
      <c r="A479" s="22" t="s">
        <v>1496</v>
      </c>
      <c r="B479" s="17" t="s">
        <v>60</v>
      </c>
      <c r="C479" s="16" t="s">
        <v>321</v>
      </c>
      <c r="D479" s="34">
        <v>42619</v>
      </c>
      <c r="E479" s="172">
        <v>2777121.4823622671</v>
      </c>
      <c r="H479" s="45" t="s">
        <v>1894</v>
      </c>
    </row>
    <row r="480" spans="1:8" ht="30" hidden="1" customHeight="1">
      <c r="A480" s="22" t="s">
        <v>1498</v>
      </c>
      <c r="B480" s="17" t="s">
        <v>82</v>
      </c>
      <c r="C480" s="16" t="s">
        <v>321</v>
      </c>
      <c r="D480" s="34">
        <v>42619</v>
      </c>
      <c r="E480" s="172">
        <v>1658278.0420134759</v>
      </c>
      <c r="H480" s="45" t="s">
        <v>1894</v>
      </c>
    </row>
    <row r="481" spans="1:8" ht="30" hidden="1" customHeight="1">
      <c r="A481" s="22" t="s">
        <v>1543</v>
      </c>
      <c r="B481" s="17" t="s">
        <v>85</v>
      </c>
      <c r="C481" s="16" t="s">
        <v>321</v>
      </c>
      <c r="D481" s="34">
        <v>42619</v>
      </c>
      <c r="E481" s="172">
        <v>583457.49108204513</v>
      </c>
      <c r="H481" s="45" t="s">
        <v>1894</v>
      </c>
    </row>
    <row r="482" spans="1:8" ht="30" hidden="1" customHeight="1">
      <c r="A482" s="22" t="s">
        <v>1889</v>
      </c>
      <c r="B482" s="17" t="s">
        <v>1380</v>
      </c>
      <c r="C482" s="16" t="s">
        <v>292</v>
      </c>
      <c r="D482" s="34">
        <v>42619</v>
      </c>
      <c r="E482" s="36">
        <v>133024.74</v>
      </c>
      <c r="H482" s="45" t="s">
        <v>119</v>
      </c>
    </row>
    <row r="483" spans="1:8" ht="30" hidden="1" customHeight="1">
      <c r="A483" s="22" t="s">
        <v>1906</v>
      </c>
      <c r="B483" s="17" t="s">
        <v>1380</v>
      </c>
      <c r="C483" s="16" t="s">
        <v>1345</v>
      </c>
      <c r="D483" s="34">
        <v>42620</v>
      </c>
      <c r="E483" s="36">
        <v>1050000</v>
      </c>
      <c r="H483" s="45" t="s">
        <v>178</v>
      </c>
    </row>
    <row r="484" spans="1:8" ht="30" customHeight="1">
      <c r="A484" s="22" t="s">
        <v>1390</v>
      </c>
      <c r="B484" s="17" t="s">
        <v>691</v>
      </c>
      <c r="C484" s="16" t="s">
        <v>1907</v>
      </c>
      <c r="D484" s="34">
        <v>42621</v>
      </c>
      <c r="E484" s="36">
        <v>786912.50999999978</v>
      </c>
      <c r="H484" s="45" t="s">
        <v>178</v>
      </c>
    </row>
    <row r="485" spans="1:8" ht="30" customHeight="1">
      <c r="A485" s="22" t="s">
        <v>1908</v>
      </c>
      <c r="B485" s="17" t="s">
        <v>1909</v>
      </c>
      <c r="C485" s="16" t="s">
        <v>1910</v>
      </c>
      <c r="D485" s="34">
        <v>42621</v>
      </c>
      <c r="E485" s="36">
        <v>197911.04000000004</v>
      </c>
      <c r="H485" s="45" t="s">
        <v>1911</v>
      </c>
    </row>
    <row r="486" spans="1:8" ht="30" customHeight="1">
      <c r="A486" s="22" t="s">
        <v>1912</v>
      </c>
      <c r="B486" s="17" t="s">
        <v>1909</v>
      </c>
      <c r="C486" s="16" t="s">
        <v>1910</v>
      </c>
      <c r="D486" s="34">
        <v>42621</v>
      </c>
      <c r="E486" s="36">
        <v>196613.45999999996</v>
      </c>
      <c r="H486" s="45" t="s">
        <v>1911</v>
      </c>
    </row>
    <row r="487" spans="1:8" ht="30" customHeight="1">
      <c r="A487" s="22" t="s">
        <v>1830</v>
      </c>
      <c r="B487" s="17" t="s">
        <v>1909</v>
      </c>
      <c r="C487" s="16" t="s">
        <v>1913</v>
      </c>
      <c r="D487" s="34">
        <v>42621</v>
      </c>
      <c r="E487" s="36">
        <v>1000000</v>
      </c>
      <c r="H487" s="45" t="s">
        <v>1914</v>
      </c>
    </row>
    <row r="488" spans="1:8" ht="30" customHeight="1">
      <c r="A488" s="22" t="s">
        <v>1917</v>
      </c>
      <c r="B488" s="17" t="s">
        <v>332</v>
      </c>
      <c r="C488" s="16" t="s">
        <v>1418</v>
      </c>
      <c r="D488" s="34">
        <v>42621</v>
      </c>
      <c r="E488" s="36">
        <v>403200</v>
      </c>
      <c r="H488" s="45" t="s">
        <v>118</v>
      </c>
    </row>
    <row r="489" spans="1:8" ht="30" hidden="1" customHeight="1">
      <c r="A489" s="22" t="s">
        <v>1597</v>
      </c>
      <c r="B489" s="17" t="s">
        <v>1380</v>
      </c>
      <c r="C489" s="16" t="s">
        <v>233</v>
      </c>
      <c r="D489" s="34">
        <v>42622</v>
      </c>
      <c r="E489" s="36">
        <v>500460.83</v>
      </c>
      <c r="H489" s="45" t="s">
        <v>56</v>
      </c>
    </row>
    <row r="490" spans="1:8" ht="30" hidden="1" customHeight="1">
      <c r="A490" s="22" t="s">
        <v>1572</v>
      </c>
      <c r="B490" s="17" t="s">
        <v>1380</v>
      </c>
      <c r="C490" s="16" t="s">
        <v>101</v>
      </c>
      <c r="D490" s="34">
        <v>42625</v>
      </c>
      <c r="E490" s="36">
        <v>736920.93</v>
      </c>
      <c r="H490" s="45" t="s">
        <v>56</v>
      </c>
    </row>
    <row r="491" spans="1:8" ht="30" customHeight="1">
      <c r="A491" s="22" t="s">
        <v>1824</v>
      </c>
      <c r="B491" s="17" t="s">
        <v>60</v>
      </c>
      <c r="C491" s="16" t="s">
        <v>180</v>
      </c>
      <c r="D491" s="34">
        <v>42626</v>
      </c>
      <c r="E491" s="36">
        <v>700000</v>
      </c>
      <c r="H491" s="45" t="s">
        <v>119</v>
      </c>
    </row>
    <row r="492" spans="1:8" ht="30" hidden="1" customHeight="1">
      <c r="A492" s="22" t="s">
        <v>1407</v>
      </c>
      <c r="B492" s="17" t="s">
        <v>1380</v>
      </c>
      <c r="C492" s="16" t="s">
        <v>144</v>
      </c>
      <c r="D492" s="34">
        <v>42621</v>
      </c>
      <c r="E492" s="141">
        <v>8020930.4199999999</v>
      </c>
      <c r="F492" s="45" t="s">
        <v>823</v>
      </c>
      <c r="H492" s="45" t="s">
        <v>118</v>
      </c>
    </row>
    <row r="493" spans="1:8" ht="30" hidden="1" customHeight="1">
      <c r="A493" s="22" t="s">
        <v>1596</v>
      </c>
      <c r="B493" s="17" t="s">
        <v>1380</v>
      </c>
      <c r="C493" s="16" t="s">
        <v>144</v>
      </c>
      <c r="D493" s="34">
        <v>42621</v>
      </c>
      <c r="E493" s="141">
        <v>709069.58000000007</v>
      </c>
      <c r="F493" s="45" t="s">
        <v>823</v>
      </c>
      <c r="H493" s="45" t="s">
        <v>118</v>
      </c>
    </row>
    <row r="494" spans="1:8" ht="30" customHeight="1">
      <c r="A494" s="22" t="s">
        <v>1956</v>
      </c>
      <c r="B494" s="17" t="s">
        <v>430</v>
      </c>
      <c r="C494" s="16" t="s">
        <v>506</v>
      </c>
      <c r="D494" s="34">
        <v>42627</v>
      </c>
      <c r="E494" s="141">
        <v>400000</v>
      </c>
      <c r="H494" s="45" t="s">
        <v>178</v>
      </c>
    </row>
    <row r="495" spans="1:8" ht="30" customHeight="1">
      <c r="A495" s="22" t="s">
        <v>1957</v>
      </c>
      <c r="B495" s="17" t="s">
        <v>430</v>
      </c>
      <c r="C495" s="16" t="s">
        <v>190</v>
      </c>
      <c r="D495" s="34">
        <v>42627</v>
      </c>
      <c r="E495" s="141">
        <v>400000</v>
      </c>
      <c r="H495" s="45" t="s">
        <v>1958</v>
      </c>
    </row>
    <row r="496" spans="1:8" ht="30" customHeight="1">
      <c r="A496" s="22" t="s">
        <v>1959</v>
      </c>
      <c r="B496" s="17" t="s">
        <v>430</v>
      </c>
      <c r="C496" s="16" t="s">
        <v>1960</v>
      </c>
      <c r="D496" s="34">
        <v>42627</v>
      </c>
      <c r="E496" s="141">
        <v>800000</v>
      </c>
      <c r="H496" s="45" t="s">
        <v>178</v>
      </c>
    </row>
    <row r="497" spans="1:8" ht="30" hidden="1" customHeight="1">
      <c r="A497" s="145" t="s">
        <v>1896</v>
      </c>
      <c r="B497" s="169" t="s">
        <v>1895</v>
      </c>
      <c r="C497" s="169" t="s">
        <v>321</v>
      </c>
      <c r="D497" s="34">
        <v>42627</v>
      </c>
      <c r="E497" s="174">
        <v>2522935.4916012678</v>
      </c>
      <c r="H497" s="45" t="s">
        <v>118</v>
      </c>
    </row>
    <row r="498" spans="1:8" ht="30" customHeight="1">
      <c r="A498" s="145" t="s">
        <v>1513</v>
      </c>
      <c r="B498" s="169" t="s">
        <v>60</v>
      </c>
      <c r="C498" s="169" t="s">
        <v>321</v>
      </c>
      <c r="D498" s="34">
        <v>42627</v>
      </c>
      <c r="E498" s="174">
        <v>348786.66</v>
      </c>
      <c r="H498" s="45" t="s">
        <v>118</v>
      </c>
    </row>
    <row r="499" spans="1:8" ht="30" customHeight="1">
      <c r="A499" s="145" t="s">
        <v>1822</v>
      </c>
      <c r="B499" s="169" t="s">
        <v>60</v>
      </c>
      <c r="C499" s="169" t="s">
        <v>321</v>
      </c>
      <c r="D499" s="34">
        <v>42627</v>
      </c>
      <c r="E499" s="174">
        <v>822623.46</v>
      </c>
      <c r="H499" s="45" t="s">
        <v>118</v>
      </c>
    </row>
    <row r="500" spans="1:8" ht="30" hidden="1" customHeight="1">
      <c r="A500" s="145" t="s">
        <v>1897</v>
      </c>
      <c r="B500" s="169" t="s">
        <v>82</v>
      </c>
      <c r="C500" s="169" t="s">
        <v>321</v>
      </c>
      <c r="D500" s="34">
        <v>42627</v>
      </c>
      <c r="E500" s="174">
        <v>872931.79</v>
      </c>
      <c r="H500" s="45" t="s">
        <v>118</v>
      </c>
    </row>
    <row r="501" spans="1:8" ht="30" hidden="1" customHeight="1">
      <c r="A501" s="180" t="s">
        <v>1865</v>
      </c>
      <c r="B501" s="181" t="s">
        <v>1380</v>
      </c>
      <c r="C501" s="181" t="s">
        <v>101</v>
      </c>
      <c r="D501" s="182">
        <v>42631</v>
      </c>
      <c r="E501" s="183">
        <v>1170000</v>
      </c>
      <c r="H501" s="45" t="s">
        <v>56</v>
      </c>
    </row>
    <row r="502" spans="1:8" ht="30" customHeight="1">
      <c r="A502" s="145" t="s">
        <v>1941</v>
      </c>
      <c r="B502" s="169" t="s">
        <v>60</v>
      </c>
      <c r="C502" s="169" t="s">
        <v>90</v>
      </c>
      <c r="D502" s="34">
        <v>42631</v>
      </c>
      <c r="E502" s="174">
        <v>163000</v>
      </c>
      <c r="H502" s="45" t="s">
        <v>56</v>
      </c>
    </row>
    <row r="503" spans="1:8" ht="30" customHeight="1">
      <c r="A503" s="145" t="s">
        <v>1975</v>
      </c>
      <c r="B503" s="169" t="s">
        <v>60</v>
      </c>
      <c r="C503" s="169" t="s">
        <v>180</v>
      </c>
      <c r="D503" s="34">
        <v>42631</v>
      </c>
      <c r="E503" s="174">
        <v>1000000</v>
      </c>
      <c r="H503" s="45" t="s">
        <v>56</v>
      </c>
    </row>
    <row r="504" spans="1:8" ht="30" customHeight="1">
      <c r="A504" s="145" t="s">
        <v>1738</v>
      </c>
      <c r="B504" s="169" t="s">
        <v>60</v>
      </c>
      <c r="C504" s="169" t="s">
        <v>1304</v>
      </c>
      <c r="D504" s="34">
        <v>42631</v>
      </c>
      <c r="E504" s="174">
        <v>530000</v>
      </c>
      <c r="H504" s="45" t="s">
        <v>56</v>
      </c>
    </row>
    <row r="505" spans="1:8" ht="30" customHeight="1">
      <c r="A505" s="145" t="s">
        <v>2167</v>
      </c>
      <c r="B505" s="169" t="s">
        <v>1977</v>
      </c>
      <c r="C505" s="169" t="s">
        <v>1978</v>
      </c>
      <c r="D505" s="34">
        <v>42630</v>
      </c>
      <c r="E505" s="174">
        <v>9078.36</v>
      </c>
      <c r="H505" s="45" t="s">
        <v>1979</v>
      </c>
    </row>
    <row r="506" spans="1:8" ht="30" hidden="1" customHeight="1">
      <c r="A506" s="180" t="s">
        <v>1865</v>
      </c>
      <c r="B506" s="181" t="s">
        <v>1380</v>
      </c>
      <c r="C506" s="181" t="s">
        <v>101</v>
      </c>
      <c r="D506" s="182">
        <v>42631</v>
      </c>
      <c r="E506" s="183">
        <v>1050000</v>
      </c>
      <c r="H506" s="45" t="s">
        <v>56</v>
      </c>
    </row>
    <row r="507" spans="1:8" ht="30" customHeight="1">
      <c r="A507" s="145" t="s">
        <v>1941</v>
      </c>
      <c r="B507" s="169" t="s">
        <v>60</v>
      </c>
      <c r="C507" s="169" t="s">
        <v>90</v>
      </c>
      <c r="D507" s="34">
        <v>42632</v>
      </c>
      <c r="E507" s="174">
        <v>370000</v>
      </c>
      <c r="H507" s="45" t="s">
        <v>56</v>
      </c>
    </row>
    <row r="508" spans="1:8" ht="30" hidden="1" customHeight="1">
      <c r="A508" s="180" t="s">
        <v>1865</v>
      </c>
      <c r="B508" s="181" t="s">
        <v>1380</v>
      </c>
      <c r="C508" s="181" t="s">
        <v>101</v>
      </c>
      <c r="D508" s="182">
        <v>42632</v>
      </c>
      <c r="E508" s="183">
        <v>1300000</v>
      </c>
      <c r="H508" s="45" t="s">
        <v>1990</v>
      </c>
    </row>
    <row r="509" spans="1:8" ht="30" customHeight="1">
      <c r="A509" s="145" t="s">
        <v>1991</v>
      </c>
      <c r="B509" s="169" t="s">
        <v>1992</v>
      </c>
      <c r="C509" s="169" t="s">
        <v>1993</v>
      </c>
      <c r="D509" s="34">
        <v>42633</v>
      </c>
      <c r="E509" s="174">
        <v>377000</v>
      </c>
      <c r="H509" s="45" t="s">
        <v>1990</v>
      </c>
    </row>
    <row r="510" spans="1:8" ht="30" customHeight="1">
      <c r="A510" s="145" t="s">
        <v>1994</v>
      </c>
      <c r="B510" s="169" t="s">
        <v>1992</v>
      </c>
      <c r="C510" s="169" t="s">
        <v>1995</v>
      </c>
      <c r="D510" s="34">
        <v>42633</v>
      </c>
      <c r="E510" s="174">
        <v>296636.43</v>
      </c>
      <c r="H510" s="45" t="s">
        <v>1990</v>
      </c>
    </row>
    <row r="511" spans="1:8" ht="30" customHeight="1">
      <c r="A511" s="145" t="s">
        <v>1998</v>
      </c>
      <c r="B511" s="169" t="s">
        <v>1999</v>
      </c>
      <c r="C511" s="169" t="s">
        <v>2000</v>
      </c>
      <c r="D511" s="34">
        <v>42627</v>
      </c>
      <c r="E511" s="174">
        <v>3000000</v>
      </c>
      <c r="F511" s="45" t="s">
        <v>823</v>
      </c>
      <c r="H511" s="45" t="s">
        <v>2001</v>
      </c>
    </row>
    <row r="512" spans="1:8" ht="30" hidden="1" customHeight="1">
      <c r="A512" s="145" t="s">
        <v>2002</v>
      </c>
      <c r="B512" s="169" t="s">
        <v>2003</v>
      </c>
      <c r="C512" s="169" t="s">
        <v>2004</v>
      </c>
      <c r="D512" s="34">
        <v>42627</v>
      </c>
      <c r="E512" s="174">
        <v>3177093.1899999995</v>
      </c>
      <c r="F512" s="45" t="s">
        <v>823</v>
      </c>
      <c r="H512" s="45" t="s">
        <v>2001</v>
      </c>
    </row>
    <row r="513" spans="1:9" ht="30" hidden="1" customHeight="1">
      <c r="A513" s="145" t="s">
        <v>2005</v>
      </c>
      <c r="B513" s="169" t="s">
        <v>2003</v>
      </c>
      <c r="C513" s="169" t="s">
        <v>2004</v>
      </c>
      <c r="D513" s="34">
        <v>42627</v>
      </c>
      <c r="E513" s="174">
        <v>1822906.8100000005</v>
      </c>
      <c r="F513" s="45" t="s">
        <v>823</v>
      </c>
      <c r="H513" s="45" t="s">
        <v>2001</v>
      </c>
    </row>
    <row r="514" spans="1:9" ht="30" customHeight="1">
      <c r="A514" s="145" t="s">
        <v>2006</v>
      </c>
      <c r="B514" s="169" t="s">
        <v>1999</v>
      </c>
      <c r="C514" s="169" t="s">
        <v>2004</v>
      </c>
      <c r="D514" s="34">
        <v>42627</v>
      </c>
      <c r="E514" s="174">
        <v>3540895.67</v>
      </c>
      <c r="F514" s="45" t="s">
        <v>823</v>
      </c>
      <c r="H514" s="45" t="s">
        <v>2001</v>
      </c>
    </row>
    <row r="515" spans="1:9" ht="30" customHeight="1">
      <c r="A515" s="145" t="s">
        <v>2007</v>
      </c>
      <c r="B515" s="169" t="s">
        <v>1999</v>
      </c>
      <c r="C515" s="169" t="s">
        <v>2004</v>
      </c>
      <c r="D515" s="34">
        <v>42627</v>
      </c>
      <c r="E515" s="174">
        <v>1459104.33</v>
      </c>
      <c r="F515" s="45" t="s">
        <v>823</v>
      </c>
      <c r="H515" s="45" t="s">
        <v>2001</v>
      </c>
    </row>
    <row r="516" spans="1:9" ht="30" customHeight="1">
      <c r="A516" s="22" t="s">
        <v>1974</v>
      </c>
      <c r="B516" s="17" t="s">
        <v>430</v>
      </c>
      <c r="C516" s="16" t="s">
        <v>210</v>
      </c>
      <c r="D516" s="34">
        <v>42634</v>
      </c>
      <c r="E516" s="141">
        <v>700000</v>
      </c>
      <c r="H516" s="45" t="s">
        <v>56</v>
      </c>
    </row>
    <row r="517" spans="1:9" ht="30" customHeight="1">
      <c r="A517" s="22" t="s">
        <v>1923</v>
      </c>
      <c r="B517" s="17" t="s">
        <v>430</v>
      </c>
      <c r="C517" s="16" t="s">
        <v>180</v>
      </c>
      <c r="D517" s="34">
        <v>42634</v>
      </c>
      <c r="E517" s="141">
        <v>460000</v>
      </c>
      <c r="H517" s="45" t="s">
        <v>56</v>
      </c>
    </row>
    <row r="518" spans="1:9" ht="30" customHeight="1">
      <c r="A518" s="22" t="s">
        <v>2041</v>
      </c>
      <c r="B518" s="17" t="s">
        <v>2042</v>
      </c>
      <c r="C518" s="16" t="s">
        <v>2043</v>
      </c>
      <c r="D518" s="34">
        <v>42634</v>
      </c>
      <c r="E518" s="141">
        <v>800000</v>
      </c>
      <c r="H518" s="45" t="s">
        <v>2044</v>
      </c>
    </row>
    <row r="519" spans="1:9" ht="30" customHeight="1">
      <c r="A519" s="22" t="s">
        <v>2045</v>
      </c>
      <c r="B519" s="17" t="s">
        <v>2046</v>
      </c>
      <c r="C519" s="16" t="s">
        <v>2047</v>
      </c>
      <c r="D519" s="34">
        <v>42636</v>
      </c>
      <c r="E519" s="141">
        <v>500000</v>
      </c>
      <c r="H519" s="45" t="s">
        <v>2044</v>
      </c>
    </row>
    <row r="520" spans="1:9" ht="30" customHeight="1">
      <c r="A520" s="22" t="s">
        <v>2048</v>
      </c>
      <c r="B520" s="17" t="s">
        <v>2046</v>
      </c>
      <c r="C520" s="16" t="s">
        <v>2049</v>
      </c>
      <c r="D520" s="34">
        <v>42639</v>
      </c>
      <c r="E520" s="141">
        <v>750000</v>
      </c>
      <c r="H520" s="45" t="s">
        <v>2044</v>
      </c>
    </row>
    <row r="521" spans="1:9" ht="30" customHeight="1">
      <c r="A521" s="22" t="s">
        <v>2041</v>
      </c>
      <c r="B521" s="17" t="s">
        <v>2042</v>
      </c>
      <c r="C521" s="16" t="s">
        <v>2043</v>
      </c>
      <c r="D521" s="34">
        <v>42639</v>
      </c>
      <c r="E521" s="141">
        <v>370000</v>
      </c>
      <c r="H521" s="45" t="s">
        <v>2044</v>
      </c>
    </row>
    <row r="522" spans="1:9" ht="30" hidden="1" customHeight="1">
      <c r="A522" s="22" t="s">
        <v>1572</v>
      </c>
      <c r="B522" s="17" t="s">
        <v>1380</v>
      </c>
      <c r="C522" s="16" t="s">
        <v>101</v>
      </c>
      <c r="D522" s="34">
        <v>42639</v>
      </c>
      <c r="E522" s="36">
        <v>585636.54</v>
      </c>
      <c r="H522" s="45" t="s">
        <v>56</v>
      </c>
    </row>
    <row r="523" spans="1:9" ht="30" customHeight="1">
      <c r="A523" s="145" t="s">
        <v>2018</v>
      </c>
      <c r="B523" s="169" t="s">
        <v>60</v>
      </c>
      <c r="C523" s="169" t="s">
        <v>321</v>
      </c>
      <c r="D523" s="34">
        <v>42639</v>
      </c>
      <c r="E523" s="69">
        <v>4758881.57</v>
      </c>
      <c r="H523" s="45" t="s">
        <v>118</v>
      </c>
    </row>
    <row r="524" spans="1:9" s="177" customFormat="1" ht="30" customHeight="1">
      <c r="A524" s="42" t="s">
        <v>2053</v>
      </c>
      <c r="B524" s="18" t="s">
        <v>6</v>
      </c>
      <c r="C524" s="18" t="s">
        <v>7</v>
      </c>
      <c r="D524" s="34">
        <v>42642</v>
      </c>
      <c r="E524" s="174">
        <v>139776.12</v>
      </c>
      <c r="G524" s="178"/>
      <c r="H524" s="177" t="s">
        <v>56</v>
      </c>
      <c r="I524" s="179"/>
    </row>
    <row r="525" spans="1:9" s="177" customFormat="1" ht="30" customHeight="1">
      <c r="A525" s="42" t="s">
        <v>2054</v>
      </c>
      <c r="B525" s="18" t="s">
        <v>6</v>
      </c>
      <c r="C525" s="18" t="s">
        <v>7</v>
      </c>
      <c r="D525" s="34">
        <v>42642</v>
      </c>
      <c r="E525" s="174">
        <v>299515.19</v>
      </c>
      <c r="G525" s="178"/>
      <c r="H525" s="177" t="s">
        <v>1722</v>
      </c>
      <c r="I525" s="179"/>
    </row>
    <row r="526" spans="1:9" s="177" customFormat="1" ht="30" customHeight="1">
      <c r="A526" s="42" t="s">
        <v>1983</v>
      </c>
      <c r="B526" s="18" t="s">
        <v>1</v>
      </c>
      <c r="C526" s="18" t="s">
        <v>195</v>
      </c>
      <c r="D526" s="34">
        <v>42642</v>
      </c>
      <c r="E526" s="174">
        <v>1260257.4700000007</v>
      </c>
      <c r="G526" s="178"/>
      <c r="H526" s="177" t="s">
        <v>1722</v>
      </c>
      <c r="I526" s="179"/>
    </row>
    <row r="527" spans="1:9" s="177" customFormat="1" ht="30" customHeight="1">
      <c r="A527" s="42" t="s">
        <v>2055</v>
      </c>
      <c r="B527" s="18" t="s">
        <v>1</v>
      </c>
      <c r="C527" s="18" t="s">
        <v>2010</v>
      </c>
      <c r="D527" s="34">
        <v>42642</v>
      </c>
      <c r="E527" s="174">
        <v>357522.70999999996</v>
      </c>
      <c r="G527" s="178"/>
      <c r="H527" s="177" t="s">
        <v>208</v>
      </c>
      <c r="I527" s="179"/>
    </row>
    <row r="528" spans="1:9" s="177" customFormat="1" ht="30" customHeight="1">
      <c r="A528" s="42" t="s">
        <v>2056</v>
      </c>
      <c r="B528" s="18" t="s">
        <v>603</v>
      </c>
      <c r="C528" s="18" t="s">
        <v>195</v>
      </c>
      <c r="D528" s="34">
        <v>42642</v>
      </c>
      <c r="E528" s="174">
        <v>440000</v>
      </c>
      <c r="G528" s="178"/>
      <c r="H528" s="177" t="s">
        <v>208</v>
      </c>
      <c r="I528" s="179"/>
    </row>
    <row r="529" spans="1:9" s="177" customFormat="1" ht="30" customHeight="1">
      <c r="A529" s="42" t="s">
        <v>2057</v>
      </c>
      <c r="B529" s="18" t="s">
        <v>1</v>
      </c>
      <c r="C529" s="18" t="s">
        <v>2058</v>
      </c>
      <c r="D529" s="34">
        <v>42642</v>
      </c>
      <c r="E529" s="174">
        <v>550279.35999999987</v>
      </c>
      <c r="G529" s="178"/>
      <c r="H529" s="177" t="s">
        <v>208</v>
      </c>
      <c r="I529" s="179"/>
    </row>
    <row r="530" spans="1:9" s="177" customFormat="1" ht="30" customHeight="1">
      <c r="A530" s="42" t="s">
        <v>2059</v>
      </c>
      <c r="B530" s="18" t="s">
        <v>1</v>
      </c>
      <c r="C530" s="18" t="s">
        <v>2058</v>
      </c>
      <c r="D530" s="34">
        <v>42642</v>
      </c>
      <c r="E530" s="174">
        <v>248228.33000000007</v>
      </c>
      <c r="G530" s="178"/>
      <c r="H530" s="177" t="s">
        <v>1722</v>
      </c>
      <c r="I530" s="179"/>
    </row>
    <row r="531" spans="1:9" s="177" customFormat="1" ht="30" customHeight="1">
      <c r="A531" s="42" t="s">
        <v>2060</v>
      </c>
      <c r="B531" s="18" t="s">
        <v>1</v>
      </c>
      <c r="C531" s="18" t="s">
        <v>2</v>
      </c>
      <c r="D531" s="34">
        <v>42642</v>
      </c>
      <c r="E531" s="174">
        <v>986233.91000000015</v>
      </c>
      <c r="G531" s="178"/>
      <c r="H531" s="177" t="s">
        <v>1722</v>
      </c>
      <c r="I531" s="179"/>
    </row>
    <row r="532" spans="1:9" ht="30" hidden="1" customHeight="1">
      <c r="A532" s="180" t="s">
        <v>1865</v>
      </c>
      <c r="B532" s="181" t="s">
        <v>1380</v>
      </c>
      <c r="C532" s="181" t="s">
        <v>101</v>
      </c>
      <c r="D532" s="182">
        <v>42642</v>
      </c>
      <c r="E532" s="183">
        <v>1340000</v>
      </c>
      <c r="H532" s="45" t="s">
        <v>56</v>
      </c>
    </row>
    <row r="533" spans="1:9" ht="30" hidden="1" customHeight="1">
      <c r="A533" s="180" t="s">
        <v>1866</v>
      </c>
      <c r="B533" s="181" t="s">
        <v>93</v>
      </c>
      <c r="C533" s="181" t="s">
        <v>233</v>
      </c>
      <c r="D533" s="182">
        <v>42642</v>
      </c>
      <c r="E533" s="183">
        <v>1830000</v>
      </c>
      <c r="H533" s="45" t="s">
        <v>56</v>
      </c>
    </row>
    <row r="534" spans="1:9" ht="30" customHeight="1">
      <c r="A534" s="145" t="s">
        <v>2064</v>
      </c>
      <c r="B534" s="169" t="s">
        <v>240</v>
      </c>
      <c r="C534" s="169" t="s">
        <v>1746</v>
      </c>
      <c r="D534" s="34">
        <v>42641</v>
      </c>
      <c r="E534" s="174">
        <v>1120000</v>
      </c>
      <c r="H534" s="45" t="s">
        <v>118</v>
      </c>
    </row>
    <row r="535" spans="1:9" ht="30" customHeight="1">
      <c r="A535" s="145" t="s">
        <v>2012</v>
      </c>
      <c r="B535" s="169" t="s">
        <v>240</v>
      </c>
      <c r="C535" s="169" t="s">
        <v>2065</v>
      </c>
      <c r="D535" s="34">
        <v>42641</v>
      </c>
      <c r="E535" s="174">
        <v>1110000</v>
      </c>
      <c r="H535" s="45" t="s">
        <v>56</v>
      </c>
    </row>
    <row r="536" spans="1:9" ht="30" customHeight="1">
      <c r="A536" s="145" t="s">
        <v>1226</v>
      </c>
      <c r="B536" s="169" t="s">
        <v>60</v>
      </c>
      <c r="C536" s="169" t="s">
        <v>90</v>
      </c>
      <c r="D536" s="34">
        <v>42642</v>
      </c>
      <c r="E536" s="174">
        <v>378000</v>
      </c>
      <c r="H536" s="45" t="s">
        <v>56</v>
      </c>
    </row>
    <row r="537" spans="1:9" ht="30" hidden="1" customHeight="1">
      <c r="A537" s="145" t="s">
        <v>2027</v>
      </c>
      <c r="B537" s="169" t="s">
        <v>93</v>
      </c>
      <c r="C537" s="169" t="s">
        <v>233</v>
      </c>
      <c r="D537" s="34">
        <v>42642</v>
      </c>
      <c r="E537" s="174">
        <v>405266.47411199985</v>
      </c>
      <c r="H537" s="45" t="s">
        <v>119</v>
      </c>
    </row>
    <row r="538" spans="1:9" ht="30" hidden="1" customHeight="1">
      <c r="A538" s="180" t="s">
        <v>1865</v>
      </c>
      <c r="B538" s="181" t="s">
        <v>1380</v>
      </c>
      <c r="C538" s="181" t="s">
        <v>101</v>
      </c>
      <c r="D538" s="182">
        <v>42635</v>
      </c>
      <c r="E538" s="183">
        <v>1640000</v>
      </c>
      <c r="H538" s="45" t="s">
        <v>56</v>
      </c>
    </row>
    <row r="539" spans="1:9" ht="30" hidden="1" customHeight="1">
      <c r="A539" s="180" t="s">
        <v>1865</v>
      </c>
      <c r="B539" s="181" t="s">
        <v>1380</v>
      </c>
      <c r="C539" s="181" t="s">
        <v>101</v>
      </c>
      <c r="D539" s="182">
        <v>42643</v>
      </c>
      <c r="E539" s="183">
        <v>2310000</v>
      </c>
      <c r="H539" s="45" t="s">
        <v>56</v>
      </c>
    </row>
    <row r="540" spans="1:9" ht="30" hidden="1" customHeight="1">
      <c r="A540" s="145" t="s">
        <v>1866</v>
      </c>
      <c r="B540" s="169" t="s">
        <v>93</v>
      </c>
      <c r="C540" s="169" t="s">
        <v>233</v>
      </c>
      <c r="D540" s="34">
        <v>42651</v>
      </c>
      <c r="E540" s="174">
        <v>380000</v>
      </c>
      <c r="H540" s="45" t="s">
        <v>56</v>
      </c>
    </row>
    <row r="541" spans="1:9" ht="30" customHeight="1">
      <c r="A541" s="145" t="s">
        <v>2095</v>
      </c>
      <c r="B541" s="169" t="s">
        <v>2093</v>
      </c>
      <c r="C541" s="169" t="s">
        <v>2096</v>
      </c>
      <c r="D541" s="34">
        <v>42651</v>
      </c>
      <c r="E541" s="174">
        <v>280000</v>
      </c>
      <c r="H541" s="45" t="s">
        <v>2100</v>
      </c>
    </row>
    <row r="542" spans="1:9" ht="30" customHeight="1">
      <c r="A542" s="145" t="s">
        <v>2101</v>
      </c>
      <c r="B542" s="169" t="s">
        <v>2093</v>
      </c>
      <c r="C542" s="169" t="s">
        <v>2096</v>
      </c>
      <c r="D542" s="34">
        <v>42651</v>
      </c>
      <c r="E542" s="174">
        <v>76000</v>
      </c>
      <c r="H542" s="45" t="s">
        <v>2100</v>
      </c>
    </row>
    <row r="543" spans="1:9" ht="30" customHeight="1">
      <c r="A543" s="145" t="s">
        <v>2102</v>
      </c>
      <c r="B543" s="169" t="s">
        <v>2093</v>
      </c>
      <c r="C543" s="169" t="s">
        <v>2096</v>
      </c>
      <c r="D543" s="34">
        <v>42651</v>
      </c>
      <c r="E543" s="174">
        <v>344000</v>
      </c>
      <c r="H543" s="45" t="s">
        <v>2100</v>
      </c>
    </row>
    <row r="544" spans="1:9" ht="30" customHeight="1">
      <c r="A544" s="145" t="s">
        <v>2092</v>
      </c>
      <c r="B544" s="169" t="s">
        <v>2093</v>
      </c>
      <c r="C544" s="169" t="s">
        <v>2094</v>
      </c>
      <c r="D544" s="34">
        <v>42651</v>
      </c>
      <c r="E544" s="174">
        <v>2000000</v>
      </c>
      <c r="H544" s="45" t="s">
        <v>2100</v>
      </c>
    </row>
    <row r="545" spans="1:10" ht="30" hidden="1" customHeight="1">
      <c r="A545" s="145" t="s">
        <v>2103</v>
      </c>
      <c r="B545" s="169" t="s">
        <v>2104</v>
      </c>
      <c r="C545" s="169" t="s">
        <v>2105</v>
      </c>
      <c r="D545" s="34">
        <v>42651</v>
      </c>
      <c r="E545" s="174">
        <v>730000</v>
      </c>
      <c r="H545" s="45" t="s">
        <v>2100</v>
      </c>
    </row>
    <row r="546" spans="1:10" ht="30" customHeight="1">
      <c r="A546" s="145" t="s">
        <v>2106</v>
      </c>
      <c r="B546" s="169" t="s">
        <v>2093</v>
      </c>
      <c r="C546" s="169" t="s">
        <v>2107</v>
      </c>
      <c r="D546" s="34">
        <v>42651</v>
      </c>
      <c r="E546" s="174">
        <v>1000000</v>
      </c>
      <c r="H546" s="45" t="s">
        <v>2100</v>
      </c>
    </row>
    <row r="547" spans="1:10" ht="30" hidden="1" customHeight="1">
      <c r="A547" s="22" t="s">
        <v>2110</v>
      </c>
      <c r="B547" s="17" t="s">
        <v>160</v>
      </c>
      <c r="C547" s="16" t="s">
        <v>1006</v>
      </c>
      <c r="D547" s="34">
        <v>42631</v>
      </c>
      <c r="E547" s="141"/>
      <c r="H547" s="45" t="s">
        <v>119</v>
      </c>
      <c r="J547" s="45">
        <v>207460</v>
      </c>
    </row>
    <row r="548" spans="1:10" ht="30" hidden="1" customHeight="1">
      <c r="A548" s="22" t="s">
        <v>2111</v>
      </c>
      <c r="B548" s="17" t="s">
        <v>2112</v>
      </c>
      <c r="C548" s="16" t="s">
        <v>1006</v>
      </c>
      <c r="D548" s="34">
        <v>42625</v>
      </c>
      <c r="E548" s="141"/>
      <c r="H548" s="45" t="s">
        <v>119</v>
      </c>
      <c r="J548" s="45">
        <v>38375.4</v>
      </c>
    </row>
    <row r="549" spans="1:10" ht="30" hidden="1" customHeight="1">
      <c r="A549" s="22" t="s">
        <v>2111</v>
      </c>
      <c r="B549" s="17" t="s">
        <v>160</v>
      </c>
      <c r="C549" s="16" t="s">
        <v>1006</v>
      </c>
      <c r="D549" s="34">
        <v>42639</v>
      </c>
      <c r="E549" s="141"/>
      <c r="H549" s="45" t="s">
        <v>119</v>
      </c>
      <c r="J549" s="45">
        <v>191110</v>
      </c>
    </row>
    <row r="550" spans="1:10" ht="30" hidden="1" customHeight="1">
      <c r="A550" s="22" t="s">
        <v>1628</v>
      </c>
      <c r="B550" s="17" t="s">
        <v>747</v>
      </c>
      <c r="C550" s="16" t="s">
        <v>1076</v>
      </c>
      <c r="D550" s="34">
        <v>42620</v>
      </c>
      <c r="E550" s="141">
        <v>106966.6</v>
      </c>
      <c r="H550" s="45" t="s">
        <v>475</v>
      </c>
    </row>
    <row r="551" spans="1:10" ht="30" hidden="1" customHeight="1">
      <c r="A551" s="22" t="s">
        <v>1811</v>
      </c>
      <c r="B551" s="17" t="s">
        <v>747</v>
      </c>
      <c r="C551" s="16" t="s">
        <v>1076</v>
      </c>
      <c r="D551" s="34">
        <v>42641</v>
      </c>
      <c r="E551" s="141">
        <v>74866.600000000006</v>
      </c>
      <c r="H551" s="45" t="s">
        <v>475</v>
      </c>
    </row>
    <row r="552" spans="1:10" ht="30" hidden="1" customHeight="1">
      <c r="A552" s="22" t="s">
        <v>2374</v>
      </c>
      <c r="B552" s="17" t="s">
        <v>747</v>
      </c>
      <c r="C552" s="16" t="s">
        <v>748</v>
      </c>
      <c r="D552" s="34">
        <v>42625</v>
      </c>
      <c r="E552" s="141">
        <v>273000</v>
      </c>
      <c r="H552" s="45" t="s">
        <v>119</v>
      </c>
    </row>
    <row r="553" spans="1:10" ht="30" hidden="1" customHeight="1">
      <c r="A553" s="22" t="s">
        <v>2371</v>
      </c>
      <c r="B553" s="17" t="s">
        <v>747</v>
      </c>
      <c r="C553" s="16" t="s">
        <v>748</v>
      </c>
      <c r="D553" s="34">
        <v>42631</v>
      </c>
      <c r="E553" s="141">
        <v>39000</v>
      </c>
      <c r="H553" s="45" t="s">
        <v>119</v>
      </c>
    </row>
    <row r="554" spans="1:10" ht="30" customHeight="1">
      <c r="A554" s="22" t="s">
        <v>1749</v>
      </c>
      <c r="B554" s="17" t="s">
        <v>240</v>
      </c>
      <c r="C554" s="16" t="s">
        <v>474</v>
      </c>
      <c r="D554" s="34">
        <v>42626</v>
      </c>
      <c r="E554" s="141">
        <v>201493.25</v>
      </c>
      <c r="H554" s="45" t="s">
        <v>475</v>
      </c>
    </row>
    <row r="555" spans="1:10" ht="30" customHeight="1">
      <c r="A555" s="22" t="s">
        <v>1750</v>
      </c>
      <c r="B555" s="17" t="s">
        <v>240</v>
      </c>
      <c r="C555" s="16" t="s">
        <v>474</v>
      </c>
      <c r="D555" s="34">
        <v>42620</v>
      </c>
      <c r="E555" s="141">
        <v>86349.45</v>
      </c>
      <c r="H555" s="45" t="s">
        <v>475</v>
      </c>
    </row>
    <row r="556" spans="1:10" ht="30" hidden="1" customHeight="1">
      <c r="A556" s="145" t="s">
        <v>1594</v>
      </c>
      <c r="B556" s="169" t="s">
        <v>1895</v>
      </c>
      <c r="C556" s="169" t="s">
        <v>321</v>
      </c>
      <c r="D556" s="34">
        <v>42653</v>
      </c>
      <c r="E556" s="69">
        <v>2497756.3199889655</v>
      </c>
      <c r="H556" s="45" t="s">
        <v>2127</v>
      </c>
    </row>
    <row r="557" spans="1:10" ht="30" customHeight="1">
      <c r="A557" s="145" t="s">
        <v>2136</v>
      </c>
      <c r="B557" s="169" t="s">
        <v>2134</v>
      </c>
      <c r="C557" s="169" t="s">
        <v>2137</v>
      </c>
      <c r="D557" s="34">
        <v>42655</v>
      </c>
      <c r="E557" s="69">
        <v>2155212.46</v>
      </c>
      <c r="H557" s="45" t="s">
        <v>2138</v>
      </c>
    </row>
    <row r="558" spans="1:10" ht="30" customHeight="1">
      <c r="A558" s="145" t="s">
        <v>2133</v>
      </c>
      <c r="B558" s="169" t="s">
        <v>2134</v>
      </c>
      <c r="C558" s="169" t="s">
        <v>2135</v>
      </c>
      <c r="D558" s="34">
        <v>42656</v>
      </c>
      <c r="E558" s="69">
        <v>1000000</v>
      </c>
      <c r="H558" s="45" t="s">
        <v>2139</v>
      </c>
    </row>
    <row r="559" spans="1:10" ht="30" customHeight="1">
      <c r="A559" s="145" t="s">
        <v>2140</v>
      </c>
      <c r="B559" s="169" t="s">
        <v>2134</v>
      </c>
      <c r="C559" s="169" t="s">
        <v>2141</v>
      </c>
      <c r="D559" s="34">
        <v>42656</v>
      </c>
      <c r="E559" s="69">
        <v>400000</v>
      </c>
      <c r="H559" s="45" t="s">
        <v>2139</v>
      </c>
    </row>
    <row r="560" spans="1:10" ht="30" customHeight="1">
      <c r="A560" s="145" t="s">
        <v>2142</v>
      </c>
      <c r="B560" s="169" t="s">
        <v>2134</v>
      </c>
      <c r="C560" s="169" t="s">
        <v>2143</v>
      </c>
      <c r="D560" s="34">
        <v>42656</v>
      </c>
      <c r="E560" s="69">
        <v>1000000</v>
      </c>
      <c r="H560" s="45" t="s">
        <v>2139</v>
      </c>
    </row>
    <row r="561" spans="1:8" ht="30" customHeight="1">
      <c r="A561" s="22" t="s">
        <v>1923</v>
      </c>
      <c r="B561" s="169" t="s">
        <v>2134</v>
      </c>
      <c r="C561" s="169" t="s">
        <v>2141</v>
      </c>
      <c r="D561" s="34">
        <v>42656</v>
      </c>
      <c r="E561" s="69">
        <v>600000</v>
      </c>
      <c r="H561" s="45" t="s">
        <v>2139</v>
      </c>
    </row>
    <row r="562" spans="1:8" ht="30" hidden="1" customHeight="1">
      <c r="A562" s="145" t="s">
        <v>2155</v>
      </c>
      <c r="B562" s="169" t="s">
        <v>1614</v>
      </c>
      <c r="C562" s="169" t="s">
        <v>2156</v>
      </c>
      <c r="D562" s="34">
        <v>42656</v>
      </c>
      <c r="E562" s="69">
        <v>1600000</v>
      </c>
      <c r="H562" s="45" t="s">
        <v>178</v>
      </c>
    </row>
    <row r="563" spans="1:8" ht="30" customHeight="1">
      <c r="A563" s="22" t="s">
        <v>1749</v>
      </c>
      <c r="B563" s="17" t="s">
        <v>240</v>
      </c>
      <c r="C563" s="16" t="s">
        <v>474</v>
      </c>
      <c r="D563" s="34">
        <v>42643</v>
      </c>
      <c r="E563" s="141">
        <v>10596.95</v>
      </c>
      <c r="H563" s="45" t="s">
        <v>475</v>
      </c>
    </row>
    <row r="564" spans="1:8">
      <c r="A564" s="22" t="s">
        <v>1750</v>
      </c>
      <c r="B564" s="17" t="s">
        <v>240</v>
      </c>
      <c r="C564" s="16" t="s">
        <v>474</v>
      </c>
      <c r="D564" s="34">
        <v>42634</v>
      </c>
      <c r="E564" s="141">
        <v>4536.75</v>
      </c>
      <c r="H564" s="45" t="s">
        <v>475</v>
      </c>
    </row>
    <row r="565" spans="1:8" ht="30" hidden="1" customHeight="1">
      <c r="A565" s="145" t="s">
        <v>2174</v>
      </c>
      <c r="B565" s="169" t="s">
        <v>2175</v>
      </c>
      <c r="C565" s="169" t="s">
        <v>2176</v>
      </c>
      <c r="D565" s="34">
        <v>42661</v>
      </c>
      <c r="E565" s="69">
        <v>1380000</v>
      </c>
      <c r="H565" s="45" t="s">
        <v>56</v>
      </c>
    </row>
    <row r="566" spans="1:8" ht="30" customHeight="1">
      <c r="A566" s="145" t="s">
        <v>1876</v>
      </c>
      <c r="B566" s="169" t="s">
        <v>60</v>
      </c>
      <c r="C566" s="169" t="s">
        <v>180</v>
      </c>
      <c r="D566" s="34">
        <v>42661</v>
      </c>
      <c r="E566" s="69">
        <v>540000</v>
      </c>
      <c r="H566" s="45" t="s">
        <v>56</v>
      </c>
    </row>
    <row r="567" spans="1:8" ht="30" customHeight="1">
      <c r="A567" s="145" t="s">
        <v>2177</v>
      </c>
      <c r="B567" s="169" t="s">
        <v>60</v>
      </c>
      <c r="C567" s="169" t="s">
        <v>180</v>
      </c>
      <c r="D567" s="34">
        <v>42661</v>
      </c>
      <c r="E567" s="69">
        <v>460000</v>
      </c>
      <c r="H567" s="45" t="s">
        <v>119</v>
      </c>
    </row>
    <row r="568" spans="1:8" ht="30" customHeight="1">
      <c r="A568" s="145" t="s">
        <v>2102</v>
      </c>
      <c r="B568" s="169" t="s">
        <v>60</v>
      </c>
      <c r="C568" s="169" t="s">
        <v>90</v>
      </c>
      <c r="D568" s="34">
        <v>42661</v>
      </c>
      <c r="E568" s="69">
        <v>1000000</v>
      </c>
      <c r="H568" s="45" t="s">
        <v>56</v>
      </c>
    </row>
    <row r="569" spans="1:8" ht="30" customHeight="1">
      <c r="A569" s="145" t="s">
        <v>1891</v>
      </c>
      <c r="B569" s="169" t="s">
        <v>60</v>
      </c>
      <c r="C569" s="169" t="s">
        <v>210</v>
      </c>
      <c r="D569" s="34">
        <v>42661</v>
      </c>
      <c r="E569" s="69">
        <v>500000</v>
      </c>
      <c r="H569" s="45" t="s">
        <v>56</v>
      </c>
    </row>
    <row r="570" spans="1:8" ht="30" customHeight="1">
      <c r="A570" s="145" t="s">
        <v>2088</v>
      </c>
      <c r="B570" s="169" t="s">
        <v>60</v>
      </c>
      <c r="C570" s="169" t="s">
        <v>210</v>
      </c>
      <c r="D570" s="34">
        <v>42661</v>
      </c>
      <c r="E570" s="69">
        <v>500000</v>
      </c>
      <c r="H570" s="45" t="s">
        <v>119</v>
      </c>
    </row>
    <row r="571" spans="1:8" ht="30" hidden="1" customHeight="1">
      <c r="A571" s="145" t="s">
        <v>2197</v>
      </c>
      <c r="B571" s="169" t="s">
        <v>2198</v>
      </c>
      <c r="C571" s="169" t="s">
        <v>2199</v>
      </c>
      <c r="D571" s="34">
        <v>42662</v>
      </c>
      <c r="E571" s="174">
        <v>630000</v>
      </c>
      <c r="H571" s="45" t="s">
        <v>1624</v>
      </c>
    </row>
    <row r="572" spans="1:8" ht="30" hidden="1" customHeight="1">
      <c r="A572" s="145" t="s">
        <v>2192</v>
      </c>
      <c r="B572" s="169" t="s">
        <v>2190</v>
      </c>
      <c r="C572" s="169" t="s">
        <v>1746</v>
      </c>
      <c r="D572" s="34">
        <v>42662</v>
      </c>
      <c r="E572" s="174">
        <v>633000</v>
      </c>
      <c r="H572" s="45" t="s">
        <v>1593</v>
      </c>
    </row>
    <row r="573" spans="1:8" ht="30" hidden="1" customHeight="1">
      <c r="A573" s="145" t="s">
        <v>2202</v>
      </c>
      <c r="B573" s="169" t="s">
        <v>2206</v>
      </c>
      <c r="C573" s="169" t="s">
        <v>2208</v>
      </c>
      <c r="D573" s="34">
        <v>42663</v>
      </c>
      <c r="E573" s="69">
        <v>500000</v>
      </c>
      <c r="H573" s="45" t="s">
        <v>119</v>
      </c>
    </row>
    <row r="574" spans="1:8" ht="30" hidden="1" customHeight="1">
      <c r="A574" s="145" t="s">
        <v>2212</v>
      </c>
      <c r="B574" s="169" t="s">
        <v>2206</v>
      </c>
      <c r="C574" s="169" t="s">
        <v>2213</v>
      </c>
      <c r="D574" s="34">
        <v>42664</v>
      </c>
      <c r="E574" s="174">
        <v>1380000</v>
      </c>
      <c r="H574" s="45" t="s">
        <v>1843</v>
      </c>
    </row>
    <row r="575" spans="1:8" ht="30" hidden="1" customHeight="1">
      <c r="A575" s="145" t="s">
        <v>1970</v>
      </c>
      <c r="B575" s="169" t="s">
        <v>93</v>
      </c>
      <c r="C575" s="169" t="s">
        <v>321</v>
      </c>
      <c r="D575" s="34">
        <v>42667</v>
      </c>
      <c r="E575" s="174">
        <v>549348.23</v>
      </c>
      <c r="H575" s="45" t="s">
        <v>1719</v>
      </c>
    </row>
    <row r="576" spans="1:8" ht="30" hidden="1" customHeight="1">
      <c r="A576" s="145" t="s">
        <v>1970</v>
      </c>
      <c r="B576" s="169" t="s">
        <v>93</v>
      </c>
      <c r="C576" s="169" t="s">
        <v>321</v>
      </c>
      <c r="D576" s="34">
        <v>42667</v>
      </c>
      <c r="E576" s="174">
        <v>1762838.77</v>
      </c>
      <c r="H576" s="45" t="s">
        <v>1719</v>
      </c>
    </row>
    <row r="577" spans="1:8" ht="30" customHeight="1">
      <c r="A577" s="145" t="s">
        <v>2230</v>
      </c>
      <c r="B577" s="169" t="s">
        <v>2231</v>
      </c>
      <c r="C577" s="169" t="s">
        <v>2232</v>
      </c>
      <c r="D577" s="34">
        <v>42667</v>
      </c>
      <c r="E577" s="174">
        <v>670000</v>
      </c>
      <c r="H577" s="45" t="s">
        <v>2233</v>
      </c>
    </row>
    <row r="578" spans="1:8" ht="30" customHeight="1">
      <c r="A578" s="145" t="s">
        <v>2234</v>
      </c>
      <c r="B578" s="169" t="s">
        <v>2231</v>
      </c>
      <c r="C578" s="169" t="s">
        <v>2232</v>
      </c>
      <c r="D578" s="34">
        <v>42667</v>
      </c>
      <c r="E578" s="174">
        <v>400000</v>
      </c>
      <c r="H578" s="45" t="s">
        <v>2235</v>
      </c>
    </row>
    <row r="579" spans="1:8" ht="30" customHeight="1">
      <c r="A579" s="145" t="s">
        <v>2102</v>
      </c>
      <c r="B579" s="169" t="s">
        <v>60</v>
      </c>
      <c r="C579" s="169" t="s">
        <v>90</v>
      </c>
      <c r="D579" s="34">
        <v>42667</v>
      </c>
      <c r="E579" s="69">
        <v>1000000</v>
      </c>
      <c r="H579" s="45" t="s">
        <v>56</v>
      </c>
    </row>
    <row r="580" spans="1:8" ht="30" hidden="1" customHeight="1">
      <c r="A580" s="145" t="s">
        <v>1866</v>
      </c>
      <c r="B580" s="169" t="s">
        <v>93</v>
      </c>
      <c r="C580" s="169" t="s">
        <v>233</v>
      </c>
      <c r="D580" s="34">
        <v>42667</v>
      </c>
      <c r="E580" s="69">
        <v>296718.42</v>
      </c>
      <c r="H580" s="45" t="s">
        <v>56</v>
      </c>
    </row>
    <row r="581" spans="1:8" ht="30" hidden="1" customHeight="1">
      <c r="A581" s="145" t="s">
        <v>1865</v>
      </c>
      <c r="B581" s="169" t="s">
        <v>1380</v>
      </c>
      <c r="C581" s="169" t="s">
        <v>101</v>
      </c>
      <c r="D581" s="34">
        <v>42667</v>
      </c>
      <c r="E581" s="69">
        <v>234784.21</v>
      </c>
      <c r="H581" s="45" t="s">
        <v>56</v>
      </c>
    </row>
    <row r="582" spans="1:8" ht="30" hidden="1" customHeight="1">
      <c r="A582" s="145" t="s">
        <v>1865</v>
      </c>
      <c r="B582" s="169" t="s">
        <v>1380</v>
      </c>
      <c r="C582" s="169" t="s">
        <v>101</v>
      </c>
      <c r="D582" s="34">
        <v>42667</v>
      </c>
      <c r="E582" s="69">
        <v>302271.06</v>
      </c>
      <c r="H582" s="45" t="s">
        <v>56</v>
      </c>
    </row>
    <row r="583" spans="1:8" ht="30" customHeight="1">
      <c r="A583" s="145" t="s">
        <v>1513</v>
      </c>
      <c r="B583" s="169" t="s">
        <v>60</v>
      </c>
      <c r="C583" s="169" t="s">
        <v>321</v>
      </c>
      <c r="D583" s="34">
        <v>42669</v>
      </c>
      <c r="E583" s="69">
        <v>707792.68</v>
      </c>
      <c r="H583" s="45" t="s">
        <v>1593</v>
      </c>
    </row>
    <row r="584" spans="1:8" ht="30" customHeight="1">
      <c r="A584" s="145" t="s">
        <v>2018</v>
      </c>
      <c r="B584" s="169" t="s">
        <v>60</v>
      </c>
      <c r="C584" s="169" t="s">
        <v>321</v>
      </c>
      <c r="D584" s="34">
        <v>42669</v>
      </c>
      <c r="E584" s="69">
        <v>983712.15</v>
      </c>
      <c r="H584" s="45" t="s">
        <v>1593</v>
      </c>
    </row>
    <row r="585" spans="1:8" ht="30" customHeight="1">
      <c r="A585" s="145" t="s">
        <v>2132</v>
      </c>
      <c r="B585" s="169" t="s">
        <v>60</v>
      </c>
      <c r="C585" s="169" t="s">
        <v>321</v>
      </c>
      <c r="D585" s="34">
        <v>42669</v>
      </c>
      <c r="E585" s="69">
        <v>3761440.84</v>
      </c>
      <c r="H585" s="45" t="s">
        <v>1593</v>
      </c>
    </row>
    <row r="586" spans="1:8" ht="30" customHeight="1">
      <c r="A586" s="145" t="s">
        <v>2088</v>
      </c>
      <c r="B586" s="169" t="s">
        <v>60</v>
      </c>
      <c r="C586" s="169" t="s">
        <v>210</v>
      </c>
      <c r="D586" s="34">
        <v>42669</v>
      </c>
      <c r="E586" s="69">
        <v>1500000</v>
      </c>
      <c r="H586" s="45" t="s">
        <v>119</v>
      </c>
    </row>
    <row r="587" spans="1:8" ht="30" customHeight="1">
      <c r="A587" s="145" t="s">
        <v>1400</v>
      </c>
      <c r="B587" s="169" t="s">
        <v>60</v>
      </c>
      <c r="C587" s="169" t="s">
        <v>180</v>
      </c>
      <c r="D587" s="34">
        <v>42670</v>
      </c>
      <c r="E587" s="69">
        <v>425482.63088750001</v>
      </c>
      <c r="H587" s="45" t="s">
        <v>56</v>
      </c>
    </row>
    <row r="588" spans="1:8" ht="30" customHeight="1">
      <c r="A588" s="145" t="s">
        <v>2258</v>
      </c>
      <c r="B588" s="169" t="s">
        <v>60</v>
      </c>
      <c r="C588" s="169" t="s">
        <v>180</v>
      </c>
      <c r="D588" s="34">
        <v>42670</v>
      </c>
      <c r="E588" s="69">
        <v>1043484.4900000002</v>
      </c>
      <c r="H588" s="45" t="s">
        <v>119</v>
      </c>
    </row>
    <row r="589" spans="1:8" ht="30" customHeight="1">
      <c r="A589" s="145" t="s">
        <v>1901</v>
      </c>
      <c r="B589" s="169" t="s">
        <v>60</v>
      </c>
      <c r="C589" s="169" t="s">
        <v>180</v>
      </c>
      <c r="D589" s="34">
        <v>42670</v>
      </c>
      <c r="E589" s="69">
        <v>213485.33999999985</v>
      </c>
      <c r="H589" s="45" t="s">
        <v>119</v>
      </c>
    </row>
    <row r="590" spans="1:8" ht="30" customHeight="1">
      <c r="A590" s="145" t="s">
        <v>1902</v>
      </c>
      <c r="B590" s="169" t="s">
        <v>60</v>
      </c>
      <c r="C590" s="169" t="s">
        <v>180</v>
      </c>
      <c r="D590" s="34">
        <v>42670</v>
      </c>
      <c r="E590" s="69">
        <v>327889.44999999995</v>
      </c>
      <c r="H590" s="45" t="s">
        <v>119</v>
      </c>
    </row>
    <row r="591" spans="1:8" ht="30" customHeight="1">
      <c r="A591" s="145" t="s">
        <v>2263</v>
      </c>
      <c r="B591" s="169" t="s">
        <v>2264</v>
      </c>
      <c r="C591" s="169" t="s">
        <v>2265</v>
      </c>
      <c r="D591" s="34">
        <v>42670</v>
      </c>
      <c r="E591" s="69">
        <v>1500000</v>
      </c>
      <c r="H591" s="45" t="s">
        <v>2266</v>
      </c>
    </row>
    <row r="592" spans="1:8" ht="30" customHeight="1">
      <c r="A592" s="145" t="s">
        <v>2267</v>
      </c>
      <c r="B592" s="169" t="s">
        <v>2264</v>
      </c>
      <c r="C592" s="169" t="s">
        <v>2268</v>
      </c>
      <c r="D592" s="34">
        <v>42670</v>
      </c>
      <c r="E592" s="69">
        <v>300000</v>
      </c>
      <c r="H592" s="45" t="s">
        <v>2266</v>
      </c>
    </row>
    <row r="593" spans="1:8" ht="30" customHeight="1">
      <c r="A593" s="145" t="s">
        <v>2269</v>
      </c>
      <c r="B593" s="169" t="s">
        <v>2270</v>
      </c>
      <c r="C593" s="169" t="s">
        <v>2271</v>
      </c>
      <c r="D593" s="34">
        <v>42670</v>
      </c>
      <c r="E593" s="69">
        <v>570000</v>
      </c>
      <c r="H593" s="45" t="s">
        <v>2272</v>
      </c>
    </row>
    <row r="594" spans="1:8" ht="30" customHeight="1">
      <c r="A594" s="145" t="s">
        <v>2273</v>
      </c>
      <c r="B594" s="169" t="s">
        <v>2264</v>
      </c>
      <c r="C594" s="169" t="s">
        <v>2274</v>
      </c>
      <c r="D594" s="34">
        <v>42670</v>
      </c>
      <c r="E594" s="69">
        <v>75119.760000000009</v>
      </c>
      <c r="H594" s="45" t="s">
        <v>2272</v>
      </c>
    </row>
    <row r="595" spans="1:8" ht="30" customHeight="1">
      <c r="A595" s="145" t="s">
        <v>2275</v>
      </c>
      <c r="B595" s="169" t="s">
        <v>2264</v>
      </c>
      <c r="C595" s="169" t="s">
        <v>2274</v>
      </c>
      <c r="D595" s="34">
        <v>42670</v>
      </c>
      <c r="E595" s="69">
        <v>541381.88999999966</v>
      </c>
      <c r="H595" s="45" t="s">
        <v>2272</v>
      </c>
    </row>
    <row r="596" spans="1:8" ht="30" customHeight="1">
      <c r="A596" s="145" t="s">
        <v>2285</v>
      </c>
      <c r="B596" s="169" t="s">
        <v>402</v>
      </c>
      <c r="C596" s="169" t="s">
        <v>53</v>
      </c>
      <c r="D596" s="34">
        <v>42674</v>
      </c>
      <c r="E596" s="69">
        <v>600000</v>
      </c>
      <c r="H596" s="45" t="s">
        <v>119</v>
      </c>
    </row>
    <row r="597" spans="1:8" ht="30" hidden="1" customHeight="1">
      <c r="A597" s="145" t="s">
        <v>1595</v>
      </c>
      <c r="B597" s="169" t="s">
        <v>1380</v>
      </c>
      <c r="C597" s="169" t="s">
        <v>144</v>
      </c>
      <c r="D597" s="34">
        <v>42670</v>
      </c>
      <c r="E597" s="174">
        <v>8700000</v>
      </c>
      <c r="F597" s="45" t="s">
        <v>823</v>
      </c>
      <c r="H597" s="45" t="s">
        <v>118</v>
      </c>
    </row>
    <row r="598" spans="1:8" ht="30" customHeight="1">
      <c r="A598" s="145" t="s">
        <v>2294</v>
      </c>
      <c r="B598" s="169" t="s">
        <v>2295</v>
      </c>
      <c r="C598" s="169" t="s">
        <v>2296</v>
      </c>
      <c r="D598" s="34">
        <v>42654</v>
      </c>
      <c r="E598" s="174">
        <v>212513.79000000004</v>
      </c>
      <c r="F598" s="45" t="s">
        <v>823</v>
      </c>
      <c r="H598" s="45" t="s">
        <v>118</v>
      </c>
    </row>
    <row r="599" spans="1:8" ht="30" customHeight="1">
      <c r="A599" s="145" t="s">
        <v>2297</v>
      </c>
      <c r="B599" s="169" t="s">
        <v>2295</v>
      </c>
      <c r="C599" s="169" t="s">
        <v>2296</v>
      </c>
      <c r="D599" s="34">
        <v>42654</v>
      </c>
      <c r="E599" s="174">
        <v>1692329.15</v>
      </c>
      <c r="F599" s="45" t="s">
        <v>823</v>
      </c>
      <c r="H599" s="45" t="s">
        <v>118</v>
      </c>
    </row>
    <row r="600" spans="1:8" ht="30" customHeight="1">
      <c r="A600" s="145" t="s">
        <v>2298</v>
      </c>
      <c r="B600" s="169" t="s">
        <v>2295</v>
      </c>
      <c r="C600" s="169" t="s">
        <v>2296</v>
      </c>
      <c r="D600" s="34">
        <v>42654</v>
      </c>
      <c r="E600" s="174">
        <v>3785157.06</v>
      </c>
      <c r="F600" s="45" t="s">
        <v>823</v>
      </c>
      <c r="H600" s="45" t="s">
        <v>118</v>
      </c>
    </row>
    <row r="601" spans="1:8" ht="30" customHeight="1">
      <c r="A601" s="145" t="s">
        <v>2301</v>
      </c>
      <c r="B601" s="169" t="s">
        <v>240</v>
      </c>
      <c r="C601" s="169" t="s">
        <v>75</v>
      </c>
      <c r="D601" s="34">
        <v>42662</v>
      </c>
      <c r="E601" s="174">
        <v>366400</v>
      </c>
      <c r="H601" s="45" t="s">
        <v>1719</v>
      </c>
    </row>
    <row r="602" spans="1:8" ht="30" customHeight="1">
      <c r="A602" s="145" t="s">
        <v>2354</v>
      </c>
      <c r="B602" s="169" t="s">
        <v>240</v>
      </c>
      <c r="C602" s="169" t="s">
        <v>104</v>
      </c>
      <c r="D602" s="34">
        <v>42656</v>
      </c>
      <c r="E602" s="174">
        <v>205200</v>
      </c>
      <c r="H602" s="45" t="s">
        <v>1078</v>
      </c>
    </row>
    <row r="603" spans="1:8" ht="30" customHeight="1">
      <c r="A603" s="145" t="s">
        <v>2355</v>
      </c>
      <c r="B603" s="169" t="s">
        <v>240</v>
      </c>
      <c r="C603" s="169" t="s">
        <v>104</v>
      </c>
      <c r="D603" s="34">
        <v>42675</v>
      </c>
      <c r="E603" s="174">
        <v>319000</v>
      </c>
      <c r="H603" s="45" t="s">
        <v>1078</v>
      </c>
    </row>
    <row r="604" spans="1:8" ht="30" customHeight="1">
      <c r="A604" s="145" t="s">
        <v>2356</v>
      </c>
      <c r="B604" s="169" t="s">
        <v>240</v>
      </c>
      <c r="C604" s="169" t="s">
        <v>992</v>
      </c>
      <c r="D604" s="34">
        <v>42671</v>
      </c>
      <c r="E604" s="174">
        <v>349515</v>
      </c>
      <c r="H604" s="45" t="s">
        <v>1078</v>
      </c>
    </row>
    <row r="605" spans="1:8" ht="30" customHeight="1">
      <c r="A605" s="145" t="s">
        <v>2360</v>
      </c>
      <c r="B605" s="169" t="s">
        <v>2361</v>
      </c>
      <c r="C605" s="16" t="s">
        <v>474</v>
      </c>
      <c r="D605" s="34">
        <v>42667</v>
      </c>
      <c r="E605" s="174">
        <v>175292.82</v>
      </c>
      <c r="H605" s="45" t="s">
        <v>475</v>
      </c>
    </row>
    <row r="606" spans="1:8" ht="30" hidden="1" customHeight="1">
      <c r="A606" s="22" t="s">
        <v>2373</v>
      </c>
      <c r="B606" s="17" t="s">
        <v>747</v>
      </c>
      <c r="C606" s="16" t="s">
        <v>748</v>
      </c>
      <c r="D606" s="34">
        <v>42677</v>
      </c>
      <c r="E606" s="174">
        <v>39000</v>
      </c>
      <c r="H606" s="45" t="s">
        <v>119</v>
      </c>
    </row>
    <row r="607" spans="1:8" ht="30" hidden="1" customHeight="1">
      <c r="A607" s="22" t="s">
        <v>2374</v>
      </c>
      <c r="B607" s="17" t="s">
        <v>747</v>
      </c>
      <c r="C607" s="16" t="s">
        <v>748</v>
      </c>
      <c r="D607" s="34">
        <v>42660</v>
      </c>
      <c r="E607" s="174">
        <v>39000</v>
      </c>
      <c r="H607" s="45" t="s">
        <v>119</v>
      </c>
    </row>
    <row r="608" spans="1:8" ht="30" hidden="1" customHeight="1">
      <c r="A608" s="22" t="s">
        <v>1856</v>
      </c>
      <c r="B608" s="17" t="s">
        <v>747</v>
      </c>
      <c r="C608" s="16" t="s">
        <v>1076</v>
      </c>
      <c r="D608" s="34">
        <v>42656</v>
      </c>
      <c r="E608" s="141">
        <v>106057.1</v>
      </c>
      <c r="H608" s="45" t="s">
        <v>475</v>
      </c>
    </row>
    <row r="609" spans="1:10" ht="30" hidden="1" customHeight="1">
      <c r="A609" s="22" t="s">
        <v>2111</v>
      </c>
      <c r="B609" s="17" t="s">
        <v>747</v>
      </c>
      <c r="C609" s="16" t="s">
        <v>1076</v>
      </c>
      <c r="D609" s="34">
        <v>42661</v>
      </c>
      <c r="E609" s="141">
        <v>106966.6</v>
      </c>
      <c r="H609" s="45" t="s">
        <v>475</v>
      </c>
    </row>
    <row r="610" spans="1:10" ht="30" hidden="1" customHeight="1">
      <c r="A610" s="145" t="s">
        <v>2362</v>
      </c>
      <c r="B610" s="17" t="s">
        <v>160</v>
      </c>
      <c r="C610" s="16" t="s">
        <v>1006</v>
      </c>
      <c r="D610" s="34">
        <v>42613</v>
      </c>
      <c r="E610" s="174"/>
      <c r="H610" s="45" t="s">
        <v>119</v>
      </c>
      <c r="J610" s="45">
        <v>180460</v>
      </c>
    </row>
    <row r="611" spans="1:10" ht="30" hidden="1" customHeight="1">
      <c r="A611" s="145" t="s">
        <v>2362</v>
      </c>
      <c r="B611" s="17" t="s">
        <v>160</v>
      </c>
      <c r="C611" s="16" t="s">
        <v>1006</v>
      </c>
      <c r="D611" s="34">
        <v>42677</v>
      </c>
      <c r="E611" s="174"/>
      <c r="H611" s="45" t="s">
        <v>119</v>
      </c>
      <c r="J611" s="45">
        <v>44000</v>
      </c>
    </row>
    <row r="612" spans="1:10" ht="30" customHeight="1">
      <c r="A612" s="145" t="s">
        <v>2375</v>
      </c>
      <c r="B612" s="17" t="s">
        <v>240</v>
      </c>
      <c r="C612" s="16" t="s">
        <v>1231</v>
      </c>
      <c r="D612" s="34">
        <v>42682</v>
      </c>
      <c r="E612" s="174">
        <v>406500</v>
      </c>
      <c r="H612" s="45" t="s">
        <v>2138</v>
      </c>
    </row>
    <row r="613" spans="1:10" ht="30" hidden="1" customHeight="1">
      <c r="A613" s="22" t="s">
        <v>2366</v>
      </c>
      <c r="B613" s="17" t="s">
        <v>736</v>
      </c>
      <c r="C613" s="16" t="s">
        <v>748</v>
      </c>
      <c r="D613" s="34">
        <v>42584</v>
      </c>
      <c r="E613" s="141">
        <v>78000</v>
      </c>
      <c r="H613" s="45" t="s">
        <v>119</v>
      </c>
    </row>
    <row r="614" spans="1:10" ht="30" hidden="1" customHeight="1">
      <c r="A614" s="22" t="s">
        <v>2367</v>
      </c>
      <c r="B614" s="17" t="s">
        <v>736</v>
      </c>
      <c r="C614" s="16" t="s">
        <v>748</v>
      </c>
      <c r="D614" s="34">
        <v>42598</v>
      </c>
      <c r="E614" s="141">
        <v>78000</v>
      </c>
      <c r="H614" s="45" t="s">
        <v>119</v>
      </c>
    </row>
    <row r="615" spans="1:10" ht="30" hidden="1" customHeight="1">
      <c r="A615" s="22" t="s">
        <v>2374</v>
      </c>
      <c r="B615" s="17" t="s">
        <v>747</v>
      </c>
      <c r="C615" s="16" t="s">
        <v>748</v>
      </c>
      <c r="D615" s="34">
        <v>42611</v>
      </c>
      <c r="E615" s="141">
        <v>78000</v>
      </c>
      <c r="H615" s="45" t="s">
        <v>119</v>
      </c>
    </row>
    <row r="616" spans="1:10" ht="30" hidden="1" customHeight="1">
      <c r="A616" s="22" t="s">
        <v>2369</v>
      </c>
      <c r="B616" s="17" t="s">
        <v>747</v>
      </c>
      <c r="C616" s="16" t="s">
        <v>748</v>
      </c>
      <c r="D616" s="34">
        <v>42611</v>
      </c>
      <c r="E616" s="141">
        <v>39000</v>
      </c>
      <c r="H616" s="45" t="s">
        <v>119</v>
      </c>
    </row>
    <row r="617" spans="1:10" ht="30" hidden="1" customHeight="1">
      <c r="A617" s="22" t="s">
        <v>2380</v>
      </c>
      <c r="B617" s="17" t="s">
        <v>2381</v>
      </c>
      <c r="C617" s="16" t="s">
        <v>2382</v>
      </c>
      <c r="D617" s="34">
        <v>42625</v>
      </c>
      <c r="E617" s="141">
        <v>33000</v>
      </c>
      <c r="H617" s="45" t="s">
        <v>2383</v>
      </c>
    </row>
    <row r="618" spans="1:10" ht="30" customHeight="1">
      <c r="A618" s="22" t="s">
        <v>2384</v>
      </c>
      <c r="B618" s="17" t="s">
        <v>2385</v>
      </c>
      <c r="C618" s="16" t="s">
        <v>2386</v>
      </c>
      <c r="D618" s="34">
        <v>42683</v>
      </c>
      <c r="E618" s="141">
        <v>406500</v>
      </c>
      <c r="H618" s="45" t="s">
        <v>2387</v>
      </c>
    </row>
    <row r="619" spans="1:10" ht="30" customHeight="1">
      <c r="A619" s="22" t="s">
        <v>2388</v>
      </c>
      <c r="B619" s="17" t="s">
        <v>2385</v>
      </c>
      <c r="C619" s="16" t="s">
        <v>2389</v>
      </c>
      <c r="D619" s="34">
        <v>42683</v>
      </c>
      <c r="E619" s="141">
        <v>400200</v>
      </c>
      <c r="H619" s="45" t="s">
        <v>2383</v>
      </c>
    </row>
    <row r="620" spans="1:10" ht="30" hidden="1" customHeight="1">
      <c r="A620" s="22" t="s">
        <v>2051</v>
      </c>
      <c r="B620" s="17" t="s">
        <v>93</v>
      </c>
      <c r="C620" s="16" t="s">
        <v>233</v>
      </c>
      <c r="D620" s="34">
        <v>42684</v>
      </c>
      <c r="E620" s="141">
        <v>570906.88999999966</v>
      </c>
      <c r="H620" s="45" t="s">
        <v>56</v>
      </c>
    </row>
    <row r="621" spans="1:10" ht="30" hidden="1" customHeight="1">
      <c r="A621" s="22" t="s">
        <v>2392</v>
      </c>
      <c r="B621" s="17" t="s">
        <v>93</v>
      </c>
      <c r="C621" s="16" t="s">
        <v>2393</v>
      </c>
      <c r="D621" s="34">
        <v>42684</v>
      </c>
      <c r="E621" s="141">
        <v>1620000</v>
      </c>
      <c r="H621" s="45" t="s">
        <v>119</v>
      </c>
    </row>
    <row r="622" spans="1:10" ht="30" customHeight="1">
      <c r="A622" s="22" t="s">
        <v>2165</v>
      </c>
      <c r="B622" s="17" t="s">
        <v>60</v>
      </c>
      <c r="C622" s="16" t="s">
        <v>180</v>
      </c>
      <c r="D622" s="34">
        <v>42684</v>
      </c>
      <c r="E622" s="141">
        <v>1800000</v>
      </c>
      <c r="H622" s="45" t="s">
        <v>119</v>
      </c>
    </row>
    <row r="623" spans="1:10" ht="30" customHeight="1">
      <c r="A623" s="22" t="s">
        <v>2184</v>
      </c>
      <c r="B623" s="17" t="s">
        <v>60</v>
      </c>
      <c r="C623" s="16" t="s">
        <v>1446</v>
      </c>
      <c r="D623" s="34">
        <v>42684</v>
      </c>
      <c r="E623" s="141">
        <v>1500000</v>
      </c>
      <c r="H623" s="45" t="s">
        <v>119</v>
      </c>
    </row>
    <row r="624" spans="1:10" ht="30" hidden="1" customHeight="1">
      <c r="A624" s="22" t="s">
        <v>1969</v>
      </c>
      <c r="B624" s="17" t="s">
        <v>1380</v>
      </c>
      <c r="C624" s="16" t="s">
        <v>2394</v>
      </c>
      <c r="D624" s="34">
        <v>42684</v>
      </c>
      <c r="E624" s="141">
        <v>200000</v>
      </c>
      <c r="H624" s="45" t="s">
        <v>56</v>
      </c>
    </row>
    <row r="625" spans="1:8" ht="30" customHeight="1">
      <c r="A625" s="22" t="s">
        <v>2148</v>
      </c>
      <c r="B625" s="17" t="s">
        <v>60</v>
      </c>
      <c r="C625" s="16" t="s">
        <v>210</v>
      </c>
      <c r="D625" s="34">
        <v>42684</v>
      </c>
      <c r="E625" s="141">
        <v>1000000</v>
      </c>
      <c r="H625" s="45" t="s">
        <v>119</v>
      </c>
    </row>
    <row r="626" spans="1:8" ht="30" customHeight="1">
      <c r="A626" s="22" t="s">
        <v>2158</v>
      </c>
      <c r="B626" s="17" t="s">
        <v>402</v>
      </c>
      <c r="C626" s="16" t="s">
        <v>53</v>
      </c>
      <c r="D626" s="34">
        <v>42684</v>
      </c>
      <c r="E626" s="141">
        <v>500000</v>
      </c>
      <c r="H626" s="45" t="s">
        <v>119</v>
      </c>
    </row>
    <row r="627" spans="1:8" ht="30" customHeight="1">
      <c r="A627" s="22" t="s">
        <v>2098</v>
      </c>
      <c r="B627" s="17" t="s">
        <v>60</v>
      </c>
      <c r="C627" s="16" t="s">
        <v>90</v>
      </c>
      <c r="D627" s="34">
        <v>42684</v>
      </c>
      <c r="E627" s="141">
        <v>1000000</v>
      </c>
      <c r="H627" s="45" t="s">
        <v>56</v>
      </c>
    </row>
    <row r="628" spans="1:8" ht="30" hidden="1" customHeight="1">
      <c r="A628" s="22" t="s">
        <v>2050</v>
      </c>
      <c r="B628" s="17" t="s">
        <v>85</v>
      </c>
      <c r="C628" s="16" t="s">
        <v>321</v>
      </c>
      <c r="D628" s="34">
        <v>42688</v>
      </c>
      <c r="E628" s="141">
        <v>385053.51</v>
      </c>
      <c r="H628" s="45" t="s">
        <v>1593</v>
      </c>
    </row>
    <row r="629" spans="1:8" ht="30" hidden="1" customHeight="1">
      <c r="A629" s="22" t="s">
        <v>2052</v>
      </c>
      <c r="B629" s="17" t="s">
        <v>93</v>
      </c>
      <c r="C629" s="16" t="s">
        <v>321</v>
      </c>
      <c r="D629" s="34">
        <v>42688</v>
      </c>
      <c r="E629" s="141">
        <v>3196176.06</v>
      </c>
      <c r="H629" s="45" t="s">
        <v>1593</v>
      </c>
    </row>
    <row r="630" spans="1:8" ht="30" hidden="1" customHeight="1">
      <c r="A630" s="22" t="s">
        <v>2063</v>
      </c>
      <c r="B630" s="17" t="s">
        <v>82</v>
      </c>
      <c r="C630" s="16" t="s">
        <v>321</v>
      </c>
      <c r="D630" s="34">
        <v>42678</v>
      </c>
      <c r="E630" s="141">
        <v>802386.49</v>
      </c>
      <c r="H630" s="45" t="s">
        <v>1593</v>
      </c>
    </row>
    <row r="631" spans="1:8" ht="30" customHeight="1">
      <c r="A631" s="22" t="s">
        <v>2097</v>
      </c>
      <c r="B631" s="17" t="s">
        <v>60</v>
      </c>
      <c r="C631" s="16" t="s">
        <v>321</v>
      </c>
      <c r="D631" s="34">
        <v>42678</v>
      </c>
      <c r="E631" s="141">
        <v>7527015.2400000002</v>
      </c>
      <c r="H631" s="45" t="s">
        <v>1593</v>
      </c>
    </row>
    <row r="632" spans="1:8" ht="30" customHeight="1">
      <c r="A632" s="22" t="s">
        <v>2417</v>
      </c>
      <c r="B632" s="17" t="s">
        <v>925</v>
      </c>
      <c r="C632" s="16" t="s">
        <v>1563</v>
      </c>
      <c r="D632" s="34">
        <v>42689</v>
      </c>
      <c r="E632" s="141">
        <v>5151497</v>
      </c>
      <c r="H632" s="45" t="s">
        <v>1593</v>
      </c>
    </row>
    <row r="633" spans="1:8" ht="30" customHeight="1">
      <c r="A633" s="22" t="s">
        <v>2310</v>
      </c>
      <c r="B633" s="17" t="s">
        <v>60</v>
      </c>
      <c r="C633" s="16" t="s">
        <v>144</v>
      </c>
      <c r="D633" s="34">
        <v>42689</v>
      </c>
      <c r="E633" s="141">
        <v>1848503</v>
      </c>
      <c r="H633" s="45" t="s">
        <v>1593</v>
      </c>
    </row>
    <row r="634" spans="1:8" ht="30" hidden="1" customHeight="1">
      <c r="A634" s="22" t="s">
        <v>2420</v>
      </c>
      <c r="B634" s="17" t="s">
        <v>93</v>
      </c>
      <c r="C634" s="16" t="s">
        <v>2393</v>
      </c>
      <c r="D634" s="34">
        <v>42690</v>
      </c>
      <c r="E634" s="141">
        <v>1400000</v>
      </c>
      <c r="H634" s="45" t="s">
        <v>119</v>
      </c>
    </row>
    <row r="635" spans="1:8" ht="30" hidden="1" customHeight="1">
      <c r="A635" s="22" t="s">
        <v>2421</v>
      </c>
      <c r="B635" s="17" t="s">
        <v>2206</v>
      </c>
      <c r="C635" s="16" t="s">
        <v>2208</v>
      </c>
      <c r="D635" s="34">
        <v>42690</v>
      </c>
      <c r="E635" s="141">
        <v>300000</v>
      </c>
      <c r="H635" s="45" t="s">
        <v>119</v>
      </c>
    </row>
    <row r="636" spans="1:8" ht="30" customHeight="1">
      <c r="A636" s="22" t="s">
        <v>2165</v>
      </c>
      <c r="B636" s="17" t="s">
        <v>60</v>
      </c>
      <c r="C636" s="16" t="s">
        <v>180</v>
      </c>
      <c r="D636" s="34">
        <v>42692</v>
      </c>
      <c r="E636" s="141">
        <v>1000000</v>
      </c>
      <c r="H636" s="45" t="s">
        <v>119</v>
      </c>
    </row>
    <row r="637" spans="1:8" ht="30" customHeight="1">
      <c r="A637" s="22" t="s">
        <v>1940</v>
      </c>
      <c r="B637" s="17" t="s">
        <v>60</v>
      </c>
      <c r="C637" s="16" t="s">
        <v>90</v>
      </c>
      <c r="D637" s="34">
        <v>42695</v>
      </c>
      <c r="E637" s="141">
        <v>444643.62999999989</v>
      </c>
      <c r="H637" s="45" t="s">
        <v>56</v>
      </c>
    </row>
    <row r="638" spans="1:8" ht="30" customHeight="1">
      <c r="A638" s="22" t="s">
        <v>2098</v>
      </c>
      <c r="B638" s="17" t="s">
        <v>60</v>
      </c>
      <c r="C638" s="16" t="s">
        <v>90</v>
      </c>
      <c r="D638" s="34">
        <v>42695</v>
      </c>
      <c r="E638" s="141">
        <v>145600.0942169996</v>
      </c>
      <c r="H638" s="45" t="s">
        <v>56</v>
      </c>
    </row>
    <row r="639" spans="1:8" ht="30" customHeight="1">
      <c r="A639" s="22" t="s">
        <v>2400</v>
      </c>
      <c r="B639" s="17" t="s">
        <v>60</v>
      </c>
      <c r="C639" s="16" t="s">
        <v>90</v>
      </c>
      <c r="D639" s="34">
        <v>42695</v>
      </c>
      <c r="E639" s="331">
        <v>400000</v>
      </c>
      <c r="H639" s="45" t="s">
        <v>119</v>
      </c>
    </row>
    <row r="640" spans="1:8" ht="30" customHeight="1">
      <c r="A640" s="22" t="s">
        <v>1974</v>
      </c>
      <c r="B640" s="17" t="s">
        <v>60</v>
      </c>
      <c r="C640" s="16" t="s">
        <v>210</v>
      </c>
      <c r="D640" s="34">
        <v>42695</v>
      </c>
      <c r="E640" s="141">
        <v>1217749.9100000001</v>
      </c>
      <c r="H640" s="45" t="s">
        <v>56</v>
      </c>
    </row>
    <row r="641" spans="1:8" ht="30" hidden="1" customHeight="1">
      <c r="A641" s="22" t="s">
        <v>2448</v>
      </c>
      <c r="B641" s="17" t="s">
        <v>2206</v>
      </c>
      <c r="C641" s="16" t="s">
        <v>2208</v>
      </c>
      <c r="D641" s="34">
        <v>42695</v>
      </c>
      <c r="E641" s="141">
        <v>2110000</v>
      </c>
      <c r="H641" s="45" t="s">
        <v>119</v>
      </c>
    </row>
    <row r="642" spans="1:8" ht="30" hidden="1" customHeight="1">
      <c r="A642" s="22" t="s">
        <v>2421</v>
      </c>
      <c r="B642" s="17" t="s">
        <v>2206</v>
      </c>
      <c r="C642" s="16" t="s">
        <v>2208</v>
      </c>
      <c r="D642" s="34">
        <v>42690</v>
      </c>
      <c r="E642" s="141">
        <v>-109643.59296500008</v>
      </c>
      <c r="H642" s="45" t="s">
        <v>119</v>
      </c>
    </row>
    <row r="643" spans="1:8" ht="30" hidden="1" customHeight="1">
      <c r="A643" s="22" t="s">
        <v>2448</v>
      </c>
      <c r="B643" s="17" t="s">
        <v>2206</v>
      </c>
      <c r="C643" s="16" t="s">
        <v>2208</v>
      </c>
      <c r="D643" s="34">
        <v>42690</v>
      </c>
      <c r="E643" s="141">
        <v>109643.592965</v>
      </c>
      <c r="H643" s="45" t="s">
        <v>119</v>
      </c>
    </row>
    <row r="644" spans="1:8" ht="30" hidden="1" customHeight="1">
      <c r="A644" s="22" t="s">
        <v>2420</v>
      </c>
      <c r="B644" s="17" t="s">
        <v>93</v>
      </c>
      <c r="C644" s="16" t="s">
        <v>2393</v>
      </c>
      <c r="D644" s="34">
        <v>42698</v>
      </c>
      <c r="E644" s="141">
        <v>1000000</v>
      </c>
      <c r="H644" s="45" t="s">
        <v>119</v>
      </c>
    </row>
    <row r="645" spans="1:8" ht="30" customHeight="1">
      <c r="A645" s="22" t="s">
        <v>2165</v>
      </c>
      <c r="B645" s="17" t="s">
        <v>60</v>
      </c>
      <c r="C645" s="16" t="s">
        <v>180</v>
      </c>
      <c r="D645" s="34">
        <v>42698</v>
      </c>
      <c r="E645" s="141">
        <v>500000</v>
      </c>
      <c r="H645" s="45" t="s">
        <v>119</v>
      </c>
    </row>
    <row r="646" spans="1:8" ht="30" customHeight="1">
      <c r="A646" s="22" t="s">
        <v>2287</v>
      </c>
      <c r="B646" s="17" t="s">
        <v>60</v>
      </c>
      <c r="C646" s="16" t="s">
        <v>180</v>
      </c>
      <c r="D646" s="34">
        <v>42698</v>
      </c>
      <c r="E646" s="141">
        <v>642438.5</v>
      </c>
      <c r="H646" s="45" t="s">
        <v>56</v>
      </c>
    </row>
    <row r="647" spans="1:8" ht="30" customHeight="1">
      <c r="A647" s="22" t="s">
        <v>1923</v>
      </c>
      <c r="B647" s="17" t="s">
        <v>60</v>
      </c>
      <c r="C647" s="16" t="s">
        <v>180</v>
      </c>
      <c r="D647" s="34">
        <v>42698</v>
      </c>
      <c r="E647" s="141">
        <v>-91284.66</v>
      </c>
      <c r="H647" s="45" t="s">
        <v>56</v>
      </c>
    </row>
    <row r="648" spans="1:8" ht="30" customHeight="1">
      <c r="A648" s="22" t="s">
        <v>2485</v>
      </c>
      <c r="B648" s="17" t="s">
        <v>240</v>
      </c>
      <c r="C648" s="16" t="s">
        <v>869</v>
      </c>
      <c r="D648" s="34">
        <v>42704</v>
      </c>
      <c r="E648" s="141">
        <v>928000</v>
      </c>
      <c r="H648" s="45" t="s">
        <v>119</v>
      </c>
    </row>
    <row r="649" spans="1:8" ht="30" hidden="1" customHeight="1">
      <c r="A649" s="22" t="s">
        <v>2491</v>
      </c>
      <c r="B649" s="17" t="s">
        <v>2206</v>
      </c>
      <c r="C649" s="16" t="s">
        <v>2208</v>
      </c>
      <c r="D649" s="34">
        <v>42709</v>
      </c>
      <c r="E649" s="141">
        <v>800000</v>
      </c>
      <c r="H649" s="45" t="s">
        <v>119</v>
      </c>
    </row>
    <row r="650" spans="1:8" ht="30" hidden="1" customHeight="1">
      <c r="A650" s="22" t="s">
        <v>2050</v>
      </c>
      <c r="B650" s="17" t="s">
        <v>85</v>
      </c>
      <c r="C650" s="16" t="s">
        <v>321</v>
      </c>
      <c r="D650" s="34">
        <v>42709</v>
      </c>
      <c r="E650" s="141">
        <v>208632.88</v>
      </c>
      <c r="H650" s="45" t="s">
        <v>118</v>
      </c>
    </row>
    <row r="651" spans="1:8" ht="30" hidden="1" customHeight="1">
      <c r="A651" s="22" t="s">
        <v>2063</v>
      </c>
      <c r="B651" s="17" t="s">
        <v>82</v>
      </c>
      <c r="C651" s="16" t="s">
        <v>321</v>
      </c>
      <c r="D651" s="34">
        <v>42709</v>
      </c>
      <c r="E651" s="141">
        <v>660784.38</v>
      </c>
      <c r="H651" s="45" t="s">
        <v>118</v>
      </c>
    </row>
    <row r="652" spans="1:8" ht="30" customHeight="1">
      <c r="A652" s="22" t="s">
        <v>2097</v>
      </c>
      <c r="B652" s="17" t="s">
        <v>60</v>
      </c>
      <c r="C652" s="16" t="s">
        <v>321</v>
      </c>
      <c r="D652" s="34">
        <v>42709</v>
      </c>
      <c r="E652" s="141">
        <v>3861802.17</v>
      </c>
      <c r="H652" s="45" t="s">
        <v>118</v>
      </c>
    </row>
    <row r="653" spans="1:8" ht="30" customHeight="1">
      <c r="A653" s="22" t="s">
        <v>2338</v>
      </c>
      <c r="B653" s="17" t="s">
        <v>60</v>
      </c>
      <c r="C653" s="16" t="s">
        <v>321</v>
      </c>
      <c r="D653" s="34">
        <v>42709</v>
      </c>
      <c r="E653" s="141">
        <v>503848.33</v>
      </c>
      <c r="H653" s="45" t="s">
        <v>118</v>
      </c>
    </row>
    <row r="654" spans="1:8" ht="30" hidden="1" customHeight="1">
      <c r="A654" s="22" t="s">
        <v>2587</v>
      </c>
      <c r="B654" s="17" t="s">
        <v>2206</v>
      </c>
      <c r="C654" s="16" t="s">
        <v>2208</v>
      </c>
      <c r="D654" s="34">
        <v>42710</v>
      </c>
      <c r="E654" s="141">
        <v>1540000</v>
      </c>
      <c r="H654" s="45" t="s">
        <v>1843</v>
      </c>
    </row>
    <row r="655" spans="1:8" ht="30" customHeight="1">
      <c r="A655" s="22" t="s">
        <v>2494</v>
      </c>
      <c r="B655" s="17" t="s">
        <v>240</v>
      </c>
      <c r="C655" s="16" t="s">
        <v>2065</v>
      </c>
      <c r="D655" s="34">
        <v>42710</v>
      </c>
      <c r="E655" s="141">
        <v>426300</v>
      </c>
      <c r="H655" s="45" t="s">
        <v>1843</v>
      </c>
    </row>
    <row r="656" spans="1:8" ht="30" customHeight="1">
      <c r="A656" s="22" t="s">
        <v>2588</v>
      </c>
      <c r="B656" s="17" t="s">
        <v>445</v>
      </c>
      <c r="C656" s="16" t="s">
        <v>1446</v>
      </c>
      <c r="D656" s="34">
        <v>42710</v>
      </c>
      <c r="E656" s="141">
        <v>580000</v>
      </c>
      <c r="H656" s="45" t="s">
        <v>1843</v>
      </c>
    </row>
    <row r="657" spans="1:9" ht="30" customHeight="1">
      <c r="A657" s="22" t="s">
        <v>2286</v>
      </c>
      <c r="B657" s="17" t="s">
        <v>445</v>
      </c>
      <c r="C657" s="16" t="s">
        <v>180</v>
      </c>
      <c r="D657" s="34">
        <v>42710</v>
      </c>
      <c r="E657" s="331">
        <v>1000000</v>
      </c>
      <c r="H657" s="45" t="s">
        <v>1843</v>
      </c>
    </row>
    <row r="658" spans="1:9" ht="30" customHeight="1">
      <c r="A658" s="22" t="s">
        <v>2589</v>
      </c>
      <c r="B658" s="17" t="s">
        <v>445</v>
      </c>
      <c r="C658" s="16" t="s">
        <v>506</v>
      </c>
      <c r="D658" s="34">
        <v>42710</v>
      </c>
      <c r="E658" s="331">
        <v>1000000</v>
      </c>
      <c r="H658" s="45" t="s">
        <v>1843</v>
      </c>
    </row>
    <row r="659" spans="1:9" ht="30" customHeight="1">
      <c r="A659" s="22" t="s">
        <v>2158</v>
      </c>
      <c r="B659" s="17" t="s">
        <v>445</v>
      </c>
      <c r="C659" s="16" t="s">
        <v>263</v>
      </c>
      <c r="D659" s="34">
        <v>42710</v>
      </c>
      <c r="E659" s="141">
        <v>469906.83000000007</v>
      </c>
      <c r="H659" s="45" t="s">
        <v>1843</v>
      </c>
    </row>
    <row r="660" spans="1:9" ht="30" hidden="1" customHeight="1">
      <c r="A660" s="22" t="s">
        <v>2587</v>
      </c>
      <c r="B660" s="17" t="s">
        <v>2206</v>
      </c>
      <c r="C660" s="16" t="s">
        <v>2208</v>
      </c>
      <c r="D660" s="34">
        <v>42719</v>
      </c>
      <c r="E660" s="141">
        <v>2200000</v>
      </c>
      <c r="H660" s="45" t="s">
        <v>1843</v>
      </c>
    </row>
    <row r="661" spans="1:9" ht="30" customHeight="1">
      <c r="A661" s="22" t="s">
        <v>2283</v>
      </c>
      <c r="B661" s="17" t="s">
        <v>445</v>
      </c>
      <c r="C661" s="16" t="s">
        <v>321</v>
      </c>
      <c r="D661" s="34">
        <v>42719</v>
      </c>
      <c r="E661" s="141">
        <v>902394.22</v>
      </c>
      <c r="H661" s="45" t="s">
        <v>118</v>
      </c>
    </row>
    <row r="662" spans="1:9" ht="30" customHeight="1">
      <c r="A662" s="22" t="s">
        <v>2414</v>
      </c>
      <c r="B662" s="17" t="s">
        <v>445</v>
      </c>
      <c r="C662" s="16" t="s">
        <v>321</v>
      </c>
      <c r="D662" s="34">
        <v>42719</v>
      </c>
      <c r="E662" s="141">
        <v>3362033.62</v>
      </c>
      <c r="H662" s="45" t="s">
        <v>118</v>
      </c>
    </row>
    <row r="663" spans="1:9" ht="30" hidden="1" customHeight="1">
      <c r="A663" s="22" t="s">
        <v>2284</v>
      </c>
      <c r="B663" s="17" t="s">
        <v>148</v>
      </c>
      <c r="C663" s="16" t="s">
        <v>321</v>
      </c>
      <c r="D663" s="34">
        <v>42719</v>
      </c>
      <c r="E663" s="141">
        <v>730508.13</v>
      </c>
      <c r="H663" s="45" t="s">
        <v>118</v>
      </c>
    </row>
    <row r="664" spans="1:9" ht="30" hidden="1" customHeight="1">
      <c r="A664" s="22" t="s">
        <v>2590</v>
      </c>
      <c r="B664" s="17" t="s">
        <v>175</v>
      </c>
      <c r="C664" s="16" t="s">
        <v>321</v>
      </c>
      <c r="D664" s="34">
        <v>42719</v>
      </c>
      <c r="E664" s="141">
        <v>1841061.24</v>
      </c>
      <c r="H664" s="45" t="s">
        <v>118</v>
      </c>
    </row>
    <row r="665" spans="1:9" ht="30" customHeight="1">
      <c r="A665" s="22" t="s">
        <v>2286</v>
      </c>
      <c r="B665" s="17" t="s">
        <v>445</v>
      </c>
      <c r="C665" s="16" t="s">
        <v>180</v>
      </c>
      <c r="D665" s="34">
        <v>42719</v>
      </c>
      <c r="E665" s="331">
        <v>1500000</v>
      </c>
      <c r="H665" s="45" t="s">
        <v>1843</v>
      </c>
    </row>
    <row r="666" spans="1:9" ht="30" customHeight="1">
      <c r="A666" s="22" t="s">
        <v>2589</v>
      </c>
      <c r="B666" s="17" t="s">
        <v>445</v>
      </c>
      <c r="C666" s="16" t="s">
        <v>506</v>
      </c>
      <c r="D666" s="34">
        <v>42719</v>
      </c>
      <c r="E666" s="141">
        <v>490000</v>
      </c>
      <c r="H666" s="45" t="s">
        <v>1843</v>
      </c>
    </row>
    <row r="667" spans="1:9" ht="30" customHeight="1">
      <c r="A667" s="22" t="s">
        <v>2588</v>
      </c>
      <c r="B667" s="17" t="s">
        <v>445</v>
      </c>
      <c r="C667" s="16" t="s">
        <v>1446</v>
      </c>
      <c r="D667" s="34">
        <v>42719</v>
      </c>
      <c r="E667" s="141">
        <v>800000</v>
      </c>
      <c r="H667" s="45" t="s">
        <v>1843</v>
      </c>
    </row>
    <row r="668" spans="1:9" ht="30" hidden="1" customHeight="1">
      <c r="A668" s="22" t="s">
        <v>2591</v>
      </c>
      <c r="B668" s="17" t="s">
        <v>93</v>
      </c>
      <c r="C668" s="16" t="s">
        <v>2393</v>
      </c>
      <c r="D668" s="34">
        <v>42720</v>
      </c>
      <c r="E668" s="141">
        <v>1006733.87</v>
      </c>
      <c r="H668" s="45" t="s">
        <v>1843</v>
      </c>
    </row>
    <row r="669" spans="1:9" ht="30" hidden="1" customHeight="1">
      <c r="A669" s="22" t="s">
        <v>2420</v>
      </c>
      <c r="B669" s="17" t="s">
        <v>93</v>
      </c>
      <c r="C669" s="16" t="s">
        <v>2393</v>
      </c>
      <c r="D669" s="34">
        <v>42720</v>
      </c>
      <c r="E669" s="141">
        <v>-95641.1</v>
      </c>
      <c r="H669" s="45" t="s">
        <v>1843</v>
      </c>
    </row>
    <row r="670" spans="1:9" ht="30" customHeight="1">
      <c r="A670" s="22" t="s">
        <v>2592</v>
      </c>
      <c r="B670" s="17" t="s">
        <v>445</v>
      </c>
      <c r="C670" s="16" t="s">
        <v>210</v>
      </c>
      <c r="D670" s="34">
        <v>42720</v>
      </c>
      <c r="E670" s="141">
        <v>3000000</v>
      </c>
      <c r="H670" s="45" t="s">
        <v>1843</v>
      </c>
    </row>
    <row r="671" spans="1:9" ht="30" hidden="1" customHeight="1">
      <c r="A671" s="22" t="s">
        <v>1811</v>
      </c>
      <c r="B671" s="17" t="s">
        <v>159</v>
      </c>
      <c r="C671" s="16" t="s">
        <v>2593</v>
      </c>
      <c r="D671" s="34">
        <v>42692</v>
      </c>
      <c r="E671" s="141"/>
      <c r="H671" s="45" t="s">
        <v>1078</v>
      </c>
      <c r="I671" s="143">
        <v>41830</v>
      </c>
    </row>
    <row r="672" spans="1:9" ht="30" hidden="1" customHeight="1">
      <c r="A672" s="22" t="s">
        <v>1811</v>
      </c>
      <c r="B672" s="17" t="s">
        <v>747</v>
      </c>
      <c r="C672" s="16" t="s">
        <v>1076</v>
      </c>
      <c r="D672" s="34">
        <v>42704</v>
      </c>
      <c r="E672" s="141">
        <v>32100</v>
      </c>
      <c r="H672" s="45" t="s">
        <v>872</v>
      </c>
    </row>
    <row r="673" spans="1:8" ht="30" hidden="1" customHeight="1">
      <c r="A673" s="22" t="s">
        <v>2594</v>
      </c>
      <c r="B673" s="17" t="s">
        <v>747</v>
      </c>
      <c r="C673" s="16" t="s">
        <v>748</v>
      </c>
      <c r="D673" s="34">
        <v>42719</v>
      </c>
      <c r="E673" s="141">
        <v>39000</v>
      </c>
      <c r="H673" s="45" t="s">
        <v>1843</v>
      </c>
    </row>
    <row r="674" spans="1:8" ht="30" customHeight="1">
      <c r="A674" s="22" t="s">
        <v>2114</v>
      </c>
      <c r="B674" s="17" t="s">
        <v>240</v>
      </c>
      <c r="C674" s="16" t="s">
        <v>474</v>
      </c>
      <c r="D674" s="34">
        <v>42682</v>
      </c>
      <c r="E674" s="141">
        <v>9217.98</v>
      </c>
      <c r="H674" s="45" t="s">
        <v>872</v>
      </c>
    </row>
    <row r="675" spans="1:8" ht="30" customHeight="1">
      <c r="A675" s="22" t="s">
        <v>2116</v>
      </c>
      <c r="B675" s="17" t="s">
        <v>240</v>
      </c>
      <c r="C675" s="16" t="s">
        <v>474</v>
      </c>
      <c r="D675" s="34">
        <v>42689</v>
      </c>
      <c r="E675" s="141">
        <f>310840-198.4</f>
        <v>310641.59999999998</v>
      </c>
      <c r="H675" s="45" t="s">
        <v>872</v>
      </c>
    </row>
    <row r="676" spans="1:8" ht="30" customHeight="1">
      <c r="A676" s="22" t="s">
        <v>2117</v>
      </c>
      <c r="B676" s="17" t="s">
        <v>240</v>
      </c>
      <c r="C676" s="16" t="s">
        <v>474</v>
      </c>
      <c r="D676" s="34">
        <v>42689</v>
      </c>
      <c r="E676" s="141">
        <f>304292.6</f>
        <v>304292.59999999998</v>
      </c>
      <c r="H676" s="45" t="s">
        <v>872</v>
      </c>
    </row>
    <row r="677" spans="1:8" ht="30" customHeight="1">
      <c r="A677" s="22" t="s">
        <v>2116</v>
      </c>
      <c r="B677" s="17" t="s">
        <v>240</v>
      </c>
      <c r="C677" s="16" t="s">
        <v>474</v>
      </c>
      <c r="D677" s="34">
        <v>42711</v>
      </c>
      <c r="E677" s="141">
        <f>16350-4.2</f>
        <v>16345.8</v>
      </c>
      <c r="H677" s="45" t="s">
        <v>872</v>
      </c>
    </row>
    <row r="678" spans="1:8" ht="30" customHeight="1">
      <c r="A678" s="22" t="s">
        <v>2117</v>
      </c>
      <c r="B678" s="17" t="s">
        <v>240</v>
      </c>
      <c r="C678" s="16" t="s">
        <v>474</v>
      </c>
      <c r="D678" s="34">
        <v>42711</v>
      </c>
      <c r="E678" s="141">
        <f>16015.4-4.2</f>
        <v>16011.199999999999</v>
      </c>
      <c r="H678" s="45" t="s">
        <v>872</v>
      </c>
    </row>
    <row r="679" spans="1:8" ht="30" customHeight="1">
      <c r="A679" s="22" t="s">
        <v>2595</v>
      </c>
      <c r="B679" s="17" t="s">
        <v>240</v>
      </c>
      <c r="C679" s="16" t="s">
        <v>992</v>
      </c>
      <c r="D679" s="34">
        <v>42724</v>
      </c>
      <c r="E679" s="141">
        <v>285164.69</v>
      </c>
      <c r="H679" s="45" t="s">
        <v>1078</v>
      </c>
    </row>
    <row r="680" spans="1:8" ht="30" customHeight="1">
      <c r="A680" s="22" t="s">
        <v>2148</v>
      </c>
      <c r="B680" s="17" t="s">
        <v>445</v>
      </c>
      <c r="C680" s="16" t="s">
        <v>210</v>
      </c>
      <c r="D680" s="34">
        <v>42726</v>
      </c>
      <c r="E680" s="141">
        <v>1223595.25</v>
      </c>
      <c r="H680" s="45" t="s">
        <v>1843</v>
      </c>
    </row>
    <row r="681" spans="1:8" ht="30" customHeight="1">
      <c r="A681" s="22" t="s">
        <v>2596</v>
      </c>
      <c r="B681" s="17" t="s">
        <v>445</v>
      </c>
      <c r="C681" s="16" t="s">
        <v>1446</v>
      </c>
      <c r="D681" s="34">
        <v>42726</v>
      </c>
      <c r="E681" s="141">
        <v>879822.89999999991</v>
      </c>
      <c r="H681" s="45" t="s">
        <v>1843</v>
      </c>
    </row>
    <row r="682" spans="1:8" ht="30" customHeight="1">
      <c r="A682" s="22" t="s">
        <v>2165</v>
      </c>
      <c r="B682" s="17" t="s">
        <v>445</v>
      </c>
      <c r="C682" s="16" t="s">
        <v>180</v>
      </c>
      <c r="D682" s="34">
        <v>42725</v>
      </c>
      <c r="E682" s="141">
        <v>600000</v>
      </c>
      <c r="H682" s="45" t="s">
        <v>1843</v>
      </c>
    </row>
    <row r="683" spans="1:8" ht="30" hidden="1" customHeight="1">
      <c r="A683" s="22" t="s">
        <v>1596</v>
      </c>
      <c r="B683" s="17" t="s">
        <v>1380</v>
      </c>
      <c r="C683" s="16" t="s">
        <v>144</v>
      </c>
      <c r="D683" s="34">
        <v>42716</v>
      </c>
      <c r="E683" s="141">
        <v>1322285.9800000004</v>
      </c>
      <c r="H683" s="45" t="s">
        <v>2597</v>
      </c>
    </row>
    <row r="684" spans="1:8" ht="30" hidden="1" customHeight="1">
      <c r="A684" s="22" t="s">
        <v>1972</v>
      </c>
      <c r="B684" s="17" t="s">
        <v>1380</v>
      </c>
      <c r="C684" s="16" t="s">
        <v>144</v>
      </c>
      <c r="D684" s="34">
        <v>42716</v>
      </c>
      <c r="E684" s="141">
        <v>4677714.0199999996</v>
      </c>
      <c r="H684" s="45" t="s">
        <v>2597</v>
      </c>
    </row>
    <row r="685" spans="1:8" ht="30" customHeight="1">
      <c r="A685" s="22" t="s">
        <v>1740</v>
      </c>
      <c r="B685" s="17" t="s">
        <v>60</v>
      </c>
      <c r="C685" s="16" t="s">
        <v>83</v>
      </c>
      <c r="D685" s="34">
        <v>42723</v>
      </c>
      <c r="E685" s="141">
        <v>1000000</v>
      </c>
      <c r="H685" s="45" t="s">
        <v>2597</v>
      </c>
    </row>
    <row r="686" spans="1:8" ht="30" hidden="1" customHeight="1">
      <c r="A686" s="22" t="s">
        <v>2563</v>
      </c>
      <c r="B686" s="17" t="s">
        <v>2559</v>
      </c>
      <c r="C686" s="16" t="s">
        <v>2551</v>
      </c>
      <c r="D686" s="34">
        <v>42671</v>
      </c>
      <c r="E686" s="141">
        <v>791.6</v>
      </c>
      <c r="H686" s="45" t="s">
        <v>872</v>
      </c>
    </row>
    <row r="687" spans="1:8" ht="30" hidden="1" customHeight="1">
      <c r="A687" s="22" t="s">
        <v>2564</v>
      </c>
      <c r="B687" s="17" t="s">
        <v>2560</v>
      </c>
      <c r="C687" s="16" t="s">
        <v>2551</v>
      </c>
      <c r="D687" s="34">
        <v>42671</v>
      </c>
      <c r="E687" s="141">
        <v>160</v>
      </c>
      <c r="H687" s="45" t="s">
        <v>872</v>
      </c>
    </row>
    <row r="688" spans="1:8" ht="30" hidden="1" customHeight="1">
      <c r="A688" s="22" t="s">
        <v>2548</v>
      </c>
      <c r="B688" s="17" t="s">
        <v>2550</v>
      </c>
      <c r="C688" s="16" t="s">
        <v>2551</v>
      </c>
      <c r="D688" s="34">
        <v>42671</v>
      </c>
      <c r="E688" s="141">
        <v>620</v>
      </c>
      <c r="H688" s="45" t="s">
        <v>872</v>
      </c>
    </row>
    <row r="689" spans="1:8" ht="30" hidden="1" customHeight="1">
      <c r="A689" s="22" t="s">
        <v>2598</v>
      </c>
      <c r="B689" s="17" t="s">
        <v>93</v>
      </c>
      <c r="C689" s="16" t="s">
        <v>321</v>
      </c>
      <c r="D689" s="34">
        <v>42718</v>
      </c>
      <c r="E689" s="141">
        <v>2768964.63</v>
      </c>
      <c r="H689" s="45" t="s">
        <v>2597</v>
      </c>
    </row>
    <row r="690" spans="1:8" ht="30" hidden="1" customHeight="1">
      <c r="A690" s="22" t="s">
        <v>2418</v>
      </c>
      <c r="B690" s="17" t="s">
        <v>93</v>
      </c>
      <c r="C690" s="16" t="s">
        <v>321</v>
      </c>
      <c r="D690" s="34">
        <v>42718</v>
      </c>
      <c r="E690" s="141">
        <v>2465688.61</v>
      </c>
      <c r="H690" s="45" t="s">
        <v>2597</v>
      </c>
    </row>
    <row r="691" spans="1:8" ht="30" customHeight="1">
      <c r="A691" s="22" t="s">
        <v>2165</v>
      </c>
      <c r="B691" s="17" t="s">
        <v>445</v>
      </c>
      <c r="C691" s="16" t="s">
        <v>180</v>
      </c>
      <c r="D691" s="34">
        <v>42730</v>
      </c>
      <c r="E691" s="141">
        <v>800000</v>
      </c>
      <c r="H691" s="45" t="s">
        <v>1843</v>
      </c>
    </row>
    <row r="692" spans="1:8" ht="30" customHeight="1">
      <c r="A692" s="22" t="s">
        <v>2599</v>
      </c>
      <c r="B692" s="17" t="s">
        <v>240</v>
      </c>
      <c r="C692" s="16" t="s">
        <v>75</v>
      </c>
      <c r="D692" s="34">
        <v>42733</v>
      </c>
      <c r="E692" s="141">
        <v>503040</v>
      </c>
      <c r="H692" s="45" t="s">
        <v>1843</v>
      </c>
    </row>
    <row r="693" spans="1:8" ht="30" customHeight="1">
      <c r="A693" s="22" t="s">
        <v>2579</v>
      </c>
      <c r="B693" s="17" t="s">
        <v>240</v>
      </c>
      <c r="C693" s="16" t="s">
        <v>2600</v>
      </c>
      <c r="D693" s="34">
        <v>42733</v>
      </c>
      <c r="E693" s="141">
        <v>500800</v>
      </c>
      <c r="H693" s="45" t="s">
        <v>1843</v>
      </c>
    </row>
    <row r="694" spans="1:8" ht="30" hidden="1" customHeight="1">
      <c r="A694" s="22" t="s">
        <v>2420</v>
      </c>
      <c r="B694" s="17" t="s">
        <v>93</v>
      </c>
      <c r="C694" s="16" t="s">
        <v>2393</v>
      </c>
      <c r="D694" s="34">
        <v>42734</v>
      </c>
      <c r="E694" s="141">
        <v>2300000</v>
      </c>
      <c r="H694" s="45" t="s">
        <v>1843</v>
      </c>
    </row>
    <row r="695" spans="1:8" ht="30" customHeight="1">
      <c r="A695" s="22" t="s">
        <v>2165</v>
      </c>
      <c r="B695" s="17" t="s">
        <v>445</v>
      </c>
      <c r="C695" s="16" t="s">
        <v>180</v>
      </c>
      <c r="D695" s="34">
        <v>42738</v>
      </c>
      <c r="E695" s="141">
        <v>699789.26191000082</v>
      </c>
      <c r="H695" s="45" t="s">
        <v>1843</v>
      </c>
    </row>
    <row r="696" spans="1:8" ht="30" customHeight="1">
      <c r="A696" s="22" t="s">
        <v>2494</v>
      </c>
      <c r="B696" s="17" t="s">
        <v>240</v>
      </c>
      <c r="C696" s="16" t="s">
        <v>2065</v>
      </c>
      <c r="D696" s="34">
        <v>42738</v>
      </c>
      <c r="E696" s="141">
        <v>1640260</v>
      </c>
      <c r="H696" s="45" t="s">
        <v>1843</v>
      </c>
    </row>
    <row r="697" spans="1:8" ht="30" customHeight="1">
      <c r="A697" s="22" t="s">
        <v>1880</v>
      </c>
      <c r="B697" s="17" t="s">
        <v>880</v>
      </c>
      <c r="C697" s="16" t="s">
        <v>263</v>
      </c>
      <c r="D697" s="34">
        <v>42740</v>
      </c>
      <c r="E697" s="141">
        <v>469906.87</v>
      </c>
      <c r="H697" s="45" t="s">
        <v>178</v>
      </c>
    </row>
    <row r="698" spans="1:8" ht="30" customHeight="1">
      <c r="A698" s="22" t="s">
        <v>2158</v>
      </c>
      <c r="B698" s="17" t="s">
        <v>880</v>
      </c>
      <c r="C698" s="16" t="s">
        <v>263</v>
      </c>
      <c r="D698" s="34">
        <v>42740</v>
      </c>
      <c r="E698" s="141">
        <v>445924.12</v>
      </c>
      <c r="H698" s="45" t="s">
        <v>1843</v>
      </c>
    </row>
    <row r="699" spans="1:8" ht="30" customHeight="1">
      <c r="A699" s="22" t="s">
        <v>2286</v>
      </c>
      <c r="B699" s="17" t="s">
        <v>60</v>
      </c>
      <c r="C699" s="16" t="s">
        <v>180</v>
      </c>
      <c r="D699" s="34">
        <v>42744</v>
      </c>
      <c r="E699" s="331">
        <v>400000</v>
      </c>
      <c r="H699" s="45" t="s">
        <v>119</v>
      </c>
    </row>
    <row r="700" spans="1:8" ht="30" customHeight="1">
      <c r="A700" s="22" t="s">
        <v>2338</v>
      </c>
      <c r="B700" s="17" t="s">
        <v>60</v>
      </c>
      <c r="C700" s="16" t="s">
        <v>321</v>
      </c>
      <c r="D700" s="34">
        <v>42745</v>
      </c>
      <c r="E700" s="141">
        <v>1581158.1</v>
      </c>
      <c r="H700" s="45" t="s">
        <v>1593</v>
      </c>
    </row>
    <row r="701" spans="1:8" ht="30" hidden="1" customHeight="1">
      <c r="A701" s="22" t="s">
        <v>2496</v>
      </c>
      <c r="B701" s="17" t="s">
        <v>82</v>
      </c>
      <c r="C701" s="16" t="s">
        <v>321</v>
      </c>
      <c r="D701" s="34">
        <v>42745</v>
      </c>
      <c r="E701" s="141">
        <v>1063752.97</v>
      </c>
      <c r="H701" s="45" t="s">
        <v>1593</v>
      </c>
    </row>
    <row r="702" spans="1:8" ht="30" customHeight="1">
      <c r="A702" s="22" t="s">
        <v>2338</v>
      </c>
      <c r="B702" s="17" t="s">
        <v>60</v>
      </c>
      <c r="C702" s="16" t="s">
        <v>321</v>
      </c>
      <c r="D702" s="34">
        <v>42745</v>
      </c>
      <c r="E702" s="141">
        <v>804149.52</v>
      </c>
      <c r="H702" s="45" t="s">
        <v>1593</v>
      </c>
    </row>
    <row r="703" spans="1:8" ht="30" hidden="1" customHeight="1">
      <c r="A703" s="22" t="s">
        <v>2496</v>
      </c>
      <c r="B703" s="17" t="s">
        <v>175</v>
      </c>
      <c r="C703" s="16" t="s">
        <v>2623</v>
      </c>
      <c r="D703" s="34">
        <v>42745</v>
      </c>
      <c r="E703" s="141">
        <v>819114.15</v>
      </c>
      <c r="H703" s="45" t="s">
        <v>2624</v>
      </c>
    </row>
    <row r="704" spans="1:8" ht="30" customHeight="1">
      <c r="A704" s="22" t="s">
        <v>2619</v>
      </c>
      <c r="B704" s="17" t="s">
        <v>2620</v>
      </c>
      <c r="C704" s="16" t="s">
        <v>2621</v>
      </c>
      <c r="D704" s="34">
        <v>42748</v>
      </c>
      <c r="E704" s="141">
        <v>860201.12000000011</v>
      </c>
      <c r="H704" s="45" t="s">
        <v>2622</v>
      </c>
    </row>
    <row r="705" spans="1:8" ht="30" customHeight="1">
      <c r="A705" s="22" t="s">
        <v>2625</v>
      </c>
      <c r="B705" s="17" t="s">
        <v>2620</v>
      </c>
      <c r="C705" s="16" t="s">
        <v>2626</v>
      </c>
      <c r="D705" s="34">
        <v>42748</v>
      </c>
      <c r="E705" s="141">
        <v>740000</v>
      </c>
      <c r="H705" s="45" t="s">
        <v>2622</v>
      </c>
    </row>
    <row r="706" spans="1:8" ht="30" customHeight="1">
      <c r="A706" s="22" t="s">
        <v>2286</v>
      </c>
      <c r="B706" s="17" t="s">
        <v>2641</v>
      </c>
      <c r="C706" s="16" t="s">
        <v>2642</v>
      </c>
      <c r="D706" s="34">
        <v>42751</v>
      </c>
      <c r="E706" s="141">
        <v>1100000</v>
      </c>
      <c r="H706" s="45" t="s">
        <v>2643</v>
      </c>
    </row>
    <row r="707" spans="1:8" ht="30" hidden="1" customHeight="1">
      <c r="A707" s="22" t="s">
        <v>2644</v>
      </c>
      <c r="B707" s="17" t="s">
        <v>2645</v>
      </c>
      <c r="C707" s="16" t="s">
        <v>2646</v>
      </c>
      <c r="D707" s="34">
        <v>42751</v>
      </c>
      <c r="E707" s="141">
        <v>2380000</v>
      </c>
      <c r="H707" s="45" t="s">
        <v>2647</v>
      </c>
    </row>
    <row r="708" spans="1:8" ht="30" customHeight="1">
      <c r="A708" s="22" t="s">
        <v>2665</v>
      </c>
      <c r="B708" s="17" t="s">
        <v>2666</v>
      </c>
      <c r="C708" s="16" t="s">
        <v>2667</v>
      </c>
      <c r="D708" s="34">
        <v>42751</v>
      </c>
      <c r="E708" s="141">
        <v>1267200</v>
      </c>
      <c r="H708" s="45" t="s">
        <v>56</v>
      </c>
    </row>
    <row r="709" spans="1:8" ht="30" customHeight="1">
      <c r="A709" s="22" t="s">
        <v>2668</v>
      </c>
      <c r="B709" s="17" t="s">
        <v>60</v>
      </c>
      <c r="C709" s="16" t="s">
        <v>90</v>
      </c>
      <c r="D709" s="34">
        <v>42753</v>
      </c>
      <c r="E709" s="141">
        <v>1509600</v>
      </c>
      <c r="H709" s="45" t="s">
        <v>119</v>
      </c>
    </row>
    <row r="710" spans="1:8" ht="30" customHeight="1">
      <c r="A710" s="22" t="s">
        <v>2669</v>
      </c>
      <c r="B710" s="17" t="s">
        <v>240</v>
      </c>
      <c r="C710" s="16" t="s">
        <v>2670</v>
      </c>
      <c r="D710" s="34">
        <v>42753</v>
      </c>
      <c r="E710" s="141">
        <v>416000</v>
      </c>
      <c r="H710" s="45" t="s">
        <v>119</v>
      </c>
    </row>
    <row r="711" spans="1:8" ht="30" hidden="1" customHeight="1">
      <c r="A711" s="22" t="s">
        <v>2688</v>
      </c>
      <c r="B711" s="17" t="s">
        <v>2559</v>
      </c>
      <c r="C711" s="16" t="s">
        <v>2689</v>
      </c>
      <c r="D711" s="34">
        <v>43065</v>
      </c>
      <c r="E711" s="141">
        <v>2456.6</v>
      </c>
      <c r="H711" s="45" t="s">
        <v>475</v>
      </c>
    </row>
    <row r="712" spans="1:8" ht="30" hidden="1" customHeight="1">
      <c r="A712" s="22" t="s">
        <v>2690</v>
      </c>
      <c r="B712" s="17" t="s">
        <v>2560</v>
      </c>
      <c r="C712" s="16" t="s">
        <v>2689</v>
      </c>
      <c r="D712" s="34">
        <v>43065</v>
      </c>
      <c r="E712" s="141">
        <v>400</v>
      </c>
      <c r="H712" s="45" t="s">
        <v>475</v>
      </c>
    </row>
    <row r="713" spans="1:8" ht="30" hidden="1" customHeight="1">
      <c r="A713" s="22" t="s">
        <v>2691</v>
      </c>
      <c r="B713" s="17" t="s">
        <v>2692</v>
      </c>
      <c r="C713" s="16" t="s">
        <v>2693</v>
      </c>
      <c r="D713" s="34">
        <v>43092</v>
      </c>
      <c r="E713" s="141">
        <v>3000000</v>
      </c>
      <c r="H713" s="45" t="s">
        <v>2694</v>
      </c>
    </row>
    <row r="714" spans="1:8" ht="30" customHeight="1">
      <c r="A714" s="22" t="s">
        <v>2695</v>
      </c>
      <c r="B714" s="17" t="s">
        <v>2714</v>
      </c>
      <c r="C714" s="16" t="s">
        <v>2725</v>
      </c>
      <c r="D714" s="34">
        <v>42748</v>
      </c>
      <c r="E714" s="141">
        <v>3206523.71</v>
      </c>
      <c r="H714" s="45" t="s">
        <v>2726</v>
      </c>
    </row>
    <row r="715" spans="1:8" ht="30" customHeight="1">
      <c r="A715" s="22" t="s">
        <v>2727</v>
      </c>
      <c r="B715" s="17" t="s">
        <v>2714</v>
      </c>
      <c r="C715" s="16" t="s">
        <v>2725</v>
      </c>
      <c r="D715" s="34">
        <v>42748</v>
      </c>
      <c r="E715" s="141">
        <v>4793476.29</v>
      </c>
      <c r="H715" s="45" t="s">
        <v>2726</v>
      </c>
    </row>
    <row r="716" spans="1:8" ht="30" hidden="1" customHeight="1">
      <c r="A716" s="22" t="s">
        <v>2728</v>
      </c>
      <c r="B716" s="17" t="s">
        <v>2718</v>
      </c>
      <c r="C716" s="16" t="s">
        <v>2729</v>
      </c>
      <c r="D716" s="34">
        <v>42747</v>
      </c>
      <c r="E716" s="141">
        <v>1740800</v>
      </c>
      <c r="H716" s="45" t="s">
        <v>2726</v>
      </c>
    </row>
    <row r="717" spans="1:8" ht="30" hidden="1" customHeight="1">
      <c r="A717" s="22" t="s">
        <v>2730</v>
      </c>
      <c r="B717" s="17" t="s">
        <v>2731</v>
      </c>
      <c r="C717" s="16" t="s">
        <v>2732</v>
      </c>
      <c r="D717" s="34">
        <v>42757</v>
      </c>
      <c r="E717" s="141">
        <v>499275.8</v>
      </c>
      <c r="H717" s="45" t="s">
        <v>2733</v>
      </c>
    </row>
    <row r="718" spans="1:8" ht="30" hidden="1" customHeight="1">
      <c r="A718" s="22" t="s">
        <v>2734</v>
      </c>
      <c r="B718" s="17" t="s">
        <v>2731</v>
      </c>
      <c r="C718" s="16" t="s">
        <v>2394</v>
      </c>
      <c r="D718" s="34">
        <v>42757</v>
      </c>
      <c r="E718" s="141">
        <v>100724.2</v>
      </c>
      <c r="H718" s="45" t="s">
        <v>2733</v>
      </c>
    </row>
    <row r="719" spans="1:8" ht="30" hidden="1" customHeight="1">
      <c r="A719" s="22" t="s">
        <v>2735</v>
      </c>
      <c r="B719" s="17" t="s">
        <v>2736</v>
      </c>
      <c r="C719" s="16" t="s">
        <v>2737</v>
      </c>
      <c r="D719" s="34">
        <v>42757</v>
      </c>
      <c r="E719" s="141">
        <v>88750.107035000343</v>
      </c>
      <c r="H719" s="45" t="s">
        <v>2738</v>
      </c>
    </row>
    <row r="720" spans="1:8" ht="30" hidden="1" customHeight="1">
      <c r="A720" s="22" t="s">
        <v>2739</v>
      </c>
      <c r="B720" s="17" t="s">
        <v>2736</v>
      </c>
      <c r="C720" s="16" t="s">
        <v>2737</v>
      </c>
      <c r="D720" s="34">
        <v>42757</v>
      </c>
      <c r="E720" s="141">
        <v>327502.36868000031</v>
      </c>
      <c r="H720" s="45" t="s">
        <v>2738</v>
      </c>
    </row>
    <row r="721" spans="1:8" ht="30" hidden="1" customHeight="1">
      <c r="A721" s="22" t="s">
        <v>2812</v>
      </c>
      <c r="B721" s="17" t="s">
        <v>2206</v>
      </c>
      <c r="C721" s="16" t="s">
        <v>2833</v>
      </c>
      <c r="D721" s="34">
        <v>42757</v>
      </c>
      <c r="E721" s="141">
        <v>904500</v>
      </c>
      <c r="H721" s="45" t="s">
        <v>208</v>
      </c>
    </row>
    <row r="722" spans="1:8" ht="30" customHeight="1">
      <c r="A722" s="22" t="s">
        <v>2286</v>
      </c>
      <c r="B722" s="17" t="s">
        <v>691</v>
      </c>
      <c r="C722" s="16" t="s">
        <v>2141</v>
      </c>
      <c r="D722" s="34">
        <v>42758</v>
      </c>
      <c r="E722" s="141">
        <v>496264.26</v>
      </c>
      <c r="H722" s="45" t="s">
        <v>1843</v>
      </c>
    </row>
    <row r="723" spans="1:8" ht="30" customHeight="1">
      <c r="A723" s="22" t="s">
        <v>2796</v>
      </c>
      <c r="B723" s="17" t="s">
        <v>240</v>
      </c>
      <c r="C723" s="16" t="s">
        <v>2834</v>
      </c>
      <c r="D723" s="34">
        <v>42759</v>
      </c>
      <c r="E723" s="141">
        <v>166400</v>
      </c>
      <c r="H723" s="45" t="s">
        <v>1843</v>
      </c>
    </row>
    <row r="724" spans="1:8" ht="30" customHeight="1">
      <c r="A724" s="22" t="s">
        <v>2835</v>
      </c>
      <c r="B724" s="17" t="s">
        <v>691</v>
      </c>
      <c r="C724" s="16" t="s">
        <v>751</v>
      </c>
      <c r="D724" s="34">
        <v>42755</v>
      </c>
      <c r="E724" s="141">
        <v>1000000</v>
      </c>
      <c r="H724" s="45" t="s">
        <v>1593</v>
      </c>
    </row>
    <row r="725" spans="1:8" ht="30" customHeight="1">
      <c r="A725" s="22" t="s">
        <v>2836</v>
      </c>
      <c r="B725" s="17" t="s">
        <v>691</v>
      </c>
      <c r="C725" s="16" t="s">
        <v>751</v>
      </c>
      <c r="D725" s="34">
        <v>42755</v>
      </c>
      <c r="E725" s="141">
        <v>2724642.6199999992</v>
      </c>
      <c r="H725" s="45" t="s">
        <v>1593</v>
      </c>
    </row>
    <row r="726" spans="1:8" ht="30" hidden="1" customHeight="1">
      <c r="A726" s="22" t="s">
        <v>1972</v>
      </c>
      <c r="B726" s="17" t="s">
        <v>1380</v>
      </c>
      <c r="C726" s="16" t="s">
        <v>144</v>
      </c>
      <c r="D726" s="34">
        <v>42755</v>
      </c>
      <c r="E726" s="141">
        <v>937279.02000000142</v>
      </c>
      <c r="H726" s="45" t="s">
        <v>1593</v>
      </c>
    </row>
    <row r="727" spans="1:8" ht="30" hidden="1" customHeight="1">
      <c r="A727" s="22" t="s">
        <v>2152</v>
      </c>
      <c r="B727" s="17" t="s">
        <v>1380</v>
      </c>
      <c r="C727" s="16" t="s">
        <v>144</v>
      </c>
      <c r="D727" s="34">
        <v>42755</v>
      </c>
      <c r="E727" s="141">
        <v>1838078.3599999994</v>
      </c>
      <c r="H727" s="45" t="s">
        <v>1593</v>
      </c>
    </row>
    <row r="728" spans="1:8" ht="30" hidden="1" customHeight="1">
      <c r="A728" s="22" t="s">
        <v>2740</v>
      </c>
      <c r="B728" s="17" t="s">
        <v>2206</v>
      </c>
      <c r="C728" s="16" t="s">
        <v>751</v>
      </c>
      <c r="D728" s="34">
        <v>42755</v>
      </c>
      <c r="E728" s="141">
        <v>2209420</v>
      </c>
      <c r="H728" s="45" t="s">
        <v>1593</v>
      </c>
    </row>
    <row r="729" spans="1:8" ht="30" hidden="1" customHeight="1">
      <c r="A729" s="22" t="s">
        <v>2837</v>
      </c>
      <c r="B729" s="17" t="s">
        <v>2206</v>
      </c>
      <c r="C729" s="16" t="s">
        <v>751</v>
      </c>
      <c r="D729" s="34">
        <v>42755</v>
      </c>
      <c r="E729" s="141">
        <v>2475149.63</v>
      </c>
      <c r="H729" s="45" t="s">
        <v>1593</v>
      </c>
    </row>
    <row r="730" spans="1:8" ht="30" hidden="1" customHeight="1">
      <c r="A730" s="22" t="s">
        <v>2838</v>
      </c>
      <c r="B730" s="17" t="s">
        <v>2206</v>
      </c>
      <c r="C730" s="16" t="s">
        <v>751</v>
      </c>
      <c r="D730" s="34">
        <v>42755</v>
      </c>
      <c r="E730" s="141">
        <v>4545430.3699999992</v>
      </c>
      <c r="H730" s="45" t="s">
        <v>1593</v>
      </c>
    </row>
    <row r="731" spans="1:8" ht="30" hidden="1" customHeight="1">
      <c r="A731" s="22" t="s">
        <v>2812</v>
      </c>
      <c r="B731" s="17" t="s">
        <v>2206</v>
      </c>
      <c r="C731" s="16" t="s">
        <v>2833</v>
      </c>
      <c r="D731" s="34">
        <v>42774</v>
      </c>
      <c r="E731" s="141">
        <v>1280000</v>
      </c>
      <c r="H731" s="45" t="s">
        <v>208</v>
      </c>
    </row>
    <row r="732" spans="1:8" ht="30" customHeight="1">
      <c r="A732" s="22" t="s">
        <v>2813</v>
      </c>
      <c r="B732" s="17" t="s">
        <v>691</v>
      </c>
      <c r="C732" s="16" t="s">
        <v>711</v>
      </c>
      <c r="D732" s="34">
        <v>42773</v>
      </c>
      <c r="E732" s="141">
        <v>486415.21</v>
      </c>
      <c r="H732" s="45" t="s">
        <v>1843</v>
      </c>
    </row>
    <row r="733" spans="1:8" ht="30" customHeight="1">
      <c r="A733" s="22" t="s">
        <v>2814</v>
      </c>
      <c r="B733" s="17" t="s">
        <v>240</v>
      </c>
      <c r="C733" s="16" t="s">
        <v>200</v>
      </c>
      <c r="D733" s="34">
        <v>42773</v>
      </c>
      <c r="E733" s="141">
        <v>854400</v>
      </c>
      <c r="H733" s="45" t="s">
        <v>1843</v>
      </c>
    </row>
    <row r="734" spans="1:8" ht="30" hidden="1" customHeight="1">
      <c r="A734" s="22" t="s">
        <v>2815</v>
      </c>
      <c r="B734" s="17" t="s">
        <v>354</v>
      </c>
      <c r="C734" s="16" t="s">
        <v>718</v>
      </c>
      <c r="D734" s="34">
        <v>42759</v>
      </c>
      <c r="E734" s="141">
        <v>679437.67</v>
      </c>
      <c r="H734" s="45" t="s">
        <v>1593</v>
      </c>
    </row>
    <row r="735" spans="1:8" ht="30" hidden="1" customHeight="1">
      <c r="A735" s="22" t="s">
        <v>2584</v>
      </c>
      <c r="B735" s="17" t="s">
        <v>355</v>
      </c>
      <c r="C735" s="16" t="s">
        <v>718</v>
      </c>
      <c r="D735" s="34">
        <v>42759</v>
      </c>
      <c r="E735" s="141">
        <v>2327925.09</v>
      </c>
      <c r="H735" s="45" t="s">
        <v>1593</v>
      </c>
    </row>
    <row r="736" spans="1:8" ht="30" customHeight="1">
      <c r="A736" s="22" t="s">
        <v>2816</v>
      </c>
      <c r="B736" s="17" t="s">
        <v>691</v>
      </c>
      <c r="C736" s="16" t="s">
        <v>718</v>
      </c>
      <c r="D736" s="34">
        <v>42759</v>
      </c>
      <c r="E736" s="141">
        <v>2470729.131985731</v>
      </c>
      <c r="H736" s="45" t="s">
        <v>1593</v>
      </c>
    </row>
    <row r="737" spans="1:8" ht="30" customHeight="1">
      <c r="A737" s="22" t="s">
        <v>2817</v>
      </c>
      <c r="B737" s="17" t="s">
        <v>691</v>
      </c>
      <c r="C737" s="16" t="s">
        <v>718</v>
      </c>
      <c r="D737" s="34">
        <v>42759</v>
      </c>
      <c r="E737" s="141">
        <v>989351.08006341651</v>
      </c>
      <c r="H737" s="45" t="s">
        <v>1593</v>
      </c>
    </row>
    <row r="738" spans="1:8" ht="30" customHeight="1">
      <c r="A738" s="22" t="s">
        <v>2814</v>
      </c>
      <c r="B738" s="17" t="s">
        <v>240</v>
      </c>
      <c r="C738" s="16" t="s">
        <v>200</v>
      </c>
      <c r="D738" s="34">
        <v>42776</v>
      </c>
      <c r="E738" s="141">
        <v>854400</v>
      </c>
      <c r="H738" s="45" t="s">
        <v>1843</v>
      </c>
    </row>
    <row r="739" spans="1:8" ht="30" customHeight="1">
      <c r="A739" s="22" t="s">
        <v>2516</v>
      </c>
      <c r="B739" s="17" t="s">
        <v>880</v>
      </c>
      <c r="C739" s="16" t="s">
        <v>204</v>
      </c>
      <c r="D739" s="34">
        <v>42776</v>
      </c>
      <c r="E739" s="141">
        <v>700000</v>
      </c>
      <c r="H739" s="45" t="s">
        <v>208</v>
      </c>
    </row>
    <row r="740" spans="1:8" ht="30" customHeight="1">
      <c r="A740" s="22" t="s">
        <v>2818</v>
      </c>
      <c r="B740" s="17" t="s">
        <v>691</v>
      </c>
      <c r="C740" s="16" t="s">
        <v>718</v>
      </c>
      <c r="D740" s="34">
        <v>42783</v>
      </c>
      <c r="E740" s="141">
        <v>3050862.52</v>
      </c>
      <c r="H740" s="45" t="s">
        <v>1593</v>
      </c>
    </row>
    <row r="741" spans="1:8" ht="30" customHeight="1">
      <c r="A741" s="22" t="s">
        <v>2286</v>
      </c>
      <c r="B741" s="17" t="s">
        <v>691</v>
      </c>
      <c r="C741" s="16" t="s">
        <v>2141</v>
      </c>
      <c r="D741" s="34">
        <v>42786</v>
      </c>
      <c r="E741" s="141">
        <v>885879.72000000067</v>
      </c>
      <c r="H741" s="45" t="s">
        <v>1843</v>
      </c>
    </row>
    <row r="742" spans="1:8" ht="30" customHeight="1">
      <c r="A742" s="22" t="s">
        <v>2819</v>
      </c>
      <c r="B742" s="17" t="s">
        <v>691</v>
      </c>
      <c r="C742" s="16" t="s">
        <v>1304</v>
      </c>
      <c r="D742" s="34">
        <v>42787</v>
      </c>
      <c r="E742" s="141">
        <v>921600</v>
      </c>
      <c r="H742" s="45" t="s">
        <v>1843</v>
      </c>
    </row>
    <row r="743" spans="1:8" ht="30" customHeight="1">
      <c r="A743" s="22" t="s">
        <v>2592</v>
      </c>
      <c r="B743" s="17" t="s">
        <v>691</v>
      </c>
      <c r="C743" s="16" t="s">
        <v>210</v>
      </c>
      <c r="D743" s="34">
        <v>42789</v>
      </c>
      <c r="E743" s="141">
        <v>1695580.86</v>
      </c>
      <c r="H743" s="45" t="s">
        <v>1843</v>
      </c>
    </row>
    <row r="744" spans="1:8" ht="30" customHeight="1">
      <c r="A744" s="22" t="s">
        <v>2820</v>
      </c>
      <c r="B744" s="17" t="s">
        <v>691</v>
      </c>
      <c r="C744" s="16" t="s">
        <v>711</v>
      </c>
      <c r="D744" s="34">
        <v>42789</v>
      </c>
      <c r="E744" s="141">
        <v>310606.12</v>
      </c>
      <c r="H744" s="45" t="s">
        <v>1843</v>
      </c>
    </row>
    <row r="745" spans="1:8" ht="30" customHeight="1">
      <c r="A745" s="22" t="s">
        <v>2796</v>
      </c>
      <c r="B745" s="17" t="s">
        <v>240</v>
      </c>
      <c r="C745" s="16" t="s">
        <v>2834</v>
      </c>
      <c r="D745" s="34">
        <v>42790</v>
      </c>
      <c r="E745" s="141">
        <v>645120</v>
      </c>
      <c r="H745" s="45" t="s">
        <v>1843</v>
      </c>
    </row>
    <row r="746" spans="1:8" ht="30" customHeight="1">
      <c r="A746" s="22" t="s">
        <v>2796</v>
      </c>
      <c r="B746" s="17" t="s">
        <v>240</v>
      </c>
      <c r="C746" s="16" t="s">
        <v>2834</v>
      </c>
      <c r="D746" s="34">
        <v>42794</v>
      </c>
      <c r="E746" s="141">
        <v>9856</v>
      </c>
      <c r="H746" s="45" t="s">
        <v>1843</v>
      </c>
    </row>
    <row r="747" spans="1:8" ht="30" hidden="1" customHeight="1">
      <c r="A747" s="22" t="s">
        <v>2821</v>
      </c>
      <c r="B747" s="17" t="s">
        <v>747</v>
      </c>
      <c r="C747" s="16" t="s">
        <v>2839</v>
      </c>
      <c r="D747" s="34">
        <v>42748</v>
      </c>
      <c r="E747" s="141">
        <f>800*0.2*382</f>
        <v>61120</v>
      </c>
      <c r="H747" s="45" t="s">
        <v>1843</v>
      </c>
    </row>
    <row r="748" spans="1:8" ht="30" hidden="1" customHeight="1">
      <c r="A748" s="22" t="s">
        <v>2821</v>
      </c>
      <c r="B748" s="17" t="s">
        <v>747</v>
      </c>
      <c r="C748" s="16" t="s">
        <v>2839</v>
      </c>
      <c r="D748" s="34">
        <v>42781</v>
      </c>
      <c r="E748" s="141">
        <f>(400*0.9-382*0.2)*800</f>
        <v>226880.00000000003</v>
      </c>
      <c r="H748" s="45" t="s">
        <v>1843</v>
      </c>
    </row>
    <row r="749" spans="1:8" ht="30" hidden="1" customHeight="1">
      <c r="A749" s="22" t="s">
        <v>2822</v>
      </c>
      <c r="B749" s="17" t="s">
        <v>747</v>
      </c>
      <c r="C749" s="16" t="s">
        <v>2839</v>
      </c>
      <c r="D749" s="34">
        <v>42748</v>
      </c>
      <c r="E749" s="141">
        <f>900*0.2*382</f>
        <v>68760</v>
      </c>
      <c r="H749" s="45" t="s">
        <v>1843</v>
      </c>
    </row>
    <row r="750" spans="1:8" ht="30" hidden="1" customHeight="1">
      <c r="A750" s="22" t="s">
        <v>2824</v>
      </c>
      <c r="B750" s="17" t="s">
        <v>747</v>
      </c>
      <c r="C750" s="16" t="s">
        <v>2839</v>
      </c>
      <c r="D750" s="34">
        <v>42748</v>
      </c>
      <c r="E750" s="141">
        <f>1300*0.2*382</f>
        <v>99320</v>
      </c>
      <c r="H750" s="45" t="s">
        <v>1843</v>
      </c>
    </row>
    <row r="751" spans="1:8" ht="30" hidden="1" customHeight="1">
      <c r="A751" s="22" t="s">
        <v>2823</v>
      </c>
      <c r="B751" s="17" t="s">
        <v>747</v>
      </c>
      <c r="C751" s="16" t="s">
        <v>2839</v>
      </c>
      <c r="D751" s="34">
        <v>42781</v>
      </c>
      <c r="E751" s="141">
        <f>1000*0.2*400</f>
        <v>80000</v>
      </c>
      <c r="H751" s="45" t="s">
        <v>1843</v>
      </c>
    </row>
    <row r="752" spans="1:8" ht="30" hidden="1" customHeight="1">
      <c r="A752" s="22" t="s">
        <v>2825</v>
      </c>
      <c r="B752" s="17" t="s">
        <v>747</v>
      </c>
      <c r="C752" s="16" t="s">
        <v>2839</v>
      </c>
      <c r="D752" s="34">
        <v>42781</v>
      </c>
      <c r="E752" s="141">
        <f>1000*0.2*400</f>
        <v>80000</v>
      </c>
      <c r="H752" s="45" t="s">
        <v>1843</v>
      </c>
    </row>
    <row r="753" spans="1:8" ht="30" customHeight="1">
      <c r="A753" s="22" t="s">
        <v>2513</v>
      </c>
      <c r="B753" s="17" t="s">
        <v>240</v>
      </c>
      <c r="C753" s="16" t="s">
        <v>200</v>
      </c>
      <c r="D753" s="34">
        <v>42751</v>
      </c>
      <c r="E753" s="141">
        <v>502000</v>
      </c>
      <c r="H753" s="45" t="s">
        <v>1181</v>
      </c>
    </row>
    <row r="754" spans="1:8" ht="30" customHeight="1">
      <c r="A754" s="22" t="s">
        <v>2514</v>
      </c>
      <c r="B754" s="17" t="s">
        <v>240</v>
      </c>
      <c r="C754" s="16" t="s">
        <v>2840</v>
      </c>
      <c r="D754" s="34">
        <v>42758</v>
      </c>
      <c r="E754" s="141">
        <v>490000</v>
      </c>
      <c r="H754" s="45" t="s">
        <v>1181</v>
      </c>
    </row>
    <row r="755" spans="1:8" ht="30" customHeight="1">
      <c r="A755" s="22" t="s">
        <v>2826</v>
      </c>
      <c r="B755" s="17" t="s">
        <v>240</v>
      </c>
      <c r="C755" s="16" t="s">
        <v>2840</v>
      </c>
      <c r="D755" s="34">
        <v>42790</v>
      </c>
      <c r="E755" s="141">
        <v>769165.8</v>
      </c>
      <c r="H755" s="45" t="s">
        <v>1181</v>
      </c>
    </row>
    <row r="756" spans="1:8" ht="30" customHeight="1">
      <c r="A756" s="22" t="s">
        <v>2827</v>
      </c>
      <c r="B756" s="17" t="s">
        <v>240</v>
      </c>
      <c r="C756" s="16" t="s">
        <v>524</v>
      </c>
      <c r="D756" s="34">
        <v>42741</v>
      </c>
      <c r="E756" s="141">
        <v>226686.3</v>
      </c>
      <c r="H756" s="45" t="s">
        <v>882</v>
      </c>
    </row>
    <row r="757" spans="1:8" ht="30" customHeight="1">
      <c r="A757" s="22" t="s">
        <v>2827</v>
      </c>
      <c r="B757" s="17" t="s">
        <v>240</v>
      </c>
      <c r="C757" s="16" t="s">
        <v>524</v>
      </c>
      <c r="D757" s="34">
        <v>42768</v>
      </c>
      <c r="E757" s="141">
        <v>11922.91</v>
      </c>
      <c r="H757" s="45" t="s">
        <v>882</v>
      </c>
    </row>
    <row r="758" spans="1:8" ht="30" customHeight="1">
      <c r="A758" s="22" t="s">
        <v>2828</v>
      </c>
      <c r="B758" s="17" t="s">
        <v>240</v>
      </c>
      <c r="C758" s="16" t="s">
        <v>2841</v>
      </c>
      <c r="D758" s="34">
        <v>42753</v>
      </c>
      <c r="E758" s="141">
        <v>512000</v>
      </c>
      <c r="H758" s="45" t="s">
        <v>882</v>
      </c>
    </row>
    <row r="759" spans="1:8" ht="30" customHeight="1">
      <c r="A759" s="22" t="s">
        <v>2510</v>
      </c>
      <c r="B759" s="17" t="s">
        <v>240</v>
      </c>
      <c r="C759" s="16" t="s">
        <v>2841</v>
      </c>
      <c r="D759" s="34">
        <v>42761</v>
      </c>
      <c r="E759" s="141">
        <v>512000</v>
      </c>
      <c r="H759" s="45" t="s">
        <v>882</v>
      </c>
    </row>
    <row r="760" spans="1:8" ht="30" hidden="1" customHeight="1">
      <c r="A760" s="22" t="s">
        <v>2829</v>
      </c>
      <c r="B760" s="17" t="s">
        <v>2765</v>
      </c>
      <c r="C760" s="16" t="s">
        <v>2842</v>
      </c>
      <c r="D760" s="34">
        <v>42797</v>
      </c>
      <c r="E760" s="141">
        <v>11666250</v>
      </c>
      <c r="H760" s="45" t="s">
        <v>1843</v>
      </c>
    </row>
    <row r="761" spans="1:8" ht="30" hidden="1" customHeight="1">
      <c r="A761" s="22" t="s">
        <v>2830</v>
      </c>
      <c r="B761" s="17" t="s">
        <v>355</v>
      </c>
      <c r="C761" s="16" t="s">
        <v>718</v>
      </c>
      <c r="D761" s="34">
        <v>42800</v>
      </c>
      <c r="E761" s="141">
        <v>1391393.48</v>
      </c>
      <c r="H761" s="45" t="s">
        <v>1593</v>
      </c>
    </row>
    <row r="762" spans="1:8" ht="30" customHeight="1">
      <c r="A762" s="22" t="s">
        <v>2831</v>
      </c>
      <c r="B762" s="17" t="s">
        <v>691</v>
      </c>
      <c r="C762" s="16" t="s">
        <v>718</v>
      </c>
      <c r="D762" s="34">
        <v>42800</v>
      </c>
      <c r="E762" s="141">
        <v>1998598.06</v>
      </c>
      <c r="H762" s="45" t="s">
        <v>1593</v>
      </c>
    </row>
    <row r="763" spans="1:8" ht="30" customHeight="1">
      <c r="A763" s="22" t="s">
        <v>2751</v>
      </c>
      <c r="B763" s="17" t="s">
        <v>691</v>
      </c>
      <c r="C763" s="16" t="s">
        <v>718</v>
      </c>
      <c r="D763" s="34">
        <v>42800</v>
      </c>
      <c r="E763" s="141">
        <v>884871.11</v>
      </c>
      <c r="H763" s="45" t="s">
        <v>1593</v>
      </c>
    </row>
    <row r="764" spans="1:8" ht="30" hidden="1" customHeight="1">
      <c r="A764" s="22" t="s">
        <v>2832</v>
      </c>
      <c r="B764" s="17" t="s">
        <v>2206</v>
      </c>
      <c r="C764" s="16" t="s">
        <v>2833</v>
      </c>
      <c r="D764" s="34">
        <v>42790</v>
      </c>
      <c r="E764" s="141">
        <v>500000</v>
      </c>
      <c r="H764" s="45" t="s">
        <v>208</v>
      </c>
    </row>
    <row r="765" spans="1:8" ht="30" hidden="1" customHeight="1">
      <c r="A765" s="22" t="s">
        <v>2832</v>
      </c>
      <c r="B765" s="17" t="s">
        <v>2206</v>
      </c>
      <c r="C765" s="16" t="s">
        <v>2833</v>
      </c>
      <c r="D765" s="34">
        <v>42790</v>
      </c>
      <c r="E765" s="141">
        <v>-171576.24273</v>
      </c>
      <c r="H765" s="45" t="s">
        <v>208</v>
      </c>
    </row>
    <row r="766" spans="1:8" ht="30" hidden="1" customHeight="1">
      <c r="A766" s="22" t="s">
        <v>2852</v>
      </c>
      <c r="B766" s="17" t="s">
        <v>2853</v>
      </c>
      <c r="C766" s="16" t="s">
        <v>2854</v>
      </c>
      <c r="D766" s="34">
        <v>42790</v>
      </c>
      <c r="E766" s="141">
        <v>171576.24273</v>
      </c>
      <c r="H766" s="45" t="s">
        <v>2855</v>
      </c>
    </row>
    <row r="767" spans="1:8" ht="30" customHeight="1">
      <c r="A767" s="22" t="s">
        <v>2856</v>
      </c>
      <c r="B767" s="17" t="s">
        <v>2857</v>
      </c>
      <c r="C767" s="16" t="s">
        <v>2858</v>
      </c>
      <c r="D767" s="34">
        <v>42802</v>
      </c>
      <c r="E767" s="141">
        <v>154880</v>
      </c>
      <c r="H767" s="45" t="s">
        <v>2859</v>
      </c>
    </row>
    <row r="768" spans="1:8" ht="30" hidden="1" customHeight="1">
      <c r="A768" s="22" t="s">
        <v>2994</v>
      </c>
      <c r="B768" s="17" t="s">
        <v>2863</v>
      </c>
      <c r="C768" s="16" t="s">
        <v>2864</v>
      </c>
      <c r="D768" s="34">
        <v>42802</v>
      </c>
      <c r="E768" s="141">
        <v>301727.83392399969</v>
      </c>
      <c r="H768" s="45" t="s">
        <v>2865</v>
      </c>
    </row>
    <row r="769" spans="1:9" ht="30" hidden="1" customHeight="1">
      <c r="A769" s="22" t="s">
        <v>2861</v>
      </c>
      <c r="B769" s="17" t="s">
        <v>2863</v>
      </c>
      <c r="C769" s="16" t="s">
        <v>2864</v>
      </c>
      <c r="D769" s="34">
        <v>42802</v>
      </c>
      <c r="E769" s="141">
        <v>198272.16607600031</v>
      </c>
      <c r="H769" s="45" t="s">
        <v>2865</v>
      </c>
    </row>
    <row r="770" spans="1:9" ht="30" hidden="1" customHeight="1">
      <c r="A770" s="22" t="s">
        <v>2872</v>
      </c>
      <c r="B770" s="17" t="s">
        <v>2873</v>
      </c>
      <c r="C770" s="16" t="s">
        <v>2870</v>
      </c>
      <c r="D770" s="34">
        <v>42803</v>
      </c>
      <c r="E770" s="141">
        <v>686965.44000000134</v>
      </c>
      <c r="H770" s="45" t="s">
        <v>2871</v>
      </c>
    </row>
    <row r="771" spans="1:9" ht="30" hidden="1" customHeight="1">
      <c r="A771" s="22" t="s">
        <v>2874</v>
      </c>
      <c r="B771" s="17" t="s">
        <v>2873</v>
      </c>
      <c r="C771" s="16" t="s">
        <v>2870</v>
      </c>
      <c r="D771" s="34">
        <v>42803</v>
      </c>
      <c r="E771" s="141">
        <v>1343034.5599999987</v>
      </c>
      <c r="H771" s="45" t="s">
        <v>2871</v>
      </c>
    </row>
    <row r="772" spans="1:9" ht="30" hidden="1" customHeight="1">
      <c r="A772" s="22" t="s">
        <v>2862</v>
      </c>
      <c r="B772" s="17" t="s">
        <v>2206</v>
      </c>
      <c r="C772" s="16" t="s">
        <v>2208</v>
      </c>
      <c r="D772" s="34">
        <v>42807</v>
      </c>
      <c r="E772" s="141">
        <v>2050000</v>
      </c>
      <c r="H772" s="45" t="s">
        <v>178</v>
      </c>
    </row>
    <row r="773" spans="1:9" ht="30" hidden="1" customHeight="1">
      <c r="A773" s="145" t="s">
        <v>2696</v>
      </c>
      <c r="B773" s="18" t="s">
        <v>412</v>
      </c>
      <c r="C773" s="18" t="s">
        <v>168</v>
      </c>
      <c r="D773" s="34">
        <v>42810</v>
      </c>
      <c r="E773" s="69">
        <v>2358589.48</v>
      </c>
      <c r="H773" s="45" t="s">
        <v>1593</v>
      </c>
    </row>
    <row r="774" spans="1:9" ht="30" customHeight="1">
      <c r="A774" s="145" t="s">
        <v>2751</v>
      </c>
      <c r="B774" s="18" t="s">
        <v>603</v>
      </c>
      <c r="C774" s="18" t="s">
        <v>168</v>
      </c>
      <c r="D774" s="34">
        <v>42810</v>
      </c>
      <c r="E774" s="69">
        <v>1352810.05</v>
      </c>
      <c r="H774" s="45" t="s">
        <v>1593</v>
      </c>
    </row>
    <row r="775" spans="1:9" ht="30" customHeight="1">
      <c r="A775" s="22" t="s">
        <v>2895</v>
      </c>
      <c r="B775" s="17" t="s">
        <v>2896</v>
      </c>
      <c r="C775" s="16" t="s">
        <v>204</v>
      </c>
      <c r="D775" s="34">
        <v>42811</v>
      </c>
      <c r="E775" s="141">
        <v>1029231.24</v>
      </c>
      <c r="H775" s="45" t="s">
        <v>178</v>
      </c>
    </row>
    <row r="776" spans="1:9" s="177" customFormat="1" ht="30" customHeight="1">
      <c r="A776" s="145" t="s">
        <v>2516</v>
      </c>
      <c r="B776" s="18" t="s">
        <v>1106</v>
      </c>
      <c r="C776" s="18" t="s">
        <v>379</v>
      </c>
      <c r="D776" s="34">
        <v>42811</v>
      </c>
      <c r="E776" s="69">
        <v>50444.18</v>
      </c>
      <c r="G776" s="178"/>
      <c r="H776" s="177" t="s">
        <v>119</v>
      </c>
      <c r="I776" s="179"/>
    </row>
    <row r="777" spans="1:9" s="177" customFormat="1" ht="30" hidden="1" customHeight="1">
      <c r="A777" s="145" t="s">
        <v>2862</v>
      </c>
      <c r="B777" s="18" t="s">
        <v>2203</v>
      </c>
      <c r="C777" s="18" t="s">
        <v>2204</v>
      </c>
      <c r="D777" s="34">
        <v>42814</v>
      </c>
      <c r="E777" s="69">
        <v>459000</v>
      </c>
      <c r="G777" s="178"/>
      <c r="H777" s="177" t="s">
        <v>56</v>
      </c>
      <c r="I777" s="179"/>
    </row>
    <row r="778" spans="1:9" s="177" customFormat="1" ht="30" customHeight="1">
      <c r="A778" s="145" t="s">
        <v>2800</v>
      </c>
      <c r="B778" s="18" t="s">
        <v>194</v>
      </c>
      <c r="C778" s="18" t="s">
        <v>2011</v>
      </c>
      <c r="D778" s="34">
        <v>42814</v>
      </c>
      <c r="E778" s="69">
        <v>307200</v>
      </c>
      <c r="G778" s="178"/>
      <c r="H778" s="177" t="s">
        <v>119</v>
      </c>
      <c r="I778" s="179"/>
    </row>
    <row r="779" spans="1:9" s="177" customFormat="1" ht="30" customHeight="1">
      <c r="A779" s="145" t="s">
        <v>2800</v>
      </c>
      <c r="B779" s="18" t="s">
        <v>194</v>
      </c>
      <c r="C779" s="18" t="s">
        <v>2011</v>
      </c>
      <c r="D779" s="34">
        <v>42815</v>
      </c>
      <c r="E779" s="69">
        <v>312320</v>
      </c>
      <c r="G779" s="178"/>
      <c r="H779" s="177" t="s">
        <v>119</v>
      </c>
      <c r="I779" s="179"/>
    </row>
    <row r="780" spans="1:9" s="177" customFormat="1" ht="30" customHeight="1">
      <c r="A780" s="145" t="s">
        <v>2909</v>
      </c>
      <c r="B780" s="18" t="s">
        <v>194</v>
      </c>
      <c r="C780" s="18" t="s">
        <v>2892</v>
      </c>
      <c r="D780" s="34">
        <v>42815</v>
      </c>
      <c r="E780" s="69">
        <v>1071000</v>
      </c>
      <c r="G780" s="178"/>
      <c r="H780" s="177" t="s">
        <v>178</v>
      </c>
      <c r="I780" s="179"/>
    </row>
    <row r="781" spans="1:9" s="177" customFormat="1" ht="30" hidden="1" customHeight="1">
      <c r="A781" s="145" t="s">
        <v>2910</v>
      </c>
      <c r="B781" s="18" t="s">
        <v>2911</v>
      </c>
      <c r="C781" s="18" t="s">
        <v>2912</v>
      </c>
      <c r="D781" s="34">
        <v>42816</v>
      </c>
      <c r="E781" s="69">
        <v>626000</v>
      </c>
      <c r="G781" s="178"/>
      <c r="H781" s="177" t="s">
        <v>56</v>
      </c>
      <c r="I781" s="179"/>
    </row>
    <row r="782" spans="1:9" s="177" customFormat="1" ht="30" hidden="1" customHeight="1">
      <c r="A782" s="145" t="s">
        <v>2862</v>
      </c>
      <c r="B782" s="18" t="s">
        <v>2203</v>
      </c>
      <c r="C782" s="18" t="s">
        <v>2204</v>
      </c>
      <c r="D782" s="34">
        <v>42818</v>
      </c>
      <c r="E782" s="69">
        <v>1800000</v>
      </c>
      <c r="G782" s="178"/>
      <c r="H782" s="177" t="s">
        <v>56</v>
      </c>
      <c r="I782" s="179"/>
    </row>
    <row r="783" spans="1:9" s="177" customFormat="1" ht="30" customHeight="1">
      <c r="A783" s="145" t="s">
        <v>2926</v>
      </c>
      <c r="B783" s="18" t="s">
        <v>2927</v>
      </c>
      <c r="C783" s="18" t="s">
        <v>2928</v>
      </c>
      <c r="D783" s="34">
        <v>42825</v>
      </c>
      <c r="E783" s="69">
        <v>275245.46999999997</v>
      </c>
      <c r="G783" s="178"/>
      <c r="H783" s="177" t="s">
        <v>2929</v>
      </c>
      <c r="I783" s="179"/>
    </row>
    <row r="784" spans="1:9" s="177" customFormat="1" ht="30" customHeight="1">
      <c r="A784" s="145" t="s">
        <v>2930</v>
      </c>
      <c r="B784" s="18" t="s">
        <v>2931</v>
      </c>
      <c r="C784" s="18" t="s">
        <v>2932</v>
      </c>
      <c r="D784" s="34">
        <v>42818</v>
      </c>
      <c r="E784" s="69">
        <v>425600</v>
      </c>
      <c r="G784" s="178"/>
      <c r="H784" s="177" t="s">
        <v>2933</v>
      </c>
      <c r="I784" s="179"/>
    </row>
    <row r="785" spans="1:10" s="177" customFormat="1" ht="30" customHeight="1">
      <c r="A785" s="145" t="s">
        <v>2935</v>
      </c>
      <c r="B785" s="18" t="s">
        <v>1158</v>
      </c>
      <c r="C785" s="18" t="s">
        <v>2934</v>
      </c>
      <c r="D785" s="34">
        <v>42821</v>
      </c>
      <c r="E785" s="69">
        <v>39900</v>
      </c>
      <c r="G785" s="178"/>
      <c r="H785" s="177" t="s">
        <v>1593</v>
      </c>
      <c r="I785" s="179"/>
    </row>
    <row r="786" spans="1:10" s="177" customFormat="1" ht="30" hidden="1" customHeight="1">
      <c r="A786" s="145" t="s">
        <v>2764</v>
      </c>
      <c r="B786" s="18" t="s">
        <v>2761</v>
      </c>
      <c r="C786" s="18" t="s">
        <v>2938</v>
      </c>
      <c r="D786" s="34">
        <v>42804</v>
      </c>
      <c r="E786" s="69">
        <v>11196600</v>
      </c>
      <c r="G786" s="178"/>
      <c r="H786" s="177" t="s">
        <v>1593</v>
      </c>
      <c r="I786" s="179"/>
    </row>
    <row r="787" spans="1:10" s="177" customFormat="1" ht="30" hidden="1" customHeight="1">
      <c r="A787" s="22" t="s">
        <v>2829</v>
      </c>
      <c r="B787" s="17" t="s">
        <v>2765</v>
      </c>
      <c r="C787" s="356" t="s">
        <v>2842</v>
      </c>
      <c r="D787" s="34">
        <v>42825</v>
      </c>
      <c r="E787" s="174">
        <v>1656790.5</v>
      </c>
      <c r="G787" s="178"/>
      <c r="H787" s="177" t="s">
        <v>119</v>
      </c>
      <c r="I787" s="179"/>
    </row>
    <row r="788" spans="1:10" ht="30" hidden="1" customHeight="1">
      <c r="A788" s="22" t="s">
        <v>2822</v>
      </c>
      <c r="B788" s="17" t="s">
        <v>747</v>
      </c>
      <c r="C788" s="16" t="s">
        <v>748</v>
      </c>
      <c r="D788" s="34">
        <v>42795</v>
      </c>
      <c r="E788" s="141">
        <v>255240</v>
      </c>
      <c r="H788" s="45" t="s">
        <v>119</v>
      </c>
    </row>
    <row r="789" spans="1:10" ht="30" hidden="1" customHeight="1">
      <c r="A789" s="22" t="s">
        <v>2823</v>
      </c>
      <c r="B789" s="17" t="s">
        <v>747</v>
      </c>
      <c r="C789" s="16" t="s">
        <v>748</v>
      </c>
      <c r="D789" s="34">
        <v>42801</v>
      </c>
      <c r="E789" s="141">
        <v>280000</v>
      </c>
      <c r="H789" s="45" t="s">
        <v>119</v>
      </c>
    </row>
    <row r="790" spans="1:10" ht="30" hidden="1" customHeight="1">
      <c r="A790" s="22" t="s">
        <v>2949</v>
      </c>
      <c r="B790" s="17" t="s">
        <v>747</v>
      </c>
      <c r="C790" s="16" t="s">
        <v>748</v>
      </c>
      <c r="D790" s="34">
        <v>42803</v>
      </c>
      <c r="E790" s="141">
        <v>87000</v>
      </c>
      <c r="H790" s="45" t="s">
        <v>119</v>
      </c>
    </row>
    <row r="791" spans="1:10" ht="30" hidden="1" customHeight="1">
      <c r="A791" s="22" t="s">
        <v>2950</v>
      </c>
      <c r="B791" s="17" t="s">
        <v>747</v>
      </c>
      <c r="C791" s="16" t="s">
        <v>748</v>
      </c>
      <c r="D791" s="34">
        <v>42803</v>
      </c>
      <c r="E791" s="141">
        <v>87000</v>
      </c>
      <c r="H791" s="45" t="s">
        <v>119</v>
      </c>
    </row>
    <row r="792" spans="1:10" ht="30" hidden="1" customHeight="1">
      <c r="A792" s="22" t="s">
        <v>2823</v>
      </c>
      <c r="B792" s="17" t="s">
        <v>747</v>
      </c>
      <c r="C792" s="16" t="s">
        <v>748</v>
      </c>
      <c r="D792" s="34">
        <v>42814</v>
      </c>
      <c r="E792" s="141">
        <v>22050</v>
      </c>
      <c r="H792" s="45" t="s">
        <v>119</v>
      </c>
    </row>
    <row r="793" spans="1:10" ht="30" hidden="1" customHeight="1">
      <c r="A793" s="22" t="s">
        <v>2824</v>
      </c>
      <c r="B793" s="17" t="s">
        <v>747</v>
      </c>
      <c r="C793" s="16" t="s">
        <v>748</v>
      </c>
      <c r="D793" s="34">
        <v>42814</v>
      </c>
      <c r="E793" s="141">
        <v>409630</v>
      </c>
      <c r="H793" s="45" t="s">
        <v>119</v>
      </c>
    </row>
    <row r="794" spans="1:10" ht="30" hidden="1" customHeight="1">
      <c r="A794" s="22" t="s">
        <v>2825</v>
      </c>
      <c r="B794" s="17" t="s">
        <v>747</v>
      </c>
      <c r="C794" s="16" t="s">
        <v>748</v>
      </c>
      <c r="D794" s="34">
        <v>42822</v>
      </c>
      <c r="E794" s="141">
        <v>311500</v>
      </c>
      <c r="H794" s="45" t="s">
        <v>119</v>
      </c>
    </row>
    <row r="795" spans="1:10" ht="30" hidden="1" customHeight="1">
      <c r="A795" s="22" t="s">
        <v>2788</v>
      </c>
      <c r="B795" s="17" t="s">
        <v>160</v>
      </c>
      <c r="C795" s="16" t="s">
        <v>1006</v>
      </c>
      <c r="D795" s="34">
        <v>42794</v>
      </c>
      <c r="E795" s="141"/>
      <c r="H795" s="45" t="s">
        <v>119</v>
      </c>
      <c r="J795" s="45">
        <v>174150</v>
      </c>
    </row>
    <row r="796" spans="1:10" ht="30" hidden="1" customHeight="1">
      <c r="A796" s="22" t="s">
        <v>2951</v>
      </c>
      <c r="B796" s="17" t="s">
        <v>160</v>
      </c>
      <c r="C796" s="16" t="s">
        <v>1006</v>
      </c>
      <c r="D796" s="34">
        <v>42815</v>
      </c>
      <c r="E796" s="141"/>
      <c r="H796" s="45" t="s">
        <v>119</v>
      </c>
      <c r="J796" s="45">
        <v>194760</v>
      </c>
    </row>
    <row r="797" spans="1:10" ht="30" hidden="1" customHeight="1">
      <c r="A797" s="22" t="s">
        <v>2953</v>
      </c>
      <c r="B797" s="17" t="s">
        <v>2954</v>
      </c>
      <c r="C797" s="16" t="s">
        <v>2955</v>
      </c>
      <c r="D797" s="34">
        <v>42822</v>
      </c>
      <c r="E797" s="141"/>
      <c r="H797" s="45" t="s">
        <v>2956</v>
      </c>
      <c r="J797" s="45">
        <v>216755</v>
      </c>
    </row>
    <row r="798" spans="1:10" ht="30" hidden="1" customHeight="1">
      <c r="A798" s="22" t="s">
        <v>2957</v>
      </c>
      <c r="B798" s="17" t="s">
        <v>2958</v>
      </c>
      <c r="C798" s="16" t="s">
        <v>2959</v>
      </c>
      <c r="D798" s="34">
        <v>42810</v>
      </c>
      <c r="E798" s="141">
        <v>79801.61</v>
      </c>
      <c r="H798" s="45" t="s">
        <v>2960</v>
      </c>
    </row>
    <row r="799" spans="1:10" ht="30" hidden="1" customHeight="1">
      <c r="A799" s="22" t="s">
        <v>2961</v>
      </c>
      <c r="B799" s="17" t="s">
        <v>2962</v>
      </c>
      <c r="C799" s="16" t="s">
        <v>2963</v>
      </c>
      <c r="D799" s="34">
        <v>42825</v>
      </c>
      <c r="E799" s="141">
        <v>455000</v>
      </c>
      <c r="H799" s="45" t="s">
        <v>2964</v>
      </c>
    </row>
    <row r="800" spans="1:10" ht="30" hidden="1" customHeight="1">
      <c r="A800" s="22" t="s">
        <v>2965</v>
      </c>
      <c r="B800" s="17" t="s">
        <v>2966</v>
      </c>
      <c r="C800" s="16" t="s">
        <v>2967</v>
      </c>
      <c r="D800" s="34">
        <v>42825</v>
      </c>
      <c r="E800" s="141">
        <v>2388287.5</v>
      </c>
      <c r="H800" s="45" t="s">
        <v>2968</v>
      </c>
    </row>
    <row r="801" spans="1:8" ht="30" customHeight="1">
      <c r="A801" s="22" t="s">
        <v>2969</v>
      </c>
      <c r="B801" s="17" t="s">
        <v>2970</v>
      </c>
      <c r="C801" s="16" t="s">
        <v>2971</v>
      </c>
      <c r="D801" s="34">
        <v>42825</v>
      </c>
      <c r="E801" s="141">
        <v>17920</v>
      </c>
      <c r="H801" s="45" t="s">
        <v>2956</v>
      </c>
    </row>
    <row r="802" spans="1:8" ht="30" customHeight="1">
      <c r="A802" s="22" t="s">
        <v>2982</v>
      </c>
      <c r="B802" s="17" t="s">
        <v>240</v>
      </c>
      <c r="C802" s="16" t="s">
        <v>2834</v>
      </c>
      <c r="D802" s="34">
        <v>42830</v>
      </c>
      <c r="E802" s="141">
        <v>166400</v>
      </c>
      <c r="H802" s="45" t="s">
        <v>2235</v>
      </c>
    </row>
    <row r="803" spans="1:8" ht="30" hidden="1" customHeight="1">
      <c r="A803" s="22" t="s">
        <v>2984</v>
      </c>
      <c r="B803" s="17" t="s">
        <v>2559</v>
      </c>
      <c r="C803" s="16" t="s">
        <v>2985</v>
      </c>
      <c r="D803" s="34">
        <v>42748</v>
      </c>
      <c r="E803" s="141">
        <v>3200</v>
      </c>
      <c r="H803" s="45" t="s">
        <v>119</v>
      </c>
    </row>
    <row r="804" spans="1:8" ht="30" hidden="1" customHeight="1">
      <c r="A804" s="22" t="s">
        <v>2986</v>
      </c>
      <c r="B804" s="17" t="s">
        <v>2560</v>
      </c>
      <c r="C804" s="16" t="s">
        <v>2985</v>
      </c>
      <c r="D804" s="34">
        <v>42748</v>
      </c>
      <c r="E804" s="141">
        <v>800</v>
      </c>
      <c r="H804" s="45" t="s">
        <v>119</v>
      </c>
    </row>
    <row r="805" spans="1:8" ht="30" hidden="1" customHeight="1">
      <c r="A805" s="22" t="s">
        <v>2987</v>
      </c>
      <c r="B805" s="17" t="s">
        <v>2550</v>
      </c>
      <c r="C805" s="16" t="s">
        <v>2985</v>
      </c>
      <c r="D805" s="34">
        <v>42748</v>
      </c>
      <c r="E805" s="141">
        <v>6240</v>
      </c>
      <c r="H805" s="45" t="s">
        <v>119</v>
      </c>
    </row>
    <row r="806" spans="1:8" ht="30" hidden="1" customHeight="1">
      <c r="A806" s="22" t="s">
        <v>2988</v>
      </c>
      <c r="B806" s="17" t="s">
        <v>2559</v>
      </c>
      <c r="C806" s="16" t="s">
        <v>2985</v>
      </c>
      <c r="D806" s="34">
        <v>42755</v>
      </c>
      <c r="E806" s="141">
        <v>13000</v>
      </c>
      <c r="H806" s="45" t="s">
        <v>119</v>
      </c>
    </row>
    <row r="807" spans="1:8" ht="30" hidden="1" customHeight="1">
      <c r="A807" s="22" t="s">
        <v>2989</v>
      </c>
      <c r="B807" s="17" t="s">
        <v>2560</v>
      </c>
      <c r="C807" s="16" t="s">
        <v>2985</v>
      </c>
      <c r="D807" s="34">
        <v>42755</v>
      </c>
      <c r="E807" s="141">
        <v>2500</v>
      </c>
      <c r="H807" s="45" t="s">
        <v>119</v>
      </c>
    </row>
    <row r="808" spans="1:8" ht="30" customHeight="1">
      <c r="A808" s="22" t="s">
        <v>2511</v>
      </c>
      <c r="B808" s="17" t="s">
        <v>194</v>
      </c>
      <c r="C808" s="16" t="s">
        <v>2841</v>
      </c>
      <c r="D808" s="34">
        <v>42795</v>
      </c>
      <c r="E808" s="141">
        <v>804000</v>
      </c>
      <c r="H808" s="45" t="s">
        <v>475</v>
      </c>
    </row>
    <row r="809" spans="1:8" ht="30" hidden="1" customHeight="1">
      <c r="A809" s="22" t="s">
        <v>2949</v>
      </c>
      <c r="B809" s="17" t="s">
        <v>747</v>
      </c>
      <c r="C809" s="16" t="s">
        <v>748</v>
      </c>
      <c r="D809" s="34">
        <v>42830</v>
      </c>
      <c r="E809" s="141">
        <v>304500</v>
      </c>
      <c r="H809" s="45" t="s">
        <v>119</v>
      </c>
    </row>
    <row r="810" spans="1:8" ht="30" hidden="1" customHeight="1">
      <c r="A810" s="22" t="s">
        <v>2821</v>
      </c>
      <c r="B810" s="17" t="s">
        <v>747</v>
      </c>
      <c r="C810" s="16" t="s">
        <v>748</v>
      </c>
      <c r="D810" s="34">
        <v>42830</v>
      </c>
      <c r="E810" s="141">
        <v>32000</v>
      </c>
      <c r="H810" s="45" t="s">
        <v>119</v>
      </c>
    </row>
    <row r="811" spans="1:8" ht="30" hidden="1" customHeight="1">
      <c r="A811" s="22" t="s">
        <v>2996</v>
      </c>
      <c r="B811" s="17" t="s">
        <v>3001</v>
      </c>
      <c r="C811" s="16" t="s">
        <v>3002</v>
      </c>
      <c r="D811" s="34">
        <v>42832</v>
      </c>
      <c r="E811" s="141">
        <v>100000</v>
      </c>
      <c r="H811" s="45" t="s">
        <v>3003</v>
      </c>
    </row>
    <row r="812" spans="1:8" ht="30" hidden="1" customHeight="1">
      <c r="A812" s="22" t="s">
        <v>2420</v>
      </c>
      <c r="B812" s="17" t="s">
        <v>93</v>
      </c>
      <c r="C812" s="16" t="s">
        <v>2393</v>
      </c>
      <c r="D812" s="34">
        <v>42782</v>
      </c>
      <c r="E812" s="141">
        <v>325262.03000000003</v>
      </c>
      <c r="H812" s="45" t="s">
        <v>119</v>
      </c>
    </row>
    <row r="813" spans="1:8" ht="30" hidden="1" customHeight="1">
      <c r="A813" s="22" t="s">
        <v>2996</v>
      </c>
      <c r="B813" s="17" t="s">
        <v>3001</v>
      </c>
      <c r="C813" s="16" t="s">
        <v>3002</v>
      </c>
      <c r="D813" s="34">
        <v>42835</v>
      </c>
      <c r="E813" s="141">
        <v>2640000</v>
      </c>
      <c r="H813" s="45" t="s">
        <v>119</v>
      </c>
    </row>
    <row r="814" spans="1:8" ht="30" customHeight="1">
      <c r="A814" s="22" t="s">
        <v>3012</v>
      </c>
      <c r="B814" s="17" t="s">
        <v>1</v>
      </c>
      <c r="C814" s="16" t="s">
        <v>3013</v>
      </c>
      <c r="D814" s="34">
        <v>42838</v>
      </c>
      <c r="E814" s="141">
        <f>0.9*994500</f>
        <v>895050</v>
      </c>
      <c r="H814" s="45" t="s">
        <v>56</v>
      </c>
    </row>
    <row r="815" spans="1:8" ht="30" hidden="1" customHeight="1">
      <c r="A815" s="145" t="s">
        <v>2862</v>
      </c>
      <c r="B815" s="18" t="s">
        <v>2203</v>
      </c>
      <c r="C815" s="18" t="s">
        <v>2204</v>
      </c>
      <c r="D815" s="34">
        <v>42832</v>
      </c>
      <c r="E815" s="141">
        <v>56194.22</v>
      </c>
      <c r="H815" s="45" t="s">
        <v>56</v>
      </c>
    </row>
    <row r="816" spans="1:8" ht="30" customHeight="1">
      <c r="A816" s="145" t="s">
        <v>2889</v>
      </c>
      <c r="B816" s="18" t="s">
        <v>194</v>
      </c>
      <c r="C816" s="18" t="s">
        <v>2336</v>
      </c>
      <c r="D816" s="34">
        <v>42836</v>
      </c>
      <c r="E816" s="141">
        <v>1225000</v>
      </c>
      <c r="H816" s="45" t="s">
        <v>56</v>
      </c>
    </row>
    <row r="817" spans="1:8" ht="30" customHeight="1">
      <c r="A817" s="145" t="s">
        <v>2889</v>
      </c>
      <c r="B817" s="18" t="s">
        <v>194</v>
      </c>
      <c r="C817" s="18" t="s">
        <v>2336</v>
      </c>
      <c r="D817" s="34">
        <v>42839</v>
      </c>
      <c r="E817" s="141">
        <v>400000</v>
      </c>
      <c r="H817" s="45" t="s">
        <v>56</v>
      </c>
    </row>
    <row r="818" spans="1:8" ht="30" customHeight="1">
      <c r="A818" s="145" t="s">
        <v>2889</v>
      </c>
      <c r="B818" s="18" t="s">
        <v>194</v>
      </c>
      <c r="C818" s="18" t="s">
        <v>2336</v>
      </c>
      <c r="D818" s="34">
        <v>42842</v>
      </c>
      <c r="E818" s="141">
        <v>875000</v>
      </c>
      <c r="H818" s="45" t="s">
        <v>56</v>
      </c>
    </row>
    <row r="819" spans="1:8" ht="30" customHeight="1">
      <c r="A819" s="145" t="s">
        <v>2982</v>
      </c>
      <c r="B819" s="18" t="s">
        <v>194</v>
      </c>
      <c r="C819" s="18" t="s">
        <v>2011</v>
      </c>
      <c r="D819" s="34">
        <v>42842</v>
      </c>
      <c r="E819" s="141">
        <v>327680</v>
      </c>
      <c r="H819" s="45" t="s">
        <v>119</v>
      </c>
    </row>
    <row r="820" spans="1:8" ht="30" customHeight="1">
      <c r="A820" s="145" t="s">
        <v>3037</v>
      </c>
      <c r="B820" s="18" t="s">
        <v>1158</v>
      </c>
      <c r="C820" s="18" t="s">
        <v>3038</v>
      </c>
      <c r="D820" s="34">
        <v>42843</v>
      </c>
      <c r="E820" s="141">
        <v>388500</v>
      </c>
      <c r="H820" s="45" t="s">
        <v>1593</v>
      </c>
    </row>
    <row r="821" spans="1:8" ht="30" customHeight="1">
      <c r="A821" s="145" t="s">
        <v>3040</v>
      </c>
      <c r="B821" s="18" t="s">
        <v>194</v>
      </c>
      <c r="C821" s="18" t="s">
        <v>3043</v>
      </c>
      <c r="D821" s="34">
        <v>42844</v>
      </c>
      <c r="E821" s="141">
        <v>1238400</v>
      </c>
      <c r="H821" s="45" t="s">
        <v>1593</v>
      </c>
    </row>
    <row r="822" spans="1:8" ht="30" customHeight="1">
      <c r="A822" s="145" t="s">
        <v>3050</v>
      </c>
      <c r="B822" s="18" t="s">
        <v>603</v>
      </c>
      <c r="C822" s="18" t="s">
        <v>3010</v>
      </c>
      <c r="D822" s="34">
        <v>42843</v>
      </c>
      <c r="E822" s="141">
        <v>1790100</v>
      </c>
      <c r="H822" s="45" t="s">
        <v>56</v>
      </c>
    </row>
    <row r="823" spans="1:8" ht="30" hidden="1" customHeight="1">
      <c r="A823" s="22" t="s">
        <v>2950</v>
      </c>
      <c r="B823" s="17" t="s">
        <v>747</v>
      </c>
      <c r="C823" s="16" t="s">
        <v>748</v>
      </c>
      <c r="D823" s="34">
        <v>42837</v>
      </c>
      <c r="E823" s="141">
        <v>304500</v>
      </c>
      <c r="H823" s="45" t="s">
        <v>119</v>
      </c>
    </row>
    <row r="824" spans="1:8" ht="30" hidden="1" customHeight="1">
      <c r="A824" s="22" t="s">
        <v>3072</v>
      </c>
      <c r="B824" s="17" t="s">
        <v>747</v>
      </c>
      <c r="C824" s="16" t="s">
        <v>748</v>
      </c>
      <c r="D824" s="34">
        <v>42837</v>
      </c>
      <c r="E824" s="141">
        <v>89000</v>
      </c>
      <c r="H824" s="45" t="s">
        <v>119</v>
      </c>
    </row>
    <row r="825" spans="1:8" ht="30" hidden="1" customHeight="1">
      <c r="A825" s="22" t="s">
        <v>3073</v>
      </c>
      <c r="B825" s="17" t="s">
        <v>747</v>
      </c>
      <c r="C825" s="16" t="s">
        <v>748</v>
      </c>
      <c r="D825" s="34">
        <v>42837</v>
      </c>
      <c r="E825" s="141">
        <v>89000</v>
      </c>
      <c r="H825" s="45" t="s">
        <v>119</v>
      </c>
    </row>
    <row r="826" spans="1:8" ht="30" hidden="1" customHeight="1">
      <c r="A826" s="22" t="s">
        <v>3076</v>
      </c>
      <c r="B826" s="17" t="s">
        <v>3077</v>
      </c>
      <c r="C826" s="16" t="s">
        <v>3078</v>
      </c>
      <c r="D826" s="34">
        <v>42837</v>
      </c>
      <c r="E826" s="141">
        <v>89000</v>
      </c>
      <c r="H826" s="45" t="s">
        <v>3079</v>
      </c>
    </row>
    <row r="827" spans="1:8" ht="30" customHeight="1">
      <c r="A827" s="22" t="s">
        <v>3080</v>
      </c>
      <c r="B827" s="17" t="s">
        <v>3081</v>
      </c>
      <c r="C827" s="16" t="s">
        <v>3082</v>
      </c>
      <c r="D827" s="34">
        <v>42851</v>
      </c>
      <c r="E827" s="141">
        <v>1670400</v>
      </c>
      <c r="H827" s="45" t="s">
        <v>3083</v>
      </c>
    </row>
    <row r="828" spans="1:8" ht="30" customHeight="1">
      <c r="A828" s="145" t="s">
        <v>2982</v>
      </c>
      <c r="B828" s="18" t="s">
        <v>194</v>
      </c>
      <c r="C828" s="18" t="s">
        <v>2011</v>
      </c>
      <c r="D828" s="34">
        <v>42843</v>
      </c>
      <c r="E828" s="141">
        <v>327680</v>
      </c>
      <c r="H828" s="45" t="s">
        <v>119</v>
      </c>
    </row>
    <row r="829" spans="1:8" ht="30" customHeight="1">
      <c r="A829" s="22" t="s">
        <v>3085</v>
      </c>
      <c r="B829" s="17" t="s">
        <v>240</v>
      </c>
      <c r="C829" s="16" t="s">
        <v>2914</v>
      </c>
      <c r="D829" s="34">
        <v>42852</v>
      </c>
      <c r="E829" s="141">
        <v>422400</v>
      </c>
      <c r="H829" s="45" t="s">
        <v>1593</v>
      </c>
    </row>
    <row r="830" spans="1:8" ht="30" customHeight="1">
      <c r="A830" s="22" t="s">
        <v>3108</v>
      </c>
      <c r="B830" s="17" t="s">
        <v>3099</v>
      </c>
      <c r="C830" s="16" t="s">
        <v>3107</v>
      </c>
      <c r="D830" s="34">
        <v>42852</v>
      </c>
      <c r="E830" s="141">
        <v>27000</v>
      </c>
      <c r="H830" s="45" t="s">
        <v>3109</v>
      </c>
    </row>
    <row r="831" spans="1:8" ht="30" customHeight="1">
      <c r="A831" s="22" t="s">
        <v>3110</v>
      </c>
      <c r="B831" s="17" t="s">
        <v>3099</v>
      </c>
      <c r="C831" s="16" t="s">
        <v>3111</v>
      </c>
      <c r="D831" s="34">
        <v>42857</v>
      </c>
      <c r="E831" s="141">
        <v>2176</v>
      </c>
      <c r="H831" s="45" t="s">
        <v>3112</v>
      </c>
    </row>
    <row r="832" spans="1:8" ht="30" customHeight="1">
      <c r="A832" s="22" t="s">
        <v>3091</v>
      </c>
      <c r="B832" s="17" t="s">
        <v>240</v>
      </c>
      <c r="C832" s="16" t="s">
        <v>2065</v>
      </c>
      <c r="D832" s="34">
        <v>42857</v>
      </c>
      <c r="E832" s="141">
        <v>250560</v>
      </c>
      <c r="H832" s="45" t="s">
        <v>1624</v>
      </c>
    </row>
    <row r="833" spans="1:8" ht="30" customHeight="1">
      <c r="A833" s="22" t="s">
        <v>3050</v>
      </c>
      <c r="B833" s="17" t="s">
        <v>60</v>
      </c>
      <c r="C833" s="16" t="s">
        <v>3113</v>
      </c>
      <c r="D833" s="34">
        <v>42857</v>
      </c>
      <c r="E833" s="141">
        <v>259442.96</v>
      </c>
      <c r="H833" s="45" t="s">
        <v>56</v>
      </c>
    </row>
    <row r="834" spans="1:8" ht="30" hidden="1" customHeight="1">
      <c r="A834" s="22" t="s">
        <v>2650</v>
      </c>
      <c r="B834" s="17" t="s">
        <v>2206</v>
      </c>
      <c r="C834" s="16" t="s">
        <v>144</v>
      </c>
      <c r="D834" s="34">
        <v>42837</v>
      </c>
      <c r="E834" s="141">
        <v>1544540.0000000014</v>
      </c>
      <c r="H834" s="45" t="s">
        <v>1593</v>
      </c>
    </row>
    <row r="835" spans="1:8" ht="30" hidden="1" customHeight="1">
      <c r="A835" s="22" t="s">
        <v>2745</v>
      </c>
      <c r="B835" s="17" t="s">
        <v>2206</v>
      </c>
      <c r="C835" s="16" t="s">
        <v>144</v>
      </c>
      <c r="D835" s="34">
        <v>42837</v>
      </c>
      <c r="E835" s="141">
        <v>2095459.9999999986</v>
      </c>
      <c r="H835" s="45" t="s">
        <v>1593</v>
      </c>
    </row>
    <row r="836" spans="1:8" ht="30" hidden="1" customHeight="1">
      <c r="A836" s="22" t="s">
        <v>2745</v>
      </c>
      <c r="B836" s="17" t="s">
        <v>2206</v>
      </c>
      <c r="C836" s="16" t="s">
        <v>144</v>
      </c>
      <c r="D836" s="34">
        <v>42851</v>
      </c>
      <c r="E836" s="141">
        <v>693112.69000000134</v>
      </c>
      <c r="H836" s="45" t="s">
        <v>1593</v>
      </c>
    </row>
    <row r="837" spans="1:8" ht="30" hidden="1" customHeight="1">
      <c r="A837" s="22" t="s">
        <v>1972</v>
      </c>
      <c r="B837" s="17" t="s">
        <v>1380</v>
      </c>
      <c r="C837" s="16" t="s">
        <v>144</v>
      </c>
      <c r="D837" s="34">
        <v>42851</v>
      </c>
      <c r="E837" s="141">
        <v>406887.30999999866</v>
      </c>
      <c r="H837" s="45" t="s">
        <v>1593</v>
      </c>
    </row>
    <row r="838" spans="1:8" ht="30" hidden="1" customHeight="1">
      <c r="A838" s="22" t="s">
        <v>2822</v>
      </c>
      <c r="B838" s="17" t="s">
        <v>747</v>
      </c>
      <c r="C838" s="16" t="s">
        <v>748</v>
      </c>
      <c r="D838" s="34">
        <v>42851</v>
      </c>
      <c r="E838" s="141">
        <v>36000</v>
      </c>
      <c r="H838" s="45" t="s">
        <v>119</v>
      </c>
    </row>
    <row r="839" spans="1:8" ht="30" hidden="1" customHeight="1">
      <c r="A839" s="22" t="s">
        <v>2823</v>
      </c>
      <c r="B839" s="17" t="s">
        <v>747</v>
      </c>
      <c r="C839" s="16" t="s">
        <v>748</v>
      </c>
      <c r="D839" s="34">
        <v>42851</v>
      </c>
      <c r="E839" s="141">
        <v>42450</v>
      </c>
      <c r="H839" s="45" t="s">
        <v>119</v>
      </c>
    </row>
    <row r="840" spans="1:8" ht="30" hidden="1" customHeight="1">
      <c r="A840" s="22" t="s">
        <v>2824</v>
      </c>
      <c r="B840" s="17" t="s">
        <v>747</v>
      </c>
      <c r="C840" s="16" t="s">
        <v>748</v>
      </c>
      <c r="D840" s="34">
        <v>42851</v>
      </c>
      <c r="E840" s="141">
        <v>56550</v>
      </c>
      <c r="H840" s="45" t="s">
        <v>119</v>
      </c>
    </row>
    <row r="841" spans="1:8" ht="30" hidden="1" customHeight="1">
      <c r="A841" s="22" t="s">
        <v>2825</v>
      </c>
      <c r="B841" s="17" t="s">
        <v>747</v>
      </c>
      <c r="C841" s="16" t="s">
        <v>748</v>
      </c>
      <c r="D841" s="34">
        <v>42851</v>
      </c>
      <c r="E841" s="141">
        <v>43500</v>
      </c>
      <c r="H841" s="45" t="s">
        <v>119</v>
      </c>
    </row>
    <row r="842" spans="1:8" ht="30" hidden="1" customHeight="1">
      <c r="A842" s="22" t="s">
        <v>2949</v>
      </c>
      <c r="B842" s="17" t="s">
        <v>747</v>
      </c>
      <c r="C842" s="16" t="s">
        <v>748</v>
      </c>
      <c r="D842" s="34">
        <v>42851</v>
      </c>
      <c r="E842" s="141">
        <v>43500</v>
      </c>
      <c r="H842" s="45" t="s">
        <v>119</v>
      </c>
    </row>
    <row r="843" spans="1:8" ht="30" hidden="1" customHeight="1">
      <c r="A843" s="22" t="s">
        <v>2950</v>
      </c>
      <c r="B843" s="17" t="s">
        <v>747</v>
      </c>
      <c r="C843" s="16" t="s">
        <v>748</v>
      </c>
      <c r="D843" s="34">
        <v>42851</v>
      </c>
      <c r="E843" s="141">
        <v>43500</v>
      </c>
      <c r="H843" s="45" t="s">
        <v>119</v>
      </c>
    </row>
    <row r="844" spans="1:8" ht="30" hidden="1" customHeight="1">
      <c r="A844" s="22" t="s">
        <v>3072</v>
      </c>
      <c r="B844" s="17" t="s">
        <v>747</v>
      </c>
      <c r="C844" s="16" t="s">
        <v>748</v>
      </c>
      <c r="D844" s="34">
        <v>42857</v>
      </c>
      <c r="E844" s="141">
        <v>311500</v>
      </c>
      <c r="H844" s="45" t="s">
        <v>119</v>
      </c>
    </row>
    <row r="845" spans="1:8" ht="30" hidden="1" customHeight="1">
      <c r="A845" s="22" t="s">
        <v>2951</v>
      </c>
      <c r="B845" s="17" t="s">
        <v>747</v>
      </c>
      <c r="C845" s="16" t="s">
        <v>1076</v>
      </c>
      <c r="D845" s="34">
        <v>42837</v>
      </c>
      <c r="E845" s="141">
        <v>89781.62</v>
      </c>
      <c r="H845" s="45" t="s">
        <v>475</v>
      </c>
    </row>
    <row r="846" spans="1:8" ht="30" hidden="1" customHeight="1">
      <c r="A846" s="22" t="s">
        <v>2948</v>
      </c>
      <c r="B846" s="17" t="s">
        <v>747</v>
      </c>
      <c r="C846" s="16" t="s">
        <v>1076</v>
      </c>
      <c r="D846" s="34">
        <v>42843</v>
      </c>
      <c r="E846" s="141">
        <v>99761.62</v>
      </c>
      <c r="H846" s="45" t="s">
        <v>475</v>
      </c>
    </row>
    <row r="847" spans="1:8" ht="30" hidden="1" customHeight="1">
      <c r="A847" s="22" t="s">
        <v>3120</v>
      </c>
      <c r="B847" s="17" t="s">
        <v>747</v>
      </c>
      <c r="C847" s="16" t="s">
        <v>1076</v>
      </c>
      <c r="D847" s="34">
        <v>42852</v>
      </c>
      <c r="E847" s="141">
        <v>129701.63</v>
      </c>
      <c r="H847" s="45" t="s">
        <v>475</v>
      </c>
    </row>
    <row r="848" spans="1:8" ht="30" customHeight="1">
      <c r="A848" s="22" t="s">
        <v>3091</v>
      </c>
      <c r="B848" s="17" t="s">
        <v>240</v>
      </c>
      <c r="C848" s="16" t="s">
        <v>2065</v>
      </c>
      <c r="D848" s="34">
        <v>42859</v>
      </c>
      <c r="E848" s="141">
        <v>336640</v>
      </c>
      <c r="H848" s="45" t="s">
        <v>119</v>
      </c>
    </row>
    <row r="849" spans="1:8" ht="30" hidden="1" customHeight="1">
      <c r="A849" s="22" t="s">
        <v>3114</v>
      </c>
      <c r="B849" s="17" t="s">
        <v>3001</v>
      </c>
      <c r="C849" s="16" t="s">
        <v>3002</v>
      </c>
      <c r="D849" s="34">
        <v>42859</v>
      </c>
      <c r="E849" s="141">
        <v>5320000</v>
      </c>
      <c r="H849" s="45" t="s">
        <v>119</v>
      </c>
    </row>
    <row r="850" spans="1:8" ht="30" hidden="1" customHeight="1">
      <c r="A850" s="22" t="s">
        <v>3114</v>
      </c>
      <c r="B850" s="17" t="s">
        <v>3001</v>
      </c>
      <c r="C850" s="16" t="s">
        <v>3002</v>
      </c>
      <c r="D850" s="34">
        <v>42858</v>
      </c>
      <c r="E850" s="141">
        <v>500000</v>
      </c>
      <c r="H850" s="45" t="s">
        <v>119</v>
      </c>
    </row>
    <row r="851" spans="1:8" ht="30" hidden="1" customHeight="1">
      <c r="A851" s="22" t="s">
        <v>3115</v>
      </c>
      <c r="B851" s="17" t="s">
        <v>3001</v>
      </c>
      <c r="C851" s="16" t="s">
        <v>2763</v>
      </c>
      <c r="D851" s="34">
        <v>42864</v>
      </c>
      <c r="E851" s="141">
        <v>7088544</v>
      </c>
      <c r="H851" s="45" t="s">
        <v>118</v>
      </c>
    </row>
    <row r="852" spans="1:8" ht="30" hidden="1" customHeight="1">
      <c r="A852" s="22" t="s">
        <v>2903</v>
      </c>
      <c r="B852" s="17" t="s">
        <v>82</v>
      </c>
      <c r="C852" s="16" t="s">
        <v>321</v>
      </c>
      <c r="D852" s="34">
        <v>42852</v>
      </c>
      <c r="E852" s="141">
        <v>2532958.5</v>
      </c>
      <c r="H852" s="45" t="s">
        <v>118</v>
      </c>
    </row>
    <row r="853" spans="1:8" ht="30" customHeight="1">
      <c r="A853" s="22" t="s">
        <v>3028</v>
      </c>
      <c r="B853" s="17" t="s">
        <v>60</v>
      </c>
      <c r="C853" s="16" t="s">
        <v>321</v>
      </c>
      <c r="D853" s="34">
        <v>42852</v>
      </c>
      <c r="E853" s="141">
        <v>875985.24</v>
      </c>
      <c r="H853" s="45" t="s">
        <v>118</v>
      </c>
    </row>
    <row r="854" spans="1:8" ht="30" customHeight="1">
      <c r="A854" s="22" t="s">
        <v>2860</v>
      </c>
      <c r="B854" s="17" t="s">
        <v>60</v>
      </c>
      <c r="C854" s="16" t="s">
        <v>321</v>
      </c>
      <c r="D854" s="34">
        <v>42852</v>
      </c>
      <c r="E854" s="141">
        <v>1220127.54</v>
      </c>
      <c r="H854" s="45" t="s">
        <v>118</v>
      </c>
    </row>
    <row r="855" spans="1:8" ht="30" customHeight="1">
      <c r="A855" s="22" t="s">
        <v>3135</v>
      </c>
      <c r="B855" s="17" t="s">
        <v>240</v>
      </c>
      <c r="C855" s="16" t="s">
        <v>3150</v>
      </c>
      <c r="D855" s="34">
        <v>42865</v>
      </c>
      <c r="E855" s="141">
        <v>433600</v>
      </c>
      <c r="H855" s="45" t="s">
        <v>56</v>
      </c>
    </row>
    <row r="856" spans="1:8" ht="30" customHeight="1">
      <c r="A856" s="22" t="s">
        <v>3132</v>
      </c>
      <c r="B856" s="17" t="s">
        <v>240</v>
      </c>
      <c r="C856" s="16" t="s">
        <v>3151</v>
      </c>
      <c r="D856" s="34">
        <v>42865</v>
      </c>
      <c r="E856" s="141">
        <v>860800</v>
      </c>
      <c r="H856" s="45" t="s">
        <v>56</v>
      </c>
    </row>
    <row r="857" spans="1:8" ht="30" customHeight="1">
      <c r="A857" s="22" t="s">
        <v>2909</v>
      </c>
      <c r="B857" s="17" t="s">
        <v>240</v>
      </c>
      <c r="C857" s="16" t="s">
        <v>3205</v>
      </c>
      <c r="D857" s="34">
        <v>42866</v>
      </c>
      <c r="E857" s="141">
        <v>189000</v>
      </c>
      <c r="H857" s="45" t="s">
        <v>56</v>
      </c>
    </row>
    <row r="858" spans="1:8" ht="30" customHeight="1">
      <c r="A858" s="22" t="s">
        <v>3152</v>
      </c>
      <c r="B858" s="17" t="s">
        <v>240</v>
      </c>
      <c r="C858" s="16" t="s">
        <v>3151</v>
      </c>
      <c r="D858" s="34">
        <v>42877</v>
      </c>
      <c r="E858" s="141">
        <v>800000</v>
      </c>
      <c r="H858" s="45" t="s">
        <v>56</v>
      </c>
    </row>
    <row r="859" spans="1:8" ht="30" customHeight="1">
      <c r="A859" s="22" t="s">
        <v>3091</v>
      </c>
      <c r="B859" s="17" t="s">
        <v>240</v>
      </c>
      <c r="C859" s="16" t="s">
        <v>2065</v>
      </c>
      <c r="D859" s="34">
        <v>42863</v>
      </c>
      <c r="E859" s="141">
        <v>341760</v>
      </c>
      <c r="H859" s="45" t="s">
        <v>119</v>
      </c>
    </row>
    <row r="860" spans="1:8" ht="30" customHeight="1">
      <c r="A860" s="22" t="s">
        <v>3091</v>
      </c>
      <c r="B860" s="17" t="s">
        <v>240</v>
      </c>
      <c r="C860" s="16" t="s">
        <v>2065</v>
      </c>
      <c r="D860" s="34">
        <v>42860</v>
      </c>
      <c r="E860" s="141">
        <v>339200</v>
      </c>
      <c r="H860" s="45" t="s">
        <v>119</v>
      </c>
    </row>
    <row r="861" spans="1:8" ht="30" customHeight="1">
      <c r="A861" s="22" t="s">
        <v>3091</v>
      </c>
      <c r="B861" s="17" t="s">
        <v>240</v>
      </c>
      <c r="C861" s="16" t="s">
        <v>2065</v>
      </c>
      <c r="D861" s="34">
        <v>42886</v>
      </c>
      <c r="E861" s="141">
        <v>-24000</v>
      </c>
      <c r="H861" s="45" t="s">
        <v>119</v>
      </c>
    </row>
    <row r="862" spans="1:8" ht="30" customHeight="1">
      <c r="A862" s="22" t="s">
        <v>3156</v>
      </c>
      <c r="B862" s="17" t="s">
        <v>240</v>
      </c>
      <c r="C862" s="16" t="s">
        <v>3151</v>
      </c>
      <c r="D862" s="34">
        <v>42887</v>
      </c>
      <c r="E862" s="141">
        <v>380800</v>
      </c>
      <c r="H862" s="45" t="s">
        <v>56</v>
      </c>
    </row>
    <row r="863" spans="1:8" ht="30" customHeight="1">
      <c r="A863" s="22" t="s">
        <v>3158</v>
      </c>
      <c r="B863" s="17" t="s">
        <v>240</v>
      </c>
      <c r="C863" s="16" t="s">
        <v>75</v>
      </c>
      <c r="D863" s="34">
        <v>42887</v>
      </c>
      <c r="E863" s="141">
        <v>385600</v>
      </c>
      <c r="H863" s="45" t="s">
        <v>1593</v>
      </c>
    </row>
    <row r="864" spans="1:8" ht="30" hidden="1" customHeight="1">
      <c r="A864" s="22" t="s">
        <v>3090</v>
      </c>
      <c r="B864" s="17" t="s">
        <v>82</v>
      </c>
      <c r="C864" s="16" t="s">
        <v>321</v>
      </c>
      <c r="D864" s="34">
        <v>42880</v>
      </c>
      <c r="E864" s="141">
        <v>4806997.1264367811</v>
      </c>
      <c r="H864" s="45" t="s">
        <v>1593</v>
      </c>
    </row>
    <row r="865" spans="1:10" ht="30" hidden="1" customHeight="1">
      <c r="A865" s="22" t="s">
        <v>3148</v>
      </c>
      <c r="B865" s="17" t="s">
        <v>82</v>
      </c>
      <c r="C865" s="16" t="s">
        <v>321</v>
      </c>
      <c r="D865" s="34">
        <v>42880</v>
      </c>
      <c r="E865" s="141">
        <v>1847553.9040824412</v>
      </c>
      <c r="H865" s="45" t="s">
        <v>1593</v>
      </c>
    </row>
    <row r="866" spans="1:10" ht="30" customHeight="1">
      <c r="A866" s="22" t="s">
        <v>3127</v>
      </c>
      <c r="B866" s="17" t="s">
        <v>60</v>
      </c>
      <c r="C866" s="16" t="s">
        <v>321</v>
      </c>
      <c r="D866" s="34">
        <v>42880</v>
      </c>
      <c r="E866" s="141">
        <v>624426.23860483547</v>
      </c>
      <c r="H866" s="45" t="s">
        <v>1593</v>
      </c>
    </row>
    <row r="867" spans="1:10" ht="30" customHeight="1">
      <c r="A867" s="22" t="s">
        <v>3116</v>
      </c>
      <c r="B867" s="17" t="s">
        <v>240</v>
      </c>
      <c r="C867" s="16" t="s">
        <v>992</v>
      </c>
      <c r="D867" s="34">
        <v>42882</v>
      </c>
      <c r="E867" s="141">
        <v>257043.65</v>
      </c>
      <c r="H867" s="45" t="s">
        <v>1078</v>
      </c>
    </row>
    <row r="868" spans="1:10" ht="30" hidden="1" customHeight="1">
      <c r="A868" s="22" t="s">
        <v>3191</v>
      </c>
      <c r="B868" s="17" t="s">
        <v>747</v>
      </c>
      <c r="C868" s="16" t="s">
        <v>1076</v>
      </c>
      <c r="D868" s="34">
        <v>42859</v>
      </c>
      <c r="E868" s="141">
        <v>99761.63</v>
      </c>
      <c r="H868" s="45" t="s">
        <v>475</v>
      </c>
    </row>
    <row r="869" spans="1:10" ht="30" hidden="1" customHeight="1">
      <c r="A869" s="22" t="s">
        <v>3192</v>
      </c>
      <c r="B869" s="17" t="s">
        <v>747</v>
      </c>
      <c r="C869" s="16" t="s">
        <v>1076</v>
      </c>
      <c r="D869" s="34">
        <v>42864</v>
      </c>
      <c r="E869" s="141">
        <v>99761.63</v>
      </c>
      <c r="H869" s="45" t="s">
        <v>475</v>
      </c>
    </row>
    <row r="870" spans="1:10" ht="30" hidden="1" customHeight="1">
      <c r="A870" s="22" t="s">
        <v>3193</v>
      </c>
      <c r="B870" s="17" t="s">
        <v>747</v>
      </c>
      <c r="C870" s="16" t="s">
        <v>1076</v>
      </c>
      <c r="D870" s="34">
        <v>42878</v>
      </c>
      <c r="E870" s="141">
        <v>99761.63</v>
      </c>
      <c r="H870" s="45" t="s">
        <v>475</v>
      </c>
    </row>
    <row r="871" spans="1:10" ht="30" hidden="1" customHeight="1">
      <c r="A871" s="22" t="s">
        <v>3191</v>
      </c>
      <c r="B871" s="17" t="s">
        <v>747</v>
      </c>
      <c r="C871" s="16" t="s">
        <v>1076</v>
      </c>
      <c r="D871" s="34">
        <v>42859</v>
      </c>
      <c r="E871" s="141">
        <v>-550.9</v>
      </c>
      <c r="H871" s="45" t="s">
        <v>1078</v>
      </c>
    </row>
    <row r="872" spans="1:10" ht="30" hidden="1" customHeight="1">
      <c r="A872" s="22" t="s">
        <v>3192</v>
      </c>
      <c r="B872" s="17" t="s">
        <v>747</v>
      </c>
      <c r="C872" s="16" t="s">
        <v>1076</v>
      </c>
      <c r="D872" s="34">
        <v>42872</v>
      </c>
      <c r="E872" s="141">
        <v>-2534.92</v>
      </c>
      <c r="H872" s="45" t="s">
        <v>1078</v>
      </c>
    </row>
    <row r="873" spans="1:10" ht="30" hidden="1" customHeight="1">
      <c r="A873" s="22" t="s">
        <v>3193</v>
      </c>
      <c r="B873" s="17" t="s">
        <v>747</v>
      </c>
      <c r="C873" s="16" t="s">
        <v>1076</v>
      </c>
      <c r="D873" s="34">
        <v>42880</v>
      </c>
      <c r="E873" s="141">
        <v>-2031.93</v>
      </c>
      <c r="H873" s="45" t="s">
        <v>1078</v>
      </c>
    </row>
    <row r="874" spans="1:10" ht="30" hidden="1" customHeight="1">
      <c r="A874" s="22" t="s">
        <v>3120</v>
      </c>
      <c r="B874" s="17" t="s">
        <v>160</v>
      </c>
      <c r="C874" s="16" t="s">
        <v>1006</v>
      </c>
      <c r="D874" s="34">
        <v>42831</v>
      </c>
      <c r="E874" s="141"/>
      <c r="H874" s="45" t="s">
        <v>119</v>
      </c>
      <c r="J874" s="45">
        <v>308880</v>
      </c>
    </row>
    <row r="875" spans="1:10" ht="30" hidden="1" customHeight="1">
      <c r="A875" s="22" t="s">
        <v>3191</v>
      </c>
      <c r="B875" s="17" t="s">
        <v>160</v>
      </c>
      <c r="C875" s="16" t="s">
        <v>1006</v>
      </c>
      <c r="D875" s="34">
        <v>42836</v>
      </c>
      <c r="E875" s="141"/>
      <c r="H875" s="45" t="s">
        <v>119</v>
      </c>
      <c r="J875" s="45">
        <v>240280</v>
      </c>
    </row>
    <row r="876" spans="1:10" ht="30" hidden="1" customHeight="1">
      <c r="A876" s="22" t="s">
        <v>3192</v>
      </c>
      <c r="B876" s="17" t="s">
        <v>160</v>
      </c>
      <c r="C876" s="16" t="s">
        <v>1006</v>
      </c>
      <c r="D876" s="34">
        <v>42843</v>
      </c>
      <c r="E876" s="141"/>
      <c r="H876" s="45" t="s">
        <v>119</v>
      </c>
      <c r="J876" s="45">
        <v>240280</v>
      </c>
    </row>
    <row r="877" spans="1:10" ht="30" hidden="1" customHeight="1">
      <c r="A877" s="22" t="s">
        <v>3193</v>
      </c>
      <c r="B877" s="17" t="s">
        <v>160</v>
      </c>
      <c r="C877" s="16" t="s">
        <v>1006</v>
      </c>
      <c r="D877" s="34">
        <v>42851</v>
      </c>
      <c r="E877" s="141"/>
      <c r="H877" s="45" t="s">
        <v>119</v>
      </c>
      <c r="J877" s="45">
        <v>240280</v>
      </c>
    </row>
    <row r="878" spans="1:10" ht="30" hidden="1" customHeight="1">
      <c r="A878" s="22" t="s">
        <v>3194</v>
      </c>
      <c r="B878" s="17" t="s">
        <v>160</v>
      </c>
      <c r="C878" s="16" t="s">
        <v>1006</v>
      </c>
      <c r="D878" s="34">
        <v>42872</v>
      </c>
      <c r="E878" s="141"/>
      <c r="H878" s="45" t="s">
        <v>119</v>
      </c>
      <c r="J878" s="45">
        <v>250780</v>
      </c>
    </row>
    <row r="879" spans="1:10" ht="30" customHeight="1">
      <c r="A879" s="22" t="s">
        <v>2980</v>
      </c>
      <c r="B879" s="17" t="s">
        <v>240</v>
      </c>
      <c r="C879" s="16" t="s">
        <v>992</v>
      </c>
      <c r="D879" s="34">
        <v>42859</v>
      </c>
      <c r="E879" s="141">
        <v>361208.19</v>
      </c>
      <c r="H879" s="45" t="s">
        <v>1078</v>
      </c>
    </row>
    <row r="880" spans="1:10" ht="30" customHeight="1">
      <c r="A880" s="22" t="s">
        <v>2981</v>
      </c>
      <c r="B880" s="17" t="s">
        <v>240</v>
      </c>
      <c r="C880" s="16" t="s">
        <v>2841</v>
      </c>
      <c r="D880" s="34">
        <v>42865</v>
      </c>
      <c r="E880" s="141">
        <v>372000</v>
      </c>
      <c r="H880" s="45" t="s">
        <v>475</v>
      </c>
    </row>
    <row r="881" spans="1:8" ht="30" hidden="1" customHeight="1">
      <c r="A881" s="22" t="s">
        <v>3206</v>
      </c>
      <c r="B881" s="17" t="s">
        <v>2206</v>
      </c>
      <c r="C881" s="16" t="s">
        <v>144</v>
      </c>
      <c r="D881" s="34">
        <v>42879</v>
      </c>
      <c r="E881" s="141">
        <v>6180000</v>
      </c>
      <c r="H881" s="45" t="s">
        <v>1593</v>
      </c>
    </row>
    <row r="882" spans="1:8" ht="30" customHeight="1">
      <c r="A882" s="22" t="s">
        <v>3199</v>
      </c>
      <c r="B882" s="17" t="s">
        <v>240</v>
      </c>
      <c r="C882" s="16" t="s">
        <v>2065</v>
      </c>
      <c r="D882" s="34">
        <v>42891</v>
      </c>
      <c r="E882" s="141">
        <v>151040</v>
      </c>
      <c r="H882" s="45" t="s">
        <v>56</v>
      </c>
    </row>
    <row r="883" spans="1:8" ht="30" customHeight="1">
      <c r="A883" s="22" t="s">
        <v>3204</v>
      </c>
      <c r="B883" s="17" t="s">
        <v>240</v>
      </c>
      <c r="C883" s="16" t="s">
        <v>3207</v>
      </c>
      <c r="D883" s="34">
        <v>42892</v>
      </c>
      <c r="E883" s="141">
        <v>1113600</v>
      </c>
      <c r="H883" s="45" t="s">
        <v>56</v>
      </c>
    </row>
    <row r="884" spans="1:8" ht="30" customHeight="1">
      <c r="A884" s="22" t="s">
        <v>3217</v>
      </c>
      <c r="B884" s="17" t="s">
        <v>240</v>
      </c>
      <c r="C884" s="16" t="s">
        <v>210</v>
      </c>
      <c r="D884" s="34">
        <v>42898</v>
      </c>
      <c r="E884" s="141">
        <v>710400</v>
      </c>
      <c r="H884" s="45" t="s">
        <v>56</v>
      </c>
    </row>
    <row r="885" spans="1:8" ht="30" customHeight="1">
      <c r="A885" s="22" t="s">
        <v>3220</v>
      </c>
      <c r="B885" s="17" t="s">
        <v>240</v>
      </c>
      <c r="C885" s="16" t="s">
        <v>3224</v>
      </c>
      <c r="D885" s="34">
        <v>42900</v>
      </c>
      <c r="E885" s="141">
        <v>1060800</v>
      </c>
      <c r="H885" s="45" t="s">
        <v>56</v>
      </c>
    </row>
    <row r="886" spans="1:8" ht="30" hidden="1" customHeight="1">
      <c r="A886" s="22" t="s">
        <v>3115</v>
      </c>
      <c r="B886" s="17" t="s">
        <v>3001</v>
      </c>
      <c r="C886" s="16" t="s">
        <v>2763</v>
      </c>
      <c r="D886" s="34">
        <v>42905</v>
      </c>
      <c r="E886" s="141">
        <v>1770806.9</v>
      </c>
      <c r="H886" s="45" t="s">
        <v>1593</v>
      </c>
    </row>
    <row r="887" spans="1:8" ht="30" hidden="1" customHeight="1">
      <c r="A887" s="22" t="s">
        <v>3235</v>
      </c>
      <c r="B887" s="17" t="s">
        <v>93</v>
      </c>
      <c r="C887" s="16" t="s">
        <v>2393</v>
      </c>
      <c r="D887" s="34">
        <v>42906</v>
      </c>
      <c r="E887" s="141">
        <v>1000000</v>
      </c>
      <c r="H887" s="45" t="s">
        <v>1624</v>
      </c>
    </row>
    <row r="888" spans="1:8" ht="30" customHeight="1">
      <c r="A888" s="22" t="s">
        <v>3240</v>
      </c>
      <c r="B888" s="17" t="s">
        <v>240</v>
      </c>
      <c r="C888" s="16" t="s">
        <v>3241</v>
      </c>
      <c r="D888" s="34">
        <v>42907</v>
      </c>
      <c r="E888" s="141">
        <v>684800</v>
      </c>
      <c r="H888" s="45" t="s">
        <v>56</v>
      </c>
    </row>
    <row r="889" spans="1:8" ht="30" customHeight="1">
      <c r="A889" s="22" t="s">
        <v>3246</v>
      </c>
      <c r="B889" s="17" t="s">
        <v>240</v>
      </c>
      <c r="C889" s="16" t="s">
        <v>3241</v>
      </c>
      <c r="D889" s="34">
        <v>42912</v>
      </c>
      <c r="E889" s="141">
        <v>686720</v>
      </c>
      <c r="H889" s="45" t="s">
        <v>56</v>
      </c>
    </row>
    <row r="890" spans="1:8" ht="30" customHeight="1">
      <c r="A890" s="22" t="s">
        <v>3257</v>
      </c>
      <c r="B890" s="17" t="s">
        <v>60</v>
      </c>
      <c r="C890" s="16" t="s">
        <v>3258</v>
      </c>
      <c r="D890" s="34">
        <v>42914</v>
      </c>
      <c r="E890" s="141">
        <v>564300</v>
      </c>
      <c r="H890" s="45" t="s">
        <v>56</v>
      </c>
    </row>
    <row r="891" spans="1:8" ht="30" customHeight="1">
      <c r="A891" s="22" t="s">
        <v>3199</v>
      </c>
      <c r="B891" s="17" t="s">
        <v>240</v>
      </c>
      <c r="C891" s="16" t="s">
        <v>2065</v>
      </c>
      <c r="D891" s="34">
        <v>42900</v>
      </c>
      <c r="E891" s="141">
        <v>276480</v>
      </c>
      <c r="H891" s="45" t="s">
        <v>56</v>
      </c>
    </row>
    <row r="892" spans="1:8" ht="30" customHeight="1">
      <c r="A892" s="22" t="s">
        <v>3199</v>
      </c>
      <c r="B892" s="17" t="s">
        <v>240</v>
      </c>
      <c r="C892" s="16" t="s">
        <v>2065</v>
      </c>
      <c r="D892" s="34">
        <v>42901</v>
      </c>
      <c r="E892" s="141">
        <v>276480</v>
      </c>
      <c r="H892" s="45" t="s">
        <v>56</v>
      </c>
    </row>
    <row r="893" spans="1:8" ht="30" customHeight="1">
      <c r="A893" s="22" t="s">
        <v>3199</v>
      </c>
      <c r="B893" s="17" t="s">
        <v>240</v>
      </c>
      <c r="C893" s="16" t="s">
        <v>2065</v>
      </c>
      <c r="D893" s="34">
        <v>42916</v>
      </c>
      <c r="E893" s="141">
        <v>2048</v>
      </c>
      <c r="H893" s="45" t="s">
        <v>56</v>
      </c>
    </row>
    <row r="894" spans="1:8" ht="30" customHeight="1">
      <c r="A894" s="22" t="s">
        <v>3281</v>
      </c>
      <c r="B894" s="17" t="s">
        <v>240</v>
      </c>
      <c r="C894" s="16" t="s">
        <v>2834</v>
      </c>
      <c r="D894" s="34">
        <v>42919</v>
      </c>
      <c r="E894" s="141">
        <v>135680</v>
      </c>
      <c r="H894" s="45" t="s">
        <v>178</v>
      </c>
    </row>
    <row r="895" spans="1:8" ht="30" hidden="1" customHeight="1">
      <c r="A895" s="22" t="s">
        <v>3282</v>
      </c>
      <c r="B895" s="17" t="s">
        <v>93</v>
      </c>
      <c r="C895" s="16" t="s">
        <v>3283</v>
      </c>
      <c r="D895" s="34">
        <v>42914</v>
      </c>
      <c r="E895" s="141">
        <v>2340000</v>
      </c>
      <c r="H895" s="45" t="s">
        <v>1624</v>
      </c>
    </row>
    <row r="896" spans="1:8" ht="30" customHeight="1">
      <c r="A896" s="22" t="s">
        <v>3297</v>
      </c>
      <c r="B896" s="17" t="s">
        <v>3298</v>
      </c>
      <c r="C896" s="16" t="s">
        <v>3299</v>
      </c>
      <c r="D896" s="34">
        <v>42920</v>
      </c>
      <c r="E896" s="141">
        <v>998400</v>
      </c>
      <c r="H896" s="45" t="s">
        <v>3300</v>
      </c>
    </row>
    <row r="897" spans="1:8" ht="30" customHeight="1">
      <c r="A897" s="22" t="s">
        <v>3301</v>
      </c>
      <c r="B897" s="17" t="s">
        <v>3298</v>
      </c>
      <c r="C897" s="16" t="s">
        <v>3302</v>
      </c>
      <c r="D897" s="34">
        <v>42921</v>
      </c>
      <c r="E897" s="141">
        <v>686080</v>
      </c>
      <c r="H897" s="45" t="s">
        <v>3300</v>
      </c>
    </row>
    <row r="898" spans="1:8" ht="30" hidden="1" customHeight="1">
      <c r="A898" s="42" t="s">
        <v>3149</v>
      </c>
      <c r="B898" s="18" t="s">
        <v>412</v>
      </c>
      <c r="C898" s="18" t="s">
        <v>168</v>
      </c>
      <c r="D898" s="34">
        <v>42920</v>
      </c>
      <c r="E898" s="69">
        <v>1169417.76</v>
      </c>
      <c r="H898" s="45" t="s">
        <v>3336</v>
      </c>
    </row>
    <row r="899" spans="1:8" ht="30" hidden="1" customHeight="1">
      <c r="A899" s="42" t="s">
        <v>3223</v>
      </c>
      <c r="B899" s="18" t="s">
        <v>412</v>
      </c>
      <c r="C899" s="18" t="s">
        <v>168</v>
      </c>
      <c r="D899" s="34">
        <v>42920</v>
      </c>
      <c r="E899" s="69">
        <v>4442169.04</v>
      </c>
      <c r="H899" s="45" t="s">
        <v>3336</v>
      </c>
    </row>
    <row r="900" spans="1:8" ht="30" hidden="1" customHeight="1">
      <c r="A900" s="42" t="s">
        <v>3244</v>
      </c>
      <c r="B900" s="18" t="s">
        <v>412</v>
      </c>
      <c r="C900" s="18" t="s">
        <v>168</v>
      </c>
      <c r="D900" s="34">
        <v>42920</v>
      </c>
      <c r="E900" s="69">
        <v>1669480.17</v>
      </c>
      <c r="H900" s="45" t="s">
        <v>3336</v>
      </c>
    </row>
    <row r="901" spans="1:8" ht="30" customHeight="1">
      <c r="A901" s="42" t="s">
        <v>3335</v>
      </c>
      <c r="B901" s="18" t="s">
        <v>194</v>
      </c>
      <c r="C901" s="18" t="s">
        <v>3237</v>
      </c>
      <c r="D901" s="34">
        <v>42926</v>
      </c>
      <c r="E901" s="69">
        <v>656000</v>
      </c>
      <c r="H901" s="45" t="s">
        <v>178</v>
      </c>
    </row>
    <row r="902" spans="1:8" ht="30" hidden="1" customHeight="1">
      <c r="A902" s="42" t="s">
        <v>3227</v>
      </c>
      <c r="B902" s="18" t="s">
        <v>218</v>
      </c>
      <c r="C902" s="18" t="s">
        <v>2337</v>
      </c>
      <c r="D902" s="34">
        <v>42927</v>
      </c>
      <c r="E902" s="69">
        <v>679164.97</v>
      </c>
      <c r="H902" s="45" t="s">
        <v>1624</v>
      </c>
    </row>
    <row r="903" spans="1:8" ht="30" customHeight="1">
      <c r="A903" s="42" t="s">
        <v>3345</v>
      </c>
      <c r="B903" s="18" t="s">
        <v>194</v>
      </c>
      <c r="C903" s="18" t="s">
        <v>2011</v>
      </c>
      <c r="D903" s="34">
        <v>42927</v>
      </c>
      <c r="E903" s="69">
        <v>261120</v>
      </c>
      <c r="H903" s="45" t="s">
        <v>178</v>
      </c>
    </row>
    <row r="904" spans="1:8" ht="30" customHeight="1">
      <c r="A904" s="42" t="s">
        <v>3254</v>
      </c>
      <c r="B904" s="18" t="s">
        <v>603</v>
      </c>
      <c r="C904" s="18" t="s">
        <v>3255</v>
      </c>
      <c r="D904" s="34">
        <v>42927</v>
      </c>
      <c r="E904" s="69">
        <v>997243</v>
      </c>
      <c r="H904" s="45" t="s">
        <v>178</v>
      </c>
    </row>
    <row r="905" spans="1:8" ht="30" customHeight="1">
      <c r="A905" s="42" t="s">
        <v>3335</v>
      </c>
      <c r="B905" s="18" t="s">
        <v>194</v>
      </c>
      <c r="C905" s="18" t="s">
        <v>3237</v>
      </c>
      <c r="D905" s="34">
        <v>42927</v>
      </c>
      <c r="E905" s="69">
        <v>984000</v>
      </c>
      <c r="H905" s="45" t="s">
        <v>178</v>
      </c>
    </row>
    <row r="906" spans="1:8" ht="30" customHeight="1">
      <c r="A906" s="42" t="s">
        <v>3343</v>
      </c>
      <c r="B906" s="18" t="s">
        <v>603</v>
      </c>
      <c r="C906" s="18" t="s">
        <v>3255</v>
      </c>
      <c r="D906" s="34">
        <v>42928</v>
      </c>
      <c r="E906" s="69">
        <v>382200</v>
      </c>
      <c r="H906" s="45" t="s">
        <v>56</v>
      </c>
    </row>
    <row r="907" spans="1:8" ht="30" customHeight="1">
      <c r="A907" s="42" t="s">
        <v>3365</v>
      </c>
      <c r="B907" s="18" t="s">
        <v>3366</v>
      </c>
      <c r="C907" s="18" t="s">
        <v>3367</v>
      </c>
      <c r="D907" s="34">
        <v>42928</v>
      </c>
      <c r="E907" s="69">
        <v>673280</v>
      </c>
      <c r="H907" s="45" t="s">
        <v>3368</v>
      </c>
    </row>
    <row r="908" spans="1:8" ht="30" customHeight="1">
      <c r="A908" s="42" t="s">
        <v>3369</v>
      </c>
      <c r="B908" s="18" t="s">
        <v>3366</v>
      </c>
      <c r="C908" s="18" t="s">
        <v>3370</v>
      </c>
      <c r="D908" s="34">
        <v>42929</v>
      </c>
      <c r="E908" s="69">
        <v>1624000</v>
      </c>
      <c r="H908" s="45" t="s">
        <v>3368</v>
      </c>
    </row>
    <row r="909" spans="1:8" ht="30" customHeight="1">
      <c r="A909" s="42" t="s">
        <v>3371</v>
      </c>
      <c r="B909" s="18" t="s">
        <v>3366</v>
      </c>
      <c r="C909" s="18" t="s">
        <v>3367</v>
      </c>
      <c r="D909" s="34">
        <v>42929</v>
      </c>
      <c r="E909" s="69">
        <v>673280</v>
      </c>
      <c r="H909" s="45" t="s">
        <v>3368</v>
      </c>
    </row>
    <row r="910" spans="1:8" ht="30" customHeight="1">
      <c r="A910" s="42" t="s">
        <v>3401</v>
      </c>
      <c r="B910" s="18" t="s">
        <v>3402</v>
      </c>
      <c r="C910" s="18" t="s">
        <v>3403</v>
      </c>
      <c r="D910" s="34">
        <v>42891</v>
      </c>
      <c r="E910" s="69">
        <v>259700</v>
      </c>
      <c r="H910" s="45" t="s">
        <v>3404</v>
      </c>
    </row>
    <row r="911" spans="1:8" ht="30" customHeight="1">
      <c r="A911" s="42" t="s">
        <v>3182</v>
      </c>
      <c r="B911" s="18" t="s">
        <v>194</v>
      </c>
      <c r="C911" s="18" t="s">
        <v>2810</v>
      </c>
      <c r="D911" s="34">
        <v>42891</v>
      </c>
      <c r="E911" s="69">
        <v>296000</v>
      </c>
      <c r="H911" s="45" t="s">
        <v>475</v>
      </c>
    </row>
    <row r="912" spans="1:8" ht="30" customHeight="1">
      <c r="A912" s="42" t="s">
        <v>3397</v>
      </c>
      <c r="B912" s="18" t="s">
        <v>194</v>
      </c>
      <c r="C912" s="18" t="s">
        <v>875</v>
      </c>
      <c r="D912" s="34">
        <v>42898</v>
      </c>
      <c r="E912" s="69">
        <v>182298.22</v>
      </c>
      <c r="H912" s="45" t="s">
        <v>1078</v>
      </c>
    </row>
    <row r="913" spans="1:10" ht="30" customHeight="1">
      <c r="A913" s="42" t="s">
        <v>3398</v>
      </c>
      <c r="B913" s="18" t="s">
        <v>194</v>
      </c>
      <c r="C913" s="18" t="s">
        <v>2336</v>
      </c>
      <c r="D913" s="34">
        <v>42919</v>
      </c>
      <c r="E913" s="69">
        <v>183000</v>
      </c>
      <c r="H913" s="45" t="s">
        <v>1078</v>
      </c>
    </row>
    <row r="914" spans="1:10" ht="30" customHeight="1">
      <c r="A914" s="42" t="s">
        <v>3399</v>
      </c>
      <c r="B914" s="18" t="s">
        <v>194</v>
      </c>
      <c r="C914" s="18" t="s">
        <v>2810</v>
      </c>
      <c r="D914" s="34">
        <v>42900</v>
      </c>
      <c r="E914" s="69">
        <v>185000</v>
      </c>
      <c r="H914" s="45" t="s">
        <v>475</v>
      </c>
    </row>
    <row r="915" spans="1:10" ht="30" customHeight="1">
      <c r="A915" s="42" t="s">
        <v>3400</v>
      </c>
      <c r="B915" s="18" t="s">
        <v>194</v>
      </c>
      <c r="C915" s="18" t="s">
        <v>2810</v>
      </c>
      <c r="D915" s="34">
        <v>42923</v>
      </c>
      <c r="E915" s="69">
        <v>185000</v>
      </c>
      <c r="H915" s="45" t="s">
        <v>475</v>
      </c>
    </row>
    <row r="916" spans="1:10" ht="30" customHeight="1">
      <c r="A916" s="42" t="s">
        <v>3180</v>
      </c>
      <c r="B916" s="18" t="s">
        <v>194</v>
      </c>
      <c r="C916" s="18" t="s">
        <v>875</v>
      </c>
      <c r="D916" s="34">
        <v>42891</v>
      </c>
      <c r="E916" s="69">
        <v>293758.5</v>
      </c>
      <c r="H916" s="45" t="s">
        <v>1078</v>
      </c>
    </row>
    <row r="917" spans="1:10" ht="30" hidden="1" customHeight="1">
      <c r="A917" s="42" t="s">
        <v>3189</v>
      </c>
      <c r="B917" s="18" t="s">
        <v>736</v>
      </c>
      <c r="C917" s="18" t="s">
        <v>740</v>
      </c>
      <c r="D917" s="34">
        <v>42892</v>
      </c>
      <c r="E917" s="69">
        <v>99761.64</v>
      </c>
      <c r="H917" s="45" t="s">
        <v>475</v>
      </c>
    </row>
    <row r="918" spans="1:10" ht="30" hidden="1" customHeight="1">
      <c r="A918" s="42" t="s">
        <v>3189</v>
      </c>
      <c r="B918" s="18" t="s">
        <v>736</v>
      </c>
      <c r="C918" s="18" t="s">
        <v>740</v>
      </c>
      <c r="D918" s="34">
        <v>42898</v>
      </c>
      <c r="E918" s="69">
        <v>-1101.79</v>
      </c>
      <c r="H918" s="45" t="s">
        <v>1078</v>
      </c>
    </row>
    <row r="919" spans="1:10" s="177" customFormat="1" ht="30" hidden="1" customHeight="1">
      <c r="A919" s="22" t="s">
        <v>3418</v>
      </c>
      <c r="B919" s="17" t="s">
        <v>93</v>
      </c>
      <c r="C919" s="356" t="s">
        <v>3419</v>
      </c>
      <c r="D919" s="34">
        <v>42935</v>
      </c>
      <c r="E919" s="174">
        <v>1400000</v>
      </c>
      <c r="G919" s="178"/>
      <c r="H919" s="177" t="s">
        <v>56</v>
      </c>
      <c r="I919" s="179"/>
    </row>
    <row r="920" spans="1:10" ht="30" hidden="1" customHeight="1">
      <c r="A920" s="42" t="s">
        <v>3233</v>
      </c>
      <c r="B920" s="18" t="s">
        <v>218</v>
      </c>
      <c r="C920" s="18" t="s">
        <v>3405</v>
      </c>
      <c r="D920" s="34">
        <v>42935</v>
      </c>
      <c r="E920" s="69">
        <v>4000000</v>
      </c>
      <c r="F920" s="45" t="s">
        <v>3565</v>
      </c>
      <c r="H920" s="45" t="s">
        <v>1593</v>
      </c>
    </row>
    <row r="921" spans="1:10" s="177" customFormat="1" ht="30" hidden="1" customHeight="1">
      <c r="A921" s="22" t="s">
        <v>3418</v>
      </c>
      <c r="B921" s="17" t="s">
        <v>93</v>
      </c>
      <c r="C921" s="356" t="s">
        <v>3419</v>
      </c>
      <c r="D921" s="34">
        <v>42936</v>
      </c>
      <c r="E921" s="174">
        <v>849000</v>
      </c>
      <c r="G921" s="178"/>
      <c r="H921" s="177" t="s">
        <v>56</v>
      </c>
      <c r="I921" s="179"/>
    </row>
    <row r="922" spans="1:10" ht="30" hidden="1" customHeight="1">
      <c r="A922" s="42" t="s">
        <v>3420</v>
      </c>
      <c r="B922" s="18" t="s">
        <v>3421</v>
      </c>
      <c r="C922" s="18" t="s">
        <v>3422</v>
      </c>
      <c r="D922" s="34">
        <v>42936</v>
      </c>
      <c r="E922" s="69">
        <v>14790000</v>
      </c>
      <c r="H922" s="45" t="s">
        <v>3423</v>
      </c>
    </row>
    <row r="923" spans="1:10" ht="30" hidden="1" customHeight="1">
      <c r="A923" s="42" t="s">
        <v>3424</v>
      </c>
      <c r="B923" s="18" t="s">
        <v>3426</v>
      </c>
      <c r="C923" s="18" t="s">
        <v>3427</v>
      </c>
      <c r="D923" s="34">
        <v>42822</v>
      </c>
      <c r="E923" s="69"/>
      <c r="H923" s="45" t="s">
        <v>1843</v>
      </c>
      <c r="J923" s="69">
        <v>1500</v>
      </c>
    </row>
    <row r="924" spans="1:10" ht="30" hidden="1" customHeight="1">
      <c r="A924" s="22" t="s">
        <v>3437</v>
      </c>
      <c r="B924" s="17" t="s">
        <v>3438</v>
      </c>
      <c r="C924" s="16" t="s">
        <v>3436</v>
      </c>
      <c r="D924" s="34">
        <v>42930</v>
      </c>
      <c r="E924" s="141">
        <v>114200</v>
      </c>
      <c r="H924" s="45" t="s">
        <v>3439</v>
      </c>
    </row>
    <row r="925" spans="1:10" ht="30" hidden="1" customHeight="1">
      <c r="A925" s="22" t="s">
        <v>3440</v>
      </c>
      <c r="B925" s="17" t="s">
        <v>3438</v>
      </c>
      <c r="C925" s="16" t="s">
        <v>3436</v>
      </c>
      <c r="D925" s="34"/>
      <c r="E925" s="141"/>
      <c r="H925" s="45" t="s">
        <v>3439</v>
      </c>
    </row>
    <row r="926" spans="1:10" ht="30" hidden="1" customHeight="1">
      <c r="A926" s="22" t="s">
        <v>3441</v>
      </c>
      <c r="B926" s="17" t="s">
        <v>3442</v>
      </c>
      <c r="C926" s="16" t="s">
        <v>3443</v>
      </c>
      <c r="D926" s="34">
        <v>42930</v>
      </c>
      <c r="E926" s="141">
        <v>56250</v>
      </c>
      <c r="H926" s="45" t="s">
        <v>3444</v>
      </c>
    </row>
    <row r="927" spans="1:10" ht="30" hidden="1" customHeight="1">
      <c r="A927" s="22" t="s">
        <v>3445</v>
      </c>
      <c r="B927" s="17" t="s">
        <v>3442</v>
      </c>
      <c r="C927" s="16" t="s">
        <v>3443</v>
      </c>
      <c r="D927" s="34">
        <v>42930</v>
      </c>
      <c r="E927" s="141">
        <v>57000</v>
      </c>
      <c r="H927" s="45" t="s">
        <v>3444</v>
      </c>
    </row>
    <row r="928" spans="1:10" ht="30" hidden="1" customHeight="1">
      <c r="A928" s="22" t="s">
        <v>3446</v>
      </c>
      <c r="B928" s="17" t="s">
        <v>3442</v>
      </c>
      <c r="C928" s="16" t="s">
        <v>3443</v>
      </c>
      <c r="D928" s="34">
        <v>42930</v>
      </c>
      <c r="E928" s="141">
        <v>112500</v>
      </c>
      <c r="H928" s="45" t="s">
        <v>3444</v>
      </c>
    </row>
    <row r="929" spans="1:8" ht="30" hidden="1" customHeight="1">
      <c r="A929" s="22" t="s">
        <v>3437</v>
      </c>
      <c r="B929" s="17" t="s">
        <v>3442</v>
      </c>
      <c r="C929" s="16" t="s">
        <v>3443</v>
      </c>
      <c r="D929" s="34">
        <v>42933</v>
      </c>
      <c r="E929" s="141">
        <v>114200</v>
      </c>
      <c r="H929" s="45" t="s">
        <v>3444</v>
      </c>
    </row>
    <row r="930" spans="1:8" ht="30" hidden="1" customHeight="1">
      <c r="A930" s="22" t="s">
        <v>3447</v>
      </c>
      <c r="B930" s="17" t="s">
        <v>3442</v>
      </c>
      <c r="C930" s="16" t="s">
        <v>3443</v>
      </c>
      <c r="D930" s="34">
        <v>42933</v>
      </c>
      <c r="E930" s="141">
        <v>56250</v>
      </c>
      <c r="H930" s="45" t="s">
        <v>3444</v>
      </c>
    </row>
    <row r="931" spans="1:8" ht="30" hidden="1" customHeight="1">
      <c r="A931" s="22" t="s">
        <v>3445</v>
      </c>
      <c r="B931" s="17" t="s">
        <v>3442</v>
      </c>
      <c r="C931" s="16" t="s">
        <v>3443</v>
      </c>
      <c r="D931" s="34">
        <v>42933</v>
      </c>
      <c r="E931" s="141">
        <v>57000</v>
      </c>
      <c r="H931" s="45" t="s">
        <v>3444</v>
      </c>
    </row>
    <row r="932" spans="1:8" ht="30" hidden="1" customHeight="1">
      <c r="A932" s="22" t="s">
        <v>3446</v>
      </c>
      <c r="B932" s="17" t="s">
        <v>3442</v>
      </c>
      <c r="C932" s="16" t="s">
        <v>3443</v>
      </c>
      <c r="D932" s="34">
        <v>42933</v>
      </c>
      <c r="E932" s="141">
        <v>112500</v>
      </c>
      <c r="H932" s="45" t="s">
        <v>3444</v>
      </c>
    </row>
    <row r="933" spans="1:8" ht="30" hidden="1" customHeight="1">
      <c r="A933" s="22" t="s">
        <v>3277</v>
      </c>
      <c r="B933" s="17" t="s">
        <v>3271</v>
      </c>
      <c r="C933" s="16" t="s">
        <v>992</v>
      </c>
      <c r="D933" s="34">
        <v>42936</v>
      </c>
      <c r="E933" s="141">
        <v>228000</v>
      </c>
      <c r="H933" s="45" t="s">
        <v>1078</v>
      </c>
    </row>
    <row r="934" spans="1:8" ht="30" hidden="1" customHeight="1">
      <c r="A934" s="13" t="s">
        <v>3450</v>
      </c>
      <c r="B934" s="17" t="s">
        <v>3271</v>
      </c>
      <c r="C934" s="16" t="s">
        <v>992</v>
      </c>
      <c r="D934" s="34">
        <v>42940</v>
      </c>
      <c r="E934" s="141">
        <v>243000</v>
      </c>
      <c r="H934" s="45" t="s">
        <v>1078</v>
      </c>
    </row>
    <row r="935" spans="1:8" ht="30" hidden="1" customHeight="1">
      <c r="A935" s="22" t="s">
        <v>3264</v>
      </c>
      <c r="B935" s="17" t="s">
        <v>3271</v>
      </c>
      <c r="C935" s="16" t="s">
        <v>2841</v>
      </c>
      <c r="D935" s="34">
        <v>42940</v>
      </c>
      <c r="E935" s="141">
        <v>230630.00000000003</v>
      </c>
      <c r="H935" s="45" t="s">
        <v>475</v>
      </c>
    </row>
    <row r="936" spans="1:8" ht="30" hidden="1" customHeight="1">
      <c r="A936" s="22" t="s">
        <v>3265</v>
      </c>
      <c r="B936" s="17" t="s">
        <v>3271</v>
      </c>
      <c r="C936" s="16" t="s">
        <v>2841</v>
      </c>
      <c r="D936" s="34">
        <v>42940</v>
      </c>
      <c r="E936" s="141">
        <v>230000</v>
      </c>
      <c r="H936" s="45" t="s">
        <v>475</v>
      </c>
    </row>
    <row r="937" spans="1:8" ht="30" hidden="1" customHeight="1">
      <c r="A937" s="22" t="s">
        <v>3268</v>
      </c>
      <c r="B937" s="17" t="s">
        <v>3271</v>
      </c>
      <c r="C937" s="16" t="s">
        <v>2841</v>
      </c>
      <c r="D937" s="34">
        <v>42940</v>
      </c>
      <c r="E937" s="141">
        <v>113500</v>
      </c>
      <c r="H937" s="45" t="s">
        <v>475</v>
      </c>
    </row>
    <row r="938" spans="1:8" ht="30" hidden="1" customHeight="1">
      <c r="A938" s="22" t="s">
        <v>3270</v>
      </c>
      <c r="B938" s="17" t="s">
        <v>3271</v>
      </c>
      <c r="C938" s="16" t="s">
        <v>2841</v>
      </c>
      <c r="D938" s="34">
        <v>42937</v>
      </c>
      <c r="E938" s="141">
        <v>115500</v>
      </c>
      <c r="H938" s="45" t="s">
        <v>475</v>
      </c>
    </row>
    <row r="939" spans="1:8" ht="30" hidden="1" customHeight="1">
      <c r="A939" s="22" t="s">
        <v>3455</v>
      </c>
      <c r="B939" s="17" t="s">
        <v>3456</v>
      </c>
      <c r="C939" s="16" t="s">
        <v>3457</v>
      </c>
      <c r="D939" s="34">
        <v>42940</v>
      </c>
      <c r="E939" s="141">
        <v>227000</v>
      </c>
      <c r="H939" s="45" t="s">
        <v>3458</v>
      </c>
    </row>
    <row r="940" spans="1:8" ht="30" customHeight="1">
      <c r="A940" s="22" t="s">
        <v>3461</v>
      </c>
      <c r="B940" s="17" t="s">
        <v>3459</v>
      </c>
      <c r="C940" s="16" t="s">
        <v>3460</v>
      </c>
      <c r="D940" s="34">
        <v>42941</v>
      </c>
      <c r="E940" s="141">
        <v>700700</v>
      </c>
      <c r="F940" s="45" t="s">
        <v>3462</v>
      </c>
      <c r="G940" s="149">
        <v>43114</v>
      </c>
      <c r="H940" s="177" t="s">
        <v>56</v>
      </c>
    </row>
    <row r="941" spans="1:8" ht="30" customHeight="1">
      <c r="A941" s="22" t="s">
        <v>3467</v>
      </c>
      <c r="B941" s="17" t="s">
        <v>60</v>
      </c>
      <c r="C941" s="16" t="s">
        <v>3258</v>
      </c>
      <c r="D941" s="34">
        <v>42941</v>
      </c>
      <c r="E941" s="141">
        <v>1299300</v>
      </c>
      <c r="F941" s="45" t="s">
        <v>3462</v>
      </c>
      <c r="G941" s="149">
        <v>43114</v>
      </c>
      <c r="H941" s="177" t="s">
        <v>56</v>
      </c>
    </row>
    <row r="942" spans="1:8" ht="30" customHeight="1">
      <c r="A942" s="22" t="s">
        <v>3359</v>
      </c>
      <c r="B942" s="17" t="s">
        <v>240</v>
      </c>
      <c r="C942" s="16" t="s">
        <v>3468</v>
      </c>
      <c r="D942" s="34">
        <v>42942</v>
      </c>
      <c r="E942" s="141">
        <v>326400</v>
      </c>
      <c r="H942" s="177" t="s">
        <v>56</v>
      </c>
    </row>
    <row r="943" spans="1:8" ht="30" customHeight="1">
      <c r="A943" s="22" t="s">
        <v>3471</v>
      </c>
      <c r="B943" s="17" t="s">
        <v>3472</v>
      </c>
      <c r="C943" s="16" t="s">
        <v>3473</v>
      </c>
      <c r="D943" s="34">
        <v>42943</v>
      </c>
      <c r="E943" s="141">
        <v>871229.04280618299</v>
      </c>
      <c r="H943" s="177" t="s">
        <v>3474</v>
      </c>
    </row>
    <row r="944" spans="1:8" ht="30" hidden="1" customHeight="1">
      <c r="A944" s="22" t="s">
        <v>3475</v>
      </c>
      <c r="B944" s="17" t="s">
        <v>3476</v>
      </c>
      <c r="C944" s="16" t="s">
        <v>3477</v>
      </c>
      <c r="D944" s="34">
        <v>42943</v>
      </c>
      <c r="E944" s="141">
        <v>2000000</v>
      </c>
      <c r="F944" s="45" t="s">
        <v>3478</v>
      </c>
      <c r="G944" s="149">
        <v>43097</v>
      </c>
      <c r="H944" s="177" t="s">
        <v>3479</v>
      </c>
    </row>
    <row r="945" spans="1:8" ht="30" customHeight="1">
      <c r="A945" s="22" t="s">
        <v>3506</v>
      </c>
      <c r="B945" s="17" t="s">
        <v>3507</v>
      </c>
      <c r="C945" s="16" t="s">
        <v>3508</v>
      </c>
      <c r="D945" s="34">
        <v>42928</v>
      </c>
      <c r="E945" s="141">
        <v>258560</v>
      </c>
      <c r="H945" s="177" t="s">
        <v>3509</v>
      </c>
    </row>
    <row r="946" spans="1:8" ht="30" customHeight="1">
      <c r="A946" s="22" t="s">
        <v>3506</v>
      </c>
      <c r="B946" s="17" t="s">
        <v>3507</v>
      </c>
      <c r="C946" s="16" t="s">
        <v>3508</v>
      </c>
      <c r="D946" s="34">
        <v>42948</v>
      </c>
      <c r="E946" s="141">
        <v>-2560</v>
      </c>
      <c r="H946" s="177" t="s">
        <v>3509</v>
      </c>
    </row>
    <row r="947" spans="1:8" ht="30" customHeight="1">
      <c r="A947" s="22" t="s">
        <v>3510</v>
      </c>
      <c r="B947" s="17" t="s">
        <v>3507</v>
      </c>
      <c r="C947" s="16" t="s">
        <v>3508</v>
      </c>
      <c r="D947" s="34">
        <v>42948</v>
      </c>
      <c r="E947" s="141">
        <v>408000</v>
      </c>
      <c r="H947" s="177" t="s">
        <v>3509</v>
      </c>
    </row>
    <row r="948" spans="1:8" ht="30" hidden="1" customHeight="1">
      <c r="A948" s="22" t="s">
        <v>3517</v>
      </c>
      <c r="B948" s="17" t="s">
        <v>3518</v>
      </c>
      <c r="C948" s="16" t="s">
        <v>3519</v>
      </c>
      <c r="D948" s="34">
        <v>42948</v>
      </c>
      <c r="E948" s="141">
        <v>2300000</v>
      </c>
      <c r="H948" s="177" t="s">
        <v>3509</v>
      </c>
    </row>
    <row r="949" spans="1:8" ht="30" customHeight="1">
      <c r="A949" s="22" t="s">
        <v>3520</v>
      </c>
      <c r="B949" s="17" t="s">
        <v>3507</v>
      </c>
      <c r="C949" s="16" t="s">
        <v>3521</v>
      </c>
      <c r="D949" s="34">
        <v>42948</v>
      </c>
      <c r="E949" s="141">
        <v>1552500</v>
      </c>
      <c r="H949" s="177" t="s">
        <v>3509</v>
      </c>
    </row>
    <row r="950" spans="1:8" ht="30" customHeight="1">
      <c r="A950" s="22" t="s">
        <v>3522</v>
      </c>
      <c r="B950" s="17" t="s">
        <v>3507</v>
      </c>
      <c r="C950" s="16" t="s">
        <v>3523</v>
      </c>
      <c r="D950" s="34">
        <v>42948</v>
      </c>
      <c r="E950" s="141">
        <v>1003200</v>
      </c>
      <c r="H950" s="177" t="s">
        <v>3509</v>
      </c>
    </row>
    <row r="951" spans="1:8" ht="30" hidden="1" customHeight="1">
      <c r="A951" s="22" t="s">
        <v>3503</v>
      </c>
      <c r="B951" s="17" t="s">
        <v>3502</v>
      </c>
      <c r="C951" s="16" t="s">
        <v>3067</v>
      </c>
      <c r="D951" s="34">
        <v>42948</v>
      </c>
      <c r="E951" s="141">
        <v>1672500</v>
      </c>
      <c r="H951" s="177" t="s">
        <v>1593</v>
      </c>
    </row>
    <row r="952" spans="1:8" ht="30" hidden="1" customHeight="1">
      <c r="A952" s="22" t="s">
        <v>3524</v>
      </c>
      <c r="B952" s="17" t="s">
        <v>3001</v>
      </c>
      <c r="C952" s="16" t="s">
        <v>3002</v>
      </c>
      <c r="D952" s="34">
        <v>42948</v>
      </c>
      <c r="E952" s="141">
        <v>500000</v>
      </c>
      <c r="H952" s="177" t="s">
        <v>1624</v>
      </c>
    </row>
    <row r="953" spans="1:8" ht="30" hidden="1" customHeight="1">
      <c r="A953" s="22" t="s">
        <v>3524</v>
      </c>
      <c r="B953" s="17" t="s">
        <v>3001</v>
      </c>
      <c r="C953" s="16" t="s">
        <v>3002</v>
      </c>
      <c r="D953" s="34">
        <v>42949</v>
      </c>
      <c r="E953" s="141">
        <v>5400000</v>
      </c>
      <c r="H953" s="177" t="s">
        <v>1624</v>
      </c>
    </row>
    <row r="954" spans="1:8" ht="30" hidden="1" customHeight="1">
      <c r="A954" s="22" t="s">
        <v>3114</v>
      </c>
      <c r="B954" s="17" t="s">
        <v>3001</v>
      </c>
      <c r="C954" s="16" t="s">
        <v>3002</v>
      </c>
      <c r="D954" s="34">
        <v>42949</v>
      </c>
      <c r="E954" s="141">
        <v>-1284</v>
      </c>
      <c r="H954" s="177" t="s">
        <v>1624</v>
      </c>
    </row>
    <row r="955" spans="1:8" ht="30" customHeight="1">
      <c r="A955" s="22" t="s">
        <v>3500</v>
      </c>
      <c r="B955" s="17" t="s">
        <v>240</v>
      </c>
      <c r="C955" s="16" t="s">
        <v>2065</v>
      </c>
      <c r="D955" s="34">
        <v>42949</v>
      </c>
      <c r="E955" s="141">
        <v>543840</v>
      </c>
      <c r="H955" s="177" t="s">
        <v>56</v>
      </c>
    </row>
    <row r="956" spans="1:8" ht="30" customHeight="1">
      <c r="A956" s="22" t="s">
        <v>3555</v>
      </c>
      <c r="B956" s="17" t="s">
        <v>240</v>
      </c>
      <c r="C956" s="16" t="s">
        <v>624</v>
      </c>
      <c r="D956" s="34">
        <v>42950</v>
      </c>
      <c r="E956" s="141">
        <v>22000</v>
      </c>
      <c r="H956" s="177" t="s">
        <v>1593</v>
      </c>
    </row>
    <row r="957" spans="1:8" ht="30" hidden="1" customHeight="1">
      <c r="A957" s="22" t="s">
        <v>3530</v>
      </c>
      <c r="B957" s="17" t="s">
        <v>3001</v>
      </c>
      <c r="C957" s="16" t="s">
        <v>2763</v>
      </c>
      <c r="D957" s="34">
        <v>42955</v>
      </c>
      <c r="E957" s="141">
        <v>4836400</v>
      </c>
      <c r="H957" s="177" t="s">
        <v>1593</v>
      </c>
    </row>
    <row r="958" spans="1:8" ht="30" hidden="1" customHeight="1">
      <c r="A958" s="22" t="s">
        <v>3242</v>
      </c>
      <c r="B958" s="17" t="s">
        <v>82</v>
      </c>
      <c r="C958" s="16" t="s">
        <v>83</v>
      </c>
      <c r="D958" s="34">
        <v>42956</v>
      </c>
      <c r="E958" s="141">
        <v>6000000</v>
      </c>
      <c r="F958" s="45" t="s">
        <v>3565</v>
      </c>
      <c r="H958" s="177" t="s">
        <v>1593</v>
      </c>
    </row>
    <row r="959" spans="1:8" ht="30" hidden="1" customHeight="1">
      <c r="A959" s="22" t="s">
        <v>3277</v>
      </c>
      <c r="B959" s="17" t="s">
        <v>3271</v>
      </c>
      <c r="C959" s="16" t="s">
        <v>992</v>
      </c>
      <c r="D959" s="34">
        <v>42941</v>
      </c>
      <c r="E959" s="141">
        <v>114000</v>
      </c>
      <c r="H959" s="45" t="s">
        <v>1078</v>
      </c>
    </row>
    <row r="960" spans="1:8" ht="30" hidden="1" customHeight="1">
      <c r="A960" s="22" t="s">
        <v>3373</v>
      </c>
      <c r="B960" s="17" t="s">
        <v>3271</v>
      </c>
      <c r="C960" s="16" t="s">
        <v>992</v>
      </c>
      <c r="D960" s="34">
        <v>42957</v>
      </c>
      <c r="E960" s="141">
        <v>115000</v>
      </c>
      <c r="H960" s="45" t="s">
        <v>1078</v>
      </c>
    </row>
    <row r="961" spans="1:8" ht="30" hidden="1" customHeight="1">
      <c r="A961" s="22" t="s">
        <v>3269</v>
      </c>
      <c r="B961" s="17" t="s">
        <v>3271</v>
      </c>
      <c r="C961" s="16" t="s">
        <v>992</v>
      </c>
      <c r="D961" s="34">
        <v>42941</v>
      </c>
      <c r="E961" s="141">
        <v>229000</v>
      </c>
      <c r="H961" s="45" t="s">
        <v>1078</v>
      </c>
    </row>
    <row r="962" spans="1:8" ht="30" hidden="1" customHeight="1">
      <c r="A962" s="22" t="s">
        <v>3445</v>
      </c>
      <c r="B962" s="17" t="s">
        <v>3271</v>
      </c>
      <c r="C962" s="16" t="s">
        <v>992</v>
      </c>
      <c r="D962" s="34">
        <v>42957</v>
      </c>
      <c r="E962" s="141">
        <v>228000</v>
      </c>
      <c r="H962" s="45" t="s">
        <v>1078</v>
      </c>
    </row>
    <row r="963" spans="1:8" ht="30" hidden="1" customHeight="1">
      <c r="A963" s="22" t="s">
        <v>3276</v>
      </c>
      <c r="B963" s="17" t="s">
        <v>3271</v>
      </c>
      <c r="C963" s="16" t="s">
        <v>992</v>
      </c>
      <c r="D963" s="34">
        <v>42941</v>
      </c>
      <c r="E963" s="141">
        <v>225000</v>
      </c>
      <c r="H963" s="45" t="s">
        <v>1078</v>
      </c>
    </row>
    <row r="964" spans="1:8" ht="30" hidden="1" customHeight="1">
      <c r="A964" s="22" t="s">
        <v>3373</v>
      </c>
      <c r="B964" s="17" t="s">
        <v>3271</v>
      </c>
      <c r="C964" s="16" t="s">
        <v>992</v>
      </c>
      <c r="D964" s="34">
        <v>42951</v>
      </c>
      <c r="E964" s="141">
        <v>230000</v>
      </c>
      <c r="H964" s="45" t="s">
        <v>1078</v>
      </c>
    </row>
    <row r="965" spans="1:8" ht="30" hidden="1" customHeight="1">
      <c r="A965" s="22" t="s">
        <v>3269</v>
      </c>
      <c r="B965" s="17" t="s">
        <v>3271</v>
      </c>
      <c r="C965" s="16" t="s">
        <v>992</v>
      </c>
      <c r="D965" s="34">
        <v>42948</v>
      </c>
      <c r="E965" s="141">
        <v>114500</v>
      </c>
      <c r="H965" s="45" t="s">
        <v>1078</v>
      </c>
    </row>
    <row r="966" spans="1:8" ht="30" hidden="1" customHeight="1">
      <c r="A966" s="22" t="s">
        <v>3445</v>
      </c>
      <c r="B966" s="17" t="s">
        <v>3271</v>
      </c>
      <c r="C966" s="16" t="s">
        <v>992</v>
      </c>
      <c r="D966" s="34">
        <v>42948</v>
      </c>
      <c r="E966" s="141">
        <v>114000</v>
      </c>
      <c r="H966" s="45" t="s">
        <v>1078</v>
      </c>
    </row>
    <row r="967" spans="1:8" ht="30" hidden="1" customHeight="1">
      <c r="A967" s="22" t="s">
        <v>3430</v>
      </c>
      <c r="B967" s="17" t="s">
        <v>3271</v>
      </c>
      <c r="C967" s="16" t="s">
        <v>2841</v>
      </c>
      <c r="D967" s="34">
        <v>42942</v>
      </c>
      <c r="E967" s="141">
        <v>245000</v>
      </c>
      <c r="H967" s="45" t="s">
        <v>475</v>
      </c>
    </row>
    <row r="968" spans="1:8" ht="30" hidden="1" customHeight="1">
      <c r="A968" s="22" t="s">
        <v>3265</v>
      </c>
      <c r="B968" s="17" t="s">
        <v>3271</v>
      </c>
      <c r="C968" s="16" t="s">
        <v>2841</v>
      </c>
      <c r="D968" s="34">
        <v>42943</v>
      </c>
      <c r="E968" s="141">
        <v>115000</v>
      </c>
      <c r="H968" s="45" t="s">
        <v>475</v>
      </c>
    </row>
    <row r="969" spans="1:8" ht="30" hidden="1" customHeight="1">
      <c r="A969" s="22" t="s">
        <v>3267</v>
      </c>
      <c r="B969" s="17" t="s">
        <v>3271</v>
      </c>
      <c r="C969" s="16" t="s">
        <v>2841</v>
      </c>
      <c r="D969" s="34">
        <v>42943</v>
      </c>
      <c r="E969" s="141">
        <v>232000</v>
      </c>
      <c r="H969" s="45" t="s">
        <v>475</v>
      </c>
    </row>
    <row r="970" spans="1:8" ht="30" hidden="1" customHeight="1">
      <c r="A970" s="22" t="s">
        <v>3275</v>
      </c>
      <c r="B970" s="17" t="s">
        <v>3271</v>
      </c>
      <c r="C970" s="16" t="s">
        <v>2841</v>
      </c>
      <c r="D970" s="34">
        <v>42944</v>
      </c>
      <c r="E970" s="141">
        <v>227000</v>
      </c>
      <c r="H970" s="45" t="s">
        <v>475</v>
      </c>
    </row>
    <row r="971" spans="1:8" ht="30" hidden="1" customHeight="1">
      <c r="A971" s="22" t="s">
        <v>3587</v>
      </c>
      <c r="B971" s="17" t="s">
        <v>3588</v>
      </c>
      <c r="C971" s="16" t="s">
        <v>3589</v>
      </c>
      <c r="D971" s="34">
        <v>42951</v>
      </c>
      <c r="E971" s="141">
        <v>116000</v>
      </c>
      <c r="H971" s="45" t="s">
        <v>3590</v>
      </c>
    </row>
    <row r="972" spans="1:8" ht="30" hidden="1" customHeight="1">
      <c r="A972" s="22" t="s">
        <v>3591</v>
      </c>
      <c r="B972" s="17" t="s">
        <v>3588</v>
      </c>
      <c r="C972" s="16" t="s">
        <v>3589</v>
      </c>
      <c r="D972" s="34">
        <v>42951</v>
      </c>
      <c r="E972" s="141">
        <v>115500</v>
      </c>
      <c r="H972" s="45" t="s">
        <v>3590</v>
      </c>
    </row>
    <row r="973" spans="1:8" ht="30" hidden="1" customHeight="1">
      <c r="A973" s="22" t="s">
        <v>3592</v>
      </c>
      <c r="B973" s="17" t="s">
        <v>3588</v>
      </c>
      <c r="C973" s="16" t="s">
        <v>3589</v>
      </c>
      <c r="D973" s="34">
        <v>42956</v>
      </c>
      <c r="E973" s="141">
        <v>232000</v>
      </c>
      <c r="H973" s="45" t="s">
        <v>3590</v>
      </c>
    </row>
    <row r="974" spans="1:8" ht="30" hidden="1" customHeight="1">
      <c r="A974" s="22" t="s">
        <v>3593</v>
      </c>
      <c r="B974" s="17" t="s">
        <v>3594</v>
      </c>
      <c r="C974" s="16" t="s">
        <v>3595</v>
      </c>
      <c r="D974" s="34">
        <v>42958</v>
      </c>
      <c r="E974" s="141">
        <v>16543920</v>
      </c>
      <c r="H974" s="45" t="s">
        <v>1593</v>
      </c>
    </row>
    <row r="975" spans="1:8" ht="30" hidden="1" customHeight="1">
      <c r="A975" s="22" t="s">
        <v>3418</v>
      </c>
      <c r="B975" s="17" t="s">
        <v>93</v>
      </c>
      <c r="C975" s="16" t="s">
        <v>3419</v>
      </c>
      <c r="D975" s="34">
        <v>42958</v>
      </c>
      <c r="E975" s="141">
        <v>385233.79</v>
      </c>
      <c r="H975" s="45" t="s">
        <v>56</v>
      </c>
    </row>
    <row r="976" spans="1:8" ht="30" hidden="1" customHeight="1">
      <c r="A976" s="22" t="s">
        <v>3615</v>
      </c>
      <c r="B976" s="17" t="s">
        <v>3616</v>
      </c>
      <c r="C976" s="16" t="s">
        <v>3617</v>
      </c>
      <c r="D976" s="34">
        <v>42957</v>
      </c>
      <c r="E976" s="141">
        <v>1595000</v>
      </c>
      <c r="H976" s="45" t="s">
        <v>3618</v>
      </c>
    </row>
    <row r="977" spans="1:8" ht="30" hidden="1" customHeight="1">
      <c r="A977" s="22" t="s">
        <v>3619</v>
      </c>
      <c r="B977" s="17" t="s">
        <v>3620</v>
      </c>
      <c r="C977" s="16" t="s">
        <v>3621</v>
      </c>
      <c r="D977" s="34">
        <v>42961</v>
      </c>
      <c r="E977" s="141">
        <v>1170000</v>
      </c>
      <c r="H977" s="45" t="s">
        <v>3618</v>
      </c>
    </row>
    <row r="978" spans="1:8" ht="30" hidden="1" customHeight="1">
      <c r="A978" s="22" t="s">
        <v>3643</v>
      </c>
      <c r="B978" s="17" t="s">
        <v>3644</v>
      </c>
      <c r="C978" s="16" t="s">
        <v>3645</v>
      </c>
      <c r="D978" s="34">
        <v>42961</v>
      </c>
      <c r="E978" s="141">
        <v>2220000</v>
      </c>
      <c r="H978" s="45" t="s">
        <v>3646</v>
      </c>
    </row>
    <row r="979" spans="1:8" ht="30" customHeight="1">
      <c r="A979" s="22" t="s">
        <v>3647</v>
      </c>
      <c r="B979" s="17" t="s">
        <v>3648</v>
      </c>
      <c r="C979" s="16" t="s">
        <v>3649</v>
      </c>
      <c r="D979" s="34">
        <v>42961</v>
      </c>
      <c r="E979" s="141">
        <v>570240</v>
      </c>
      <c r="H979" s="45" t="s">
        <v>3650</v>
      </c>
    </row>
    <row r="980" spans="1:8" ht="30" hidden="1" customHeight="1">
      <c r="A980" s="22" t="s">
        <v>3651</v>
      </c>
      <c r="B980" s="17" t="s">
        <v>3652</v>
      </c>
      <c r="C980" s="16" t="s">
        <v>3653</v>
      </c>
      <c r="D980" s="34">
        <v>42963</v>
      </c>
      <c r="E980" s="141">
        <v>117600</v>
      </c>
      <c r="H980" s="45" t="s">
        <v>3654</v>
      </c>
    </row>
    <row r="981" spans="1:8" ht="30" customHeight="1">
      <c r="A981" s="22" t="s">
        <v>3500</v>
      </c>
      <c r="B981" s="17" t="s">
        <v>240</v>
      </c>
      <c r="C981" s="16" t="s">
        <v>2065</v>
      </c>
      <c r="D981" s="34">
        <v>42963</v>
      </c>
      <c r="E981" s="141">
        <v>293760</v>
      </c>
      <c r="H981" s="45" t="s">
        <v>56</v>
      </c>
    </row>
    <row r="982" spans="1:8" ht="30" hidden="1" customHeight="1">
      <c r="A982" s="22" t="s">
        <v>3475</v>
      </c>
      <c r="B982" s="17" t="s">
        <v>93</v>
      </c>
      <c r="C982" s="16" t="s">
        <v>3477</v>
      </c>
      <c r="D982" s="34">
        <v>42968</v>
      </c>
      <c r="E982" s="141">
        <v>600000</v>
      </c>
      <c r="H982" s="177" t="s">
        <v>56</v>
      </c>
    </row>
    <row r="983" spans="1:8" ht="30" hidden="1" customHeight="1">
      <c r="A983" s="22" t="s">
        <v>3530</v>
      </c>
      <c r="B983" s="17" t="s">
        <v>3001</v>
      </c>
      <c r="C983" s="16" t="s">
        <v>2763</v>
      </c>
      <c r="D983" s="34">
        <v>42969</v>
      </c>
      <c r="E983" s="141">
        <v>1165987.6299999999</v>
      </c>
      <c r="H983" s="45" t="s">
        <v>1593</v>
      </c>
    </row>
    <row r="984" spans="1:8" ht="30" hidden="1" customHeight="1">
      <c r="A984" s="22" t="s">
        <v>3231</v>
      </c>
      <c r="B984" s="17" t="s">
        <v>93</v>
      </c>
      <c r="C984" s="16" t="s">
        <v>83</v>
      </c>
      <c r="D984" s="34">
        <v>42969</v>
      </c>
      <c r="E984" s="141">
        <v>313305.16999999993</v>
      </c>
      <c r="F984" s="45" t="s">
        <v>3658</v>
      </c>
      <c r="H984" s="45" t="s">
        <v>1593</v>
      </c>
    </row>
    <row r="985" spans="1:8" ht="30" hidden="1" customHeight="1">
      <c r="A985" s="22" t="s">
        <v>3469</v>
      </c>
      <c r="B985" s="17" t="s">
        <v>93</v>
      </c>
      <c r="C985" s="16" t="s">
        <v>83</v>
      </c>
      <c r="D985" s="34">
        <v>42969</v>
      </c>
      <c r="E985" s="141">
        <v>2156694.83</v>
      </c>
      <c r="F985" s="45" t="s">
        <v>3658</v>
      </c>
      <c r="H985" s="45" t="s">
        <v>1593</v>
      </c>
    </row>
    <row r="986" spans="1:8" ht="30" hidden="1" customHeight="1">
      <c r="A986" s="22" t="s">
        <v>3475</v>
      </c>
      <c r="B986" s="17" t="s">
        <v>93</v>
      </c>
      <c r="C986" s="16" t="s">
        <v>3477</v>
      </c>
      <c r="D986" s="34">
        <v>42970</v>
      </c>
      <c r="E986" s="141">
        <v>98025.97</v>
      </c>
      <c r="H986" s="177" t="s">
        <v>56</v>
      </c>
    </row>
    <row r="987" spans="1:8" ht="30" hidden="1" customHeight="1">
      <c r="A987" s="22" t="s">
        <v>3619</v>
      </c>
      <c r="B987" s="17" t="s">
        <v>93</v>
      </c>
      <c r="C987" s="16" t="s">
        <v>2393</v>
      </c>
      <c r="D987" s="34">
        <v>42971</v>
      </c>
      <c r="E987" s="141">
        <v>1055441.78</v>
      </c>
      <c r="F987" s="45" t="s">
        <v>1629</v>
      </c>
      <c r="H987" s="45" t="s">
        <v>56</v>
      </c>
    </row>
    <row r="988" spans="1:8" ht="30" hidden="1" customHeight="1">
      <c r="A988" s="22" t="s">
        <v>3699</v>
      </c>
      <c r="B988" s="17" t="s">
        <v>3700</v>
      </c>
      <c r="C988" s="16" t="s">
        <v>3701</v>
      </c>
      <c r="D988" s="34">
        <v>42971</v>
      </c>
      <c r="E988" s="141">
        <v>144900</v>
      </c>
      <c r="H988" s="177" t="s">
        <v>3702</v>
      </c>
    </row>
    <row r="989" spans="1:8" ht="30" customHeight="1">
      <c r="A989" s="22" t="s">
        <v>3703</v>
      </c>
      <c r="B989" s="17" t="s">
        <v>3704</v>
      </c>
      <c r="C989" s="16" t="s">
        <v>3705</v>
      </c>
      <c r="D989" s="34">
        <v>42977</v>
      </c>
      <c r="E989" s="141">
        <v>294298.58</v>
      </c>
      <c r="F989" s="45" t="s">
        <v>1629</v>
      </c>
      <c r="G989" s="149">
        <v>43028</v>
      </c>
      <c r="H989" s="177" t="s">
        <v>3706</v>
      </c>
    </row>
    <row r="990" spans="1:8" ht="30" customHeight="1">
      <c r="A990" s="22" t="s">
        <v>3707</v>
      </c>
      <c r="B990" s="17" t="s">
        <v>3704</v>
      </c>
      <c r="C990" s="16" t="s">
        <v>3705</v>
      </c>
      <c r="D990" s="34">
        <v>42977</v>
      </c>
      <c r="E990" s="141">
        <v>197319.07000000007</v>
      </c>
      <c r="F990" s="45" t="s">
        <v>1629</v>
      </c>
      <c r="G990" s="149">
        <v>43064</v>
      </c>
      <c r="H990" s="177" t="s">
        <v>3706</v>
      </c>
    </row>
    <row r="991" spans="1:8" ht="30" customHeight="1">
      <c r="A991" s="22" t="s">
        <v>3708</v>
      </c>
      <c r="B991" s="17" t="s">
        <v>3704</v>
      </c>
      <c r="C991" s="16" t="s">
        <v>3705</v>
      </c>
      <c r="D991" s="34">
        <v>42977</v>
      </c>
      <c r="E991" s="141">
        <v>230336.35</v>
      </c>
      <c r="F991" s="45" t="s">
        <v>1629</v>
      </c>
      <c r="G991" s="149">
        <v>43036</v>
      </c>
      <c r="H991" s="177" t="s">
        <v>3706</v>
      </c>
    </row>
    <row r="992" spans="1:8" ht="30" customHeight="1">
      <c r="A992" s="22" t="s">
        <v>3713</v>
      </c>
      <c r="B992" s="17" t="s">
        <v>60</v>
      </c>
      <c r="C992" s="16" t="s">
        <v>3258</v>
      </c>
      <c r="D992" s="34">
        <v>42977</v>
      </c>
      <c r="E992" s="141">
        <v>233178.92000000039</v>
      </c>
      <c r="F992" s="45" t="s">
        <v>1629</v>
      </c>
      <c r="G992" s="149">
        <v>43033</v>
      </c>
      <c r="H992" s="177" t="s">
        <v>56</v>
      </c>
    </row>
    <row r="993" spans="1:8" ht="30" customHeight="1">
      <c r="A993" s="22" t="s">
        <v>3467</v>
      </c>
      <c r="B993" s="17" t="s">
        <v>60</v>
      </c>
      <c r="C993" s="16" t="s">
        <v>3258</v>
      </c>
      <c r="D993" s="34">
        <v>42977</v>
      </c>
      <c r="E993" s="141">
        <v>466821.07999999961</v>
      </c>
      <c r="F993" s="45" t="s">
        <v>1629</v>
      </c>
      <c r="G993" s="149">
        <v>43033</v>
      </c>
      <c r="H993" s="177" t="s">
        <v>56</v>
      </c>
    </row>
    <row r="994" spans="1:8" ht="30" customHeight="1">
      <c r="A994" s="22" t="s">
        <v>3713</v>
      </c>
      <c r="B994" s="17" t="s">
        <v>60</v>
      </c>
      <c r="C994" s="16" t="s">
        <v>3258</v>
      </c>
      <c r="D994" s="34">
        <v>42977</v>
      </c>
      <c r="E994" s="141">
        <v>300000</v>
      </c>
      <c r="H994" s="177" t="s">
        <v>56</v>
      </c>
    </row>
    <row r="995" spans="1:8" ht="30" customHeight="1">
      <c r="A995" s="22" t="s">
        <v>3500</v>
      </c>
      <c r="B995" s="17" t="s">
        <v>240</v>
      </c>
      <c r="C995" s="16" t="s">
        <v>2065</v>
      </c>
      <c r="D995" s="34">
        <v>42972</v>
      </c>
      <c r="E995" s="141">
        <v>277440</v>
      </c>
      <c r="H995" s="45" t="s">
        <v>56</v>
      </c>
    </row>
    <row r="996" spans="1:8" ht="30" customHeight="1">
      <c r="A996" s="22" t="s">
        <v>3500</v>
      </c>
      <c r="B996" s="17" t="s">
        <v>240</v>
      </c>
      <c r="C996" s="16" t="s">
        <v>2065</v>
      </c>
      <c r="D996" s="34">
        <v>42978</v>
      </c>
      <c r="E996" s="141">
        <v>8520</v>
      </c>
      <c r="H996" s="45" t="s">
        <v>56</v>
      </c>
    </row>
    <row r="997" spans="1:8" ht="30" customHeight="1">
      <c r="A997" s="22" t="s">
        <v>1740</v>
      </c>
      <c r="B997" s="17" t="s">
        <v>60</v>
      </c>
      <c r="C997" s="16" t="s">
        <v>83</v>
      </c>
      <c r="D997" s="34">
        <v>42978</v>
      </c>
      <c r="E997" s="141">
        <v>12059.839999999851</v>
      </c>
      <c r="H997" s="45" t="s">
        <v>1593</v>
      </c>
    </row>
    <row r="998" spans="1:8" ht="30" hidden="1" customHeight="1">
      <c r="A998" s="22" t="s">
        <v>3242</v>
      </c>
      <c r="B998" s="17" t="s">
        <v>82</v>
      </c>
      <c r="C998" s="16" t="s">
        <v>83</v>
      </c>
      <c r="D998" s="34">
        <v>42978</v>
      </c>
      <c r="E998" s="141">
        <v>289056.20000000019</v>
      </c>
      <c r="H998" s="45" t="s">
        <v>1593</v>
      </c>
    </row>
    <row r="999" spans="1:8" ht="30" customHeight="1">
      <c r="A999" s="22" t="s">
        <v>3256</v>
      </c>
      <c r="B999" s="17" t="s">
        <v>60</v>
      </c>
      <c r="C999" s="16" t="s">
        <v>83</v>
      </c>
      <c r="D999" s="34">
        <v>42978</v>
      </c>
      <c r="E999" s="141">
        <v>1698883.96</v>
      </c>
      <c r="H999" s="45" t="s">
        <v>1593</v>
      </c>
    </row>
    <row r="1000" spans="1:8" ht="30" customHeight="1">
      <c r="A1000" s="22" t="s">
        <v>3714</v>
      </c>
      <c r="B1000" s="17" t="s">
        <v>240</v>
      </c>
      <c r="C1000" s="16" t="s">
        <v>2065</v>
      </c>
      <c r="D1000" s="34">
        <v>42979</v>
      </c>
      <c r="E1000" s="141">
        <v>207360</v>
      </c>
      <c r="H1000" s="45" t="s">
        <v>56</v>
      </c>
    </row>
    <row r="1001" spans="1:8" ht="30" hidden="1" customHeight="1">
      <c r="A1001" s="22" t="s">
        <v>3412</v>
      </c>
      <c r="B1001" s="17" t="s">
        <v>2765</v>
      </c>
      <c r="C1001" s="16" t="s">
        <v>2763</v>
      </c>
      <c r="D1001" s="34">
        <v>42982</v>
      </c>
      <c r="E1001" s="141">
        <v>3520187.27</v>
      </c>
      <c r="H1001" s="45" t="s">
        <v>1593</v>
      </c>
    </row>
    <row r="1002" spans="1:8" ht="30" hidden="1" customHeight="1">
      <c r="A1002" s="22" t="s">
        <v>3517</v>
      </c>
      <c r="B1002" s="17" t="s">
        <v>2765</v>
      </c>
      <c r="C1002" s="16" t="s">
        <v>2842</v>
      </c>
      <c r="D1002" s="34">
        <v>42983</v>
      </c>
      <c r="E1002" s="141">
        <v>2534832.44</v>
      </c>
      <c r="H1002" s="45" t="s">
        <v>56</v>
      </c>
    </row>
    <row r="1003" spans="1:8" ht="30" hidden="1" customHeight="1">
      <c r="A1003" s="22" t="s">
        <v>3418</v>
      </c>
      <c r="B1003" s="17" t="s">
        <v>93</v>
      </c>
      <c r="C1003" s="16" t="s">
        <v>3419</v>
      </c>
      <c r="D1003" s="34">
        <v>42984</v>
      </c>
      <c r="E1003" s="141">
        <v>29348.500400000252</v>
      </c>
      <c r="H1003" s="45" t="s">
        <v>56</v>
      </c>
    </row>
    <row r="1004" spans="1:8" ht="30" hidden="1" customHeight="1">
      <c r="A1004" s="22" t="s">
        <v>3643</v>
      </c>
      <c r="B1004" s="17" t="s">
        <v>93</v>
      </c>
      <c r="C1004" s="16" t="s">
        <v>3419</v>
      </c>
      <c r="D1004" s="34">
        <v>42984</v>
      </c>
      <c r="E1004" s="141">
        <v>310496.09958499996</v>
      </c>
      <c r="H1004" s="45" t="s">
        <v>56</v>
      </c>
    </row>
    <row r="1005" spans="1:8" ht="30" customHeight="1">
      <c r="A1005" s="22" t="s">
        <v>3127</v>
      </c>
      <c r="B1005" s="17" t="s">
        <v>60</v>
      </c>
      <c r="C1005" s="16" t="s">
        <v>321</v>
      </c>
      <c r="D1005" s="34">
        <v>42985</v>
      </c>
      <c r="E1005" s="69">
        <v>441696.99</v>
      </c>
      <c r="H1005" s="45" t="s">
        <v>1593</v>
      </c>
    </row>
    <row r="1006" spans="1:8" ht="30" customHeight="1">
      <c r="A1006" s="22" t="s">
        <v>3714</v>
      </c>
      <c r="B1006" s="17" t="s">
        <v>240</v>
      </c>
      <c r="C1006" s="16" t="s">
        <v>2065</v>
      </c>
      <c r="D1006" s="34">
        <v>42982</v>
      </c>
      <c r="E1006" s="141">
        <v>552960</v>
      </c>
      <c r="H1006" s="45" t="s">
        <v>56</v>
      </c>
    </row>
    <row r="1007" spans="1:8" ht="30" customHeight="1">
      <c r="A1007" s="22" t="s">
        <v>3714</v>
      </c>
      <c r="B1007" s="17" t="s">
        <v>240</v>
      </c>
      <c r="C1007" s="16" t="s">
        <v>2065</v>
      </c>
      <c r="D1007" s="34">
        <v>42989</v>
      </c>
      <c r="E1007" s="141">
        <v>276480</v>
      </c>
      <c r="H1007" s="45" t="s">
        <v>56</v>
      </c>
    </row>
    <row r="1008" spans="1:8" ht="30" customHeight="1">
      <c r="A1008" s="22" t="s">
        <v>3467</v>
      </c>
      <c r="B1008" s="17" t="s">
        <v>60</v>
      </c>
      <c r="C1008" s="16" t="s">
        <v>3258</v>
      </c>
      <c r="D1008" s="34">
        <v>42989</v>
      </c>
      <c r="E1008" s="69">
        <v>390000</v>
      </c>
      <c r="H1008" s="45" t="s">
        <v>56</v>
      </c>
    </row>
    <row r="1009" spans="1:8" ht="30" customHeight="1">
      <c r="A1009" s="22" t="s">
        <v>3741</v>
      </c>
      <c r="B1009" s="17" t="s">
        <v>240</v>
      </c>
      <c r="C1009" s="16" t="s">
        <v>3742</v>
      </c>
      <c r="D1009" s="34">
        <v>42975</v>
      </c>
      <c r="E1009" s="69">
        <v>339200</v>
      </c>
      <c r="H1009" s="45" t="s">
        <v>56</v>
      </c>
    </row>
    <row r="1010" spans="1:8" ht="30" customHeight="1">
      <c r="A1010" s="22" t="s">
        <v>3467</v>
      </c>
      <c r="B1010" s="17" t="s">
        <v>60</v>
      </c>
      <c r="C1010" s="16" t="s">
        <v>3258</v>
      </c>
      <c r="D1010" s="34">
        <v>42990</v>
      </c>
      <c r="E1010" s="69">
        <v>300000</v>
      </c>
      <c r="H1010" s="45" t="s">
        <v>56</v>
      </c>
    </row>
    <row r="1011" spans="1:8" ht="30" hidden="1" customHeight="1">
      <c r="A1011" s="22" t="s">
        <v>3619</v>
      </c>
      <c r="B1011" s="17" t="s">
        <v>93</v>
      </c>
      <c r="C1011" s="16" t="s">
        <v>2393</v>
      </c>
      <c r="D1011" s="34">
        <v>42991</v>
      </c>
      <c r="E1011" s="69">
        <v>449718.61</v>
      </c>
      <c r="H1011" s="45" t="s">
        <v>56</v>
      </c>
    </row>
    <row r="1012" spans="1:8" ht="30" customHeight="1">
      <c r="A1012" s="22" t="s">
        <v>3256</v>
      </c>
      <c r="B1012" s="17" t="s">
        <v>60</v>
      </c>
      <c r="C1012" s="16" t="s">
        <v>83</v>
      </c>
      <c r="D1012" s="34">
        <v>42993</v>
      </c>
      <c r="E1012" s="141">
        <v>289418.76000000024</v>
      </c>
      <c r="H1012" s="45" t="s">
        <v>1593</v>
      </c>
    </row>
    <row r="1013" spans="1:8" ht="30" hidden="1" customHeight="1">
      <c r="A1013" s="22" t="s">
        <v>3361</v>
      </c>
      <c r="B1013" s="17" t="s">
        <v>82</v>
      </c>
      <c r="C1013" s="16" t="s">
        <v>83</v>
      </c>
      <c r="D1013" s="34">
        <v>42993</v>
      </c>
      <c r="E1013" s="141">
        <v>1917061.45</v>
      </c>
      <c r="H1013" s="45" t="s">
        <v>1593</v>
      </c>
    </row>
    <row r="1014" spans="1:8" ht="30" customHeight="1">
      <c r="A1014" s="22" t="s">
        <v>3451</v>
      </c>
      <c r="B1014" s="17" t="s">
        <v>60</v>
      </c>
      <c r="C1014" s="16" t="s">
        <v>83</v>
      </c>
      <c r="D1014" s="34">
        <v>42993</v>
      </c>
      <c r="E1014" s="141">
        <v>1269988.3</v>
      </c>
      <c r="H1014" s="45" t="s">
        <v>1593</v>
      </c>
    </row>
    <row r="1015" spans="1:8" ht="30" hidden="1" customHeight="1">
      <c r="A1015" s="22" t="s">
        <v>3504</v>
      </c>
      <c r="B1015" s="17" t="s">
        <v>82</v>
      </c>
      <c r="C1015" s="16" t="s">
        <v>83</v>
      </c>
      <c r="D1015" s="34">
        <v>42993</v>
      </c>
      <c r="E1015" s="141">
        <v>923531.49</v>
      </c>
      <c r="H1015" s="45" t="s">
        <v>1593</v>
      </c>
    </row>
    <row r="1016" spans="1:8" ht="30" hidden="1" customHeight="1">
      <c r="A1016" s="22" t="s">
        <v>3469</v>
      </c>
      <c r="B1016" s="17" t="s">
        <v>93</v>
      </c>
      <c r="C1016" s="16" t="s">
        <v>83</v>
      </c>
      <c r="D1016" s="34">
        <v>42997</v>
      </c>
      <c r="E1016" s="141">
        <v>3502687.16</v>
      </c>
      <c r="H1016" s="45" t="s">
        <v>1593</v>
      </c>
    </row>
    <row r="1017" spans="1:8" ht="30" hidden="1" customHeight="1">
      <c r="A1017" s="22" t="s">
        <v>3625</v>
      </c>
      <c r="B1017" s="17" t="s">
        <v>93</v>
      </c>
      <c r="C1017" s="16" t="s">
        <v>83</v>
      </c>
      <c r="D1017" s="34">
        <v>42997</v>
      </c>
      <c r="E1017" s="141">
        <v>817312.83999999985</v>
      </c>
      <c r="H1017" s="45" t="s">
        <v>1593</v>
      </c>
    </row>
    <row r="1018" spans="1:8" ht="30" hidden="1" customHeight="1">
      <c r="A1018" s="22" t="s">
        <v>3634</v>
      </c>
      <c r="B1018" s="17" t="s">
        <v>3632</v>
      </c>
      <c r="C1018" s="16" t="s">
        <v>3067</v>
      </c>
      <c r="D1018" s="34">
        <v>42997</v>
      </c>
      <c r="E1018" s="141">
        <v>117600</v>
      </c>
      <c r="H1018" s="45" t="s">
        <v>1593</v>
      </c>
    </row>
    <row r="1019" spans="1:8" ht="30" hidden="1" customHeight="1">
      <c r="A1019" s="22" t="s">
        <v>3661</v>
      </c>
      <c r="B1019" s="17" t="s">
        <v>3632</v>
      </c>
      <c r="C1019" s="16" t="s">
        <v>3067</v>
      </c>
      <c r="D1019" s="34">
        <v>42997</v>
      </c>
      <c r="E1019" s="141">
        <v>144900</v>
      </c>
      <c r="H1019" s="45" t="s">
        <v>1593</v>
      </c>
    </row>
    <row r="1020" spans="1:8" ht="30" customHeight="1">
      <c r="A1020" s="22" t="s">
        <v>3756</v>
      </c>
      <c r="B1020" s="17" t="s">
        <v>240</v>
      </c>
      <c r="C1020" s="16" t="s">
        <v>75</v>
      </c>
      <c r="D1020" s="34">
        <v>42997</v>
      </c>
      <c r="E1020" s="141">
        <v>352000</v>
      </c>
      <c r="H1020" s="45" t="s">
        <v>1593</v>
      </c>
    </row>
    <row r="1021" spans="1:8" ht="30" hidden="1" customHeight="1">
      <c r="A1021" s="22" t="s">
        <v>3615</v>
      </c>
      <c r="B1021" s="17" t="s">
        <v>3616</v>
      </c>
      <c r="C1021" s="16" t="s">
        <v>104</v>
      </c>
      <c r="D1021" s="34">
        <v>42991</v>
      </c>
      <c r="E1021" s="141">
        <v>76472.899999999994</v>
      </c>
      <c r="H1021" s="45" t="s">
        <v>56</v>
      </c>
    </row>
    <row r="1022" spans="1:8" ht="30" hidden="1" customHeight="1">
      <c r="A1022" s="22" t="s">
        <v>3758</v>
      </c>
      <c r="B1022" s="17" t="s">
        <v>3759</v>
      </c>
      <c r="C1022" s="16" t="s">
        <v>3760</v>
      </c>
      <c r="D1022" s="34">
        <v>43000</v>
      </c>
      <c r="E1022" s="141">
        <v>517991.48</v>
      </c>
      <c r="H1022" s="45" t="s">
        <v>3761</v>
      </c>
    </row>
    <row r="1023" spans="1:8" ht="30" hidden="1" customHeight="1">
      <c r="A1023" s="22" t="s">
        <v>3762</v>
      </c>
      <c r="B1023" s="17" t="s">
        <v>3763</v>
      </c>
      <c r="C1023" s="16" t="s">
        <v>3764</v>
      </c>
      <c r="D1023" s="34">
        <v>43000</v>
      </c>
      <c r="E1023" s="141">
        <v>121550</v>
      </c>
      <c r="H1023" s="45" t="s">
        <v>3765</v>
      </c>
    </row>
    <row r="1024" spans="1:8" ht="30" hidden="1" customHeight="1">
      <c r="A1024" s="22" t="s">
        <v>3766</v>
      </c>
      <c r="B1024" s="17" t="s">
        <v>3763</v>
      </c>
      <c r="C1024" s="16" t="s">
        <v>3764</v>
      </c>
      <c r="D1024" s="34">
        <v>43000</v>
      </c>
      <c r="E1024" s="141">
        <v>153450</v>
      </c>
      <c r="H1024" s="45" t="s">
        <v>3765</v>
      </c>
    </row>
    <row r="1025" spans="1:8" ht="30" hidden="1" customHeight="1">
      <c r="A1025" s="22" t="s">
        <v>3410</v>
      </c>
      <c r="B1025" s="17" t="s">
        <v>103</v>
      </c>
      <c r="C1025" s="16" t="s">
        <v>139</v>
      </c>
      <c r="D1025" s="34">
        <v>43000</v>
      </c>
      <c r="E1025" s="141">
        <v>862200</v>
      </c>
      <c r="F1025" s="45" t="s">
        <v>3792</v>
      </c>
      <c r="G1025" s="149">
        <v>43090</v>
      </c>
      <c r="H1025" s="45" t="s">
        <v>1593</v>
      </c>
    </row>
    <row r="1026" spans="1:8" ht="30" hidden="1" customHeight="1">
      <c r="A1026" s="22" t="s">
        <v>3410</v>
      </c>
      <c r="B1026" s="17" t="s">
        <v>103</v>
      </c>
      <c r="C1026" s="16" t="s">
        <v>139</v>
      </c>
      <c r="D1026" s="34">
        <v>43000</v>
      </c>
      <c r="E1026" s="141">
        <v>344505.19</v>
      </c>
      <c r="H1026" s="45" t="s">
        <v>1593</v>
      </c>
    </row>
    <row r="1027" spans="1:8" ht="30" customHeight="1">
      <c r="A1027" s="22" t="s">
        <v>3788</v>
      </c>
      <c r="B1027" s="17" t="s">
        <v>60</v>
      </c>
      <c r="C1027" s="16" t="s">
        <v>180</v>
      </c>
      <c r="D1027" s="34">
        <v>43004</v>
      </c>
      <c r="E1027" s="141">
        <v>2000000</v>
      </c>
      <c r="H1027" s="45" t="s">
        <v>56</v>
      </c>
    </row>
    <row r="1028" spans="1:8" ht="30" customHeight="1">
      <c r="A1028" s="22" t="s">
        <v>3799</v>
      </c>
      <c r="B1028" s="17" t="s">
        <v>3800</v>
      </c>
      <c r="C1028" s="16" t="s">
        <v>3801</v>
      </c>
      <c r="D1028" s="34">
        <v>43004</v>
      </c>
      <c r="E1028" s="141">
        <v>962200</v>
      </c>
      <c r="F1028" s="45" t="s">
        <v>3802</v>
      </c>
      <c r="H1028" s="45" t="s">
        <v>3803</v>
      </c>
    </row>
    <row r="1029" spans="1:8" ht="30" customHeight="1">
      <c r="A1029" s="22" t="s">
        <v>3804</v>
      </c>
      <c r="B1029" s="17" t="s">
        <v>3805</v>
      </c>
      <c r="C1029" s="16" t="s">
        <v>3806</v>
      </c>
      <c r="D1029" s="34">
        <v>43008</v>
      </c>
      <c r="E1029" s="141">
        <v>864</v>
      </c>
      <c r="H1029" s="45" t="s">
        <v>3803</v>
      </c>
    </row>
    <row r="1030" spans="1:8" ht="30" customHeight="1">
      <c r="A1030" s="22" t="s">
        <v>3807</v>
      </c>
      <c r="B1030" s="17" t="s">
        <v>3800</v>
      </c>
      <c r="C1030" s="16" t="s">
        <v>3801</v>
      </c>
      <c r="D1030" s="34">
        <v>43008</v>
      </c>
      <c r="E1030" s="141">
        <v>1800000</v>
      </c>
      <c r="H1030" s="45" t="s">
        <v>3803</v>
      </c>
    </row>
    <row r="1031" spans="1:8" ht="30" customHeight="1">
      <c r="A1031" s="42" t="s">
        <v>3369</v>
      </c>
      <c r="B1031" s="18" t="s">
        <v>3366</v>
      </c>
      <c r="C1031" s="18" t="s">
        <v>3370</v>
      </c>
      <c r="D1031" s="34">
        <v>42930</v>
      </c>
      <c r="E1031" s="69">
        <v>1624000</v>
      </c>
      <c r="H1031" s="45" t="s">
        <v>3368</v>
      </c>
    </row>
    <row r="1032" spans="1:8" ht="30" customHeight="1">
      <c r="A1032" s="42" t="s">
        <v>3830</v>
      </c>
      <c r="B1032" s="18" t="s">
        <v>273</v>
      </c>
      <c r="C1032" s="18" t="s">
        <v>3834</v>
      </c>
      <c r="D1032" s="34">
        <v>42998</v>
      </c>
      <c r="E1032" s="141">
        <v>423225</v>
      </c>
      <c r="H1032" s="45" t="s">
        <v>3836</v>
      </c>
    </row>
    <row r="1033" spans="1:8" ht="30" customHeight="1">
      <c r="A1033" s="42" t="s">
        <v>3830</v>
      </c>
      <c r="B1033" s="18" t="s">
        <v>273</v>
      </c>
      <c r="C1033" s="18" t="s">
        <v>3834</v>
      </c>
      <c r="D1033" s="34">
        <v>43017</v>
      </c>
      <c r="E1033" s="141">
        <v>22275</v>
      </c>
      <c r="H1033" s="45" t="s">
        <v>3836</v>
      </c>
    </row>
    <row r="1034" spans="1:8" ht="30" customHeight="1">
      <c r="A1034" s="42" t="s">
        <v>3831</v>
      </c>
      <c r="B1034" s="18" t="s">
        <v>273</v>
      </c>
      <c r="C1034" s="18" t="s">
        <v>875</v>
      </c>
      <c r="D1034" s="34">
        <v>42979</v>
      </c>
      <c r="E1034" s="141">
        <v>314000</v>
      </c>
      <c r="H1034" s="45" t="s">
        <v>3836</v>
      </c>
    </row>
    <row r="1035" spans="1:8" ht="30" customHeight="1">
      <c r="A1035" s="42" t="s">
        <v>4023</v>
      </c>
      <c r="B1035" s="18" t="s">
        <v>273</v>
      </c>
      <c r="C1035" s="18" t="s">
        <v>2810</v>
      </c>
      <c r="D1035" s="34">
        <v>42986</v>
      </c>
      <c r="E1035" s="141">
        <v>316000</v>
      </c>
      <c r="H1035" s="45" t="s">
        <v>3837</v>
      </c>
    </row>
    <row r="1036" spans="1:8" ht="30" customHeight="1">
      <c r="A1036" s="42" t="s">
        <v>4025</v>
      </c>
      <c r="B1036" s="18" t="s">
        <v>273</v>
      </c>
      <c r="C1036" s="18" t="s">
        <v>2810</v>
      </c>
      <c r="D1036" s="34">
        <v>42999</v>
      </c>
      <c r="E1036" s="141">
        <v>447000</v>
      </c>
      <c r="H1036" s="45" t="s">
        <v>3837</v>
      </c>
    </row>
    <row r="1037" spans="1:8" ht="30" hidden="1" customHeight="1">
      <c r="A1037" s="42" t="s">
        <v>3849</v>
      </c>
      <c r="B1037" s="18" t="s">
        <v>3263</v>
      </c>
      <c r="C1037" s="18" t="s">
        <v>875</v>
      </c>
      <c r="D1037" s="34">
        <v>42971</v>
      </c>
      <c r="E1037" s="141">
        <v>278400</v>
      </c>
      <c r="H1037" s="45" t="s">
        <v>3836</v>
      </c>
    </row>
    <row r="1038" spans="1:8" ht="30" hidden="1" customHeight="1">
      <c r="A1038" s="42" t="s">
        <v>3850</v>
      </c>
      <c r="B1038" s="18" t="s">
        <v>3263</v>
      </c>
      <c r="C1038" s="18" t="s">
        <v>875</v>
      </c>
      <c r="D1038" s="34">
        <v>43005</v>
      </c>
      <c r="E1038" s="141">
        <v>50800</v>
      </c>
      <c r="H1038" s="45" t="s">
        <v>3836</v>
      </c>
    </row>
    <row r="1039" spans="1:8" ht="30" hidden="1" customHeight="1">
      <c r="A1039" s="42" t="s">
        <v>3851</v>
      </c>
      <c r="B1039" s="18" t="s">
        <v>3263</v>
      </c>
      <c r="C1039" s="18" t="s">
        <v>875</v>
      </c>
      <c r="D1039" s="34">
        <v>42964</v>
      </c>
      <c r="E1039" s="141">
        <v>117000</v>
      </c>
      <c r="H1039" s="45" t="s">
        <v>3836</v>
      </c>
    </row>
    <row r="1040" spans="1:8" ht="30" hidden="1" customHeight="1">
      <c r="A1040" s="42" t="s">
        <v>3852</v>
      </c>
      <c r="B1040" s="18" t="s">
        <v>3263</v>
      </c>
      <c r="C1040" s="18" t="s">
        <v>875</v>
      </c>
      <c r="D1040" s="34">
        <v>42979</v>
      </c>
      <c r="E1040" s="141">
        <v>49400</v>
      </c>
      <c r="H1040" s="45" t="s">
        <v>3836</v>
      </c>
    </row>
    <row r="1041" spans="1:8" ht="30" hidden="1" customHeight="1">
      <c r="A1041" s="42" t="s">
        <v>3853</v>
      </c>
      <c r="B1041" s="18" t="s">
        <v>3263</v>
      </c>
      <c r="C1041" s="18" t="s">
        <v>875</v>
      </c>
      <c r="D1041" s="34">
        <v>43005</v>
      </c>
      <c r="E1041" s="141">
        <v>283000</v>
      </c>
      <c r="H1041" s="45" t="s">
        <v>3836</v>
      </c>
    </row>
    <row r="1042" spans="1:8" ht="30" hidden="1" customHeight="1">
      <c r="A1042" s="42" t="s">
        <v>3854</v>
      </c>
      <c r="B1042" s="18" t="s">
        <v>3263</v>
      </c>
      <c r="C1042" s="18" t="s">
        <v>875</v>
      </c>
      <c r="D1042" s="34">
        <v>42992</v>
      </c>
      <c r="E1042" s="141">
        <v>309100</v>
      </c>
      <c r="H1042" s="45" t="s">
        <v>3836</v>
      </c>
    </row>
    <row r="1043" spans="1:8" ht="30" hidden="1" customHeight="1">
      <c r="A1043" s="42" t="s">
        <v>3855</v>
      </c>
      <c r="B1043" s="18" t="s">
        <v>3263</v>
      </c>
      <c r="C1043" s="18" t="s">
        <v>875</v>
      </c>
      <c r="D1043" s="34">
        <v>43006</v>
      </c>
      <c r="E1043" s="141">
        <v>159000</v>
      </c>
      <c r="H1043" s="45" t="s">
        <v>3836</v>
      </c>
    </row>
    <row r="1044" spans="1:8" ht="30" hidden="1" customHeight="1">
      <c r="A1044" s="42" t="s">
        <v>3856</v>
      </c>
      <c r="B1044" s="18" t="s">
        <v>3263</v>
      </c>
      <c r="C1044" s="18" t="s">
        <v>2810</v>
      </c>
      <c r="D1044" s="34">
        <v>42975</v>
      </c>
      <c r="E1044" s="141">
        <v>280800</v>
      </c>
      <c r="H1044" s="45" t="s">
        <v>3837</v>
      </c>
    </row>
    <row r="1045" spans="1:8" ht="30" hidden="1" customHeight="1">
      <c r="A1045" s="42" t="s">
        <v>3571</v>
      </c>
      <c r="B1045" s="18" t="s">
        <v>3263</v>
      </c>
      <c r="C1045" s="18" t="s">
        <v>274</v>
      </c>
      <c r="D1045" s="34">
        <v>42977</v>
      </c>
      <c r="E1045" s="141">
        <v>113041.68</v>
      </c>
      <c r="H1045" s="45" t="s">
        <v>3837</v>
      </c>
    </row>
    <row r="1046" spans="1:8" ht="30" hidden="1" customHeight="1">
      <c r="A1046" s="42" t="s">
        <v>4026</v>
      </c>
      <c r="B1046" s="18" t="s">
        <v>3263</v>
      </c>
      <c r="C1046" s="18" t="s">
        <v>274</v>
      </c>
      <c r="D1046" s="34">
        <v>43011</v>
      </c>
      <c r="E1046" s="141">
        <v>5667.96</v>
      </c>
      <c r="H1046" s="45" t="s">
        <v>3837</v>
      </c>
    </row>
    <row r="1047" spans="1:8" ht="30" hidden="1" customHeight="1">
      <c r="A1047" s="42" t="s">
        <v>4022</v>
      </c>
      <c r="B1047" s="18" t="s">
        <v>3263</v>
      </c>
      <c r="C1047" s="18" t="s">
        <v>2810</v>
      </c>
      <c r="D1047" s="34">
        <v>42984</v>
      </c>
      <c r="E1047" s="141">
        <v>50000</v>
      </c>
      <c r="H1047" s="45" t="s">
        <v>3837</v>
      </c>
    </row>
    <row r="1048" spans="1:8" ht="30" hidden="1" customHeight="1">
      <c r="A1048" s="42" t="s">
        <v>3858</v>
      </c>
      <c r="B1048" s="18" t="s">
        <v>3263</v>
      </c>
      <c r="C1048" s="18" t="s">
        <v>3861</v>
      </c>
      <c r="D1048" s="34">
        <v>43007</v>
      </c>
      <c r="E1048" s="141">
        <v>143000</v>
      </c>
      <c r="H1048" s="45" t="s">
        <v>3837</v>
      </c>
    </row>
    <row r="1049" spans="1:8" ht="30" hidden="1" customHeight="1">
      <c r="A1049" s="42" t="s">
        <v>4024</v>
      </c>
      <c r="B1049" s="18" t="s">
        <v>3263</v>
      </c>
      <c r="C1049" s="18" t="s">
        <v>2810</v>
      </c>
      <c r="D1049" s="34">
        <v>42998</v>
      </c>
      <c r="E1049" s="141">
        <v>311300</v>
      </c>
      <c r="H1049" s="45" t="s">
        <v>3837</v>
      </c>
    </row>
    <row r="1050" spans="1:8" ht="30" hidden="1" customHeight="1">
      <c r="A1050" s="42" t="s">
        <v>3860</v>
      </c>
      <c r="B1050" s="18" t="s">
        <v>3263</v>
      </c>
      <c r="C1050" s="18" t="s">
        <v>3861</v>
      </c>
      <c r="D1050" s="34">
        <v>43007</v>
      </c>
      <c r="E1050" s="141">
        <v>79991.66</v>
      </c>
      <c r="H1050" s="45" t="s">
        <v>3837</v>
      </c>
    </row>
    <row r="1051" spans="1:8" ht="30" hidden="1" customHeight="1">
      <c r="A1051" s="42" t="s">
        <v>3386</v>
      </c>
      <c r="B1051" s="18" t="s">
        <v>3263</v>
      </c>
      <c r="C1051" s="18" t="s">
        <v>2810</v>
      </c>
      <c r="D1051" s="34">
        <v>42963</v>
      </c>
      <c r="E1051" s="141">
        <v>231000</v>
      </c>
      <c r="H1051" s="45" t="s">
        <v>3837</v>
      </c>
    </row>
    <row r="1052" spans="1:8" ht="30" hidden="1" customHeight="1">
      <c r="A1052" s="22" t="s">
        <v>3266</v>
      </c>
      <c r="B1052" s="17" t="s">
        <v>3271</v>
      </c>
      <c r="C1052" s="16" t="s">
        <v>2841</v>
      </c>
      <c r="D1052" s="34">
        <v>42963</v>
      </c>
      <c r="E1052" s="141">
        <v>116000</v>
      </c>
      <c r="H1052" s="177" t="s">
        <v>475</v>
      </c>
    </row>
    <row r="1053" spans="1:8" ht="30" customHeight="1">
      <c r="A1053" s="42" t="s">
        <v>3891</v>
      </c>
      <c r="B1053" s="18" t="s">
        <v>3892</v>
      </c>
      <c r="C1053" s="18" t="s">
        <v>3893</v>
      </c>
      <c r="D1053" s="34">
        <v>43025</v>
      </c>
      <c r="E1053" s="141">
        <v>72320</v>
      </c>
      <c r="H1053" s="45" t="s">
        <v>3894</v>
      </c>
    </row>
    <row r="1054" spans="1:8" ht="30" customHeight="1">
      <c r="A1054" s="42" t="s">
        <v>3891</v>
      </c>
      <c r="B1054" s="18" t="s">
        <v>3892</v>
      </c>
      <c r="C1054" s="18" t="s">
        <v>3893</v>
      </c>
      <c r="D1054" s="34">
        <v>43026</v>
      </c>
      <c r="E1054" s="141">
        <v>294400</v>
      </c>
      <c r="H1054" s="45" t="s">
        <v>3894</v>
      </c>
    </row>
    <row r="1055" spans="1:8" ht="30" customHeight="1">
      <c r="A1055" s="22" t="s">
        <v>3919</v>
      </c>
      <c r="B1055" s="17" t="s">
        <v>430</v>
      </c>
      <c r="C1055" s="16" t="s">
        <v>180</v>
      </c>
      <c r="D1055" s="34">
        <v>43026</v>
      </c>
      <c r="E1055" s="141">
        <v>1152000</v>
      </c>
      <c r="H1055" s="177" t="s">
        <v>178</v>
      </c>
    </row>
    <row r="1056" spans="1:8" ht="30" customHeight="1">
      <c r="A1056" s="22" t="s">
        <v>3920</v>
      </c>
      <c r="B1056" s="17" t="s">
        <v>240</v>
      </c>
      <c r="C1056" s="16" t="s">
        <v>104</v>
      </c>
      <c r="D1056" s="34">
        <v>43027</v>
      </c>
      <c r="E1056" s="141">
        <v>761600</v>
      </c>
      <c r="H1056" s="177" t="s">
        <v>178</v>
      </c>
    </row>
    <row r="1057" spans="1:8" ht="30" customHeight="1">
      <c r="A1057" s="22" t="s">
        <v>3921</v>
      </c>
      <c r="B1057" s="17" t="s">
        <v>240</v>
      </c>
      <c r="C1057" s="16" t="s">
        <v>3922</v>
      </c>
      <c r="D1057" s="34">
        <v>43027</v>
      </c>
      <c r="E1057" s="141">
        <v>1142400</v>
      </c>
      <c r="H1057" s="177" t="s">
        <v>178</v>
      </c>
    </row>
    <row r="1058" spans="1:8" ht="30" hidden="1" customHeight="1">
      <c r="A1058" s="22" t="s">
        <v>3073</v>
      </c>
      <c r="B1058" s="17" t="s">
        <v>747</v>
      </c>
      <c r="C1058" s="16" t="s">
        <v>748</v>
      </c>
      <c r="D1058" s="34">
        <v>43006</v>
      </c>
      <c r="E1058" s="141">
        <v>-89000</v>
      </c>
      <c r="H1058" s="45" t="s">
        <v>119</v>
      </c>
    </row>
    <row r="1059" spans="1:8" ht="30" hidden="1" customHeight="1">
      <c r="A1059" s="22" t="s">
        <v>3076</v>
      </c>
      <c r="B1059" s="17" t="s">
        <v>747</v>
      </c>
      <c r="C1059" s="16" t="s">
        <v>748</v>
      </c>
      <c r="D1059" s="34">
        <v>43006</v>
      </c>
      <c r="E1059" s="141">
        <v>-45500</v>
      </c>
      <c r="H1059" s="45" t="s">
        <v>119</v>
      </c>
    </row>
    <row r="1060" spans="1:8" hidden="1">
      <c r="A1060" s="22" t="s">
        <v>3072</v>
      </c>
      <c r="B1060" s="17" t="s">
        <v>747</v>
      </c>
      <c r="C1060" s="16" t="s">
        <v>748</v>
      </c>
      <c r="D1060" s="34">
        <v>43006</v>
      </c>
      <c r="E1060" s="44">
        <v>44500</v>
      </c>
      <c r="H1060" s="45" t="s">
        <v>119</v>
      </c>
    </row>
    <row r="1061" spans="1:8" ht="30" customHeight="1">
      <c r="A1061" s="22" t="s">
        <v>3451</v>
      </c>
      <c r="B1061" s="17" t="s">
        <v>430</v>
      </c>
      <c r="C1061" s="16" t="s">
        <v>2000</v>
      </c>
      <c r="D1061" s="34">
        <v>43028</v>
      </c>
      <c r="E1061" s="141">
        <v>1539971.52</v>
      </c>
      <c r="F1061" s="45" t="s">
        <v>1629</v>
      </c>
      <c r="H1061" s="45" t="s">
        <v>1593</v>
      </c>
    </row>
    <row r="1062" spans="1:8" ht="30" hidden="1" customHeight="1">
      <c r="A1062" s="22" t="s">
        <v>3504</v>
      </c>
      <c r="B1062" s="17" t="s">
        <v>175</v>
      </c>
      <c r="C1062" s="16" t="s">
        <v>2000</v>
      </c>
      <c r="D1062" s="34">
        <v>43028</v>
      </c>
      <c r="E1062" s="141">
        <v>519856.91</v>
      </c>
      <c r="F1062" s="45" t="s">
        <v>1629</v>
      </c>
      <c r="H1062" s="45" t="s">
        <v>1593</v>
      </c>
    </row>
    <row r="1063" spans="1:8" ht="30" hidden="1" customHeight="1">
      <c r="A1063" s="22" t="s">
        <v>3662</v>
      </c>
      <c r="B1063" s="17" t="s">
        <v>175</v>
      </c>
      <c r="C1063" s="16" t="s">
        <v>2000</v>
      </c>
      <c r="D1063" s="34">
        <v>43028</v>
      </c>
      <c r="E1063" s="141">
        <v>1038321.9</v>
      </c>
      <c r="F1063" s="45" t="s">
        <v>1629</v>
      </c>
      <c r="H1063" s="45" t="s">
        <v>1593</v>
      </c>
    </row>
    <row r="1064" spans="1:8" ht="30" hidden="1" customHeight="1">
      <c r="A1064" s="22" t="s">
        <v>3789</v>
      </c>
      <c r="B1064" s="17" t="s">
        <v>175</v>
      </c>
      <c r="C1064" s="16" t="s">
        <v>2000</v>
      </c>
      <c r="D1064" s="34">
        <v>43028</v>
      </c>
      <c r="E1064" s="141">
        <v>1901849.67</v>
      </c>
      <c r="F1064" s="45" t="s">
        <v>1629</v>
      </c>
      <c r="H1064" s="45" t="s">
        <v>1593</v>
      </c>
    </row>
    <row r="1065" spans="1:8" ht="30" customHeight="1">
      <c r="A1065" s="22" t="s">
        <v>3807</v>
      </c>
      <c r="B1065" s="17" t="s">
        <v>60</v>
      </c>
      <c r="C1065" s="16" t="s">
        <v>510</v>
      </c>
      <c r="D1065" s="34">
        <v>43031</v>
      </c>
      <c r="E1065" s="141">
        <v>1500000</v>
      </c>
      <c r="F1065" s="45" t="s">
        <v>1629</v>
      </c>
      <c r="H1065" s="45" t="s">
        <v>56</v>
      </c>
    </row>
    <row r="1066" spans="1:8" ht="30" customHeight="1">
      <c r="A1066" s="22" t="s">
        <v>3940</v>
      </c>
      <c r="B1066" s="17" t="s">
        <v>60</v>
      </c>
      <c r="C1066" s="16" t="s">
        <v>3113</v>
      </c>
      <c r="D1066" s="34">
        <v>43031</v>
      </c>
      <c r="E1066" s="141">
        <v>2000000</v>
      </c>
      <c r="F1066" s="45" t="s">
        <v>1629</v>
      </c>
      <c r="H1066" s="45" t="s">
        <v>56</v>
      </c>
    </row>
    <row r="1067" spans="1:8" ht="30" hidden="1" customHeight="1">
      <c r="A1067" s="42" t="s">
        <v>3950</v>
      </c>
      <c r="B1067" s="18" t="s">
        <v>218</v>
      </c>
      <c r="C1067" s="18" t="s">
        <v>3405</v>
      </c>
      <c r="D1067" s="34">
        <v>43035</v>
      </c>
      <c r="E1067" s="69">
        <v>4000000</v>
      </c>
      <c r="F1067" s="45" t="s">
        <v>3802</v>
      </c>
      <c r="H1067" s="45" t="s">
        <v>2624</v>
      </c>
    </row>
    <row r="1068" spans="1:8" ht="30" hidden="1" customHeight="1">
      <c r="A1068" s="22" t="s">
        <v>3958</v>
      </c>
      <c r="B1068" s="17" t="s">
        <v>106</v>
      </c>
      <c r="C1068" s="16" t="s">
        <v>3959</v>
      </c>
      <c r="D1068" s="34">
        <v>43045</v>
      </c>
      <c r="E1068" s="141">
        <v>300000</v>
      </c>
      <c r="H1068" s="45" t="s">
        <v>119</v>
      </c>
    </row>
    <row r="1069" spans="1:8" ht="30" hidden="1" customHeight="1">
      <c r="A1069" s="22" t="s">
        <v>3689</v>
      </c>
      <c r="B1069" s="17" t="s">
        <v>3442</v>
      </c>
      <c r="C1069" s="16" t="s">
        <v>3984</v>
      </c>
      <c r="D1069" s="34">
        <v>43022</v>
      </c>
      <c r="E1069" s="141">
        <v>143000</v>
      </c>
      <c r="H1069" s="45" t="s">
        <v>475</v>
      </c>
    </row>
    <row r="1070" spans="1:8" ht="30" hidden="1" customHeight="1">
      <c r="A1070" s="22" t="s">
        <v>4020</v>
      </c>
      <c r="B1070" s="17" t="s">
        <v>3442</v>
      </c>
      <c r="C1070" s="16" t="s">
        <v>3984</v>
      </c>
      <c r="D1070" s="34">
        <v>43022</v>
      </c>
      <c r="E1070" s="141">
        <v>79991.66</v>
      </c>
      <c r="H1070" s="45" t="s">
        <v>475</v>
      </c>
    </row>
    <row r="1071" spans="1:8" ht="30" hidden="1" customHeight="1">
      <c r="A1071" s="42" t="s">
        <v>3570</v>
      </c>
      <c r="B1071" s="18" t="s">
        <v>3263</v>
      </c>
      <c r="C1071" s="18" t="s">
        <v>274</v>
      </c>
      <c r="D1071" s="34">
        <v>43024</v>
      </c>
      <c r="E1071" s="141">
        <v>49011.66</v>
      </c>
      <c r="H1071" s="45" t="s">
        <v>475</v>
      </c>
    </row>
    <row r="1072" spans="1:8" ht="30" hidden="1" customHeight="1">
      <c r="A1072" s="42" t="s">
        <v>4004</v>
      </c>
      <c r="B1072" s="18" t="s">
        <v>3263</v>
      </c>
      <c r="C1072" s="18" t="s">
        <v>875</v>
      </c>
      <c r="D1072" s="34">
        <v>43038</v>
      </c>
      <c r="E1072" s="141">
        <v>309100</v>
      </c>
      <c r="H1072" s="45" t="s">
        <v>1078</v>
      </c>
    </row>
    <row r="1073" spans="1:8" ht="30" hidden="1" customHeight="1">
      <c r="A1073" s="42" t="s">
        <v>4005</v>
      </c>
      <c r="B1073" s="18" t="s">
        <v>3263</v>
      </c>
      <c r="C1073" s="18" t="s">
        <v>875</v>
      </c>
      <c r="D1073" s="34">
        <v>43021</v>
      </c>
      <c r="E1073" s="141">
        <v>254400</v>
      </c>
      <c r="H1073" s="45" t="s">
        <v>1078</v>
      </c>
    </row>
    <row r="1074" spans="1:8" ht="30" hidden="1" customHeight="1">
      <c r="A1074" s="42" t="s">
        <v>4006</v>
      </c>
      <c r="B1074" s="18" t="s">
        <v>3263</v>
      </c>
      <c r="C1074" s="18" t="s">
        <v>875</v>
      </c>
      <c r="D1074" s="34">
        <v>43042</v>
      </c>
      <c r="E1074" s="141">
        <v>159000</v>
      </c>
      <c r="H1074" s="45" t="s">
        <v>1078</v>
      </c>
    </row>
    <row r="1075" spans="1:8" ht="30" hidden="1" customHeight="1">
      <c r="A1075" s="42" t="s">
        <v>4007</v>
      </c>
      <c r="B1075" s="18" t="s">
        <v>3263</v>
      </c>
      <c r="C1075" s="18" t="s">
        <v>875</v>
      </c>
      <c r="D1075" s="34">
        <v>43038</v>
      </c>
      <c r="E1075" s="141">
        <v>50720</v>
      </c>
      <c r="H1075" s="45" t="s">
        <v>1078</v>
      </c>
    </row>
    <row r="1076" spans="1:8" ht="30" hidden="1" customHeight="1">
      <c r="A1076" s="42" t="s">
        <v>4008</v>
      </c>
      <c r="B1076" s="18" t="s">
        <v>3263</v>
      </c>
      <c r="C1076" s="18" t="s">
        <v>875</v>
      </c>
      <c r="D1076" s="34">
        <v>43052</v>
      </c>
      <c r="E1076" s="141">
        <v>78000</v>
      </c>
      <c r="H1076" s="45" t="s">
        <v>1078</v>
      </c>
    </row>
    <row r="1077" spans="1:8" ht="30" hidden="1" customHeight="1">
      <c r="A1077" s="42" t="s">
        <v>4011</v>
      </c>
      <c r="B1077" s="18" t="s">
        <v>3263</v>
      </c>
      <c r="C1077" s="18" t="s">
        <v>2810</v>
      </c>
      <c r="D1077" s="34">
        <v>43039</v>
      </c>
      <c r="E1077" s="141">
        <v>311300</v>
      </c>
      <c r="H1077" s="45" t="s">
        <v>475</v>
      </c>
    </row>
    <row r="1078" spans="1:8" ht="30" hidden="1" customHeight="1">
      <c r="A1078" s="42" t="s">
        <v>4010</v>
      </c>
      <c r="B1078" s="18" t="s">
        <v>3263</v>
      </c>
      <c r="C1078" s="18" t="s">
        <v>3861</v>
      </c>
      <c r="D1078" s="34">
        <v>43028</v>
      </c>
      <c r="E1078" s="141">
        <v>255991.65</v>
      </c>
      <c r="H1078" s="45" t="s">
        <v>475</v>
      </c>
    </row>
    <row r="1079" spans="1:8" ht="30" hidden="1" customHeight="1">
      <c r="A1079" s="42" t="s">
        <v>4009</v>
      </c>
      <c r="B1079" s="18" t="s">
        <v>3263</v>
      </c>
      <c r="C1079" s="18" t="s">
        <v>3861</v>
      </c>
      <c r="D1079" s="34">
        <v>43049</v>
      </c>
      <c r="E1079" s="141">
        <v>159991.65</v>
      </c>
      <c r="H1079" s="45" t="s">
        <v>475</v>
      </c>
    </row>
    <row r="1080" spans="1:8" ht="30" hidden="1" customHeight="1">
      <c r="A1080" s="42"/>
      <c r="B1080" s="18"/>
      <c r="C1080" s="18"/>
      <c r="D1080" s="34"/>
      <c r="E1080" s="141"/>
    </row>
    <row r="1081" spans="1:8" ht="30" customHeight="1">
      <c r="A1081" s="42" t="s">
        <v>4028</v>
      </c>
      <c r="B1081" s="18" t="s">
        <v>194</v>
      </c>
      <c r="C1081" s="18" t="s">
        <v>2503</v>
      </c>
      <c r="D1081" s="34">
        <v>43045</v>
      </c>
      <c r="E1081" s="141">
        <v>345650</v>
      </c>
      <c r="H1081" s="45" t="s">
        <v>118</v>
      </c>
    </row>
    <row r="1082" spans="1:8" ht="30" hidden="1" customHeight="1">
      <c r="A1082" s="42" t="s">
        <v>3941</v>
      </c>
      <c r="B1082" s="18" t="s">
        <v>2761</v>
      </c>
      <c r="C1082" s="18" t="s">
        <v>4083</v>
      </c>
      <c r="D1082" s="34">
        <v>43040</v>
      </c>
      <c r="E1082" s="141">
        <v>5000000</v>
      </c>
      <c r="H1082" s="45" t="s">
        <v>178</v>
      </c>
    </row>
    <row r="1083" spans="1:8" ht="30" hidden="1" customHeight="1">
      <c r="A1083" s="42" t="s">
        <v>3941</v>
      </c>
      <c r="B1083" s="18" t="s">
        <v>2761</v>
      </c>
      <c r="C1083" s="18" t="s">
        <v>4083</v>
      </c>
      <c r="D1083" s="34">
        <v>43042</v>
      </c>
      <c r="E1083" s="141">
        <v>7280000</v>
      </c>
      <c r="H1083" s="45" t="s">
        <v>178</v>
      </c>
    </row>
    <row r="1084" spans="1:8" ht="30" hidden="1" customHeight="1">
      <c r="A1084" s="42" t="s">
        <v>4084</v>
      </c>
      <c r="B1084" s="18" t="s">
        <v>4038</v>
      </c>
      <c r="C1084" s="18" t="s">
        <v>4039</v>
      </c>
      <c r="D1084" s="34">
        <v>43055</v>
      </c>
      <c r="E1084" s="141">
        <v>1680000</v>
      </c>
      <c r="H1084" s="45" t="s">
        <v>119</v>
      </c>
    </row>
    <row r="1085" spans="1:8" ht="30" hidden="1" customHeight="1">
      <c r="A1085" s="42" t="s">
        <v>3821</v>
      </c>
      <c r="B1085" s="18" t="s">
        <v>412</v>
      </c>
      <c r="C1085" s="18" t="s">
        <v>3405</v>
      </c>
      <c r="D1085" s="34">
        <v>43059</v>
      </c>
      <c r="E1085" s="141">
        <v>667244.82999999996</v>
      </c>
      <c r="F1085" s="45">
        <v>667244.83000000007</v>
      </c>
      <c r="H1085" s="45" t="s">
        <v>118</v>
      </c>
    </row>
    <row r="1086" spans="1:8" ht="30" customHeight="1">
      <c r="A1086" s="42" t="s">
        <v>3798</v>
      </c>
      <c r="B1086" s="18" t="s">
        <v>603</v>
      </c>
      <c r="C1086" s="18" t="s">
        <v>3405</v>
      </c>
      <c r="D1086" s="34">
        <v>43059</v>
      </c>
      <c r="E1086" s="141">
        <v>3827272.24</v>
      </c>
      <c r="F1086" s="45">
        <v>3827272.24</v>
      </c>
      <c r="H1086" s="45" t="s">
        <v>118</v>
      </c>
    </row>
    <row r="1087" spans="1:8" ht="30" customHeight="1">
      <c r="A1087" s="42" t="s">
        <v>3961</v>
      </c>
      <c r="B1087" s="18" t="s">
        <v>603</v>
      </c>
      <c r="C1087" s="18" t="s">
        <v>3405</v>
      </c>
      <c r="D1087" s="34">
        <v>43059</v>
      </c>
      <c r="E1087" s="141">
        <v>7653482.9299999997</v>
      </c>
      <c r="F1087" s="45">
        <v>7653482.9299999997</v>
      </c>
      <c r="H1087" s="45" t="s">
        <v>118</v>
      </c>
    </row>
    <row r="1088" spans="1:8" ht="30" hidden="1" customHeight="1">
      <c r="A1088" s="42" t="s">
        <v>4043</v>
      </c>
      <c r="B1088" s="18" t="s">
        <v>3954</v>
      </c>
      <c r="C1088" s="18" t="s">
        <v>4042</v>
      </c>
      <c r="D1088" s="34">
        <v>43053</v>
      </c>
      <c r="E1088" s="141">
        <v>585000</v>
      </c>
      <c r="H1088" s="45" t="s">
        <v>119</v>
      </c>
    </row>
    <row r="1089" spans="1:8" ht="30" hidden="1" customHeight="1">
      <c r="A1089" s="42" t="s">
        <v>4043</v>
      </c>
      <c r="B1089" s="18" t="s">
        <v>3954</v>
      </c>
      <c r="C1089" s="18" t="s">
        <v>4042</v>
      </c>
      <c r="D1089" s="34">
        <v>43060</v>
      </c>
      <c r="E1089" s="141">
        <v>960000</v>
      </c>
      <c r="H1089" s="45" t="s">
        <v>119</v>
      </c>
    </row>
    <row r="1090" spans="1:8" ht="30" hidden="1" customHeight="1">
      <c r="A1090" s="42" t="s">
        <v>4084</v>
      </c>
      <c r="B1090" s="18" t="s">
        <v>4038</v>
      </c>
      <c r="C1090" s="18" t="s">
        <v>4039</v>
      </c>
      <c r="D1090" s="34">
        <v>43056</v>
      </c>
      <c r="E1090" s="141">
        <v>50000</v>
      </c>
      <c r="H1090" s="45" t="s">
        <v>119</v>
      </c>
    </row>
    <row r="1091" spans="1:8" ht="30" hidden="1" customHeight="1">
      <c r="A1091" s="42" t="s">
        <v>4085</v>
      </c>
      <c r="B1091" s="18" t="s">
        <v>4038</v>
      </c>
      <c r="C1091" s="18" t="s">
        <v>4039</v>
      </c>
      <c r="D1091" s="34">
        <v>43063</v>
      </c>
      <c r="E1091" s="141">
        <v>1730000</v>
      </c>
      <c r="H1091" s="45" t="s">
        <v>119</v>
      </c>
    </row>
    <row r="1092" spans="1:8" ht="30" customHeight="1">
      <c r="A1092" s="42" t="s">
        <v>3953</v>
      </c>
      <c r="B1092" s="18" t="s">
        <v>603</v>
      </c>
      <c r="C1092" s="18" t="s">
        <v>4051</v>
      </c>
      <c r="D1092" s="34">
        <v>43063</v>
      </c>
      <c r="E1092" s="141">
        <v>198960.67</v>
      </c>
      <c r="H1092" s="45" t="s">
        <v>178</v>
      </c>
    </row>
    <row r="1093" spans="1:8" ht="30" hidden="1" customHeight="1">
      <c r="A1093" s="42" t="s">
        <v>4043</v>
      </c>
      <c r="B1093" s="18" t="s">
        <v>3954</v>
      </c>
      <c r="C1093" s="18" t="s">
        <v>4042</v>
      </c>
      <c r="D1093" s="34">
        <v>43066</v>
      </c>
      <c r="E1093" s="141">
        <v>900000</v>
      </c>
      <c r="H1093" s="45" t="s">
        <v>119</v>
      </c>
    </row>
    <row r="1094" spans="1:8" ht="30" hidden="1" customHeight="1">
      <c r="A1094" s="42" t="s">
        <v>4043</v>
      </c>
      <c r="B1094" s="18" t="s">
        <v>3954</v>
      </c>
      <c r="C1094" s="18" t="s">
        <v>4042</v>
      </c>
      <c r="D1094" s="34">
        <v>43073</v>
      </c>
      <c r="E1094" s="141">
        <v>1100000</v>
      </c>
      <c r="H1094" s="45" t="s">
        <v>119</v>
      </c>
    </row>
    <row r="1095" spans="1:8" ht="30" hidden="1" customHeight="1">
      <c r="A1095" s="42" t="s">
        <v>4032</v>
      </c>
      <c r="B1095" s="18" t="s">
        <v>2761</v>
      </c>
      <c r="C1095" s="18" t="s">
        <v>2938</v>
      </c>
      <c r="D1095" s="34">
        <v>43060</v>
      </c>
      <c r="E1095" s="141">
        <v>11891900</v>
      </c>
      <c r="H1095" s="45" t="s">
        <v>118</v>
      </c>
    </row>
    <row r="1096" spans="1:8" ht="30" customHeight="1">
      <c r="A1096" s="42" t="s">
        <v>4086</v>
      </c>
      <c r="B1096" s="18" t="s">
        <v>194</v>
      </c>
      <c r="C1096" s="18" t="s">
        <v>875</v>
      </c>
      <c r="D1096" s="34">
        <v>43068</v>
      </c>
      <c r="E1096" s="141">
        <v>815164</v>
      </c>
      <c r="H1096" s="45" t="s">
        <v>1078</v>
      </c>
    </row>
    <row r="1097" spans="1:8" ht="30" hidden="1" customHeight="1">
      <c r="A1097" s="42" t="s">
        <v>4087</v>
      </c>
      <c r="B1097" s="18" t="s">
        <v>3263</v>
      </c>
      <c r="C1097" s="18" t="s">
        <v>875</v>
      </c>
      <c r="D1097" s="34">
        <v>43066</v>
      </c>
      <c r="E1097" s="141">
        <v>302000</v>
      </c>
      <c r="H1097" s="45" t="s">
        <v>1078</v>
      </c>
    </row>
    <row r="1098" spans="1:8" ht="30" hidden="1" customHeight="1">
      <c r="A1098" s="42" t="s">
        <v>4088</v>
      </c>
      <c r="B1098" s="18" t="s">
        <v>3263</v>
      </c>
      <c r="C1098" s="18" t="s">
        <v>875</v>
      </c>
      <c r="D1098" s="34">
        <v>43059</v>
      </c>
      <c r="E1098" s="141">
        <v>302000</v>
      </c>
      <c r="H1098" s="45" t="s">
        <v>1078</v>
      </c>
    </row>
    <row r="1099" spans="1:8" ht="30" hidden="1" customHeight="1">
      <c r="A1099" s="42" t="s">
        <v>4089</v>
      </c>
      <c r="B1099" s="18" t="s">
        <v>3263</v>
      </c>
      <c r="C1099" s="18" t="s">
        <v>875</v>
      </c>
      <c r="D1099" s="34">
        <v>43066</v>
      </c>
      <c r="E1099" s="141">
        <v>302000</v>
      </c>
      <c r="H1099" s="45" t="s">
        <v>1078</v>
      </c>
    </row>
    <row r="1100" spans="1:8" ht="30" hidden="1" customHeight="1">
      <c r="A1100" s="42" t="s">
        <v>4090</v>
      </c>
      <c r="B1100" s="18" t="s">
        <v>3263</v>
      </c>
      <c r="C1100" s="18" t="s">
        <v>875</v>
      </c>
      <c r="D1100" s="34">
        <v>43066</v>
      </c>
      <c r="E1100" s="141">
        <v>146000</v>
      </c>
      <c r="H1100" s="45" t="s">
        <v>1078</v>
      </c>
    </row>
    <row r="1101" spans="1:8" ht="30" hidden="1" customHeight="1">
      <c r="A1101" s="42" t="s">
        <v>4091</v>
      </c>
      <c r="B1101" s="18" t="s">
        <v>3263</v>
      </c>
      <c r="C1101" s="18" t="s">
        <v>875</v>
      </c>
      <c r="D1101" s="34">
        <v>43059</v>
      </c>
      <c r="E1101" s="141">
        <v>230400</v>
      </c>
      <c r="H1101" s="45" t="s">
        <v>1078</v>
      </c>
    </row>
    <row r="1102" spans="1:8" ht="30" hidden="1" customHeight="1">
      <c r="A1102" s="42" t="s">
        <v>4092</v>
      </c>
      <c r="B1102" s="18" t="s">
        <v>3263</v>
      </c>
      <c r="C1102" s="18" t="s">
        <v>875</v>
      </c>
      <c r="D1102" s="34">
        <v>43061</v>
      </c>
      <c r="E1102" s="141">
        <v>122500</v>
      </c>
      <c r="H1102" s="45" t="s">
        <v>1078</v>
      </c>
    </row>
    <row r="1103" spans="1:8" ht="30" hidden="1" customHeight="1">
      <c r="A1103" s="42" t="s">
        <v>4093</v>
      </c>
      <c r="B1103" s="18" t="s">
        <v>3263</v>
      </c>
      <c r="C1103" s="18" t="s">
        <v>875</v>
      </c>
      <c r="D1103" s="34">
        <v>43061</v>
      </c>
      <c r="E1103" s="141">
        <v>49400</v>
      </c>
      <c r="H1103" s="45" t="s">
        <v>1078</v>
      </c>
    </row>
    <row r="1104" spans="1:8" ht="30" hidden="1" customHeight="1">
      <c r="A1104" s="42" t="s">
        <v>4094</v>
      </c>
      <c r="B1104" s="18" t="s">
        <v>3263</v>
      </c>
      <c r="C1104" s="18" t="s">
        <v>2810</v>
      </c>
      <c r="D1104" s="34">
        <v>43063</v>
      </c>
      <c r="E1104" s="141">
        <v>304000</v>
      </c>
      <c r="H1104" s="45" t="s">
        <v>475</v>
      </c>
    </row>
    <row r="1105" spans="1:8" ht="30" hidden="1" customHeight="1">
      <c r="A1105" s="42" t="s">
        <v>4095</v>
      </c>
      <c r="B1105" s="18" t="s">
        <v>3263</v>
      </c>
      <c r="C1105" s="18" t="s">
        <v>2810</v>
      </c>
      <c r="D1105" s="34">
        <v>43068</v>
      </c>
      <c r="E1105" s="141">
        <v>304000</v>
      </c>
      <c r="H1105" s="45" t="s">
        <v>475</v>
      </c>
    </row>
    <row r="1106" spans="1:8" ht="30" hidden="1" customHeight="1">
      <c r="A1106" s="42" t="s">
        <v>4096</v>
      </c>
      <c r="B1106" s="18" t="s">
        <v>3263</v>
      </c>
      <c r="C1106" s="18" t="s">
        <v>2810</v>
      </c>
      <c r="D1106" s="34">
        <v>43068</v>
      </c>
      <c r="E1106" s="141">
        <v>304000</v>
      </c>
      <c r="H1106" s="45" t="s">
        <v>475</v>
      </c>
    </row>
    <row r="1107" spans="1:8" ht="30" hidden="1" customHeight="1">
      <c r="A1107" s="42" t="s">
        <v>4097</v>
      </c>
      <c r="B1107" s="18" t="s">
        <v>3263</v>
      </c>
      <c r="C1107" s="18" t="s">
        <v>3861</v>
      </c>
      <c r="D1107" s="34">
        <v>43068</v>
      </c>
      <c r="E1107" s="141">
        <v>148691.66</v>
      </c>
      <c r="H1107" s="45" t="s">
        <v>475</v>
      </c>
    </row>
    <row r="1108" spans="1:8" ht="30" hidden="1" customHeight="1">
      <c r="A1108" s="42" t="s">
        <v>4098</v>
      </c>
      <c r="B1108" s="18" t="s">
        <v>3263</v>
      </c>
      <c r="C1108" s="18" t="s">
        <v>3861</v>
      </c>
      <c r="D1108" s="34">
        <v>43061</v>
      </c>
      <c r="E1108" s="141">
        <v>232311.66</v>
      </c>
      <c r="H1108" s="45" t="s">
        <v>475</v>
      </c>
    </row>
    <row r="1109" spans="1:8" ht="30" hidden="1" customHeight="1">
      <c r="A1109" s="42" t="s">
        <v>4099</v>
      </c>
      <c r="B1109" s="18" t="s">
        <v>3263</v>
      </c>
      <c r="C1109" s="18" t="s">
        <v>2810</v>
      </c>
      <c r="D1109" s="34">
        <v>43063</v>
      </c>
      <c r="E1109" s="141">
        <v>123500</v>
      </c>
      <c r="H1109" s="45" t="s">
        <v>475</v>
      </c>
    </row>
    <row r="1110" spans="1:8" ht="30" hidden="1" customHeight="1">
      <c r="A1110" s="42" t="s">
        <v>4100</v>
      </c>
      <c r="B1110" s="18" t="s">
        <v>3263</v>
      </c>
      <c r="C1110" s="18" t="s">
        <v>2810</v>
      </c>
      <c r="D1110" s="34">
        <v>43063</v>
      </c>
      <c r="E1110" s="141">
        <v>49800</v>
      </c>
      <c r="H1110" s="45" t="s">
        <v>475</v>
      </c>
    </row>
    <row r="1111" spans="1:8" ht="30" hidden="1" customHeight="1">
      <c r="A1111" s="42" t="s">
        <v>4012</v>
      </c>
      <c r="B1111" s="18" t="s">
        <v>3263</v>
      </c>
      <c r="C1111" s="18" t="s">
        <v>2810</v>
      </c>
      <c r="D1111" s="34">
        <v>43055</v>
      </c>
      <c r="E1111" s="141">
        <v>78600</v>
      </c>
      <c r="H1111" s="45" t="s">
        <v>475</v>
      </c>
    </row>
    <row r="1112" spans="1:8" ht="30" hidden="1" customHeight="1">
      <c r="A1112" s="42" t="s">
        <v>3570</v>
      </c>
      <c r="B1112" s="18" t="s">
        <v>3263</v>
      </c>
      <c r="C1112" s="18" t="s">
        <v>274</v>
      </c>
      <c r="D1112" s="34">
        <v>43053</v>
      </c>
      <c r="E1112" s="141">
        <v>2494.25</v>
      </c>
      <c r="H1112" s="45" t="s">
        <v>475</v>
      </c>
    </row>
    <row r="1113" spans="1:8" ht="30" hidden="1" customHeight="1">
      <c r="A1113" s="42" t="s">
        <v>4106</v>
      </c>
      <c r="B1113" s="18" t="s">
        <v>3263</v>
      </c>
      <c r="C1113" s="18" t="s">
        <v>3602</v>
      </c>
      <c r="D1113" s="34">
        <v>43084</v>
      </c>
      <c r="E1113" s="141">
        <v>146000</v>
      </c>
      <c r="H1113" s="45" t="s">
        <v>1549</v>
      </c>
    </row>
    <row r="1114" spans="1:8" ht="30" hidden="1" customHeight="1">
      <c r="A1114" s="42" t="s">
        <v>4107</v>
      </c>
      <c r="B1114" s="18" t="s">
        <v>3263</v>
      </c>
      <c r="C1114" s="18" t="s">
        <v>3602</v>
      </c>
      <c r="D1114" s="34">
        <v>43077</v>
      </c>
      <c r="E1114" s="141">
        <f>302000-107.8</f>
        <v>301892.2</v>
      </c>
      <c r="H1114" s="45" t="s">
        <v>1549</v>
      </c>
    </row>
    <row r="1115" spans="1:8" ht="30" hidden="1" customHeight="1">
      <c r="A1115" s="42" t="s">
        <v>3972</v>
      </c>
      <c r="B1115" s="18" t="s">
        <v>4111</v>
      </c>
      <c r="C1115" s="18" t="s">
        <v>4121</v>
      </c>
      <c r="D1115" s="34">
        <v>43077</v>
      </c>
      <c r="E1115" s="141">
        <v>48200</v>
      </c>
      <c r="H1115" s="45" t="s">
        <v>4122</v>
      </c>
    </row>
    <row r="1116" spans="1:8" ht="30" hidden="1" customHeight="1">
      <c r="A1116" s="42" t="s">
        <v>3973</v>
      </c>
      <c r="B1116" s="18" t="s">
        <v>4111</v>
      </c>
      <c r="C1116" s="18" t="s">
        <v>4121</v>
      </c>
      <c r="D1116" s="34">
        <v>43077</v>
      </c>
      <c r="E1116" s="141">
        <v>240000</v>
      </c>
      <c r="H1116" s="45" t="s">
        <v>4122</v>
      </c>
    </row>
    <row r="1117" spans="1:8" ht="30" hidden="1" customHeight="1">
      <c r="A1117" s="42" t="s">
        <v>4129</v>
      </c>
      <c r="B1117" s="18" t="s">
        <v>4111</v>
      </c>
      <c r="C1117" s="18" t="s">
        <v>2810</v>
      </c>
      <c r="D1117" s="34">
        <v>43081</v>
      </c>
      <c r="E1117" s="141">
        <v>304000</v>
      </c>
      <c r="H1117" s="45" t="s">
        <v>475</v>
      </c>
    </row>
    <row r="1118" spans="1:8" ht="30" hidden="1" customHeight="1">
      <c r="A1118" s="42" t="s">
        <v>4123</v>
      </c>
      <c r="B1118" s="18" t="s">
        <v>4111</v>
      </c>
      <c r="C1118" s="18" t="s">
        <v>4124</v>
      </c>
      <c r="D1118" s="34"/>
      <c r="E1118" s="141"/>
      <c r="H1118" s="45" t="s">
        <v>475</v>
      </c>
    </row>
    <row r="1119" spans="1:8" ht="30" hidden="1" customHeight="1">
      <c r="A1119" s="42" t="s">
        <v>4125</v>
      </c>
      <c r="B1119" s="18" t="s">
        <v>4111</v>
      </c>
      <c r="C1119" s="18" t="s">
        <v>4126</v>
      </c>
      <c r="D1119" s="34">
        <v>43073</v>
      </c>
      <c r="E1119" s="141">
        <v>51911.66</v>
      </c>
      <c r="H1119" s="45" t="s">
        <v>475</v>
      </c>
    </row>
    <row r="1120" spans="1:8" ht="30" hidden="1" customHeight="1">
      <c r="A1120" s="42" t="s">
        <v>4127</v>
      </c>
      <c r="B1120" s="18" t="s">
        <v>4111</v>
      </c>
      <c r="C1120" s="18" t="s">
        <v>4128</v>
      </c>
      <c r="D1120" s="34">
        <v>43081</v>
      </c>
      <c r="E1120" s="141">
        <v>49000</v>
      </c>
      <c r="H1120" s="45" t="s">
        <v>475</v>
      </c>
    </row>
    <row r="1121" spans="1:8" ht="30" hidden="1" customHeight="1">
      <c r="A1121" s="42" t="s">
        <v>4133</v>
      </c>
      <c r="B1121" s="18" t="s">
        <v>4134</v>
      </c>
      <c r="C1121" s="18" t="s">
        <v>4042</v>
      </c>
      <c r="D1121" s="34">
        <v>43083</v>
      </c>
      <c r="E1121" s="141">
        <v>1136179.74</v>
      </c>
      <c r="H1121" s="45" t="s">
        <v>4135</v>
      </c>
    </row>
    <row r="1122" spans="1:8" ht="30" hidden="1" customHeight="1">
      <c r="A1122" s="42" t="s">
        <v>4130</v>
      </c>
      <c r="B1122" s="18" t="s">
        <v>4134</v>
      </c>
      <c r="C1122" s="18" t="s">
        <v>4042</v>
      </c>
      <c r="D1122" s="34">
        <v>43080</v>
      </c>
      <c r="E1122" s="141">
        <v>1380000</v>
      </c>
      <c r="H1122" s="45" t="s">
        <v>4135</v>
      </c>
    </row>
    <row r="1123" spans="1:8" ht="30" hidden="1" customHeight="1">
      <c r="A1123" s="42" t="s">
        <v>4130</v>
      </c>
      <c r="B1123" s="18" t="s">
        <v>4134</v>
      </c>
      <c r="C1123" s="18" t="s">
        <v>4042</v>
      </c>
      <c r="D1123" s="34">
        <v>43087</v>
      </c>
      <c r="E1123" s="141">
        <v>1940000</v>
      </c>
      <c r="H1123" s="45" t="s">
        <v>4135</v>
      </c>
    </row>
    <row r="1124" spans="1:8" ht="30" hidden="1" customHeight="1">
      <c r="A1124" s="42" t="s">
        <v>4215</v>
      </c>
      <c r="B1124" s="18" t="s">
        <v>4216</v>
      </c>
      <c r="C1124" s="18" t="s">
        <v>4217</v>
      </c>
      <c r="D1124" s="34">
        <v>43074</v>
      </c>
      <c r="E1124" s="141">
        <v>17950000</v>
      </c>
      <c r="H1124" s="45" t="s">
        <v>4218</v>
      </c>
    </row>
    <row r="1125" spans="1:8" ht="30" hidden="1" customHeight="1">
      <c r="A1125" s="42" t="s">
        <v>4228</v>
      </c>
      <c r="B1125" s="18" t="s">
        <v>4227</v>
      </c>
      <c r="C1125" s="18" t="s">
        <v>4229</v>
      </c>
      <c r="D1125" s="34">
        <v>43076</v>
      </c>
      <c r="E1125" s="141">
        <v>950000</v>
      </c>
      <c r="H1125" s="45" t="s">
        <v>4218</v>
      </c>
    </row>
    <row r="1126" spans="1:8" ht="30" hidden="1" customHeight="1">
      <c r="A1126" s="42" t="s">
        <v>4228</v>
      </c>
      <c r="B1126" s="18" t="s">
        <v>4227</v>
      </c>
      <c r="C1126" s="18" t="s">
        <v>4229</v>
      </c>
      <c r="D1126" s="34">
        <v>43077</v>
      </c>
      <c r="E1126" s="141">
        <v>530000</v>
      </c>
      <c r="H1126" s="45" t="s">
        <v>4218</v>
      </c>
    </row>
    <row r="1127" spans="1:8" ht="30" hidden="1" customHeight="1">
      <c r="A1127" s="42" t="s">
        <v>4228</v>
      </c>
      <c r="B1127" s="18" t="s">
        <v>4227</v>
      </c>
      <c r="C1127" s="18" t="s">
        <v>4229</v>
      </c>
      <c r="D1127" s="34">
        <v>43074</v>
      </c>
      <c r="E1127" s="141">
        <v>560000</v>
      </c>
      <c r="H1127" s="45" t="s">
        <v>4218</v>
      </c>
    </row>
    <row r="1128" spans="1:8" ht="30" hidden="1" customHeight="1">
      <c r="A1128" s="42" t="s">
        <v>4228</v>
      </c>
      <c r="B1128" s="18" t="s">
        <v>4227</v>
      </c>
      <c r="C1128" s="18" t="s">
        <v>4229</v>
      </c>
      <c r="D1128" s="34">
        <v>43084</v>
      </c>
      <c r="E1128" s="141">
        <v>680000</v>
      </c>
      <c r="H1128" s="45" t="s">
        <v>4218</v>
      </c>
    </row>
    <row r="1129" spans="1:8" ht="30" hidden="1" customHeight="1">
      <c r="A1129" s="42" t="s">
        <v>4231</v>
      </c>
      <c r="B1129" s="18" t="s">
        <v>4216</v>
      </c>
      <c r="C1129" s="18" t="s">
        <v>2938</v>
      </c>
      <c r="D1129" s="34">
        <v>43083</v>
      </c>
      <c r="E1129" s="141">
        <v>2908241.09</v>
      </c>
      <c r="H1129" s="45" t="s">
        <v>4230</v>
      </c>
    </row>
    <row r="1130" spans="1:8" ht="30" customHeight="1">
      <c r="A1130" s="42" t="s">
        <v>4236</v>
      </c>
      <c r="B1130" s="18" t="s">
        <v>4237</v>
      </c>
      <c r="C1130" s="18" t="s">
        <v>621</v>
      </c>
      <c r="D1130" s="34">
        <v>43073</v>
      </c>
      <c r="E1130" s="141">
        <v>32850</v>
      </c>
      <c r="H1130" s="45" t="s">
        <v>4230</v>
      </c>
    </row>
    <row r="1131" spans="1:8" ht="30" customHeight="1">
      <c r="A1131" s="42" t="s">
        <v>4238</v>
      </c>
      <c r="B1131" s="18" t="s">
        <v>4237</v>
      </c>
      <c r="C1131" s="18" t="s">
        <v>621</v>
      </c>
      <c r="D1131" s="34">
        <v>43074</v>
      </c>
      <c r="E1131" s="141">
        <v>32850</v>
      </c>
      <c r="H1131" s="45" t="s">
        <v>4230</v>
      </c>
    </row>
    <row r="1132" spans="1:8" ht="30" customHeight="1">
      <c r="A1132" s="42" t="s">
        <v>4241</v>
      </c>
      <c r="B1132" s="18" t="s">
        <v>4237</v>
      </c>
      <c r="C1132" s="18" t="s">
        <v>4242</v>
      </c>
      <c r="D1132" s="34">
        <v>43080</v>
      </c>
      <c r="E1132" s="141">
        <v>420000</v>
      </c>
      <c r="H1132" s="45" t="s">
        <v>4230</v>
      </c>
    </row>
    <row r="1133" spans="1:8" ht="30" customHeight="1">
      <c r="A1133" s="42" t="s">
        <v>4247</v>
      </c>
      <c r="B1133" s="18" t="s">
        <v>4237</v>
      </c>
      <c r="C1133" s="18" t="s">
        <v>3602</v>
      </c>
      <c r="D1133" s="34">
        <v>43077</v>
      </c>
      <c r="E1133" s="141">
        <v>20000</v>
      </c>
      <c r="H1133" s="45" t="s">
        <v>4252</v>
      </c>
    </row>
    <row r="1134" spans="1:8" ht="30" customHeight="1">
      <c r="A1134" s="42" t="s">
        <v>4248</v>
      </c>
      <c r="B1134" s="18" t="s">
        <v>4237</v>
      </c>
      <c r="C1134" s="18" t="s">
        <v>4251</v>
      </c>
      <c r="D1134" s="34">
        <v>43076</v>
      </c>
      <c r="E1134" s="141">
        <v>840257.66</v>
      </c>
      <c r="H1134" s="45" t="s">
        <v>4253</v>
      </c>
    </row>
    <row r="1135" spans="1:8" ht="30" hidden="1" customHeight="1">
      <c r="A1135" s="42" t="s">
        <v>4399</v>
      </c>
      <c r="B1135" s="18" t="s">
        <v>4134</v>
      </c>
      <c r="C1135" s="18" t="s">
        <v>1258</v>
      </c>
      <c r="D1135" s="34">
        <v>43084</v>
      </c>
      <c r="E1135" s="141">
        <v>1461000</v>
      </c>
      <c r="H1135" s="45" t="s">
        <v>4230</v>
      </c>
    </row>
    <row r="1136" spans="1:8" ht="30" customHeight="1">
      <c r="A1136" s="42" t="s">
        <v>4258</v>
      </c>
      <c r="B1136" s="18" t="s">
        <v>4257</v>
      </c>
      <c r="C1136" s="18" t="s">
        <v>3558</v>
      </c>
      <c r="D1136" s="34">
        <v>43084</v>
      </c>
      <c r="E1136" s="141">
        <v>337195.5</v>
      </c>
      <c r="F1136" s="141">
        <v>337195.5</v>
      </c>
      <c r="G1136" s="149">
        <v>43258</v>
      </c>
      <c r="H1136" s="45" t="s">
        <v>4230</v>
      </c>
    </row>
    <row r="1137" spans="1:8" ht="30" hidden="1" customHeight="1">
      <c r="A1137" s="42" t="s">
        <v>4259</v>
      </c>
      <c r="B1137" s="18" t="s">
        <v>4260</v>
      </c>
      <c r="C1137" s="18" t="s">
        <v>3558</v>
      </c>
      <c r="D1137" s="34">
        <v>43084</v>
      </c>
      <c r="E1137" s="141">
        <v>2447072.25</v>
      </c>
      <c r="F1137" s="141">
        <v>2447072.25</v>
      </c>
      <c r="G1137" s="149">
        <v>43258</v>
      </c>
      <c r="H1137" s="45" t="s">
        <v>4230</v>
      </c>
    </row>
    <row r="1138" spans="1:8" ht="30" hidden="1" customHeight="1">
      <c r="A1138" s="42" t="s">
        <v>4261</v>
      </c>
      <c r="B1138" s="18" t="s">
        <v>4260</v>
      </c>
      <c r="C1138" s="18" t="s">
        <v>3558</v>
      </c>
      <c r="D1138" s="34">
        <v>43084</v>
      </c>
      <c r="E1138" s="141">
        <v>2215732.25</v>
      </c>
      <c r="F1138" s="141">
        <v>2215732.25</v>
      </c>
      <c r="G1138" s="149">
        <v>43258</v>
      </c>
      <c r="H1138" s="45" t="s">
        <v>4230</v>
      </c>
    </row>
    <row r="1139" spans="1:8" ht="30" hidden="1" customHeight="1">
      <c r="A1139" s="42" t="s">
        <v>3941</v>
      </c>
      <c r="B1139" s="18" t="s">
        <v>2761</v>
      </c>
      <c r="C1139" s="18" t="s">
        <v>4083</v>
      </c>
      <c r="D1139" s="34">
        <v>43088</v>
      </c>
      <c r="E1139" s="141">
        <v>2265616.38</v>
      </c>
      <c r="F1139" s="141"/>
      <c r="H1139" s="45" t="s">
        <v>178</v>
      </c>
    </row>
    <row r="1140" spans="1:8" ht="30" hidden="1" customHeight="1">
      <c r="A1140" s="42" t="s">
        <v>4268</v>
      </c>
      <c r="B1140" s="18" t="s">
        <v>2761</v>
      </c>
      <c r="C1140" s="18" t="s">
        <v>2938</v>
      </c>
      <c r="D1140" s="34">
        <v>43091</v>
      </c>
      <c r="E1140" s="141">
        <v>17174844</v>
      </c>
      <c r="F1140" s="141"/>
      <c r="H1140" s="45" t="s">
        <v>118</v>
      </c>
    </row>
    <row r="1141" spans="1:8" ht="30" hidden="1" customHeight="1">
      <c r="A1141" s="42" t="s">
        <v>4277</v>
      </c>
      <c r="B1141" s="18" t="s">
        <v>4278</v>
      </c>
      <c r="C1141" s="18" t="s">
        <v>4279</v>
      </c>
      <c r="D1141" s="34">
        <v>43097</v>
      </c>
      <c r="E1141" s="141">
        <v>2004689.89</v>
      </c>
      <c r="F1141" s="141"/>
      <c r="H1141" s="45" t="s">
        <v>1847</v>
      </c>
    </row>
    <row r="1142" spans="1:8" ht="30" hidden="1" customHeight="1">
      <c r="A1142" s="42" t="s">
        <v>4282</v>
      </c>
      <c r="B1142" s="18" t="s">
        <v>4165</v>
      </c>
      <c r="C1142" s="18" t="s">
        <v>3957</v>
      </c>
      <c r="D1142" s="34">
        <v>43096</v>
      </c>
      <c r="E1142" s="141">
        <v>-300000</v>
      </c>
      <c r="F1142" s="141"/>
      <c r="H1142" s="45" t="s">
        <v>2235</v>
      </c>
    </row>
    <row r="1143" spans="1:8" ht="30" hidden="1" customHeight="1">
      <c r="A1143" s="42" t="s">
        <v>4287</v>
      </c>
      <c r="B1143" s="18" t="s">
        <v>4165</v>
      </c>
      <c r="C1143" s="18" t="s">
        <v>4288</v>
      </c>
      <c r="D1143" s="34">
        <v>43094</v>
      </c>
      <c r="E1143" s="141">
        <v>450000</v>
      </c>
      <c r="F1143" s="141"/>
      <c r="H1143" s="45" t="s">
        <v>2235</v>
      </c>
    </row>
    <row r="1144" spans="1:8" ht="30" hidden="1" customHeight="1">
      <c r="A1144" s="42" t="s">
        <v>4287</v>
      </c>
      <c r="B1144" s="18" t="s">
        <v>4165</v>
      </c>
      <c r="C1144" s="18" t="s">
        <v>4288</v>
      </c>
      <c r="D1144" s="34">
        <v>43102</v>
      </c>
      <c r="E1144" s="141">
        <v>800000</v>
      </c>
      <c r="F1144" s="141"/>
      <c r="H1144" s="45" t="s">
        <v>2235</v>
      </c>
    </row>
    <row r="1145" spans="1:8" ht="30" customHeight="1">
      <c r="A1145" s="42" t="s">
        <v>4292</v>
      </c>
      <c r="B1145" s="18" t="s">
        <v>1326</v>
      </c>
      <c r="C1145" s="18" t="s">
        <v>1330</v>
      </c>
      <c r="D1145" s="34">
        <v>43097</v>
      </c>
      <c r="E1145" s="141">
        <v>300000</v>
      </c>
      <c r="F1145" s="141"/>
      <c r="H1145" s="45" t="s">
        <v>178</v>
      </c>
    </row>
    <row r="1146" spans="1:8" ht="30" customHeight="1">
      <c r="A1146" s="42" t="s">
        <v>4294</v>
      </c>
      <c r="B1146" s="18" t="s">
        <v>1326</v>
      </c>
      <c r="C1146" s="18" t="s">
        <v>1330</v>
      </c>
      <c r="D1146" s="34">
        <v>43097</v>
      </c>
      <c r="E1146" s="141">
        <v>500000</v>
      </c>
      <c r="F1146" s="141"/>
      <c r="H1146" s="45" t="s">
        <v>178</v>
      </c>
    </row>
    <row r="1147" spans="1:8" ht="30" hidden="1" customHeight="1">
      <c r="A1147" s="42" t="s">
        <v>4228</v>
      </c>
      <c r="B1147" s="18" t="s">
        <v>4227</v>
      </c>
      <c r="C1147" s="18" t="s">
        <v>4229</v>
      </c>
      <c r="D1147" s="34">
        <v>43088</v>
      </c>
      <c r="E1147" s="141">
        <v>1760000</v>
      </c>
      <c r="F1147" s="141"/>
      <c r="H1147" s="45" t="s">
        <v>4218</v>
      </c>
    </row>
    <row r="1148" spans="1:8" ht="30" hidden="1" customHeight="1">
      <c r="A1148" s="42" t="s">
        <v>4228</v>
      </c>
      <c r="B1148" s="18" t="s">
        <v>4227</v>
      </c>
      <c r="C1148" s="18" t="s">
        <v>4229</v>
      </c>
      <c r="D1148" s="34">
        <v>43091</v>
      </c>
      <c r="E1148" s="141">
        <v>1064594.79</v>
      </c>
      <c r="F1148" s="141"/>
      <c r="H1148" s="45" t="s">
        <v>4218</v>
      </c>
    </row>
    <row r="1149" spans="1:8" ht="30" hidden="1" customHeight="1">
      <c r="A1149" s="42" t="s">
        <v>4306</v>
      </c>
      <c r="B1149" s="18" t="s">
        <v>4304</v>
      </c>
      <c r="C1149" s="18" t="s">
        <v>4305</v>
      </c>
      <c r="D1149" s="34">
        <v>43091</v>
      </c>
      <c r="E1149" s="141">
        <v>500000</v>
      </c>
      <c r="F1149" s="141"/>
      <c r="H1149" s="45" t="s">
        <v>4218</v>
      </c>
    </row>
    <row r="1150" spans="1:8" ht="30" hidden="1" customHeight="1">
      <c r="A1150" s="42" t="s">
        <v>4316</v>
      </c>
      <c r="B1150" s="18" t="s">
        <v>3577</v>
      </c>
      <c r="C1150" s="18" t="s">
        <v>4317</v>
      </c>
      <c r="D1150" s="34">
        <v>43089</v>
      </c>
      <c r="E1150" s="141">
        <v>148691.67000000001</v>
      </c>
      <c r="F1150" s="141"/>
      <c r="H1150" s="45" t="s">
        <v>2960</v>
      </c>
    </row>
    <row r="1151" spans="1:8" ht="30" hidden="1" customHeight="1">
      <c r="A1151" s="42" t="s">
        <v>4319</v>
      </c>
      <c r="B1151" s="18" t="s">
        <v>3577</v>
      </c>
      <c r="C1151" s="18" t="s">
        <v>4321</v>
      </c>
      <c r="D1151" s="34">
        <v>43088</v>
      </c>
      <c r="E1151" s="141">
        <v>244000</v>
      </c>
      <c r="F1151" s="141"/>
      <c r="H1151" s="45" t="s">
        <v>2960</v>
      </c>
    </row>
    <row r="1152" spans="1:8" ht="30" hidden="1" customHeight="1">
      <c r="A1152" s="42" t="s">
        <v>4337</v>
      </c>
      <c r="B1152" s="18" t="s">
        <v>3577</v>
      </c>
      <c r="C1152" s="18" t="s">
        <v>3687</v>
      </c>
      <c r="D1152" s="34">
        <v>43090</v>
      </c>
      <c r="E1152" s="141">
        <v>234900</v>
      </c>
      <c r="F1152" s="141"/>
      <c r="H1152" s="45" t="s">
        <v>1078</v>
      </c>
    </row>
    <row r="1153" spans="1:10" ht="30" hidden="1" customHeight="1">
      <c r="A1153" s="42" t="s">
        <v>4337</v>
      </c>
      <c r="B1153" s="18" t="s">
        <v>3577</v>
      </c>
      <c r="C1153" s="18" t="s">
        <v>3687</v>
      </c>
      <c r="D1153" s="34">
        <v>43097</v>
      </c>
      <c r="E1153" s="141">
        <v>234900</v>
      </c>
      <c r="F1153" s="141"/>
      <c r="H1153" s="45" t="s">
        <v>1078</v>
      </c>
    </row>
    <row r="1154" spans="1:10" ht="30" hidden="1" customHeight="1">
      <c r="A1154" s="42" t="s">
        <v>4338</v>
      </c>
      <c r="B1154" s="18" t="s">
        <v>3577</v>
      </c>
      <c r="C1154" s="18" t="s">
        <v>3687</v>
      </c>
      <c r="D1154" s="34">
        <v>43097</v>
      </c>
      <c r="E1154" s="141">
        <v>133000</v>
      </c>
      <c r="F1154" s="141"/>
      <c r="H1154" s="45" t="s">
        <v>1078</v>
      </c>
    </row>
    <row r="1155" spans="1:10" ht="30" hidden="1" customHeight="1">
      <c r="A1155" s="42" t="s">
        <v>4339</v>
      </c>
      <c r="B1155" s="18" t="s">
        <v>3577</v>
      </c>
      <c r="C1155" s="18" t="s">
        <v>3687</v>
      </c>
      <c r="D1155" s="34">
        <v>43097</v>
      </c>
      <c r="E1155" s="141">
        <v>53800</v>
      </c>
      <c r="F1155" s="141"/>
      <c r="H1155" s="45" t="s">
        <v>1078</v>
      </c>
    </row>
    <row r="1156" spans="1:10" ht="30" hidden="1" customHeight="1">
      <c r="A1156" s="42" t="s">
        <v>4340</v>
      </c>
      <c r="B1156" s="18" t="s">
        <v>3577</v>
      </c>
      <c r="C1156" s="18" t="s">
        <v>3687</v>
      </c>
      <c r="D1156" s="34">
        <v>43097</v>
      </c>
      <c r="E1156" s="141">
        <v>58400</v>
      </c>
      <c r="F1156" s="141"/>
      <c r="H1156" s="45" t="s">
        <v>1078</v>
      </c>
    </row>
    <row r="1157" spans="1:10" ht="30" hidden="1" customHeight="1">
      <c r="A1157" s="42" t="s">
        <v>4341</v>
      </c>
      <c r="B1157" s="18" t="s">
        <v>3577</v>
      </c>
      <c r="C1157" s="18" t="s">
        <v>3687</v>
      </c>
      <c r="D1157" s="34">
        <v>43089</v>
      </c>
      <c r="E1157" s="141">
        <v>122430</v>
      </c>
      <c r="F1157" s="141"/>
      <c r="H1157" s="45" t="s">
        <v>1078</v>
      </c>
    </row>
    <row r="1158" spans="1:10" ht="30" hidden="1" customHeight="1">
      <c r="A1158" s="42" t="s">
        <v>4342</v>
      </c>
      <c r="B1158" s="18" t="s">
        <v>3577</v>
      </c>
      <c r="C1158" s="18" t="s">
        <v>4321</v>
      </c>
      <c r="D1158" s="34">
        <v>43461</v>
      </c>
      <c r="E1158" s="141">
        <v>236700</v>
      </c>
      <c r="F1158" s="141"/>
      <c r="H1158" s="45" t="s">
        <v>2960</v>
      </c>
    </row>
    <row r="1159" spans="1:10" ht="30" hidden="1" customHeight="1">
      <c r="A1159" s="42" t="s">
        <v>4342</v>
      </c>
      <c r="B1159" s="18"/>
      <c r="C1159" s="18"/>
      <c r="D1159" s="34"/>
      <c r="E1159" s="141"/>
      <c r="F1159" s="141"/>
    </row>
    <row r="1160" spans="1:10" ht="30" hidden="1" customHeight="1">
      <c r="A1160" s="42" t="s">
        <v>4343</v>
      </c>
      <c r="B1160" s="18"/>
      <c r="C1160" s="18"/>
      <c r="D1160" s="34"/>
      <c r="E1160" s="141"/>
      <c r="F1160" s="141"/>
    </row>
    <row r="1161" spans="1:10" ht="30" hidden="1" customHeight="1">
      <c r="A1161" s="42" t="s">
        <v>4344</v>
      </c>
      <c r="B1161" s="18"/>
      <c r="C1161" s="18"/>
      <c r="D1161" s="34"/>
      <c r="E1161" s="141"/>
      <c r="F1161" s="141"/>
    </row>
    <row r="1162" spans="1:10" ht="30" hidden="1" customHeight="1">
      <c r="A1162" s="42" t="s">
        <v>4345</v>
      </c>
      <c r="B1162" s="18"/>
      <c r="C1162" s="18"/>
      <c r="D1162" s="34"/>
      <c r="E1162" s="141"/>
      <c r="F1162" s="141"/>
    </row>
    <row r="1163" spans="1:10" ht="30" hidden="1" customHeight="1">
      <c r="A1163" s="42" t="s">
        <v>4346</v>
      </c>
      <c r="B1163" s="18" t="s">
        <v>3577</v>
      </c>
      <c r="C1163" s="18" t="s">
        <v>3848</v>
      </c>
      <c r="D1163" s="34">
        <v>43092</v>
      </c>
      <c r="E1163" s="141">
        <v>124401.67</v>
      </c>
      <c r="F1163" s="141"/>
      <c r="H1163" s="45" t="s">
        <v>2960</v>
      </c>
    </row>
    <row r="1164" spans="1:10" ht="30" hidden="1" customHeight="1">
      <c r="A1164" s="22" t="s">
        <v>2151</v>
      </c>
      <c r="B1164" s="17" t="s">
        <v>1380</v>
      </c>
      <c r="C1164" s="16" t="s">
        <v>2394</v>
      </c>
      <c r="D1164" s="34">
        <v>43060</v>
      </c>
      <c r="E1164" s="141">
        <v>425290.35</v>
      </c>
      <c r="H1164" s="45" t="s">
        <v>56</v>
      </c>
    </row>
    <row r="1165" spans="1:10" ht="30" hidden="1" customHeight="1">
      <c r="A1165" s="22" t="s">
        <v>4355</v>
      </c>
      <c r="B1165" s="17" t="s">
        <v>160</v>
      </c>
      <c r="C1165" s="16" t="s">
        <v>4354</v>
      </c>
      <c r="D1165" s="34">
        <v>43091</v>
      </c>
      <c r="E1165" s="141"/>
      <c r="H1165" s="45" t="s">
        <v>119</v>
      </c>
      <c r="J1165" s="45">
        <v>45058.720000000001</v>
      </c>
    </row>
    <row r="1166" spans="1:10" ht="30" hidden="1" customHeight="1">
      <c r="A1166" s="42" t="s">
        <v>4268</v>
      </c>
      <c r="B1166" s="18" t="s">
        <v>2761</v>
      </c>
      <c r="C1166" s="18" t="s">
        <v>2938</v>
      </c>
      <c r="D1166" s="34">
        <v>43110</v>
      </c>
      <c r="E1166" s="141">
        <v>4054355.73</v>
      </c>
      <c r="H1166" s="45" t="s">
        <v>1719</v>
      </c>
    </row>
    <row r="1167" spans="1:10" ht="30" hidden="1" customHeight="1">
      <c r="A1167" s="42" t="s">
        <v>4212</v>
      </c>
      <c r="B1167" s="18" t="s">
        <v>2761</v>
      </c>
      <c r="C1167" s="18" t="s">
        <v>4083</v>
      </c>
      <c r="D1167" s="34">
        <v>43111</v>
      </c>
      <c r="E1167" s="141">
        <v>2915849.6000000015</v>
      </c>
      <c r="H1167" s="45" t="s">
        <v>56</v>
      </c>
    </row>
    <row r="1168" spans="1:10" ht="30" hidden="1" customHeight="1">
      <c r="A1168" s="42" t="s">
        <v>4084</v>
      </c>
      <c r="B1168" s="18" t="s">
        <v>4038</v>
      </c>
      <c r="C1168" s="18" t="s">
        <v>4039</v>
      </c>
      <c r="D1168" s="34">
        <v>43108</v>
      </c>
      <c r="E1168" s="141">
        <v>-7219.61</v>
      </c>
      <c r="H1168" s="45" t="s">
        <v>1719</v>
      </c>
    </row>
    <row r="1169" spans="1:8" ht="30" hidden="1" customHeight="1">
      <c r="A1169" s="42" t="s">
        <v>4085</v>
      </c>
      <c r="B1169" s="18" t="s">
        <v>4038</v>
      </c>
      <c r="C1169" s="18" t="s">
        <v>4039</v>
      </c>
      <c r="D1169" s="34">
        <v>43108</v>
      </c>
      <c r="E1169" s="141">
        <v>-32028.92</v>
      </c>
      <c r="H1169" s="45" t="s">
        <v>1719</v>
      </c>
    </row>
    <row r="1170" spans="1:8" ht="30" hidden="1" customHeight="1">
      <c r="A1170" s="42" t="s">
        <v>4283</v>
      </c>
      <c r="B1170" s="18" t="s">
        <v>3954</v>
      </c>
      <c r="C1170" s="18" t="s">
        <v>4359</v>
      </c>
      <c r="D1170" s="34">
        <v>43103</v>
      </c>
      <c r="E1170" s="141">
        <v>1085360.05</v>
      </c>
      <c r="H1170" s="45" t="s">
        <v>1722</v>
      </c>
    </row>
    <row r="1171" spans="1:8" ht="30" hidden="1" customHeight="1">
      <c r="A1171" s="42" t="s">
        <v>4363</v>
      </c>
      <c r="B1171" s="18" t="s">
        <v>3954</v>
      </c>
      <c r="C1171" s="18" t="s">
        <v>4406</v>
      </c>
      <c r="D1171" s="34">
        <v>43108</v>
      </c>
      <c r="E1171" s="141">
        <v>790000</v>
      </c>
      <c r="H1171" s="45" t="s">
        <v>1722</v>
      </c>
    </row>
    <row r="1172" spans="1:8" ht="30" customHeight="1">
      <c r="A1172" s="42" t="s">
        <v>4368</v>
      </c>
      <c r="B1172" s="18" t="s">
        <v>4369</v>
      </c>
      <c r="C1172" s="18" t="s">
        <v>4370</v>
      </c>
      <c r="D1172" s="34">
        <v>43110</v>
      </c>
      <c r="E1172" s="141">
        <v>758400</v>
      </c>
      <c r="H1172" s="45" t="s">
        <v>4371</v>
      </c>
    </row>
    <row r="1173" spans="1:8" ht="30" customHeight="1">
      <c r="A1173" s="42" t="s">
        <v>4374</v>
      </c>
      <c r="B1173" s="18" t="s">
        <v>4376</v>
      </c>
      <c r="C1173" s="18" t="s">
        <v>1330</v>
      </c>
      <c r="D1173" s="34">
        <v>43126</v>
      </c>
      <c r="E1173" s="141">
        <v>600000</v>
      </c>
      <c r="H1173" s="45" t="s">
        <v>492</v>
      </c>
    </row>
    <row r="1174" spans="1:8" ht="30" customHeight="1">
      <c r="A1174" s="42" t="s">
        <v>4380</v>
      </c>
      <c r="B1174" s="18" t="s">
        <v>4376</v>
      </c>
      <c r="C1174" s="18" t="s">
        <v>2476</v>
      </c>
      <c r="D1174" s="34">
        <v>43117</v>
      </c>
      <c r="E1174" s="141">
        <v>265600</v>
      </c>
      <c r="H1174" s="45" t="s">
        <v>492</v>
      </c>
    </row>
    <row r="1175" spans="1:8" ht="30" customHeight="1">
      <c r="A1175" s="42" t="s">
        <v>4380</v>
      </c>
      <c r="B1175" s="18" t="s">
        <v>4376</v>
      </c>
      <c r="C1175" s="18" t="s">
        <v>2476</v>
      </c>
      <c r="D1175" s="34">
        <v>43122</v>
      </c>
      <c r="E1175" s="141">
        <v>1000000</v>
      </c>
      <c r="H1175" s="45" t="s">
        <v>492</v>
      </c>
    </row>
    <row r="1176" spans="1:8" ht="30" customHeight="1">
      <c r="A1176" s="42" t="s">
        <v>4391</v>
      </c>
      <c r="B1176" s="18" t="s">
        <v>4369</v>
      </c>
      <c r="C1176" s="18" t="s">
        <v>3133</v>
      </c>
      <c r="D1176" s="34">
        <v>43117</v>
      </c>
      <c r="E1176" s="141">
        <v>1888000</v>
      </c>
      <c r="H1176" s="45" t="s">
        <v>492</v>
      </c>
    </row>
    <row r="1177" spans="1:8" ht="30" hidden="1" customHeight="1">
      <c r="A1177" s="42" t="s">
        <v>4395</v>
      </c>
      <c r="B1177" s="18" t="s">
        <v>3954</v>
      </c>
      <c r="C1177" s="18" t="s">
        <v>4271</v>
      </c>
      <c r="D1177" s="34">
        <v>43115</v>
      </c>
      <c r="E1177" s="141">
        <v>730000</v>
      </c>
      <c r="H1177" s="45" t="s">
        <v>1722</v>
      </c>
    </row>
    <row r="1178" spans="1:8" ht="30" hidden="1" customHeight="1">
      <c r="A1178" s="42" t="s">
        <v>4395</v>
      </c>
      <c r="B1178" s="18" t="s">
        <v>3954</v>
      </c>
      <c r="C1178" s="18" t="s">
        <v>4271</v>
      </c>
      <c r="D1178" s="34">
        <v>43122</v>
      </c>
      <c r="E1178" s="141">
        <v>1010000</v>
      </c>
      <c r="H1178" s="45" t="s">
        <v>1722</v>
      </c>
    </row>
    <row r="1179" spans="1:8" ht="30" hidden="1" customHeight="1">
      <c r="A1179" s="42" t="s">
        <v>4399</v>
      </c>
      <c r="B1179" s="18" t="s">
        <v>4134</v>
      </c>
      <c r="C1179" s="18" t="s">
        <v>1258</v>
      </c>
      <c r="D1179" s="34">
        <v>43122</v>
      </c>
      <c r="E1179" s="141">
        <v>2532400</v>
      </c>
      <c r="H1179" s="45" t="s">
        <v>4230</v>
      </c>
    </row>
    <row r="1180" spans="1:8" ht="30" hidden="1" customHeight="1">
      <c r="A1180" s="45" t="s">
        <v>4306</v>
      </c>
      <c r="B1180" s="18" t="s">
        <v>4403</v>
      </c>
      <c r="C1180" s="18" t="s">
        <v>4305</v>
      </c>
      <c r="D1180" s="34">
        <v>43112</v>
      </c>
      <c r="E1180" s="141">
        <v>1110000</v>
      </c>
      <c r="H1180" s="45" t="s">
        <v>4218</v>
      </c>
    </row>
    <row r="1181" spans="1:8" ht="30" hidden="1" customHeight="1">
      <c r="A1181" s="42" t="s">
        <v>4421</v>
      </c>
      <c r="B1181" s="18" t="s">
        <v>3263</v>
      </c>
      <c r="C1181" s="18" t="s">
        <v>3687</v>
      </c>
      <c r="D1181" s="34">
        <v>43118</v>
      </c>
      <c r="E1181" s="141">
        <v>400500</v>
      </c>
      <c r="H1181" s="45" t="s">
        <v>1078</v>
      </c>
    </row>
    <row r="1182" spans="1:8" ht="30" hidden="1" customHeight="1">
      <c r="A1182" s="42" t="s">
        <v>4422</v>
      </c>
      <c r="B1182" s="18" t="s">
        <v>3263</v>
      </c>
      <c r="C1182" s="18" t="s">
        <v>3687</v>
      </c>
      <c r="D1182" s="34">
        <v>43118</v>
      </c>
      <c r="E1182" s="141">
        <v>133000</v>
      </c>
      <c r="H1182" s="45" t="s">
        <v>1078</v>
      </c>
    </row>
    <row r="1183" spans="1:8" ht="30" hidden="1" customHeight="1">
      <c r="A1183" s="42" t="s">
        <v>4423</v>
      </c>
      <c r="B1183" s="18" t="s">
        <v>3263</v>
      </c>
      <c r="C1183" s="18" t="s">
        <v>3687</v>
      </c>
      <c r="D1183" s="34">
        <v>43124</v>
      </c>
      <c r="E1183" s="141">
        <v>333000</v>
      </c>
      <c r="H1183" s="45" t="s">
        <v>1078</v>
      </c>
    </row>
    <row r="1184" spans="1:8" ht="30" hidden="1" customHeight="1">
      <c r="A1184" s="42" t="s">
        <v>4424</v>
      </c>
      <c r="B1184" s="18" t="s">
        <v>3263</v>
      </c>
      <c r="C1184" s="18" t="s">
        <v>4321</v>
      </c>
      <c r="D1184" s="34">
        <v>43124</v>
      </c>
      <c r="E1184" s="69">
        <v>403500</v>
      </c>
      <c r="H1184" s="45" t="s">
        <v>2960</v>
      </c>
    </row>
    <row r="1185" spans="1:8" ht="30" hidden="1" customHeight="1">
      <c r="A1185" s="42" t="s">
        <v>4960</v>
      </c>
      <c r="B1185" s="18" t="s">
        <v>3263</v>
      </c>
      <c r="C1185" s="18" t="s">
        <v>4321</v>
      </c>
      <c r="D1185" s="34">
        <v>43124</v>
      </c>
      <c r="E1185" s="69">
        <v>134000</v>
      </c>
      <c r="H1185" s="45" t="s">
        <v>2960</v>
      </c>
    </row>
    <row r="1186" spans="1:8" ht="30" hidden="1" customHeight="1">
      <c r="A1186" s="42" t="s">
        <v>4425</v>
      </c>
      <c r="B1186" s="18" t="s">
        <v>3263</v>
      </c>
      <c r="C1186" s="18" t="s">
        <v>4321</v>
      </c>
      <c r="D1186" s="34">
        <v>43124</v>
      </c>
      <c r="E1186" s="69">
        <v>337000</v>
      </c>
      <c r="H1186" s="45" t="s">
        <v>2960</v>
      </c>
    </row>
    <row r="1187" spans="1:8" ht="30" hidden="1" customHeight="1">
      <c r="A1187" s="42" t="s">
        <v>4345</v>
      </c>
      <c r="B1187" s="18" t="s">
        <v>3263</v>
      </c>
      <c r="C1187" s="18" t="s">
        <v>274</v>
      </c>
      <c r="D1187" s="34">
        <v>43112</v>
      </c>
      <c r="E1187" s="69">
        <v>56231.67</v>
      </c>
      <c r="H1187" s="45" t="s">
        <v>2960</v>
      </c>
    </row>
    <row r="1188" spans="1:8" ht="30" hidden="1" customHeight="1">
      <c r="A1188" s="42" t="s">
        <v>4343</v>
      </c>
      <c r="B1188" s="18" t="s">
        <v>3263</v>
      </c>
      <c r="C1188" s="18" t="s">
        <v>4426</v>
      </c>
      <c r="D1188" s="34">
        <v>43105</v>
      </c>
      <c r="E1188" s="69">
        <v>134000</v>
      </c>
      <c r="H1188" s="45" t="s">
        <v>475</v>
      </c>
    </row>
    <row r="1189" spans="1:8" ht="30" hidden="1" customHeight="1">
      <c r="A1189" s="42" t="s">
        <v>4344</v>
      </c>
      <c r="B1189" s="18" t="s">
        <v>3263</v>
      </c>
      <c r="C1189" s="18" t="s">
        <v>4426</v>
      </c>
      <c r="D1189" s="34">
        <v>43105</v>
      </c>
      <c r="E1189" s="69">
        <v>54200</v>
      </c>
      <c r="H1189" s="45" t="s">
        <v>475</v>
      </c>
    </row>
    <row r="1190" spans="1:8" ht="30" hidden="1" customHeight="1">
      <c r="A1190" s="42" t="s">
        <v>4427</v>
      </c>
      <c r="B1190" s="18" t="s">
        <v>3263</v>
      </c>
      <c r="C1190" s="18" t="s">
        <v>4426</v>
      </c>
      <c r="D1190" s="34">
        <v>43105</v>
      </c>
      <c r="E1190" s="69">
        <v>236700</v>
      </c>
      <c r="H1190" s="45" t="s">
        <v>475</v>
      </c>
    </row>
    <row r="1191" spans="1:8" ht="30" hidden="1" customHeight="1">
      <c r="A1191" s="45" t="s">
        <v>4432</v>
      </c>
      <c r="B1191" s="18" t="s">
        <v>4219</v>
      </c>
      <c r="C1191" s="18" t="s">
        <v>4220</v>
      </c>
      <c r="D1191" s="34">
        <v>43122</v>
      </c>
      <c r="E1191" s="141">
        <v>3680000</v>
      </c>
      <c r="H1191" s="45" t="s">
        <v>178</v>
      </c>
    </row>
    <row r="1192" spans="1:8" ht="30" hidden="1" customHeight="1">
      <c r="A1192" s="45" t="s">
        <v>4589</v>
      </c>
      <c r="B1192" s="18" t="s">
        <v>3954</v>
      </c>
      <c r="C1192" s="18" t="s">
        <v>4271</v>
      </c>
      <c r="D1192" s="34">
        <v>43133</v>
      </c>
      <c r="E1192" s="141">
        <v>661576.29</v>
      </c>
      <c r="H1192" s="45" t="s">
        <v>119</v>
      </c>
    </row>
    <row r="1193" spans="1:8" ht="30" hidden="1" customHeight="1">
      <c r="A1193" s="45" t="s">
        <v>4434</v>
      </c>
      <c r="B1193" s="18" t="s">
        <v>3954</v>
      </c>
      <c r="C1193" s="18" t="s">
        <v>4271</v>
      </c>
      <c r="D1193" s="34">
        <v>43136</v>
      </c>
      <c r="E1193" s="141">
        <v>2070000</v>
      </c>
      <c r="H1193" s="45" t="s">
        <v>1722</v>
      </c>
    </row>
    <row r="1194" spans="1:8" ht="30" hidden="1" customHeight="1">
      <c r="A1194" s="45" t="s">
        <v>4437</v>
      </c>
      <c r="B1194" s="18" t="s">
        <v>4219</v>
      </c>
      <c r="C1194" s="18" t="s">
        <v>4220</v>
      </c>
      <c r="D1194" s="34">
        <v>43136</v>
      </c>
      <c r="E1194" s="141">
        <v>1650000</v>
      </c>
      <c r="H1194" s="45" t="s">
        <v>56</v>
      </c>
    </row>
    <row r="1195" spans="1:8" ht="30" hidden="1" customHeight="1">
      <c r="A1195" s="45" t="s">
        <v>4437</v>
      </c>
      <c r="B1195" s="18" t="s">
        <v>4219</v>
      </c>
      <c r="C1195" s="18" t="s">
        <v>4220</v>
      </c>
      <c r="D1195" s="34">
        <v>43137</v>
      </c>
      <c r="E1195" s="141">
        <v>180000</v>
      </c>
      <c r="H1195" s="45" t="s">
        <v>56</v>
      </c>
    </row>
    <row r="1196" spans="1:8" ht="30" hidden="1" customHeight="1">
      <c r="A1196" s="45" t="s">
        <v>4432</v>
      </c>
      <c r="B1196" s="18" t="s">
        <v>4219</v>
      </c>
      <c r="C1196" s="18" t="s">
        <v>4220</v>
      </c>
      <c r="D1196" s="34">
        <v>43137</v>
      </c>
      <c r="E1196" s="141">
        <v>270000</v>
      </c>
      <c r="H1196" s="45" t="s">
        <v>56</v>
      </c>
    </row>
    <row r="1197" spans="1:8" ht="30" hidden="1" customHeight="1">
      <c r="A1197" s="42" t="s">
        <v>4440</v>
      </c>
      <c r="B1197" s="18" t="s">
        <v>4219</v>
      </c>
      <c r="C1197" s="18" t="s">
        <v>2938</v>
      </c>
      <c r="D1197" s="34">
        <v>43130</v>
      </c>
      <c r="E1197" s="141">
        <v>5558834.3099999996</v>
      </c>
      <c r="H1197" s="45" t="s">
        <v>1719</v>
      </c>
    </row>
    <row r="1198" spans="1:8" ht="30" hidden="1" customHeight="1">
      <c r="A1198" s="42" t="s">
        <v>4447</v>
      </c>
      <c r="B1198" s="18" t="s">
        <v>4448</v>
      </c>
      <c r="C1198" s="18" t="s">
        <v>4449</v>
      </c>
      <c r="D1198" s="34">
        <v>43129</v>
      </c>
      <c r="E1198" s="141">
        <v>1975820.88</v>
      </c>
      <c r="H1198" s="45" t="s">
        <v>4450</v>
      </c>
    </row>
    <row r="1199" spans="1:8" ht="30" customHeight="1">
      <c r="A1199" s="42" t="s">
        <v>4457</v>
      </c>
      <c r="B1199" s="18" t="s">
        <v>4458</v>
      </c>
      <c r="C1199" s="18" t="s">
        <v>4459</v>
      </c>
      <c r="D1199" s="34">
        <v>43130</v>
      </c>
      <c r="E1199" s="141">
        <v>163840</v>
      </c>
      <c r="H1199" s="45" t="s">
        <v>4460</v>
      </c>
    </row>
    <row r="1200" spans="1:8" ht="30" customHeight="1">
      <c r="A1200" s="42" t="s">
        <v>4464</v>
      </c>
      <c r="B1200" s="18" t="s">
        <v>4465</v>
      </c>
      <c r="C1200" s="18" t="s">
        <v>4463</v>
      </c>
      <c r="D1200" s="34">
        <v>43129</v>
      </c>
      <c r="E1200" s="141">
        <v>117475.35000000009</v>
      </c>
      <c r="H1200" s="45" t="s">
        <v>4460</v>
      </c>
    </row>
    <row r="1201" spans="1:8" ht="30" customHeight="1">
      <c r="A1201" s="42" t="s">
        <v>4466</v>
      </c>
      <c r="B1201" s="18" t="s">
        <v>4465</v>
      </c>
      <c r="C1201" s="18" t="s">
        <v>4463</v>
      </c>
      <c r="D1201" s="34">
        <v>43129</v>
      </c>
      <c r="E1201" s="141">
        <v>60139.25</v>
      </c>
      <c r="H1201" s="45" t="s">
        <v>4460</v>
      </c>
    </row>
    <row r="1202" spans="1:8" ht="30" customHeight="1">
      <c r="A1202" s="42" t="s">
        <v>4468</v>
      </c>
      <c r="B1202" s="18" t="s">
        <v>4465</v>
      </c>
      <c r="C1202" s="18" t="s">
        <v>4463</v>
      </c>
      <c r="D1202" s="34">
        <v>43129</v>
      </c>
      <c r="E1202" s="141">
        <v>1000000</v>
      </c>
      <c r="H1202" s="45" t="s">
        <v>4460</v>
      </c>
    </row>
    <row r="1203" spans="1:8" ht="30" customHeight="1">
      <c r="A1203" s="42" t="s">
        <v>4468</v>
      </c>
      <c r="B1203" s="18" t="s">
        <v>4465</v>
      </c>
      <c r="C1203" s="18" t="s">
        <v>4463</v>
      </c>
      <c r="D1203" s="34">
        <v>43126</v>
      </c>
      <c r="E1203" s="141">
        <v>500000</v>
      </c>
      <c r="F1203" s="45">
        <v>500000</v>
      </c>
      <c r="G1203" s="149">
        <v>43249</v>
      </c>
      <c r="H1203" s="45" t="s">
        <v>4460</v>
      </c>
    </row>
    <row r="1204" spans="1:8" ht="30" hidden="1" customHeight="1">
      <c r="A1204" s="42" t="s">
        <v>4470</v>
      </c>
      <c r="B1204" s="18" t="s">
        <v>4471</v>
      </c>
      <c r="C1204" s="18" t="s">
        <v>4472</v>
      </c>
      <c r="D1204" s="34">
        <v>43137</v>
      </c>
      <c r="E1204" s="141">
        <v>47030.83</v>
      </c>
      <c r="F1204" s="45">
        <v>47030.83</v>
      </c>
      <c r="G1204" s="149">
        <v>43216</v>
      </c>
      <c r="H1204" s="45" t="s">
        <v>4450</v>
      </c>
    </row>
    <row r="1205" spans="1:8" ht="30" hidden="1" customHeight="1">
      <c r="A1205" s="42" t="s">
        <v>4473</v>
      </c>
      <c r="B1205" s="18" t="s">
        <v>4471</v>
      </c>
      <c r="C1205" s="18" t="s">
        <v>4472</v>
      </c>
      <c r="D1205" s="34">
        <v>43137</v>
      </c>
      <c r="E1205" s="141">
        <v>2905719.4699999997</v>
      </c>
      <c r="F1205" s="45">
        <v>2905719.4699999997</v>
      </c>
      <c r="G1205" s="149">
        <v>43216</v>
      </c>
      <c r="H1205" s="45" t="s">
        <v>4450</v>
      </c>
    </row>
    <row r="1206" spans="1:8" ht="30" hidden="1" customHeight="1">
      <c r="A1206" s="42" t="s">
        <v>4749</v>
      </c>
      <c r="B1206" s="18" t="s">
        <v>4471</v>
      </c>
      <c r="C1206" s="18" t="s">
        <v>4474</v>
      </c>
      <c r="D1206" s="34">
        <v>43143</v>
      </c>
      <c r="E1206" s="141">
        <v>2000000</v>
      </c>
      <c r="H1206" s="45" t="s">
        <v>4475</v>
      </c>
    </row>
    <row r="1207" spans="1:8" ht="30" hidden="1" customHeight="1">
      <c r="A1207" s="42" t="s">
        <v>4492</v>
      </c>
      <c r="B1207" s="18" t="s">
        <v>4491</v>
      </c>
      <c r="C1207" s="18" t="s">
        <v>4501</v>
      </c>
      <c r="D1207" s="34">
        <v>43129</v>
      </c>
      <c r="E1207" s="141">
        <v>212800</v>
      </c>
      <c r="H1207" s="45" t="s">
        <v>4503</v>
      </c>
    </row>
    <row r="1208" spans="1:8" ht="30" hidden="1" customHeight="1">
      <c r="A1208" s="42" t="s">
        <v>4497</v>
      </c>
      <c r="B1208" s="18" t="s">
        <v>4491</v>
      </c>
      <c r="C1208" s="18" t="s">
        <v>4501</v>
      </c>
      <c r="D1208" s="34">
        <v>43462</v>
      </c>
      <c r="E1208" s="141">
        <v>99600</v>
      </c>
      <c r="H1208" s="45" t="s">
        <v>4503</v>
      </c>
    </row>
    <row r="1209" spans="1:8" ht="30" customHeight="1">
      <c r="A1209" s="42" t="s">
        <v>4506</v>
      </c>
      <c r="B1209" s="18" t="s">
        <v>4458</v>
      </c>
      <c r="C1209" s="18" t="s">
        <v>4501</v>
      </c>
      <c r="D1209" s="34">
        <v>43129</v>
      </c>
      <c r="E1209" s="141">
        <v>106853.43</v>
      </c>
      <c r="H1209" s="45" t="s">
        <v>4503</v>
      </c>
    </row>
    <row r="1210" spans="1:8" ht="30" customHeight="1">
      <c r="A1210" s="42" t="s">
        <v>4508</v>
      </c>
      <c r="B1210" s="18" t="s">
        <v>4458</v>
      </c>
      <c r="C1210" s="18" t="s">
        <v>4426</v>
      </c>
      <c r="D1210" s="34">
        <v>43131</v>
      </c>
      <c r="E1210" s="141">
        <v>107700</v>
      </c>
      <c r="H1210" s="45" t="s">
        <v>4509</v>
      </c>
    </row>
    <row r="1211" spans="1:8" ht="30" hidden="1" customHeight="1">
      <c r="A1211" s="42" t="s">
        <v>4395</v>
      </c>
      <c r="B1211" s="18" t="s">
        <v>3954</v>
      </c>
      <c r="C1211" s="18" t="s">
        <v>4271</v>
      </c>
      <c r="D1211" s="34">
        <v>43129</v>
      </c>
      <c r="E1211" s="141">
        <v>470000</v>
      </c>
      <c r="H1211" s="45" t="s">
        <v>4475</v>
      </c>
    </row>
    <row r="1212" spans="1:8" ht="30" hidden="1" customHeight="1">
      <c r="A1212" s="42" t="s">
        <v>4529</v>
      </c>
      <c r="B1212" s="18" t="s">
        <v>3954</v>
      </c>
      <c r="C1212" s="18" t="s">
        <v>168</v>
      </c>
      <c r="D1212" s="34">
        <v>43136</v>
      </c>
      <c r="E1212" s="141">
        <v>-5905.5</v>
      </c>
      <c r="H1212" s="45" t="s">
        <v>119</v>
      </c>
    </row>
    <row r="1213" spans="1:8" ht="30" hidden="1" customHeight="1">
      <c r="A1213" s="42" t="s">
        <v>4529</v>
      </c>
      <c r="B1213" s="18" t="s">
        <v>3954</v>
      </c>
      <c r="C1213" s="18" t="s">
        <v>168</v>
      </c>
      <c r="D1213" s="34">
        <v>43160</v>
      </c>
      <c r="E1213" s="141">
        <v>-161948.99</v>
      </c>
      <c r="H1213" s="45" t="s">
        <v>119</v>
      </c>
    </row>
    <row r="1214" spans="1:8" ht="30" hidden="1" customHeight="1">
      <c r="A1214" s="42" t="s">
        <v>4529</v>
      </c>
      <c r="B1214" s="18" t="s">
        <v>3954</v>
      </c>
      <c r="C1214" s="18" t="s">
        <v>168</v>
      </c>
      <c r="D1214" s="34">
        <v>43161</v>
      </c>
      <c r="E1214" s="141">
        <v>91077.209999999963</v>
      </c>
      <c r="F1214" s="45">
        <v>91077.209999999963</v>
      </c>
      <c r="G1214" s="149">
        <v>43248</v>
      </c>
      <c r="H1214" s="45" t="s">
        <v>118</v>
      </c>
    </row>
    <row r="1215" spans="1:8" ht="30" customHeight="1">
      <c r="A1215" s="42" t="s">
        <v>4552</v>
      </c>
      <c r="B1215" s="18" t="s">
        <v>194</v>
      </c>
      <c r="C1215" s="18" t="s">
        <v>2503</v>
      </c>
      <c r="D1215" s="34">
        <v>43161</v>
      </c>
      <c r="E1215" s="141">
        <f>13650*32</f>
        <v>436800</v>
      </c>
      <c r="H1215" s="45" t="s">
        <v>118</v>
      </c>
    </row>
    <row r="1216" spans="1:8" ht="30" customHeight="1">
      <c r="A1216" s="42" t="s">
        <v>4553</v>
      </c>
      <c r="B1216" s="18" t="s">
        <v>194</v>
      </c>
      <c r="C1216" s="18" t="s">
        <v>2011</v>
      </c>
      <c r="D1216" s="34">
        <v>43161</v>
      </c>
      <c r="E1216" s="141">
        <f>13400*32</f>
        <v>428800</v>
      </c>
      <c r="H1216" s="45" t="s">
        <v>56</v>
      </c>
    </row>
    <row r="1217" spans="1:8" ht="30" customHeight="1">
      <c r="A1217" s="42" t="s">
        <v>4556</v>
      </c>
      <c r="B1217" s="18" t="s">
        <v>194</v>
      </c>
      <c r="C1217" s="18" t="s">
        <v>2011</v>
      </c>
      <c r="D1217" s="34">
        <v>43155</v>
      </c>
      <c r="E1217" s="141">
        <v>668160</v>
      </c>
      <c r="H1217" s="45" t="s">
        <v>56</v>
      </c>
    </row>
    <row r="1218" spans="1:8" ht="30" customHeight="1">
      <c r="A1218" s="42" t="s">
        <v>4556</v>
      </c>
      <c r="B1218" s="18" t="s">
        <v>194</v>
      </c>
      <c r="C1218" s="18" t="s">
        <v>2011</v>
      </c>
      <c r="D1218" s="34">
        <v>43160</v>
      </c>
      <c r="E1218" s="141">
        <v>6023.68</v>
      </c>
      <c r="H1218" s="45" t="s">
        <v>56</v>
      </c>
    </row>
    <row r="1219" spans="1:8" ht="30" customHeight="1">
      <c r="A1219" s="42" t="s">
        <v>3891</v>
      </c>
      <c r="B1219" s="18" t="s">
        <v>194</v>
      </c>
      <c r="C1219" s="18" t="s">
        <v>2011</v>
      </c>
      <c r="D1219" s="34">
        <v>43414</v>
      </c>
      <c r="E1219" s="141">
        <v>-7567.04</v>
      </c>
      <c r="H1219" s="45" t="s">
        <v>4560</v>
      </c>
    </row>
    <row r="1220" spans="1:8" ht="30" hidden="1" customHeight="1">
      <c r="A1220" s="42" t="s">
        <v>4437</v>
      </c>
      <c r="B1220" s="18" t="s">
        <v>4570</v>
      </c>
      <c r="C1220" s="18" t="s">
        <v>4220</v>
      </c>
      <c r="D1220" s="34">
        <v>43137</v>
      </c>
      <c r="E1220" s="141">
        <v>1070000</v>
      </c>
      <c r="H1220" s="45" t="s">
        <v>56</v>
      </c>
    </row>
    <row r="1221" spans="1:8" ht="30" hidden="1" customHeight="1">
      <c r="A1221" s="42" t="s">
        <v>4437</v>
      </c>
      <c r="B1221" s="18" t="s">
        <v>4570</v>
      </c>
      <c r="C1221" s="18" t="s">
        <v>4220</v>
      </c>
      <c r="D1221" s="34">
        <v>43141</v>
      </c>
      <c r="E1221" s="141">
        <v>780000</v>
      </c>
      <c r="H1221" s="45" t="s">
        <v>56</v>
      </c>
    </row>
    <row r="1222" spans="1:8" ht="30" customHeight="1">
      <c r="A1222" s="42" t="s">
        <v>4381</v>
      </c>
      <c r="B1222" s="18" t="s">
        <v>603</v>
      </c>
      <c r="C1222" s="18" t="s">
        <v>1392</v>
      </c>
      <c r="D1222" s="34">
        <v>43164</v>
      </c>
      <c r="E1222" s="141">
        <v>158344.21</v>
      </c>
      <c r="H1222" s="45" t="s">
        <v>56</v>
      </c>
    </row>
    <row r="1223" spans="1:8" ht="30" customHeight="1">
      <c r="A1223" s="42" t="s">
        <v>4580</v>
      </c>
      <c r="B1223" s="18" t="s">
        <v>603</v>
      </c>
      <c r="C1223" s="18" t="s">
        <v>351</v>
      </c>
      <c r="D1223" s="34">
        <v>43165</v>
      </c>
      <c r="E1223" s="141">
        <v>6900000</v>
      </c>
      <c r="F1223" s="141">
        <v>6900000</v>
      </c>
      <c r="G1223" s="149">
        <v>43340</v>
      </c>
      <c r="H1223" s="45" t="s">
        <v>56</v>
      </c>
    </row>
    <row r="1224" spans="1:8" ht="30" hidden="1" customHeight="1">
      <c r="A1224" s="42" t="s">
        <v>4261</v>
      </c>
      <c r="B1224" s="18" t="s">
        <v>412</v>
      </c>
      <c r="C1224" s="18" t="s">
        <v>3405</v>
      </c>
      <c r="D1224" s="34">
        <v>43165</v>
      </c>
      <c r="E1224" s="141">
        <v>222315.75</v>
      </c>
      <c r="F1224" s="141">
        <v>222315.75</v>
      </c>
      <c r="G1224" s="149">
        <v>43340</v>
      </c>
      <c r="H1224" s="45" t="s">
        <v>1593</v>
      </c>
    </row>
    <row r="1225" spans="1:8" ht="30" hidden="1" customHeight="1">
      <c r="A1225" s="42" t="s">
        <v>4581</v>
      </c>
      <c r="B1225" s="18" t="s">
        <v>412</v>
      </c>
      <c r="C1225" s="18" t="s">
        <v>3405</v>
      </c>
      <c r="D1225" s="34">
        <v>43165</v>
      </c>
      <c r="E1225" s="141">
        <v>1069072.2</v>
      </c>
      <c r="F1225" s="141">
        <v>1069072.2</v>
      </c>
      <c r="G1225" s="149">
        <v>43340</v>
      </c>
      <c r="H1225" s="45" t="s">
        <v>1593</v>
      </c>
    </row>
    <row r="1226" spans="1:8" ht="30" hidden="1" customHeight="1">
      <c r="A1226" s="42" t="s">
        <v>4524</v>
      </c>
      <c r="B1226" s="18" t="s">
        <v>412</v>
      </c>
      <c r="C1226" s="18" t="s">
        <v>3405</v>
      </c>
      <c r="D1226" s="34">
        <v>43165</v>
      </c>
      <c r="E1226" s="141">
        <v>4463243.1500000004</v>
      </c>
      <c r="F1226" s="141">
        <v>4463243.1500000004</v>
      </c>
      <c r="G1226" s="149">
        <v>43340</v>
      </c>
      <c r="H1226" s="45" t="s">
        <v>1593</v>
      </c>
    </row>
    <row r="1227" spans="1:8" ht="30" customHeight="1">
      <c r="A1227" s="42" t="s">
        <v>4516</v>
      </c>
      <c r="B1227" s="18" t="s">
        <v>603</v>
      </c>
      <c r="C1227" s="18" t="s">
        <v>3405</v>
      </c>
      <c r="D1227" s="34">
        <v>43165</v>
      </c>
      <c r="E1227" s="141">
        <v>1793257.62</v>
      </c>
      <c r="F1227" s="141">
        <v>1793257.62</v>
      </c>
      <c r="G1227" s="149">
        <v>43340</v>
      </c>
      <c r="H1227" s="45" t="s">
        <v>1593</v>
      </c>
    </row>
    <row r="1228" spans="1:8" ht="30" hidden="1" customHeight="1">
      <c r="A1228" s="42" t="s">
        <v>4519</v>
      </c>
      <c r="B1228" s="18" t="s">
        <v>4219</v>
      </c>
      <c r="C1228" s="18" t="s">
        <v>3405</v>
      </c>
      <c r="D1228" s="34">
        <v>43165</v>
      </c>
      <c r="E1228" s="141">
        <v>452111.27999999933</v>
      </c>
      <c r="F1228" s="141">
        <v>452111.27999999933</v>
      </c>
      <c r="G1228" s="149">
        <v>43340</v>
      </c>
      <c r="H1228" s="45" t="s">
        <v>1593</v>
      </c>
    </row>
    <row r="1229" spans="1:8" ht="30" hidden="1" customHeight="1">
      <c r="A1229" s="42" t="s">
        <v>4628</v>
      </c>
      <c r="B1229" s="18" t="s">
        <v>4219</v>
      </c>
      <c r="C1229" s="18" t="s">
        <v>3405</v>
      </c>
      <c r="D1229" s="34">
        <v>43172</v>
      </c>
      <c r="E1229" s="141">
        <v>1400000</v>
      </c>
      <c r="F1229" s="141">
        <v>1400000</v>
      </c>
      <c r="G1229" s="149">
        <v>43352</v>
      </c>
      <c r="H1229" s="45" t="s">
        <v>1593</v>
      </c>
    </row>
    <row r="1230" spans="1:8" ht="30" hidden="1" customHeight="1">
      <c r="A1230" s="42" t="s">
        <v>4306</v>
      </c>
      <c r="B1230" s="18" t="s">
        <v>4219</v>
      </c>
      <c r="C1230" s="18" t="s">
        <v>4220</v>
      </c>
      <c r="D1230" s="34">
        <v>43136</v>
      </c>
      <c r="E1230" s="141">
        <v>500000</v>
      </c>
      <c r="F1230" s="141"/>
      <c r="H1230" s="45" t="s">
        <v>56</v>
      </c>
    </row>
    <row r="1231" spans="1:8" ht="30" hidden="1" customHeight="1">
      <c r="A1231" s="42" t="s">
        <v>4573</v>
      </c>
      <c r="B1231" s="18" t="s">
        <v>3954</v>
      </c>
      <c r="C1231" s="18" t="s">
        <v>4586</v>
      </c>
      <c r="D1231" s="34">
        <v>43165</v>
      </c>
      <c r="E1231" s="141">
        <v>500000</v>
      </c>
      <c r="F1231" s="141"/>
      <c r="H1231" s="45" t="s">
        <v>1624</v>
      </c>
    </row>
    <row r="1232" spans="1:8" ht="30" hidden="1" customHeight="1">
      <c r="A1232" s="42" t="s">
        <v>4573</v>
      </c>
      <c r="B1232" s="18" t="s">
        <v>3954</v>
      </c>
      <c r="C1232" s="18" t="s">
        <v>4586</v>
      </c>
      <c r="D1232" s="34">
        <v>43165</v>
      </c>
      <c r="E1232" s="141">
        <v>1000000</v>
      </c>
      <c r="F1232" s="141"/>
      <c r="H1232" s="45" t="s">
        <v>1624</v>
      </c>
    </row>
    <row r="1233" spans="1:8" ht="30" hidden="1" customHeight="1">
      <c r="A1233" s="42" t="s">
        <v>4043</v>
      </c>
      <c r="B1233" s="18" t="s">
        <v>3954</v>
      </c>
      <c r="C1233" s="18" t="s">
        <v>4588</v>
      </c>
      <c r="D1233" s="34">
        <v>43165</v>
      </c>
      <c r="E1233" s="141">
        <v>-500000</v>
      </c>
      <c r="F1233" s="141"/>
      <c r="H1233" s="45" t="s">
        <v>1593</v>
      </c>
    </row>
    <row r="1234" spans="1:8" ht="30" hidden="1" customHeight="1">
      <c r="A1234" s="42" t="s">
        <v>4043</v>
      </c>
      <c r="B1234" s="18" t="s">
        <v>3954</v>
      </c>
      <c r="C1234" s="18" t="s">
        <v>4588</v>
      </c>
      <c r="D1234" s="34">
        <v>43165</v>
      </c>
      <c r="E1234" s="141">
        <v>-1000000</v>
      </c>
      <c r="F1234" s="141"/>
      <c r="H1234" s="45" t="s">
        <v>1593</v>
      </c>
    </row>
    <row r="1235" spans="1:8" ht="30" hidden="1" customHeight="1">
      <c r="A1235" s="42" t="s">
        <v>4593</v>
      </c>
      <c r="B1235" s="18" t="s">
        <v>3954</v>
      </c>
      <c r="C1235" s="18" t="s">
        <v>4271</v>
      </c>
      <c r="D1235" s="34">
        <v>43165</v>
      </c>
      <c r="E1235" s="141">
        <v>1400000</v>
      </c>
      <c r="F1235" s="141"/>
      <c r="H1235" s="45" t="s">
        <v>1624</v>
      </c>
    </row>
    <row r="1236" spans="1:8" ht="30" hidden="1" customHeight="1">
      <c r="A1236" s="42" t="s">
        <v>4434</v>
      </c>
      <c r="B1236" s="18" t="s">
        <v>3954</v>
      </c>
      <c r="C1236" s="18" t="s">
        <v>4271</v>
      </c>
      <c r="D1236" s="34">
        <v>43157</v>
      </c>
      <c r="E1236" s="141">
        <v>380000</v>
      </c>
      <c r="F1236" s="141"/>
      <c r="H1236" s="45" t="s">
        <v>1624</v>
      </c>
    </row>
    <row r="1237" spans="1:8" ht="30" hidden="1" customHeight="1">
      <c r="A1237" s="42" t="s">
        <v>4589</v>
      </c>
      <c r="B1237" s="18" t="s">
        <v>3954</v>
      </c>
      <c r="C1237" s="18" t="s">
        <v>4271</v>
      </c>
      <c r="D1237" s="34">
        <v>43161</v>
      </c>
      <c r="E1237" s="141">
        <v>1719007.98</v>
      </c>
      <c r="F1237" s="141"/>
      <c r="H1237" s="45" t="s">
        <v>1624</v>
      </c>
    </row>
    <row r="1238" spans="1:8" ht="30" hidden="1" customHeight="1">
      <c r="A1238" s="42" t="s">
        <v>4603</v>
      </c>
      <c r="B1238" s="18" t="s">
        <v>3263</v>
      </c>
      <c r="C1238" s="18" t="s">
        <v>2810</v>
      </c>
      <c r="D1238" s="34">
        <v>43138</v>
      </c>
      <c r="E1238" s="141">
        <v>214400</v>
      </c>
      <c r="F1238" s="141"/>
      <c r="H1238" s="45" t="s">
        <v>475</v>
      </c>
    </row>
    <row r="1239" spans="1:8" ht="30" hidden="1" customHeight="1">
      <c r="A1239" s="42" t="s">
        <v>4345</v>
      </c>
      <c r="B1239" s="18" t="s">
        <v>3263</v>
      </c>
      <c r="C1239" s="18" t="s">
        <v>274</v>
      </c>
      <c r="D1239" s="34">
        <v>43140</v>
      </c>
      <c r="E1239" s="141">
        <v>2951.67</v>
      </c>
      <c r="F1239" s="141"/>
      <c r="H1239" s="45" t="s">
        <v>475</v>
      </c>
    </row>
    <row r="1240" spans="1:8" ht="30" hidden="1" customHeight="1">
      <c r="A1240" s="42" t="s">
        <v>4345</v>
      </c>
      <c r="B1240" s="18" t="s">
        <v>3263</v>
      </c>
      <c r="C1240" s="18" t="s">
        <v>274</v>
      </c>
      <c r="D1240" s="34">
        <v>43165</v>
      </c>
      <c r="E1240" s="141">
        <v>281.2</v>
      </c>
      <c r="F1240" s="141"/>
      <c r="H1240" s="45" t="s">
        <v>475</v>
      </c>
    </row>
    <row r="1241" spans="1:8" ht="30" hidden="1" customHeight="1">
      <c r="A1241" s="42" t="s">
        <v>4068</v>
      </c>
      <c r="B1241" s="18" t="s">
        <v>3271</v>
      </c>
      <c r="C1241" s="18" t="s">
        <v>2841</v>
      </c>
      <c r="D1241" s="34">
        <v>43166</v>
      </c>
      <c r="E1241" s="69">
        <v>270000</v>
      </c>
      <c r="F1241" s="141"/>
      <c r="H1241" s="45" t="s">
        <v>475</v>
      </c>
    </row>
    <row r="1242" spans="1:8" ht="30" hidden="1" customHeight="1">
      <c r="A1242" s="42" t="s">
        <v>4606</v>
      </c>
      <c r="B1242" s="18" t="s">
        <v>3271</v>
      </c>
      <c r="C1242" s="18" t="s">
        <v>2841</v>
      </c>
      <c r="D1242" s="34">
        <v>43166</v>
      </c>
      <c r="E1242" s="69">
        <v>69400</v>
      </c>
      <c r="F1242" s="141"/>
      <c r="H1242" s="45" t="s">
        <v>475</v>
      </c>
    </row>
    <row r="1243" spans="1:8" ht="30" hidden="1" customHeight="1">
      <c r="A1243" s="42" t="s">
        <v>4607</v>
      </c>
      <c r="B1243" s="18" t="s">
        <v>3271</v>
      </c>
      <c r="C1243" s="18" t="s">
        <v>2841</v>
      </c>
      <c r="D1243" s="34">
        <v>43166</v>
      </c>
      <c r="E1243" s="69">
        <v>69400</v>
      </c>
      <c r="F1243" s="141"/>
      <c r="H1243" s="45" t="s">
        <v>475</v>
      </c>
    </row>
    <row r="1244" spans="1:8" ht="30" hidden="1" customHeight="1">
      <c r="A1244" s="42" t="s">
        <v>4608</v>
      </c>
      <c r="B1244" s="18" t="s">
        <v>3271</v>
      </c>
      <c r="C1244" s="18" t="s">
        <v>3984</v>
      </c>
      <c r="D1244" s="34">
        <v>43165</v>
      </c>
      <c r="E1244" s="141">
        <v>156491.68</v>
      </c>
      <c r="F1244" s="141"/>
      <c r="H1244" s="45" t="s">
        <v>475</v>
      </c>
    </row>
    <row r="1245" spans="1:8" ht="30" hidden="1" customHeight="1">
      <c r="A1245" s="42" t="s">
        <v>4619</v>
      </c>
      <c r="B1245" s="18" t="s">
        <v>3263</v>
      </c>
      <c r="C1245" s="18" t="s">
        <v>875</v>
      </c>
      <c r="D1245" s="34">
        <v>43165</v>
      </c>
      <c r="E1245" s="141">
        <v>150000</v>
      </c>
      <c r="F1245" s="141"/>
      <c r="H1245" s="45" t="s">
        <v>1078</v>
      </c>
    </row>
    <row r="1246" spans="1:8" ht="30" hidden="1" customHeight="1">
      <c r="A1246" s="42" t="s">
        <v>4620</v>
      </c>
      <c r="B1246" s="18" t="s">
        <v>3263</v>
      </c>
      <c r="C1246" s="18" t="s">
        <v>875</v>
      </c>
      <c r="D1246" s="34">
        <v>43160</v>
      </c>
      <c r="E1246" s="141">
        <v>68600</v>
      </c>
      <c r="F1246" s="141"/>
      <c r="H1246" s="45" t="s">
        <v>1078</v>
      </c>
    </row>
    <row r="1247" spans="1:8" ht="30" hidden="1" customHeight="1">
      <c r="A1247" s="42" t="s">
        <v>4621</v>
      </c>
      <c r="B1247" s="18" t="s">
        <v>3263</v>
      </c>
      <c r="C1247" s="18" t="s">
        <v>875</v>
      </c>
      <c r="D1247" s="34">
        <v>43160</v>
      </c>
      <c r="E1247" s="141">
        <v>68600</v>
      </c>
      <c r="F1247" s="141"/>
      <c r="H1247" s="45" t="s">
        <v>1078</v>
      </c>
    </row>
    <row r="1248" spans="1:8" ht="30" hidden="1" customHeight="1">
      <c r="A1248" s="42" t="s">
        <v>4622</v>
      </c>
      <c r="B1248" s="18" t="s">
        <v>3263</v>
      </c>
      <c r="C1248" s="18" t="s">
        <v>875</v>
      </c>
      <c r="D1248" s="34">
        <v>43160</v>
      </c>
      <c r="E1248" s="141">
        <v>155500</v>
      </c>
      <c r="F1248" s="141"/>
      <c r="H1248" s="45" t="s">
        <v>1078</v>
      </c>
    </row>
    <row r="1249" spans="1:8" ht="30" hidden="1" customHeight="1">
      <c r="A1249" s="42" t="s">
        <v>4623</v>
      </c>
      <c r="B1249" s="18" t="s">
        <v>3263</v>
      </c>
      <c r="C1249" s="18" t="s">
        <v>875</v>
      </c>
      <c r="D1249" s="34">
        <v>43160</v>
      </c>
      <c r="E1249" s="141">
        <v>301000</v>
      </c>
      <c r="F1249" s="141"/>
      <c r="H1249" s="45" t="s">
        <v>1078</v>
      </c>
    </row>
    <row r="1250" spans="1:8" ht="30" hidden="1" customHeight="1">
      <c r="A1250" s="42" t="s">
        <v>4625</v>
      </c>
      <c r="B1250" s="18" t="s">
        <v>3263</v>
      </c>
      <c r="C1250" s="18" t="s">
        <v>2810</v>
      </c>
      <c r="D1250" s="34">
        <v>43116</v>
      </c>
      <c r="E1250" s="141">
        <v>102000</v>
      </c>
      <c r="F1250" s="141"/>
      <c r="H1250" s="45" t="s">
        <v>475</v>
      </c>
    </row>
    <row r="1251" spans="1:8" ht="30" hidden="1" customHeight="1">
      <c r="A1251" s="42" t="s">
        <v>4043</v>
      </c>
      <c r="B1251" s="18" t="s">
        <v>3954</v>
      </c>
      <c r="C1251" s="18" t="s">
        <v>4042</v>
      </c>
      <c r="D1251" s="34">
        <v>43166</v>
      </c>
      <c r="E1251" s="141">
        <v>-1360000</v>
      </c>
      <c r="F1251" s="141"/>
      <c r="H1251" s="45" t="s">
        <v>118</v>
      </c>
    </row>
    <row r="1252" spans="1:8" ht="30" hidden="1" customHeight="1">
      <c r="A1252" s="42" t="s">
        <v>4631</v>
      </c>
      <c r="B1252" s="18" t="s">
        <v>3954</v>
      </c>
      <c r="C1252" s="18" t="s">
        <v>4444</v>
      </c>
      <c r="D1252" s="34">
        <v>43166</v>
      </c>
      <c r="E1252" s="141">
        <v>1360000</v>
      </c>
      <c r="F1252" s="141"/>
      <c r="H1252" s="45" t="s">
        <v>119</v>
      </c>
    </row>
    <row r="1253" spans="1:8" ht="30" hidden="1" customHeight="1">
      <c r="A1253" s="42" t="s">
        <v>4043</v>
      </c>
      <c r="B1253" s="18" t="s">
        <v>3954</v>
      </c>
      <c r="C1253" s="18" t="s">
        <v>4042</v>
      </c>
      <c r="D1253" s="34">
        <v>43167</v>
      </c>
      <c r="E1253" s="141">
        <v>-301688.24</v>
      </c>
      <c r="F1253" s="141"/>
      <c r="H1253" s="45" t="s">
        <v>118</v>
      </c>
    </row>
    <row r="1254" spans="1:8" ht="30" hidden="1" customHeight="1">
      <c r="A1254" s="42" t="s">
        <v>4445</v>
      </c>
      <c r="B1254" s="18" t="s">
        <v>3954</v>
      </c>
      <c r="C1254" s="18" t="s">
        <v>4042</v>
      </c>
      <c r="D1254" s="34">
        <v>43167</v>
      </c>
      <c r="E1254" s="141">
        <f>-1360000-E1253</f>
        <v>-1058311.76</v>
      </c>
      <c r="F1254" s="141"/>
      <c r="H1254" s="45" t="s">
        <v>118</v>
      </c>
    </row>
    <row r="1255" spans="1:8" ht="30" hidden="1" customHeight="1">
      <c r="A1255" s="42" t="s">
        <v>4631</v>
      </c>
      <c r="B1255" s="18" t="s">
        <v>3954</v>
      </c>
      <c r="C1255" s="18" t="s">
        <v>4444</v>
      </c>
      <c r="D1255" s="34">
        <v>43167</v>
      </c>
      <c r="E1255" s="141">
        <v>301688.24</v>
      </c>
      <c r="F1255" s="141"/>
      <c r="H1255" s="45" t="s">
        <v>119</v>
      </c>
    </row>
    <row r="1256" spans="1:8" ht="30" hidden="1" customHeight="1">
      <c r="A1256" s="42" t="s">
        <v>4572</v>
      </c>
      <c r="B1256" s="18" t="s">
        <v>3954</v>
      </c>
      <c r="C1256" s="18" t="s">
        <v>4444</v>
      </c>
      <c r="D1256" s="34">
        <v>43167</v>
      </c>
      <c r="E1256" s="141">
        <f>1360000-E1255</f>
        <v>1058311.76</v>
      </c>
      <c r="F1256" s="141"/>
      <c r="H1256" s="45" t="s">
        <v>119</v>
      </c>
    </row>
    <row r="1257" spans="1:8" ht="30" hidden="1" customHeight="1">
      <c r="A1257" s="42" t="s">
        <v>4445</v>
      </c>
      <c r="B1257" s="18" t="s">
        <v>3954</v>
      </c>
      <c r="C1257" s="18" t="s">
        <v>4042</v>
      </c>
      <c r="D1257" s="34">
        <v>43168</v>
      </c>
      <c r="E1257" s="141">
        <v>-1360000</v>
      </c>
      <c r="F1257" s="141"/>
      <c r="H1257" s="45" t="s">
        <v>118</v>
      </c>
    </row>
    <row r="1258" spans="1:8" ht="30" hidden="1" customHeight="1">
      <c r="A1258" s="42" t="s">
        <v>4572</v>
      </c>
      <c r="B1258" s="18" t="s">
        <v>3954</v>
      </c>
      <c r="C1258" s="18" t="s">
        <v>4444</v>
      </c>
      <c r="D1258" s="34">
        <v>43168</v>
      </c>
      <c r="E1258" s="141">
        <v>1360000</v>
      </c>
      <c r="F1258" s="141"/>
      <c r="H1258" s="45" t="s">
        <v>119</v>
      </c>
    </row>
    <row r="1259" spans="1:8" ht="30" hidden="1" customHeight="1">
      <c r="A1259" s="42" t="s">
        <v>4445</v>
      </c>
      <c r="B1259" s="18" t="s">
        <v>3954</v>
      </c>
      <c r="C1259" s="18" t="s">
        <v>4042</v>
      </c>
      <c r="D1259" s="34">
        <v>43171</v>
      </c>
      <c r="E1259" s="141">
        <v>-901688.24</v>
      </c>
      <c r="F1259" s="141"/>
      <c r="H1259" s="45" t="s">
        <v>118</v>
      </c>
    </row>
    <row r="1260" spans="1:8" ht="30" hidden="1" customHeight="1">
      <c r="A1260" s="42" t="s">
        <v>4572</v>
      </c>
      <c r="B1260" s="18" t="s">
        <v>3954</v>
      </c>
      <c r="C1260" s="18" t="s">
        <v>4444</v>
      </c>
      <c r="D1260" s="34">
        <v>43171</v>
      </c>
      <c r="E1260" s="141">
        <v>901688.24</v>
      </c>
      <c r="F1260" s="141"/>
      <c r="H1260" s="45" t="s">
        <v>119</v>
      </c>
    </row>
    <row r="1261" spans="1:8" ht="30" hidden="1" customHeight="1">
      <c r="A1261" s="42" t="s">
        <v>4589</v>
      </c>
      <c r="B1261" s="18" t="s">
        <v>3954</v>
      </c>
      <c r="C1261" s="18" t="s">
        <v>4271</v>
      </c>
      <c r="D1261" s="34">
        <v>43166</v>
      </c>
      <c r="E1261" s="141">
        <v>200000</v>
      </c>
      <c r="F1261" s="141"/>
      <c r="H1261" s="45" t="s">
        <v>119</v>
      </c>
    </row>
    <row r="1262" spans="1:8" ht="30" hidden="1" customHeight="1">
      <c r="A1262" s="42" t="s">
        <v>4634</v>
      </c>
      <c r="B1262" s="18" t="s">
        <v>3954</v>
      </c>
      <c r="C1262" s="18" t="s">
        <v>4444</v>
      </c>
      <c r="D1262" s="34">
        <v>43175</v>
      </c>
      <c r="E1262" s="141">
        <v>2450000</v>
      </c>
      <c r="F1262" s="141"/>
      <c r="H1262" s="45" t="s">
        <v>119</v>
      </c>
    </row>
    <row r="1263" spans="1:8" ht="30" hidden="1" customHeight="1">
      <c r="A1263" s="42" t="s">
        <v>4636</v>
      </c>
      <c r="B1263" s="18" t="s">
        <v>3954</v>
      </c>
      <c r="C1263" s="18" t="s">
        <v>168</v>
      </c>
      <c r="D1263" s="34">
        <v>43175</v>
      </c>
      <c r="E1263" s="141">
        <v>6100000</v>
      </c>
      <c r="F1263" s="141">
        <v>6100000</v>
      </c>
      <c r="G1263" s="149">
        <v>43264</v>
      </c>
      <c r="H1263" s="45" t="s">
        <v>118</v>
      </c>
    </row>
    <row r="1264" spans="1:8" ht="30" hidden="1" customHeight="1">
      <c r="A1264" s="42" t="s">
        <v>4637</v>
      </c>
      <c r="B1264" s="18" t="s">
        <v>3954</v>
      </c>
      <c r="C1264" s="18" t="s">
        <v>168</v>
      </c>
      <c r="D1264" s="34">
        <v>43174</v>
      </c>
      <c r="E1264" s="141">
        <v>-12200</v>
      </c>
      <c r="F1264" s="141"/>
      <c r="H1264" s="45" t="s">
        <v>119</v>
      </c>
    </row>
    <row r="1265" spans="1:8" ht="30" hidden="1" customHeight="1">
      <c r="A1265" s="42" t="s">
        <v>4562</v>
      </c>
      <c r="B1265" s="18" t="s">
        <v>4641</v>
      </c>
      <c r="C1265" s="18" t="s">
        <v>4220</v>
      </c>
      <c r="D1265" s="34">
        <v>43167</v>
      </c>
      <c r="E1265" s="141">
        <v>1000000</v>
      </c>
      <c r="F1265" s="141">
        <v>1000000</v>
      </c>
      <c r="G1265" s="149">
        <v>43284</v>
      </c>
      <c r="H1265" s="45" t="s">
        <v>56</v>
      </c>
    </row>
    <row r="1266" spans="1:8" ht="30" hidden="1" customHeight="1">
      <c r="A1266" s="42" t="s">
        <v>4562</v>
      </c>
      <c r="B1266" s="18" t="s">
        <v>4641</v>
      </c>
      <c r="C1266" s="18" t="s">
        <v>4220</v>
      </c>
      <c r="D1266" s="34">
        <v>43167</v>
      </c>
      <c r="E1266" s="141">
        <v>600000</v>
      </c>
      <c r="F1266" s="141"/>
      <c r="H1266" s="45" t="s">
        <v>56</v>
      </c>
    </row>
    <row r="1267" spans="1:8" ht="30" hidden="1" customHeight="1">
      <c r="A1267" s="42" t="s">
        <v>4562</v>
      </c>
      <c r="B1267" s="18" t="s">
        <v>4641</v>
      </c>
      <c r="C1267" s="18" t="s">
        <v>4220</v>
      </c>
      <c r="D1267" s="34">
        <v>43159</v>
      </c>
      <c r="E1267" s="141">
        <v>300000</v>
      </c>
      <c r="F1267" s="141"/>
      <c r="H1267" s="45" t="s">
        <v>56</v>
      </c>
    </row>
    <row r="1268" spans="1:8" ht="30" customHeight="1">
      <c r="A1268" s="42" t="s">
        <v>4578</v>
      </c>
      <c r="B1268" s="18" t="s">
        <v>603</v>
      </c>
      <c r="C1268" s="18" t="s">
        <v>1392</v>
      </c>
      <c r="D1268" s="34">
        <v>43172</v>
      </c>
      <c r="E1268" s="141">
        <v>1400000</v>
      </c>
      <c r="F1268" s="141">
        <v>1400000</v>
      </c>
      <c r="G1268" s="149">
        <v>43352</v>
      </c>
      <c r="H1268" s="45" t="s">
        <v>56</v>
      </c>
    </row>
    <row r="1269" spans="1:8" ht="30" customHeight="1">
      <c r="A1269" s="42" t="s">
        <v>4645</v>
      </c>
      <c r="B1269" s="18" t="s">
        <v>194</v>
      </c>
      <c r="C1269" s="18" t="s">
        <v>2011</v>
      </c>
      <c r="D1269" s="34">
        <v>43168</v>
      </c>
      <c r="E1269" s="141">
        <v>864000</v>
      </c>
      <c r="F1269" s="141"/>
      <c r="H1269" s="45" t="s">
        <v>56</v>
      </c>
    </row>
    <row r="1270" spans="1:8" ht="30" hidden="1" customHeight="1">
      <c r="A1270" s="42" t="s">
        <v>4655</v>
      </c>
      <c r="B1270" s="18" t="s">
        <v>3263</v>
      </c>
      <c r="C1270" s="18" t="s">
        <v>875</v>
      </c>
      <c r="D1270" s="34">
        <v>43166</v>
      </c>
      <c r="E1270" s="141">
        <v>272800</v>
      </c>
      <c r="F1270" s="141"/>
      <c r="H1270" s="45" t="s">
        <v>1078</v>
      </c>
    </row>
    <row r="1271" spans="1:8" ht="30" hidden="1" customHeight="1">
      <c r="A1271" s="42" t="s">
        <v>4656</v>
      </c>
      <c r="B1271" s="18" t="s">
        <v>3263</v>
      </c>
      <c r="C1271" s="18" t="s">
        <v>875</v>
      </c>
      <c r="D1271" s="34">
        <v>43172</v>
      </c>
      <c r="E1271" s="69">
        <v>172000</v>
      </c>
      <c r="F1271" s="141"/>
      <c r="H1271" s="45" t="s">
        <v>1078</v>
      </c>
    </row>
    <row r="1272" spans="1:8" ht="30" hidden="1" customHeight="1">
      <c r="A1272" s="42" t="s">
        <v>4657</v>
      </c>
      <c r="B1272" s="18" t="s">
        <v>3263</v>
      </c>
      <c r="C1272" s="18" t="s">
        <v>875</v>
      </c>
      <c r="D1272" s="34">
        <v>43172</v>
      </c>
      <c r="E1272" s="69">
        <v>149000</v>
      </c>
      <c r="F1272" s="141"/>
      <c r="H1272" s="45" t="s">
        <v>1078</v>
      </c>
    </row>
    <row r="1273" spans="1:8" ht="30" hidden="1" customHeight="1">
      <c r="A1273" s="42" t="s">
        <v>4658</v>
      </c>
      <c r="B1273" s="18" t="s">
        <v>3263</v>
      </c>
      <c r="C1273" s="18" t="s">
        <v>875</v>
      </c>
      <c r="D1273" s="34">
        <v>43174</v>
      </c>
      <c r="E1273" s="141">
        <f>431675.28-E1274</f>
        <v>287675.28000000003</v>
      </c>
      <c r="F1273" s="141"/>
      <c r="H1273" s="45" t="s">
        <v>1078</v>
      </c>
    </row>
    <row r="1274" spans="1:8" ht="30" hidden="1" customHeight="1">
      <c r="A1274" s="42" t="s">
        <v>4659</v>
      </c>
      <c r="B1274" s="18" t="s">
        <v>3263</v>
      </c>
      <c r="C1274" s="18" t="s">
        <v>875</v>
      </c>
      <c r="D1274" s="34">
        <v>43174</v>
      </c>
      <c r="E1274" s="141">
        <v>144000</v>
      </c>
      <c r="F1274" s="141"/>
      <c r="H1274" s="45" t="s">
        <v>1078</v>
      </c>
    </row>
    <row r="1275" spans="1:8" ht="30" hidden="1" customHeight="1">
      <c r="A1275" s="42" t="s">
        <v>4619</v>
      </c>
      <c r="B1275" s="18" t="s">
        <v>3263</v>
      </c>
      <c r="C1275" s="18" t="s">
        <v>875</v>
      </c>
      <c r="D1275" s="34">
        <v>43166</v>
      </c>
      <c r="E1275" s="141">
        <v>117000</v>
      </c>
      <c r="F1275" s="141"/>
      <c r="H1275" s="45" t="s">
        <v>1078</v>
      </c>
    </row>
    <row r="1276" spans="1:8" ht="30" hidden="1" customHeight="1">
      <c r="A1276" s="42" t="s">
        <v>4666</v>
      </c>
      <c r="B1276" s="18" t="s">
        <v>3263</v>
      </c>
      <c r="C1276" s="18" t="s">
        <v>2810</v>
      </c>
      <c r="D1276" s="34">
        <v>43174</v>
      </c>
      <c r="E1276" s="141">
        <v>290000</v>
      </c>
      <c r="F1276" s="141"/>
      <c r="H1276" s="45" t="s">
        <v>475</v>
      </c>
    </row>
    <row r="1277" spans="1:8" ht="30" hidden="1" customHeight="1">
      <c r="A1277" s="42" t="s">
        <v>4660</v>
      </c>
      <c r="B1277" s="18" t="s">
        <v>3263</v>
      </c>
      <c r="C1277" s="18" t="s">
        <v>2810</v>
      </c>
      <c r="D1277" s="34">
        <v>43174</v>
      </c>
      <c r="E1277" s="141">
        <v>145000</v>
      </c>
      <c r="F1277" s="141"/>
      <c r="H1277" s="45" t="s">
        <v>475</v>
      </c>
    </row>
    <row r="1278" spans="1:8" ht="30" hidden="1" customHeight="1">
      <c r="A1278" s="42" t="s">
        <v>4959</v>
      </c>
      <c r="B1278" s="18" t="s">
        <v>3263</v>
      </c>
      <c r="C1278" s="18" t="s">
        <v>274</v>
      </c>
      <c r="D1278" s="34">
        <v>43173</v>
      </c>
      <c r="E1278" s="141">
        <v>287841.69</v>
      </c>
      <c r="F1278" s="141"/>
      <c r="H1278" s="45" t="s">
        <v>475</v>
      </c>
    </row>
    <row r="1279" spans="1:8" ht="30" hidden="1" customHeight="1">
      <c r="A1279" s="42" t="s">
        <v>4663</v>
      </c>
      <c r="B1279" s="18" t="s">
        <v>3263</v>
      </c>
      <c r="C1279" s="18" t="s">
        <v>2810</v>
      </c>
      <c r="D1279" s="34">
        <v>43172</v>
      </c>
      <c r="E1279" s="141">
        <v>150000</v>
      </c>
      <c r="F1279" s="141"/>
      <c r="H1279" s="45" t="s">
        <v>475</v>
      </c>
    </row>
    <row r="1280" spans="1:8" ht="30" hidden="1" customHeight="1">
      <c r="A1280" s="42" t="s">
        <v>4665</v>
      </c>
      <c r="B1280" s="18" t="s">
        <v>3263</v>
      </c>
      <c r="C1280" s="18" t="s">
        <v>2810</v>
      </c>
      <c r="D1280" s="34">
        <v>43172</v>
      </c>
      <c r="E1280" s="141">
        <v>174000</v>
      </c>
      <c r="F1280" s="141"/>
      <c r="H1280" s="45" t="s">
        <v>475</v>
      </c>
    </row>
    <row r="1281" spans="1:8" ht="30" hidden="1" customHeight="1">
      <c r="A1281" s="42" t="s">
        <v>4674</v>
      </c>
      <c r="B1281" s="18" t="s">
        <v>4675</v>
      </c>
      <c r="C1281" s="18" t="s">
        <v>4676</v>
      </c>
      <c r="D1281" s="34">
        <v>43178</v>
      </c>
      <c r="E1281" s="141">
        <v>6723267.8300000001</v>
      </c>
      <c r="F1281" s="141"/>
      <c r="H1281" s="45" t="s">
        <v>4677</v>
      </c>
    </row>
    <row r="1282" spans="1:8" ht="30" hidden="1" customHeight="1">
      <c r="A1282" s="42" t="s">
        <v>4562</v>
      </c>
      <c r="B1282" s="18" t="s">
        <v>4225</v>
      </c>
      <c r="C1282" s="18" t="s">
        <v>4220</v>
      </c>
      <c r="D1282" s="34">
        <v>43179</v>
      </c>
      <c r="E1282" s="141">
        <v>1500000</v>
      </c>
      <c r="F1282" s="141"/>
      <c r="H1282" s="45" t="s">
        <v>56</v>
      </c>
    </row>
    <row r="1283" spans="1:8" ht="30" hidden="1" customHeight="1">
      <c r="A1283" s="42" t="s">
        <v>4562</v>
      </c>
      <c r="B1283" s="18" t="s">
        <v>4225</v>
      </c>
      <c r="C1283" s="18" t="s">
        <v>4220</v>
      </c>
      <c r="D1283" s="34">
        <v>43180</v>
      </c>
      <c r="E1283" s="141">
        <v>700000</v>
      </c>
      <c r="F1283" s="141"/>
      <c r="H1283" s="45" t="s">
        <v>56</v>
      </c>
    </row>
    <row r="1284" spans="1:8" ht="30" hidden="1" customHeight="1">
      <c r="A1284" s="42" t="s">
        <v>4437</v>
      </c>
      <c r="B1284" s="18" t="s">
        <v>4641</v>
      </c>
      <c r="C1284" s="18" t="s">
        <v>4220</v>
      </c>
      <c r="D1284" s="34">
        <v>43178</v>
      </c>
      <c r="E1284" s="141">
        <v>896864.82</v>
      </c>
      <c r="F1284" s="141"/>
      <c r="H1284" s="45" t="s">
        <v>56</v>
      </c>
    </row>
    <row r="1285" spans="1:8" ht="30" customHeight="1">
      <c r="A1285" s="42" t="s">
        <v>4645</v>
      </c>
      <c r="B1285" s="18" t="s">
        <v>194</v>
      </c>
      <c r="C1285" s="18" t="s">
        <v>2522</v>
      </c>
      <c r="D1285" s="34">
        <v>43179</v>
      </c>
      <c r="E1285" s="141">
        <v>1286400</v>
      </c>
      <c r="F1285" s="141"/>
      <c r="H1285" s="45" t="s">
        <v>56</v>
      </c>
    </row>
    <row r="1286" spans="1:8" ht="30" customHeight="1">
      <c r="A1286" s="42" t="s">
        <v>4685</v>
      </c>
      <c r="B1286" s="18" t="s">
        <v>194</v>
      </c>
      <c r="C1286" s="18" t="s">
        <v>4687</v>
      </c>
      <c r="D1286" s="34">
        <v>43179</v>
      </c>
      <c r="E1286" s="141">
        <v>848000</v>
      </c>
      <c r="F1286" s="141"/>
      <c r="H1286" s="45" t="s">
        <v>56</v>
      </c>
    </row>
    <row r="1287" spans="1:8" ht="30" hidden="1" customHeight="1">
      <c r="A1287" s="42" t="s">
        <v>4696</v>
      </c>
      <c r="B1287" s="18" t="s">
        <v>4697</v>
      </c>
      <c r="C1287" s="18" t="s">
        <v>3405</v>
      </c>
      <c r="D1287" s="34">
        <v>43126</v>
      </c>
      <c r="E1287" s="141">
        <v>2902506.7800000003</v>
      </c>
      <c r="F1287" s="141">
        <v>2902506.7800000003</v>
      </c>
      <c r="G1287" s="149">
        <v>43286</v>
      </c>
      <c r="H1287" s="45" t="s">
        <v>1593</v>
      </c>
    </row>
    <row r="1288" spans="1:8" ht="30" customHeight="1">
      <c r="A1288" s="42" t="s">
        <v>4699</v>
      </c>
      <c r="B1288" s="18" t="s">
        <v>603</v>
      </c>
      <c r="C1288" s="18" t="s">
        <v>3405</v>
      </c>
      <c r="D1288" s="34">
        <v>43126</v>
      </c>
      <c r="E1288" s="141">
        <v>597493.22</v>
      </c>
      <c r="F1288" s="141">
        <v>597493.22</v>
      </c>
      <c r="G1288" s="149">
        <v>43286</v>
      </c>
      <c r="H1288" s="45" t="s">
        <v>1593</v>
      </c>
    </row>
    <row r="1289" spans="1:8" ht="30" customHeight="1">
      <c r="A1289" s="42" t="s">
        <v>4699</v>
      </c>
      <c r="B1289" s="18" t="s">
        <v>603</v>
      </c>
      <c r="C1289" s="18" t="s">
        <v>3405</v>
      </c>
      <c r="D1289" s="34">
        <v>43160</v>
      </c>
      <c r="E1289" s="141">
        <v>1000000</v>
      </c>
      <c r="F1289" s="141">
        <v>1000000</v>
      </c>
      <c r="G1289" s="149">
        <v>43307</v>
      </c>
      <c r="H1289" s="45" t="s">
        <v>1593</v>
      </c>
    </row>
    <row r="1290" spans="1:8" ht="30" customHeight="1">
      <c r="A1290" s="42" t="s">
        <v>4699</v>
      </c>
      <c r="B1290" s="18" t="s">
        <v>603</v>
      </c>
      <c r="C1290" s="18" t="s">
        <v>3405</v>
      </c>
      <c r="D1290" s="34">
        <v>43187</v>
      </c>
      <c r="E1290" s="141">
        <v>259209.65000000014</v>
      </c>
      <c r="F1290" s="141">
        <v>259209.65000000014</v>
      </c>
      <c r="G1290" s="149">
        <v>43364</v>
      </c>
      <c r="H1290" s="45" t="s">
        <v>1593</v>
      </c>
    </row>
    <row r="1291" spans="1:8" ht="30" hidden="1" customHeight="1">
      <c r="A1291" s="42" t="s">
        <v>4700</v>
      </c>
      <c r="B1291" s="18" t="s">
        <v>412</v>
      </c>
      <c r="C1291" s="18" t="s">
        <v>3405</v>
      </c>
      <c r="D1291" s="34">
        <v>43187</v>
      </c>
      <c r="E1291" s="141">
        <v>2170602</v>
      </c>
      <c r="F1291" s="141">
        <v>2170602</v>
      </c>
      <c r="G1291" s="149">
        <v>43364</v>
      </c>
      <c r="H1291" s="45" t="s">
        <v>1593</v>
      </c>
    </row>
    <row r="1292" spans="1:8" ht="30" hidden="1" customHeight="1">
      <c r="A1292" s="42" t="s">
        <v>4701</v>
      </c>
      <c r="B1292" s="18" t="s">
        <v>4219</v>
      </c>
      <c r="C1292" s="18" t="s">
        <v>3405</v>
      </c>
      <c r="D1292" s="34">
        <v>43187</v>
      </c>
      <c r="E1292" s="141">
        <v>2646844.34</v>
      </c>
      <c r="F1292" s="141">
        <v>2646844.34</v>
      </c>
      <c r="G1292" s="149">
        <v>43364</v>
      </c>
      <c r="H1292" s="45" t="s">
        <v>1593</v>
      </c>
    </row>
    <row r="1293" spans="1:8" ht="30" customHeight="1">
      <c r="A1293" s="42" t="s">
        <v>4702</v>
      </c>
      <c r="B1293" s="18" t="s">
        <v>603</v>
      </c>
      <c r="C1293" s="18" t="s">
        <v>3405</v>
      </c>
      <c r="D1293" s="34">
        <v>43187</v>
      </c>
      <c r="E1293" s="141">
        <v>2919465.83</v>
      </c>
      <c r="F1293" s="141">
        <v>2919465.83</v>
      </c>
      <c r="G1293" s="149">
        <v>43364</v>
      </c>
      <c r="H1293" s="45" t="s">
        <v>1593</v>
      </c>
    </row>
    <row r="1294" spans="1:8" ht="30" hidden="1" customHeight="1">
      <c r="A1294" s="42" t="s">
        <v>4703</v>
      </c>
      <c r="B1294" s="18" t="s">
        <v>412</v>
      </c>
      <c r="C1294" s="18" t="s">
        <v>3405</v>
      </c>
      <c r="D1294" s="34">
        <v>43187</v>
      </c>
      <c r="E1294" s="141">
        <f>2862002-858123.82</f>
        <v>2003878.1800000002</v>
      </c>
      <c r="F1294" s="141">
        <f>2862002-858123.82</f>
        <v>2003878.1800000002</v>
      </c>
      <c r="G1294" s="149">
        <v>43364</v>
      </c>
      <c r="H1294" s="45" t="s">
        <v>1593</v>
      </c>
    </row>
    <row r="1295" spans="1:8" ht="30" customHeight="1">
      <c r="A1295" s="42" t="s">
        <v>4718</v>
      </c>
      <c r="B1295" s="18" t="s">
        <v>194</v>
      </c>
      <c r="C1295" s="18" t="s">
        <v>2503</v>
      </c>
      <c r="D1295" s="34">
        <v>43193</v>
      </c>
      <c r="E1295" s="141">
        <v>392000</v>
      </c>
      <c r="F1295" s="141"/>
      <c r="H1295" s="45" t="s">
        <v>1593</v>
      </c>
    </row>
    <row r="1296" spans="1:8" ht="30" customHeight="1">
      <c r="A1296" s="42" t="s">
        <v>4719</v>
      </c>
      <c r="B1296" s="18" t="s">
        <v>194</v>
      </c>
      <c r="C1296" s="18" t="s">
        <v>4720</v>
      </c>
      <c r="D1296" s="34">
        <v>43193</v>
      </c>
      <c r="E1296" s="141">
        <v>388800</v>
      </c>
      <c r="F1296" s="141"/>
      <c r="H1296" s="45" t="s">
        <v>56</v>
      </c>
    </row>
    <row r="1297" spans="1:8" ht="30" hidden="1" customHeight="1">
      <c r="A1297" s="42" t="s">
        <v>4728</v>
      </c>
      <c r="B1297" s="18" t="s">
        <v>3954</v>
      </c>
      <c r="C1297" s="18" t="s">
        <v>4691</v>
      </c>
      <c r="D1297" s="34">
        <v>43192</v>
      </c>
      <c r="E1297" s="141">
        <v>3350000</v>
      </c>
      <c r="F1297" s="141"/>
      <c r="H1297" s="45" t="s">
        <v>1624</v>
      </c>
    </row>
    <row r="1298" spans="1:8" ht="30" hidden="1" customHeight="1">
      <c r="A1298" s="42" t="s">
        <v>4589</v>
      </c>
      <c r="B1298" s="18" t="s">
        <v>3954</v>
      </c>
      <c r="C1298" s="18" t="s">
        <v>4271</v>
      </c>
      <c r="D1298" s="34">
        <v>43182</v>
      </c>
      <c r="E1298" s="141">
        <v>2900000</v>
      </c>
      <c r="F1298" s="141"/>
      <c r="H1298" s="45" t="s">
        <v>119</v>
      </c>
    </row>
    <row r="1299" spans="1:8" ht="30" hidden="1" customHeight="1">
      <c r="A1299" s="42" t="s">
        <v>4589</v>
      </c>
      <c r="B1299" s="18" t="s">
        <v>3954</v>
      </c>
      <c r="C1299" s="18" t="s">
        <v>4271</v>
      </c>
      <c r="D1299" s="34">
        <v>43187</v>
      </c>
      <c r="E1299" s="141">
        <v>2000000</v>
      </c>
      <c r="F1299" s="141"/>
      <c r="H1299" s="45" t="s">
        <v>119</v>
      </c>
    </row>
    <row r="1300" spans="1:8" ht="30" hidden="1" customHeight="1">
      <c r="A1300" s="42" t="s">
        <v>4744</v>
      </c>
      <c r="B1300" s="18" t="s">
        <v>3954</v>
      </c>
      <c r="C1300" s="18" t="s">
        <v>4745</v>
      </c>
      <c r="D1300" s="34">
        <v>43200</v>
      </c>
      <c r="E1300" s="141">
        <v>500000</v>
      </c>
      <c r="F1300" s="141"/>
      <c r="H1300" s="45" t="s">
        <v>1624</v>
      </c>
    </row>
    <row r="1301" spans="1:8" ht="30" hidden="1" customHeight="1">
      <c r="A1301" s="42" t="s">
        <v>4744</v>
      </c>
      <c r="B1301" s="18" t="s">
        <v>3954</v>
      </c>
      <c r="C1301" s="18" t="s">
        <v>4739</v>
      </c>
      <c r="D1301" s="34">
        <v>43201</v>
      </c>
      <c r="E1301" s="141">
        <v>650000</v>
      </c>
      <c r="F1301" s="141"/>
      <c r="H1301" s="45" t="s">
        <v>1624</v>
      </c>
    </row>
    <row r="1302" spans="1:8" ht="30" hidden="1" customHeight="1">
      <c r="A1302" s="42" t="s">
        <v>4744</v>
      </c>
      <c r="B1302" s="18" t="s">
        <v>3954</v>
      </c>
      <c r="C1302" s="18" t="s">
        <v>4739</v>
      </c>
      <c r="D1302" s="34">
        <v>43201</v>
      </c>
      <c r="E1302" s="141">
        <v>600000</v>
      </c>
      <c r="F1302" s="141"/>
      <c r="H1302" s="45" t="s">
        <v>1624</v>
      </c>
    </row>
    <row r="1303" spans="1:8" ht="30" hidden="1" customHeight="1">
      <c r="A1303" s="42" t="s">
        <v>4744</v>
      </c>
      <c r="B1303" s="18" t="s">
        <v>3954</v>
      </c>
      <c r="C1303" s="18" t="s">
        <v>4739</v>
      </c>
      <c r="D1303" s="34">
        <v>43202</v>
      </c>
      <c r="E1303" s="141">
        <v>700000</v>
      </c>
      <c r="F1303" s="141"/>
      <c r="H1303" s="45" t="s">
        <v>1624</v>
      </c>
    </row>
    <row r="1304" spans="1:8" ht="30" hidden="1" customHeight="1">
      <c r="A1304" s="42" t="s">
        <v>4744</v>
      </c>
      <c r="B1304" s="18" t="s">
        <v>3954</v>
      </c>
      <c r="C1304" s="18" t="s">
        <v>4745</v>
      </c>
      <c r="D1304" s="34">
        <v>43202</v>
      </c>
      <c r="E1304" s="141">
        <v>700000</v>
      </c>
      <c r="F1304" s="141"/>
      <c r="H1304" s="45" t="s">
        <v>1624</v>
      </c>
    </row>
    <row r="1305" spans="1:8" hidden="1">
      <c r="A1305" s="45" t="s">
        <v>4747</v>
      </c>
      <c r="B1305" s="18" t="s">
        <v>3954</v>
      </c>
      <c r="C1305" s="45" t="s">
        <v>4406</v>
      </c>
      <c r="D1305" s="34">
        <v>43200</v>
      </c>
      <c r="E1305" s="141">
        <v>-500000</v>
      </c>
      <c r="H1305" s="45" t="s">
        <v>4748</v>
      </c>
    </row>
    <row r="1306" spans="1:8" hidden="1">
      <c r="A1306" s="45" t="s">
        <v>4747</v>
      </c>
      <c r="B1306" s="18" t="s">
        <v>3954</v>
      </c>
      <c r="C1306" s="45" t="s">
        <v>4406</v>
      </c>
      <c r="D1306" s="34">
        <v>43201</v>
      </c>
      <c r="E1306" s="141">
        <v>-650000</v>
      </c>
      <c r="H1306" s="45" t="s">
        <v>4748</v>
      </c>
    </row>
    <row r="1307" spans="1:8" hidden="1">
      <c r="A1307" s="45" t="s">
        <v>4747</v>
      </c>
      <c r="B1307" s="18" t="s">
        <v>3954</v>
      </c>
      <c r="C1307" s="45" t="s">
        <v>4406</v>
      </c>
      <c r="D1307" s="34">
        <v>43201</v>
      </c>
      <c r="E1307" s="141">
        <v>-600000</v>
      </c>
      <c r="H1307" s="45" t="s">
        <v>4748</v>
      </c>
    </row>
    <row r="1308" spans="1:8" hidden="1">
      <c r="A1308" s="45" t="s">
        <v>4747</v>
      </c>
      <c r="B1308" s="18" t="s">
        <v>3954</v>
      </c>
      <c r="C1308" s="45" t="s">
        <v>4406</v>
      </c>
      <c r="D1308" s="34">
        <v>43202</v>
      </c>
      <c r="E1308" s="141">
        <v>-700000</v>
      </c>
      <c r="H1308" s="45" t="s">
        <v>4748</v>
      </c>
    </row>
    <row r="1309" spans="1:8" ht="30" hidden="1" customHeight="1">
      <c r="A1309" s="42" t="s">
        <v>4728</v>
      </c>
      <c r="B1309" s="18" t="s">
        <v>3954</v>
      </c>
      <c r="C1309" s="18" t="s">
        <v>4691</v>
      </c>
      <c r="D1309" s="34">
        <v>43194</v>
      </c>
      <c r="E1309" s="141">
        <v>1000000</v>
      </c>
      <c r="F1309" s="141"/>
      <c r="H1309" s="45" t="s">
        <v>1624</v>
      </c>
    </row>
    <row r="1310" spans="1:8" ht="30" hidden="1" customHeight="1">
      <c r="A1310" s="42" t="s">
        <v>4728</v>
      </c>
      <c r="B1310" s="18" t="s">
        <v>3954</v>
      </c>
      <c r="C1310" s="18" t="s">
        <v>4691</v>
      </c>
      <c r="D1310" s="34">
        <v>43194</v>
      </c>
      <c r="E1310" s="141">
        <v>1000000</v>
      </c>
      <c r="F1310" s="141"/>
      <c r="H1310" s="45" t="s">
        <v>1624</v>
      </c>
    </row>
    <row r="1311" spans="1:8" ht="30" hidden="1" customHeight="1">
      <c r="A1311" s="45" t="s">
        <v>4747</v>
      </c>
      <c r="B1311" s="18" t="s">
        <v>3954</v>
      </c>
      <c r="C1311" s="45" t="s">
        <v>4406</v>
      </c>
      <c r="D1311" s="34">
        <v>43194</v>
      </c>
      <c r="E1311" s="141">
        <v>-1000000</v>
      </c>
      <c r="F1311" s="141"/>
      <c r="H1311" s="45" t="s">
        <v>4748</v>
      </c>
    </row>
    <row r="1312" spans="1:8" ht="30" hidden="1" customHeight="1">
      <c r="A1312" s="45" t="s">
        <v>4747</v>
      </c>
      <c r="B1312" s="18" t="s">
        <v>3954</v>
      </c>
      <c r="C1312" s="45" t="s">
        <v>4406</v>
      </c>
      <c r="D1312" s="34">
        <v>43194</v>
      </c>
      <c r="E1312" s="141">
        <v>-1000000</v>
      </c>
      <c r="F1312" s="141"/>
      <c r="H1312" s="45" t="s">
        <v>4748</v>
      </c>
    </row>
    <row r="1313" spans="1:8" ht="30" hidden="1" customHeight="1">
      <c r="A1313" s="42" t="s">
        <v>4728</v>
      </c>
      <c r="B1313" s="18" t="s">
        <v>3954</v>
      </c>
      <c r="C1313" s="18" t="s">
        <v>4691</v>
      </c>
      <c r="D1313" s="34">
        <v>43199</v>
      </c>
      <c r="E1313" s="141">
        <v>2000000</v>
      </c>
      <c r="F1313" s="141"/>
      <c r="H1313" s="45" t="s">
        <v>1624</v>
      </c>
    </row>
    <row r="1314" spans="1:8" ht="30" hidden="1" customHeight="1">
      <c r="A1314" s="42" t="s">
        <v>4728</v>
      </c>
      <c r="B1314" s="18" t="s">
        <v>3954</v>
      </c>
      <c r="C1314" s="18" t="s">
        <v>4691</v>
      </c>
      <c r="D1314" s="34">
        <v>43201</v>
      </c>
      <c r="E1314" s="141">
        <v>837125</v>
      </c>
      <c r="F1314" s="141"/>
      <c r="H1314" s="45" t="s">
        <v>1624</v>
      </c>
    </row>
    <row r="1315" spans="1:8" ht="30" hidden="1" customHeight="1">
      <c r="A1315" s="42" t="s">
        <v>4750</v>
      </c>
      <c r="B1315" s="18" t="s">
        <v>4471</v>
      </c>
      <c r="C1315" s="18" t="s">
        <v>4406</v>
      </c>
      <c r="D1315" s="34">
        <v>43143</v>
      </c>
      <c r="E1315" s="141">
        <v>2000000</v>
      </c>
      <c r="F1315" s="141"/>
      <c r="H1315" s="45" t="s">
        <v>4475</v>
      </c>
    </row>
    <row r="1316" spans="1:8" ht="30" hidden="1" customHeight="1">
      <c r="A1316" s="42" t="s">
        <v>4875</v>
      </c>
      <c r="B1316" s="18" t="s">
        <v>3954</v>
      </c>
      <c r="C1316" s="18" t="s">
        <v>390</v>
      </c>
      <c r="D1316" s="34">
        <v>43194</v>
      </c>
      <c r="E1316" s="141">
        <v>154943.04999999999</v>
      </c>
      <c r="F1316" s="141"/>
      <c r="H1316" s="45" t="s">
        <v>118</v>
      </c>
    </row>
    <row r="1317" spans="1:8" ht="30" customHeight="1">
      <c r="A1317" s="42" t="s">
        <v>4778</v>
      </c>
      <c r="B1317" s="18" t="s">
        <v>641</v>
      </c>
      <c r="C1317" s="18" t="s">
        <v>1429</v>
      </c>
      <c r="D1317" s="34">
        <v>43199</v>
      </c>
      <c r="E1317" s="141">
        <v>1500000</v>
      </c>
      <c r="F1317" s="141"/>
      <c r="H1317" s="45" t="s">
        <v>4779</v>
      </c>
    </row>
    <row r="1318" spans="1:8" ht="30" customHeight="1">
      <c r="A1318" s="42" t="s">
        <v>4468</v>
      </c>
      <c r="B1318" s="18" t="s">
        <v>641</v>
      </c>
      <c r="C1318" s="18" t="s">
        <v>1429</v>
      </c>
      <c r="D1318" s="34">
        <v>43199</v>
      </c>
      <c r="E1318" s="141">
        <v>262275.88</v>
      </c>
      <c r="F1318" s="141"/>
      <c r="H1318" s="45" t="s">
        <v>4779</v>
      </c>
    </row>
    <row r="1319" spans="1:8" ht="30" hidden="1" customHeight="1">
      <c r="A1319" s="42" t="s">
        <v>4784</v>
      </c>
      <c r="B1319" s="18" t="s">
        <v>4785</v>
      </c>
      <c r="C1319" s="18" t="s">
        <v>4220</v>
      </c>
      <c r="D1319" s="34">
        <v>43192</v>
      </c>
      <c r="E1319" s="141">
        <v>2800000</v>
      </c>
      <c r="F1319" s="141"/>
      <c r="H1319" s="45" t="s">
        <v>4779</v>
      </c>
    </row>
    <row r="1320" spans="1:8" ht="30" hidden="1" customHeight="1">
      <c r="A1320" s="42" t="s">
        <v>4787</v>
      </c>
      <c r="B1320" s="18" t="s">
        <v>4400</v>
      </c>
      <c r="C1320" s="18" t="s">
        <v>4788</v>
      </c>
      <c r="D1320" s="34">
        <v>43193</v>
      </c>
      <c r="E1320" s="141">
        <v>172943.55</v>
      </c>
      <c r="F1320" s="141"/>
      <c r="H1320" s="45" t="s">
        <v>4789</v>
      </c>
    </row>
    <row r="1321" spans="1:8" ht="30" hidden="1" customHeight="1">
      <c r="A1321" s="42" t="s">
        <v>4790</v>
      </c>
      <c r="B1321" s="18" t="s">
        <v>4791</v>
      </c>
      <c r="C1321" s="18" t="s">
        <v>4792</v>
      </c>
      <c r="D1321" s="34">
        <v>43192</v>
      </c>
      <c r="E1321" s="141">
        <v>7007.2</v>
      </c>
      <c r="F1321" s="141"/>
      <c r="H1321" s="45" t="s">
        <v>4793</v>
      </c>
    </row>
    <row r="1322" spans="1:8" ht="30" hidden="1" customHeight="1">
      <c r="A1322" s="42" t="s">
        <v>4794</v>
      </c>
      <c r="B1322" s="18" t="s">
        <v>4791</v>
      </c>
      <c r="C1322" s="18" t="s">
        <v>4792</v>
      </c>
      <c r="D1322" s="34">
        <v>43192</v>
      </c>
      <c r="E1322" s="141">
        <v>600897.31000000006</v>
      </c>
      <c r="F1322" s="141"/>
      <c r="H1322" s="45" t="s">
        <v>4793</v>
      </c>
    </row>
    <row r="1323" spans="1:8" ht="30" customHeight="1">
      <c r="A1323" s="42" t="s">
        <v>4645</v>
      </c>
      <c r="B1323" s="18" t="s">
        <v>194</v>
      </c>
      <c r="C1323" s="18" t="s">
        <v>2011</v>
      </c>
      <c r="D1323" s="34">
        <v>43194</v>
      </c>
      <c r="E1323" s="141">
        <v>-24582.400000000001</v>
      </c>
      <c r="F1323" s="141"/>
      <c r="H1323" s="45" t="s">
        <v>4560</v>
      </c>
    </row>
    <row r="1324" spans="1:8" ht="30" customHeight="1">
      <c r="A1324" s="42" t="s">
        <v>4777</v>
      </c>
      <c r="B1324" s="18" t="s">
        <v>603</v>
      </c>
      <c r="C1324" s="18" t="s">
        <v>351</v>
      </c>
      <c r="D1324" s="34">
        <v>43194</v>
      </c>
      <c r="E1324" s="141">
        <v>500000</v>
      </c>
      <c r="F1324" s="141"/>
      <c r="H1324" s="45" t="s">
        <v>178</v>
      </c>
    </row>
    <row r="1325" spans="1:8" ht="30" customHeight="1">
      <c r="A1325" s="42" t="s">
        <v>4777</v>
      </c>
      <c r="B1325" s="18" t="s">
        <v>603</v>
      </c>
      <c r="C1325" s="18" t="s">
        <v>351</v>
      </c>
      <c r="D1325" s="34">
        <v>43206</v>
      </c>
      <c r="E1325" s="141">
        <v>1370000</v>
      </c>
      <c r="F1325" s="141"/>
      <c r="H1325" s="45" t="s">
        <v>178</v>
      </c>
    </row>
    <row r="1326" spans="1:8" ht="30" hidden="1" customHeight="1">
      <c r="A1326" s="42" t="s">
        <v>4801</v>
      </c>
      <c r="B1326" s="18" t="s">
        <v>4219</v>
      </c>
      <c r="C1326" s="18" t="s">
        <v>4220</v>
      </c>
      <c r="D1326" s="34">
        <v>43207</v>
      </c>
      <c r="E1326" s="141">
        <v>2150000</v>
      </c>
      <c r="F1326" s="141"/>
      <c r="H1326" s="45" t="s">
        <v>56</v>
      </c>
    </row>
    <row r="1327" spans="1:8" ht="30" hidden="1" customHeight="1">
      <c r="A1327" s="42" t="s">
        <v>4807</v>
      </c>
      <c r="B1327" s="18" t="s">
        <v>4219</v>
      </c>
      <c r="C1327" s="18" t="s">
        <v>4808</v>
      </c>
      <c r="D1327" s="34">
        <v>43206</v>
      </c>
      <c r="E1327" s="141">
        <v>340000</v>
      </c>
      <c r="F1327" s="141"/>
      <c r="H1327" s="45" t="s">
        <v>56</v>
      </c>
    </row>
    <row r="1328" spans="1:8" ht="30" customHeight="1">
      <c r="A1328" s="42" t="s">
        <v>4810</v>
      </c>
      <c r="B1328" s="18" t="s">
        <v>4811</v>
      </c>
      <c r="C1328" s="18" t="s">
        <v>1392</v>
      </c>
      <c r="D1328" s="34">
        <v>43207</v>
      </c>
      <c r="E1328" s="141">
        <v>391422.39</v>
      </c>
      <c r="F1328" s="141"/>
      <c r="H1328" s="45" t="s">
        <v>56</v>
      </c>
    </row>
    <row r="1329" spans="1:8" ht="30" hidden="1" customHeight="1">
      <c r="A1329" s="42" t="s">
        <v>3626</v>
      </c>
      <c r="B1329" s="18" t="s">
        <v>218</v>
      </c>
      <c r="C1329" s="18" t="s">
        <v>3405</v>
      </c>
      <c r="D1329" s="34">
        <v>43210</v>
      </c>
      <c r="E1329" s="141">
        <v>500000</v>
      </c>
      <c r="F1329" s="141">
        <v>500000</v>
      </c>
      <c r="G1329" s="149">
        <v>43384</v>
      </c>
      <c r="H1329" s="45" t="s">
        <v>1593</v>
      </c>
    </row>
    <row r="1330" spans="1:8" ht="30" hidden="1" customHeight="1">
      <c r="A1330" s="42" t="s">
        <v>3626</v>
      </c>
      <c r="B1330" s="18" t="s">
        <v>218</v>
      </c>
      <c r="C1330" s="18" t="s">
        <v>3405</v>
      </c>
      <c r="D1330" s="34">
        <v>43210</v>
      </c>
      <c r="E1330" s="141">
        <v>45288.89</v>
      </c>
      <c r="F1330" s="141"/>
      <c r="H1330" s="45" t="s">
        <v>1593</v>
      </c>
    </row>
    <row r="1331" spans="1:8" ht="30" hidden="1" customHeight="1">
      <c r="A1331" s="42" t="s">
        <v>4824</v>
      </c>
      <c r="B1331" s="18" t="s">
        <v>4825</v>
      </c>
      <c r="C1331" s="18" t="s">
        <v>3405</v>
      </c>
      <c r="D1331" s="34">
        <v>43202</v>
      </c>
      <c r="E1331" s="141">
        <v>4423037.1100000003</v>
      </c>
      <c r="F1331" s="141">
        <f>E1331</f>
        <v>4423037.1100000003</v>
      </c>
      <c r="G1331" s="149">
        <v>43371</v>
      </c>
      <c r="H1331" s="45" t="s">
        <v>1593</v>
      </c>
    </row>
    <row r="1332" spans="1:8" ht="30" customHeight="1">
      <c r="A1332" s="42" t="s">
        <v>4828</v>
      </c>
      <c r="B1332" s="18" t="s">
        <v>4829</v>
      </c>
      <c r="C1332" s="18" t="s">
        <v>4830</v>
      </c>
      <c r="D1332" s="34">
        <v>43202</v>
      </c>
      <c r="E1332" s="141">
        <v>4576962.8899999997</v>
      </c>
      <c r="F1332" s="141">
        <f>E1332</f>
        <v>4576962.8899999997</v>
      </c>
      <c r="G1332" s="149">
        <v>43371</v>
      </c>
      <c r="H1332" s="45" t="s">
        <v>4831</v>
      </c>
    </row>
    <row r="1333" spans="1:8" ht="30" customHeight="1">
      <c r="A1333" s="42" t="s">
        <v>4828</v>
      </c>
      <c r="B1333" s="18" t="s">
        <v>4829</v>
      </c>
      <c r="C1333" s="18" t="s">
        <v>4830</v>
      </c>
      <c r="D1333" s="34">
        <v>43215</v>
      </c>
      <c r="E1333" s="141">
        <v>1227254.58</v>
      </c>
      <c r="F1333" s="141">
        <f>E1333</f>
        <v>1227254.58</v>
      </c>
      <c r="G1333" s="149">
        <v>43377</v>
      </c>
      <c r="H1333" s="45" t="s">
        <v>4831</v>
      </c>
    </row>
    <row r="1334" spans="1:8" ht="30" hidden="1" customHeight="1">
      <c r="A1334" s="42" t="s">
        <v>4832</v>
      </c>
      <c r="B1334" s="18" t="s">
        <v>4827</v>
      </c>
      <c r="C1334" s="18" t="s">
        <v>4830</v>
      </c>
      <c r="D1334" s="34">
        <v>43215</v>
      </c>
      <c r="E1334" s="141">
        <v>772745.41999999993</v>
      </c>
      <c r="F1334" s="141">
        <f>E1334</f>
        <v>772745.41999999993</v>
      </c>
      <c r="G1334" s="149">
        <v>43377</v>
      </c>
      <c r="H1334" s="45" t="s">
        <v>4831</v>
      </c>
    </row>
    <row r="1335" spans="1:8" ht="30" hidden="1" customHeight="1">
      <c r="A1335" s="42" t="s">
        <v>3626</v>
      </c>
      <c r="B1335" s="18" t="s">
        <v>218</v>
      </c>
      <c r="C1335" s="18" t="s">
        <v>3405</v>
      </c>
      <c r="D1335" s="34">
        <v>43210</v>
      </c>
      <c r="E1335" s="141">
        <v>100000</v>
      </c>
      <c r="F1335" s="141">
        <v>100000</v>
      </c>
      <c r="G1335" s="149">
        <v>43373</v>
      </c>
      <c r="H1335" s="45" t="s">
        <v>1593</v>
      </c>
    </row>
    <row r="1336" spans="1:8" ht="30" customHeight="1">
      <c r="A1336" s="42" t="s">
        <v>4843</v>
      </c>
      <c r="B1336" s="18" t="s">
        <v>4844</v>
      </c>
      <c r="C1336" s="18" t="s">
        <v>2011</v>
      </c>
      <c r="D1336" s="34">
        <v>43213</v>
      </c>
      <c r="E1336" s="141">
        <v>1084800</v>
      </c>
      <c r="F1336" s="141"/>
      <c r="H1336" s="45" t="s">
        <v>4845</v>
      </c>
    </row>
    <row r="1337" spans="1:8" ht="30" customHeight="1">
      <c r="A1337" s="42" t="s">
        <v>4843</v>
      </c>
      <c r="B1337" s="18" t="s">
        <v>4844</v>
      </c>
      <c r="C1337" s="18" t="s">
        <v>2011</v>
      </c>
      <c r="D1337" s="34">
        <v>43218</v>
      </c>
      <c r="E1337" s="141">
        <v>42720</v>
      </c>
      <c r="F1337" s="141"/>
      <c r="H1337" s="45" t="s">
        <v>4845</v>
      </c>
    </row>
    <row r="1338" spans="1:8" ht="30" customHeight="1">
      <c r="A1338" s="42" t="s">
        <v>4580</v>
      </c>
      <c r="B1338" s="18" t="s">
        <v>603</v>
      </c>
      <c r="C1338" s="18" t="s">
        <v>351</v>
      </c>
      <c r="D1338" s="34">
        <v>43223</v>
      </c>
      <c r="E1338" s="141">
        <v>-268636.03999999998</v>
      </c>
      <c r="F1338" s="141">
        <f>E1338</f>
        <v>-268636.03999999998</v>
      </c>
      <c r="G1338" s="149">
        <v>43340</v>
      </c>
      <c r="H1338" s="45" t="s">
        <v>4845</v>
      </c>
    </row>
    <row r="1339" spans="1:8" ht="30" customHeight="1">
      <c r="A1339" s="42" t="s">
        <v>4777</v>
      </c>
      <c r="B1339" s="18" t="s">
        <v>603</v>
      </c>
      <c r="C1339" s="18" t="s">
        <v>351</v>
      </c>
      <c r="D1339" s="34">
        <v>43223</v>
      </c>
      <c r="E1339" s="141">
        <v>268636.03999999998</v>
      </c>
      <c r="F1339" s="141">
        <f>E1339</f>
        <v>268636.03999999998</v>
      </c>
      <c r="G1339" s="149">
        <v>43340</v>
      </c>
      <c r="H1339" s="45" t="s">
        <v>4845</v>
      </c>
    </row>
    <row r="1340" spans="1:8" ht="30" customHeight="1">
      <c r="A1340" s="42" t="s">
        <v>4850</v>
      </c>
      <c r="B1340" s="18" t="s">
        <v>603</v>
      </c>
      <c r="C1340" s="18" t="s">
        <v>1392</v>
      </c>
      <c r="D1340" s="34">
        <v>43210</v>
      </c>
      <c r="E1340" s="141">
        <v>500000</v>
      </c>
      <c r="F1340" s="141">
        <v>500000</v>
      </c>
      <c r="G1340" s="149">
        <v>43384</v>
      </c>
      <c r="H1340" s="45" t="s">
        <v>119</v>
      </c>
    </row>
    <row r="1341" spans="1:8" ht="30" customHeight="1">
      <c r="A1341" s="42" t="s">
        <v>4850</v>
      </c>
      <c r="B1341" s="18" t="s">
        <v>603</v>
      </c>
      <c r="C1341" s="18" t="s">
        <v>1392</v>
      </c>
      <c r="D1341" s="34">
        <v>43210</v>
      </c>
      <c r="E1341" s="141">
        <v>100000</v>
      </c>
      <c r="F1341" s="141">
        <v>100000</v>
      </c>
      <c r="G1341" s="149">
        <v>43373</v>
      </c>
      <c r="H1341" s="45" t="s">
        <v>119</v>
      </c>
    </row>
    <row r="1342" spans="1:8" ht="30" customHeight="1">
      <c r="A1342" s="42" t="s">
        <v>4850</v>
      </c>
      <c r="B1342" s="18" t="s">
        <v>603</v>
      </c>
      <c r="C1342" s="18" t="s">
        <v>1392</v>
      </c>
      <c r="D1342" s="34">
        <v>43222</v>
      </c>
      <c r="E1342" s="141">
        <v>800000</v>
      </c>
      <c r="F1342" s="141"/>
      <c r="H1342" s="45" t="s">
        <v>119</v>
      </c>
    </row>
    <row r="1343" spans="1:8" ht="30" hidden="1" customHeight="1">
      <c r="A1343" s="42" t="s">
        <v>4860</v>
      </c>
      <c r="B1343" s="18" t="s">
        <v>2761</v>
      </c>
      <c r="C1343" s="18" t="s">
        <v>4083</v>
      </c>
      <c r="D1343" s="34">
        <v>43207</v>
      </c>
      <c r="E1343" s="141">
        <v>5620000</v>
      </c>
      <c r="F1343" s="141"/>
      <c r="H1343" s="45" t="s">
        <v>4845</v>
      </c>
    </row>
    <row r="1344" spans="1:8" ht="30" hidden="1" customHeight="1">
      <c r="A1344" s="42" t="s">
        <v>4798</v>
      </c>
      <c r="B1344" s="18" t="s">
        <v>2761</v>
      </c>
      <c r="C1344" s="18" t="s">
        <v>4083</v>
      </c>
      <c r="D1344" s="34">
        <v>43222</v>
      </c>
      <c r="E1344" s="141">
        <v>18150000</v>
      </c>
      <c r="F1344" s="141"/>
      <c r="H1344" s="45" t="s">
        <v>56</v>
      </c>
    </row>
    <row r="1345" spans="1:8" ht="30" hidden="1" customHeight="1">
      <c r="A1345" s="42" t="s">
        <v>4858</v>
      </c>
      <c r="B1345" s="18" t="s">
        <v>2761</v>
      </c>
      <c r="C1345" s="18" t="s">
        <v>2938</v>
      </c>
      <c r="D1345" s="34">
        <v>43222</v>
      </c>
      <c r="E1345" s="141">
        <v>22379169.600000001</v>
      </c>
      <c r="F1345" s="141"/>
      <c r="H1345" s="45" t="s">
        <v>118</v>
      </c>
    </row>
    <row r="1346" spans="1:8" ht="30" hidden="1" customHeight="1">
      <c r="A1346" s="42" t="s">
        <v>4562</v>
      </c>
      <c r="B1346" s="18" t="s">
        <v>4219</v>
      </c>
      <c r="C1346" s="18" t="s">
        <v>4220</v>
      </c>
      <c r="D1346" s="34">
        <v>43222</v>
      </c>
      <c r="E1346" s="141">
        <v>747791.82</v>
      </c>
      <c r="F1346" s="141"/>
      <c r="H1346" s="45" t="s">
        <v>56</v>
      </c>
    </row>
    <row r="1347" spans="1:8" ht="30" hidden="1" customHeight="1">
      <c r="A1347" s="42" t="s">
        <v>4801</v>
      </c>
      <c r="B1347" s="18" t="s">
        <v>4219</v>
      </c>
      <c r="C1347" s="18" t="s">
        <v>4220</v>
      </c>
      <c r="D1347" s="34">
        <v>43216</v>
      </c>
      <c r="E1347" s="141">
        <v>870000</v>
      </c>
      <c r="F1347" s="141"/>
      <c r="H1347" s="45" t="s">
        <v>56</v>
      </c>
    </row>
    <row r="1348" spans="1:8" ht="30" hidden="1" customHeight="1">
      <c r="A1348" s="42" t="s">
        <v>4870</v>
      </c>
      <c r="B1348" s="18" t="s">
        <v>4871</v>
      </c>
      <c r="C1348" s="18" t="s">
        <v>4872</v>
      </c>
      <c r="D1348" s="34">
        <v>43206</v>
      </c>
      <c r="E1348" s="141">
        <v>56104.17</v>
      </c>
      <c r="F1348" s="141">
        <f>E1348</f>
        <v>56104.17</v>
      </c>
      <c r="G1348" s="149">
        <v>43293</v>
      </c>
      <c r="H1348" s="45" t="s">
        <v>4873</v>
      </c>
    </row>
    <row r="1349" spans="1:8" ht="30" hidden="1" customHeight="1">
      <c r="A1349" s="42" t="s">
        <v>4874</v>
      </c>
      <c r="B1349" s="18" t="s">
        <v>4871</v>
      </c>
      <c r="C1349" s="18" t="s">
        <v>4872</v>
      </c>
      <c r="D1349" s="34">
        <v>43206</v>
      </c>
      <c r="E1349" s="141">
        <v>1943895.83</v>
      </c>
      <c r="F1349" s="141">
        <f>E1349</f>
        <v>1943895.83</v>
      </c>
      <c r="G1349" s="149">
        <v>43293</v>
      </c>
      <c r="H1349" s="45" t="s">
        <v>4873</v>
      </c>
    </row>
    <row r="1350" spans="1:8" ht="30" hidden="1" customHeight="1">
      <c r="A1350" s="42" t="s">
        <v>4874</v>
      </c>
      <c r="B1350" s="18" t="s">
        <v>4871</v>
      </c>
      <c r="C1350" s="18" t="s">
        <v>4872</v>
      </c>
      <c r="D1350" s="34">
        <v>43206</v>
      </c>
      <c r="E1350" s="141">
        <v>6598685.2800000003</v>
      </c>
      <c r="F1350" s="141">
        <f>E1350</f>
        <v>6598685.2800000003</v>
      </c>
      <c r="G1350" s="149">
        <v>43293</v>
      </c>
      <c r="H1350" s="45" t="s">
        <v>4873</v>
      </c>
    </row>
    <row r="1351" spans="1:8" ht="30" hidden="1" customHeight="1">
      <c r="A1351" s="42" t="s">
        <v>4875</v>
      </c>
      <c r="B1351" s="18" t="s">
        <v>4871</v>
      </c>
      <c r="C1351" s="18" t="s">
        <v>4872</v>
      </c>
      <c r="D1351" s="34">
        <v>43206</v>
      </c>
      <c r="E1351" s="141">
        <v>1401314.7199999997</v>
      </c>
      <c r="F1351" s="141">
        <v>1401314.7199999997</v>
      </c>
      <c r="G1351" s="149">
        <v>43293</v>
      </c>
      <c r="H1351" s="45" t="s">
        <v>4873</v>
      </c>
    </row>
    <row r="1352" spans="1:8" ht="30" hidden="1" customHeight="1">
      <c r="A1352" s="42" t="s">
        <v>4875</v>
      </c>
      <c r="B1352" s="18" t="s">
        <v>4871</v>
      </c>
      <c r="C1352" s="18" t="s">
        <v>4872</v>
      </c>
      <c r="D1352" s="34">
        <v>43206</v>
      </c>
      <c r="E1352" s="141">
        <v>-20000</v>
      </c>
      <c r="F1352" s="141"/>
      <c r="H1352" s="45" t="s">
        <v>4876</v>
      </c>
    </row>
    <row r="1353" spans="1:8" ht="30" hidden="1" customHeight="1">
      <c r="A1353" s="42" t="s">
        <v>4744</v>
      </c>
      <c r="B1353" s="18" t="s">
        <v>3954</v>
      </c>
      <c r="C1353" s="18" t="s">
        <v>4740</v>
      </c>
      <c r="D1353" s="34">
        <v>43202</v>
      </c>
      <c r="E1353" s="141">
        <v>800000</v>
      </c>
      <c r="F1353" s="141"/>
      <c r="H1353" s="45" t="s">
        <v>1624</v>
      </c>
    </row>
    <row r="1354" spans="1:8" ht="30" hidden="1" customHeight="1">
      <c r="A1354" s="42" t="s">
        <v>4744</v>
      </c>
      <c r="B1354" s="18" t="s">
        <v>3954</v>
      </c>
      <c r="C1354" s="18" t="s">
        <v>4740</v>
      </c>
      <c r="D1354" s="34">
        <v>43202</v>
      </c>
      <c r="E1354" s="141">
        <v>419001.59999999998</v>
      </c>
      <c r="F1354" s="141"/>
      <c r="H1354" s="45" t="s">
        <v>1624</v>
      </c>
    </row>
    <row r="1355" spans="1:8" ht="30" hidden="1" customHeight="1">
      <c r="A1355" s="42" t="s">
        <v>4744</v>
      </c>
      <c r="B1355" s="18" t="s">
        <v>3954</v>
      </c>
      <c r="C1355" s="18" t="s">
        <v>4740</v>
      </c>
      <c r="D1355" s="34">
        <v>43203</v>
      </c>
      <c r="E1355" s="141">
        <v>827629.4</v>
      </c>
      <c r="F1355" s="141"/>
      <c r="H1355" s="45" t="s">
        <v>1624</v>
      </c>
    </row>
    <row r="1356" spans="1:8" ht="30" hidden="1" customHeight="1">
      <c r="A1356" s="42" t="s">
        <v>4744</v>
      </c>
      <c r="B1356" s="18" t="s">
        <v>3954</v>
      </c>
      <c r="C1356" s="18" t="s">
        <v>4740</v>
      </c>
      <c r="D1356" s="34">
        <v>43203</v>
      </c>
      <c r="E1356" s="141">
        <v>500000</v>
      </c>
      <c r="F1356" s="141"/>
      <c r="H1356" s="45" t="s">
        <v>1624</v>
      </c>
    </row>
    <row r="1357" spans="1:8" ht="30" hidden="1" customHeight="1">
      <c r="A1357" s="42" t="s">
        <v>4744</v>
      </c>
      <c r="B1357" s="18" t="s">
        <v>3954</v>
      </c>
      <c r="C1357" s="18" t="s">
        <v>4740</v>
      </c>
      <c r="D1357" s="34">
        <v>43206</v>
      </c>
      <c r="E1357" s="141">
        <v>1482972.18</v>
      </c>
      <c r="F1357" s="141"/>
      <c r="H1357" s="45" t="s">
        <v>1624</v>
      </c>
    </row>
    <row r="1358" spans="1:8" ht="30" hidden="1" customHeight="1">
      <c r="A1358" s="42" t="s">
        <v>4744</v>
      </c>
      <c r="B1358" s="18" t="s">
        <v>3954</v>
      </c>
      <c r="C1358" s="18" t="s">
        <v>4740</v>
      </c>
      <c r="D1358" s="34">
        <v>43206</v>
      </c>
      <c r="E1358" s="141">
        <v>892775.82</v>
      </c>
      <c r="F1358" s="141"/>
      <c r="H1358" s="45" t="s">
        <v>1624</v>
      </c>
    </row>
    <row r="1359" spans="1:8" ht="30" hidden="1" customHeight="1">
      <c r="A1359" s="42" t="s">
        <v>4802</v>
      </c>
      <c r="B1359" s="18" t="s">
        <v>3954</v>
      </c>
      <c r="C1359" s="18" t="s">
        <v>4800</v>
      </c>
      <c r="D1359" s="34">
        <v>43209</v>
      </c>
      <c r="E1359" s="141">
        <v>1000000</v>
      </c>
      <c r="F1359" s="141"/>
      <c r="H1359" s="45" t="s">
        <v>1624</v>
      </c>
    </row>
    <row r="1360" spans="1:8" ht="30" hidden="1" customHeight="1">
      <c r="A1360" s="42" t="s">
        <v>4802</v>
      </c>
      <c r="B1360" s="18" t="s">
        <v>3954</v>
      </c>
      <c r="C1360" s="18" t="s">
        <v>4800</v>
      </c>
      <c r="D1360" s="34">
        <v>43209</v>
      </c>
      <c r="E1360" s="141">
        <v>800000</v>
      </c>
      <c r="F1360" s="141"/>
      <c r="H1360" s="45" t="s">
        <v>1624</v>
      </c>
    </row>
    <row r="1361" spans="1:8" ht="30" hidden="1" customHeight="1">
      <c r="A1361" s="42" t="s">
        <v>4802</v>
      </c>
      <c r="B1361" s="18" t="s">
        <v>3954</v>
      </c>
      <c r="C1361" s="18" t="s">
        <v>4800</v>
      </c>
      <c r="D1361" s="34">
        <v>43210</v>
      </c>
      <c r="E1361" s="141">
        <v>900000</v>
      </c>
      <c r="F1361" s="141"/>
      <c r="H1361" s="45" t="s">
        <v>1624</v>
      </c>
    </row>
    <row r="1362" spans="1:8" ht="30" hidden="1" customHeight="1">
      <c r="A1362" s="42" t="s">
        <v>4802</v>
      </c>
      <c r="B1362" s="18" t="s">
        <v>3954</v>
      </c>
      <c r="C1362" s="18" t="s">
        <v>4800</v>
      </c>
      <c r="D1362" s="34">
        <v>43213</v>
      </c>
      <c r="E1362" s="141">
        <v>700000</v>
      </c>
      <c r="F1362" s="141"/>
      <c r="H1362" s="45" t="s">
        <v>1624</v>
      </c>
    </row>
    <row r="1363" spans="1:8" ht="30" hidden="1" customHeight="1">
      <c r="A1363" s="42" t="s">
        <v>4802</v>
      </c>
      <c r="B1363" s="18" t="s">
        <v>3954</v>
      </c>
      <c r="C1363" s="18" t="s">
        <v>4800</v>
      </c>
      <c r="D1363" s="34">
        <v>43214</v>
      </c>
      <c r="E1363" s="141">
        <v>900000</v>
      </c>
      <c r="F1363" s="141"/>
      <c r="H1363" s="45" t="s">
        <v>1624</v>
      </c>
    </row>
    <row r="1364" spans="1:8" ht="30" hidden="1" customHeight="1">
      <c r="A1364" s="42" t="s">
        <v>4802</v>
      </c>
      <c r="B1364" s="18" t="s">
        <v>3954</v>
      </c>
      <c r="C1364" s="18" t="s">
        <v>4800</v>
      </c>
      <c r="D1364" s="34">
        <v>43217</v>
      </c>
      <c r="E1364" s="141">
        <v>823828.4</v>
      </c>
      <c r="F1364" s="141"/>
      <c r="H1364" s="45" t="s">
        <v>1624</v>
      </c>
    </row>
    <row r="1365" spans="1:8" ht="30" hidden="1" customHeight="1">
      <c r="A1365" s="42" t="s">
        <v>4881</v>
      </c>
      <c r="B1365" s="18" t="s">
        <v>3954</v>
      </c>
      <c r="C1365" s="18" t="s">
        <v>4800</v>
      </c>
      <c r="D1365" s="34">
        <v>43217</v>
      </c>
      <c r="E1365" s="141">
        <v>476171.6</v>
      </c>
      <c r="F1365" s="141"/>
      <c r="H1365" s="45" t="s">
        <v>1624</v>
      </c>
    </row>
    <row r="1366" spans="1:8" ht="30" hidden="1" customHeight="1">
      <c r="A1366" s="42" t="s">
        <v>4589</v>
      </c>
      <c r="B1366" s="18" t="s">
        <v>3954</v>
      </c>
      <c r="C1366" s="18" t="s">
        <v>4271</v>
      </c>
      <c r="D1366" s="34">
        <v>43202</v>
      </c>
      <c r="E1366" s="141">
        <v>-800000</v>
      </c>
      <c r="F1366" s="141"/>
      <c r="H1366" s="45" t="s">
        <v>1593</v>
      </c>
    </row>
    <row r="1367" spans="1:8" ht="30" hidden="1" customHeight="1">
      <c r="A1367" s="42" t="s">
        <v>4589</v>
      </c>
      <c r="B1367" s="18" t="s">
        <v>3954</v>
      </c>
      <c r="C1367" s="18" t="s">
        <v>4271</v>
      </c>
      <c r="D1367" s="34">
        <v>43202</v>
      </c>
      <c r="E1367" s="141">
        <v>-419001.59999999998</v>
      </c>
      <c r="F1367" s="141"/>
      <c r="H1367" s="45" t="s">
        <v>1593</v>
      </c>
    </row>
    <row r="1368" spans="1:8" ht="30" hidden="1" customHeight="1">
      <c r="A1368" s="42" t="s">
        <v>4589</v>
      </c>
      <c r="B1368" s="18" t="s">
        <v>3954</v>
      </c>
      <c r="C1368" s="18" t="s">
        <v>4271</v>
      </c>
      <c r="D1368" s="34">
        <v>43203</v>
      </c>
      <c r="E1368" s="141">
        <v>-827629.4</v>
      </c>
      <c r="F1368" s="141"/>
      <c r="H1368" s="45" t="s">
        <v>1593</v>
      </c>
    </row>
    <row r="1369" spans="1:8" ht="30" hidden="1" customHeight="1">
      <c r="A1369" s="42" t="s">
        <v>4589</v>
      </c>
      <c r="B1369" s="18" t="s">
        <v>3954</v>
      </c>
      <c r="C1369" s="18" t="s">
        <v>4271</v>
      </c>
      <c r="D1369" s="34">
        <v>43203</v>
      </c>
      <c r="E1369" s="141">
        <v>-500000</v>
      </c>
      <c r="F1369" s="141"/>
      <c r="H1369" s="45" t="s">
        <v>1593</v>
      </c>
    </row>
    <row r="1370" spans="1:8" ht="30" hidden="1" customHeight="1">
      <c r="A1370" s="42" t="s">
        <v>4750</v>
      </c>
      <c r="B1370" s="18" t="s">
        <v>3954</v>
      </c>
      <c r="C1370" s="18" t="s">
        <v>4271</v>
      </c>
      <c r="D1370" s="34">
        <v>43206</v>
      </c>
      <c r="E1370" s="141">
        <v>2700000</v>
      </c>
      <c r="F1370" s="141"/>
      <c r="H1370" s="45" t="s">
        <v>119</v>
      </c>
    </row>
    <row r="1371" spans="1:8" ht="30" hidden="1" customHeight="1">
      <c r="A1371" s="42" t="s">
        <v>4589</v>
      </c>
      <c r="B1371" s="18" t="s">
        <v>3954</v>
      </c>
      <c r="C1371" s="18" t="s">
        <v>4271</v>
      </c>
      <c r="D1371" s="34">
        <v>43209</v>
      </c>
      <c r="E1371" s="141">
        <v>-400000</v>
      </c>
      <c r="F1371" s="141"/>
      <c r="H1371" s="45" t="s">
        <v>1593</v>
      </c>
    </row>
    <row r="1372" spans="1:8" ht="30" hidden="1" customHeight="1">
      <c r="A1372" s="42" t="s">
        <v>4589</v>
      </c>
      <c r="B1372" s="18" t="s">
        <v>3954</v>
      </c>
      <c r="C1372" s="18" t="s">
        <v>4271</v>
      </c>
      <c r="D1372" s="34">
        <v>43209</v>
      </c>
      <c r="E1372" s="141">
        <v>-800000</v>
      </c>
      <c r="F1372" s="141"/>
      <c r="H1372" s="45" t="s">
        <v>1593</v>
      </c>
    </row>
    <row r="1373" spans="1:8" ht="30" hidden="1" customHeight="1">
      <c r="A1373" s="42" t="s">
        <v>4589</v>
      </c>
      <c r="B1373" s="18" t="s">
        <v>3954</v>
      </c>
      <c r="C1373" s="18" t="s">
        <v>4271</v>
      </c>
      <c r="D1373" s="34">
        <v>43210</v>
      </c>
      <c r="E1373" s="141">
        <v>-900000</v>
      </c>
      <c r="F1373" s="141"/>
      <c r="H1373" s="45" t="s">
        <v>1593</v>
      </c>
    </row>
    <row r="1374" spans="1:8" ht="30" hidden="1" customHeight="1">
      <c r="A1374" s="42" t="s">
        <v>4589</v>
      </c>
      <c r="B1374" s="18" t="s">
        <v>3954</v>
      </c>
      <c r="C1374" s="18" t="s">
        <v>4271</v>
      </c>
      <c r="D1374" s="34">
        <v>43214</v>
      </c>
      <c r="E1374" s="141">
        <v>-900000</v>
      </c>
      <c r="F1374" s="141"/>
      <c r="H1374" s="45" t="s">
        <v>1593</v>
      </c>
    </row>
    <row r="1375" spans="1:8" ht="30" hidden="1" customHeight="1">
      <c r="A1375" s="42" t="s">
        <v>4589</v>
      </c>
      <c r="B1375" s="18" t="s">
        <v>3954</v>
      </c>
      <c r="C1375" s="18" t="s">
        <v>4271</v>
      </c>
      <c r="D1375" s="34">
        <v>43157</v>
      </c>
      <c r="E1375" s="141">
        <v>690000</v>
      </c>
      <c r="F1375" s="141"/>
      <c r="H1375" s="45" t="s">
        <v>1624</v>
      </c>
    </row>
    <row r="1376" spans="1:8" ht="30" hidden="1" customHeight="1">
      <c r="A1376" s="42" t="s">
        <v>4893</v>
      </c>
      <c r="B1376" s="18" t="s">
        <v>3263</v>
      </c>
      <c r="C1376" s="18" t="s">
        <v>2810</v>
      </c>
      <c r="D1376" s="34">
        <v>43175</v>
      </c>
      <c r="E1376" s="141">
        <v>276000</v>
      </c>
      <c r="F1376" s="141"/>
      <c r="H1376" s="45" t="s">
        <v>475</v>
      </c>
    </row>
    <row r="1377" spans="1:8" ht="30" hidden="1" customHeight="1">
      <c r="A1377" s="42" t="s">
        <v>4938</v>
      </c>
      <c r="B1377" s="18" t="s">
        <v>3263</v>
      </c>
      <c r="C1377" s="18" t="s">
        <v>875</v>
      </c>
      <c r="D1377" s="34">
        <v>43175</v>
      </c>
      <c r="E1377" s="141">
        <v>272800</v>
      </c>
      <c r="F1377" s="141"/>
      <c r="H1377" s="45" t="s">
        <v>1078</v>
      </c>
    </row>
    <row r="1378" spans="1:8" ht="30" hidden="1" customHeight="1">
      <c r="A1378" s="42" t="s">
        <v>4939</v>
      </c>
      <c r="B1378" s="18" t="s">
        <v>3263</v>
      </c>
      <c r="C1378" s="18" t="s">
        <v>875</v>
      </c>
      <c r="D1378" s="34">
        <v>43181</v>
      </c>
      <c r="E1378" s="141">
        <v>148000</v>
      </c>
      <c r="F1378" s="141"/>
      <c r="H1378" s="45" t="s">
        <v>1078</v>
      </c>
    </row>
    <row r="1379" spans="1:8" ht="30" hidden="1" customHeight="1">
      <c r="A1379" s="42" t="s">
        <v>4940</v>
      </c>
      <c r="B1379" s="18" t="s">
        <v>3263</v>
      </c>
      <c r="C1379" s="18" t="s">
        <v>875</v>
      </c>
      <c r="D1379" s="34">
        <v>43178</v>
      </c>
      <c r="E1379" s="141">
        <v>113625</v>
      </c>
      <c r="F1379" s="141"/>
      <c r="H1379" s="45" t="s">
        <v>1078</v>
      </c>
    </row>
    <row r="1380" spans="1:8" ht="30" hidden="1" customHeight="1">
      <c r="A1380" s="42" t="s">
        <v>4941</v>
      </c>
      <c r="B1380" s="18" t="s">
        <v>3263</v>
      </c>
      <c r="C1380" s="18" t="s">
        <v>875</v>
      </c>
      <c r="D1380" s="34">
        <v>43181</v>
      </c>
      <c r="E1380" s="141">
        <v>143000</v>
      </c>
      <c r="F1380" s="141"/>
      <c r="H1380" s="45" t="s">
        <v>1078</v>
      </c>
    </row>
    <row r="1381" spans="1:8" ht="30" hidden="1" customHeight="1">
      <c r="A1381" s="42" t="s">
        <v>4942</v>
      </c>
      <c r="B1381" s="18" t="s">
        <v>3263</v>
      </c>
      <c r="C1381" s="18" t="s">
        <v>875</v>
      </c>
      <c r="D1381" s="34">
        <v>43215</v>
      </c>
      <c r="E1381" s="141">
        <v>429000</v>
      </c>
      <c r="F1381" s="141"/>
      <c r="H1381" s="45" t="s">
        <v>1078</v>
      </c>
    </row>
    <row r="1382" spans="1:8" ht="30" hidden="1" customHeight="1">
      <c r="A1382" s="42" t="s">
        <v>4943</v>
      </c>
      <c r="B1382" s="18" t="s">
        <v>3263</v>
      </c>
      <c r="C1382" s="18" t="s">
        <v>875</v>
      </c>
      <c r="D1382" s="34">
        <v>43194</v>
      </c>
      <c r="E1382" s="141">
        <v>288000</v>
      </c>
      <c r="F1382" s="141"/>
      <c r="H1382" s="45" t="s">
        <v>1078</v>
      </c>
    </row>
    <row r="1383" spans="1:8" ht="30" hidden="1" customHeight="1">
      <c r="A1383" s="42" t="s">
        <v>4944</v>
      </c>
      <c r="B1383" s="18" t="s">
        <v>3263</v>
      </c>
      <c r="C1383" s="18" t="s">
        <v>875</v>
      </c>
      <c r="D1383" s="34">
        <v>43194</v>
      </c>
      <c r="E1383" s="141">
        <v>288000</v>
      </c>
      <c r="F1383" s="141"/>
      <c r="H1383" s="45" t="s">
        <v>1078</v>
      </c>
    </row>
    <row r="1384" spans="1:8" ht="30" hidden="1" customHeight="1">
      <c r="A1384" s="42" t="s">
        <v>4945</v>
      </c>
      <c r="B1384" s="18" t="s">
        <v>3263</v>
      </c>
      <c r="C1384" s="18" t="s">
        <v>875</v>
      </c>
      <c r="D1384" s="34">
        <v>43215</v>
      </c>
      <c r="E1384" s="141">
        <v>115200</v>
      </c>
      <c r="F1384" s="141"/>
      <c r="H1384" s="45" t="s">
        <v>1078</v>
      </c>
    </row>
    <row r="1385" spans="1:8" ht="30" hidden="1" customHeight="1">
      <c r="A1385" s="42" t="s">
        <v>4946</v>
      </c>
      <c r="B1385" s="18" t="s">
        <v>3263</v>
      </c>
      <c r="C1385" s="18" t="s">
        <v>875</v>
      </c>
      <c r="D1385" s="34">
        <v>43181</v>
      </c>
      <c r="E1385" s="141">
        <v>177000</v>
      </c>
      <c r="F1385" s="141"/>
      <c r="H1385" s="45" t="s">
        <v>1078</v>
      </c>
    </row>
    <row r="1386" spans="1:8" ht="30" hidden="1" customHeight="1">
      <c r="A1386" s="42" t="s">
        <v>4947</v>
      </c>
      <c r="B1386" s="18" t="s">
        <v>3263</v>
      </c>
      <c r="C1386" s="18" t="s">
        <v>875</v>
      </c>
      <c r="D1386" s="34">
        <v>43194</v>
      </c>
      <c r="E1386" s="141">
        <v>142000</v>
      </c>
      <c r="F1386" s="141"/>
      <c r="H1386" s="45" t="s">
        <v>1078</v>
      </c>
    </row>
    <row r="1387" spans="1:8" ht="30" hidden="1" customHeight="1">
      <c r="A1387" s="42" t="s">
        <v>4948</v>
      </c>
      <c r="B1387" s="18" t="s">
        <v>3263</v>
      </c>
      <c r="C1387" s="18" t="s">
        <v>2810</v>
      </c>
      <c r="D1387" s="34">
        <v>43181</v>
      </c>
      <c r="E1387" s="141">
        <v>276000</v>
      </c>
      <c r="F1387" s="461"/>
      <c r="H1387" s="45" t="s">
        <v>475</v>
      </c>
    </row>
    <row r="1388" spans="1:8" ht="30" hidden="1" customHeight="1">
      <c r="A1388" s="42" t="s">
        <v>4949</v>
      </c>
      <c r="B1388" s="18" t="s">
        <v>3263</v>
      </c>
      <c r="C1388" s="18" t="s">
        <v>2810</v>
      </c>
      <c r="D1388" s="34">
        <v>43187</v>
      </c>
      <c r="E1388" s="141">
        <v>149500</v>
      </c>
      <c r="F1388" s="461"/>
      <c r="H1388" s="45" t="s">
        <v>475</v>
      </c>
    </row>
    <row r="1389" spans="1:8" ht="30" hidden="1" customHeight="1">
      <c r="A1389" s="42" t="s">
        <v>4950</v>
      </c>
      <c r="B1389" s="18" t="s">
        <v>3263</v>
      </c>
      <c r="C1389" s="18" t="s">
        <v>3861</v>
      </c>
      <c r="D1389" s="34">
        <v>43180</v>
      </c>
      <c r="E1389" s="141">
        <v>114366.7</v>
      </c>
      <c r="F1389" s="461"/>
      <c r="H1389" s="45" t="s">
        <v>475</v>
      </c>
    </row>
    <row r="1390" spans="1:8" ht="30" hidden="1" customHeight="1">
      <c r="A1390" s="42" t="s">
        <v>4951</v>
      </c>
      <c r="B1390" s="18" t="s">
        <v>3263</v>
      </c>
      <c r="C1390" s="18" t="s">
        <v>2810</v>
      </c>
      <c r="D1390" s="34">
        <v>43187</v>
      </c>
      <c r="E1390" s="141">
        <v>144000</v>
      </c>
      <c r="F1390" s="461"/>
      <c r="H1390" s="45" t="s">
        <v>475</v>
      </c>
    </row>
    <row r="1391" spans="1:8" ht="30" hidden="1" customHeight="1">
      <c r="A1391" s="42" t="s">
        <v>4952</v>
      </c>
      <c r="B1391" s="18" t="s">
        <v>3263</v>
      </c>
      <c r="C1391" s="18" t="s">
        <v>2810</v>
      </c>
      <c r="D1391" s="34">
        <v>43221</v>
      </c>
      <c r="E1391" s="141">
        <v>432000</v>
      </c>
      <c r="F1391" s="461"/>
      <c r="H1391" s="45" t="s">
        <v>475</v>
      </c>
    </row>
    <row r="1392" spans="1:8" ht="30" hidden="1" customHeight="1">
      <c r="A1392" s="42" t="s">
        <v>4953</v>
      </c>
      <c r="B1392" s="18" t="s">
        <v>3263</v>
      </c>
      <c r="C1392" s="18" t="s">
        <v>2810</v>
      </c>
      <c r="D1392" s="34">
        <v>43215</v>
      </c>
      <c r="E1392" s="461">
        <v>290000</v>
      </c>
      <c r="F1392" s="461"/>
      <c r="H1392" s="45" t="s">
        <v>475</v>
      </c>
    </row>
    <row r="1393" spans="1:8" ht="30" hidden="1" customHeight="1">
      <c r="A1393" s="42" t="s">
        <v>4954</v>
      </c>
      <c r="B1393" s="18" t="s">
        <v>3263</v>
      </c>
      <c r="C1393" s="18" t="s">
        <v>2810</v>
      </c>
      <c r="D1393" s="34">
        <v>43215</v>
      </c>
      <c r="E1393" s="461">
        <v>290000</v>
      </c>
      <c r="F1393" s="461"/>
      <c r="H1393" s="45" t="s">
        <v>475</v>
      </c>
    </row>
    <row r="1394" spans="1:8" ht="30" hidden="1" customHeight="1">
      <c r="A1394" s="42" t="s">
        <v>4955</v>
      </c>
      <c r="B1394" s="18" t="s">
        <v>3263</v>
      </c>
      <c r="C1394" s="18" t="s">
        <v>2810</v>
      </c>
      <c r="D1394" s="34">
        <v>43227</v>
      </c>
      <c r="E1394" s="141">
        <v>116000</v>
      </c>
      <c r="F1394" s="461"/>
      <c r="H1394" s="45" t="s">
        <v>475</v>
      </c>
    </row>
    <row r="1395" spans="1:8" ht="30" hidden="1" customHeight="1">
      <c r="A1395" s="42" t="s">
        <v>4956</v>
      </c>
      <c r="B1395" s="18" t="s">
        <v>3263</v>
      </c>
      <c r="C1395" s="18" t="s">
        <v>274</v>
      </c>
      <c r="D1395" s="34">
        <v>43199</v>
      </c>
      <c r="E1395" s="141">
        <v>169281.7</v>
      </c>
      <c r="F1395" s="461"/>
      <c r="H1395" s="45" t="s">
        <v>475</v>
      </c>
    </row>
    <row r="1396" spans="1:8" ht="30" hidden="1" customHeight="1">
      <c r="A1396" s="42" t="s">
        <v>4957</v>
      </c>
      <c r="B1396" s="18" t="s">
        <v>3263</v>
      </c>
      <c r="C1396" s="18" t="s">
        <v>3861</v>
      </c>
      <c r="D1396" s="34">
        <v>43202</v>
      </c>
      <c r="E1396" s="141">
        <v>142991.70000000001</v>
      </c>
      <c r="F1396" s="461"/>
      <c r="H1396" s="45" t="s">
        <v>475</v>
      </c>
    </row>
    <row r="1397" spans="1:8" ht="30" hidden="1" customHeight="1">
      <c r="A1397" s="42" t="s">
        <v>4661</v>
      </c>
      <c r="B1397" s="18" t="s">
        <v>3263</v>
      </c>
      <c r="C1397" s="18" t="s">
        <v>274</v>
      </c>
      <c r="D1397" s="34">
        <v>43199</v>
      </c>
      <c r="E1397" s="141">
        <v>15150</v>
      </c>
      <c r="F1397" s="461"/>
      <c r="H1397" s="45" t="s">
        <v>475</v>
      </c>
    </row>
    <row r="1398" spans="1:8" ht="30" hidden="1" customHeight="1">
      <c r="A1398" s="42" t="s">
        <v>4956</v>
      </c>
      <c r="B1398" s="18" t="s">
        <v>3263</v>
      </c>
      <c r="C1398" s="18" t="s">
        <v>274</v>
      </c>
      <c r="D1398" s="34">
        <v>43213</v>
      </c>
      <c r="E1398" s="141">
        <v>8901.7000000000007</v>
      </c>
      <c r="F1398" s="461"/>
      <c r="H1398" s="45" t="s">
        <v>475</v>
      </c>
    </row>
    <row r="1399" spans="1:8" ht="30" hidden="1" customHeight="1">
      <c r="A1399" s="42" t="s">
        <v>4977</v>
      </c>
      <c r="B1399" s="18" t="s">
        <v>4978</v>
      </c>
      <c r="C1399" s="18" t="s">
        <v>4976</v>
      </c>
      <c r="D1399" s="34">
        <v>43224</v>
      </c>
      <c r="E1399" s="141">
        <v>1005997.7</v>
      </c>
      <c r="F1399" s="141">
        <f>E1399</f>
        <v>1005997.7</v>
      </c>
      <c r="G1399" s="149">
        <v>43384</v>
      </c>
      <c r="H1399" s="45" t="s">
        <v>118</v>
      </c>
    </row>
    <row r="1400" spans="1:8" ht="30" hidden="1" customHeight="1">
      <c r="A1400" s="42" t="s">
        <v>4979</v>
      </c>
      <c r="B1400" s="18" t="s">
        <v>4980</v>
      </c>
      <c r="C1400" s="18" t="s">
        <v>4976</v>
      </c>
      <c r="D1400" s="34">
        <v>43224</v>
      </c>
      <c r="E1400" s="141">
        <v>85378.4</v>
      </c>
      <c r="F1400" s="141">
        <f>E1400</f>
        <v>85378.4</v>
      </c>
      <c r="G1400" s="149">
        <v>43384</v>
      </c>
      <c r="H1400" s="45" t="s">
        <v>118</v>
      </c>
    </row>
    <row r="1401" spans="1:8" ht="30" hidden="1" customHeight="1">
      <c r="A1401" s="42" t="s">
        <v>4981</v>
      </c>
      <c r="B1401" s="18" t="s">
        <v>4980</v>
      </c>
      <c r="C1401" s="18" t="s">
        <v>4976</v>
      </c>
      <c r="D1401" s="34">
        <v>43224</v>
      </c>
      <c r="E1401" s="141">
        <v>908623.90000000014</v>
      </c>
      <c r="F1401" s="141">
        <f>E1401</f>
        <v>908623.90000000014</v>
      </c>
      <c r="G1401" s="149">
        <v>43384</v>
      </c>
      <c r="H1401" s="45" t="s">
        <v>118</v>
      </c>
    </row>
    <row r="1402" spans="1:8" ht="30" hidden="1" customHeight="1">
      <c r="A1402" s="42" t="s">
        <v>4981</v>
      </c>
      <c r="B1402" s="18" t="s">
        <v>4980</v>
      </c>
      <c r="C1402" s="18" t="s">
        <v>4976</v>
      </c>
      <c r="D1402" s="34">
        <v>43224</v>
      </c>
      <c r="E1402" s="141">
        <v>1352420.9</v>
      </c>
      <c r="F1402" s="141">
        <f>E1402</f>
        <v>1352420.9</v>
      </c>
      <c r="G1402" s="149">
        <v>43370</v>
      </c>
      <c r="H1402" s="45" t="s">
        <v>118</v>
      </c>
    </row>
    <row r="1403" spans="1:8" ht="30" customHeight="1">
      <c r="A1403" s="42" t="s">
        <v>4982</v>
      </c>
      <c r="B1403" s="18" t="s">
        <v>4983</v>
      </c>
      <c r="C1403" s="18" t="s">
        <v>4976</v>
      </c>
      <c r="D1403" s="34">
        <v>43224</v>
      </c>
      <c r="E1403" s="141">
        <v>1647579.1</v>
      </c>
      <c r="F1403" s="141">
        <f>E1403</f>
        <v>1647579.1</v>
      </c>
      <c r="G1403" s="149">
        <v>43370</v>
      </c>
      <c r="H1403" s="45" t="s">
        <v>118</v>
      </c>
    </row>
    <row r="1404" spans="1:8" ht="30" hidden="1" customHeight="1">
      <c r="A1404" s="42" t="s">
        <v>4996</v>
      </c>
      <c r="B1404" s="18" t="s">
        <v>4997</v>
      </c>
      <c r="C1404" s="18" t="s">
        <v>168</v>
      </c>
      <c r="D1404" s="34">
        <v>43229</v>
      </c>
      <c r="E1404" s="141">
        <v>-5000</v>
      </c>
      <c r="F1404" s="141"/>
      <c r="H1404" s="45" t="s">
        <v>1722</v>
      </c>
    </row>
    <row r="1405" spans="1:8" ht="30" hidden="1" customHeight="1">
      <c r="A1405" s="42" t="s">
        <v>4996</v>
      </c>
      <c r="B1405" s="18" t="s">
        <v>4997</v>
      </c>
      <c r="C1405" s="18" t="s">
        <v>168</v>
      </c>
      <c r="D1405" s="34">
        <v>43229</v>
      </c>
      <c r="E1405" s="141">
        <v>2500000</v>
      </c>
      <c r="F1405" s="141">
        <v>2500000</v>
      </c>
      <c r="G1405" s="149">
        <v>43370</v>
      </c>
      <c r="H1405" s="45" t="s">
        <v>118</v>
      </c>
    </row>
    <row r="1406" spans="1:8" ht="30" hidden="1" customHeight="1">
      <c r="A1406" s="42" t="s">
        <v>4875</v>
      </c>
      <c r="B1406" s="18" t="s">
        <v>3954</v>
      </c>
      <c r="C1406" s="18" t="s">
        <v>168</v>
      </c>
      <c r="D1406" s="34">
        <v>43161</v>
      </c>
      <c r="E1406" s="141">
        <v>3411892.19</v>
      </c>
      <c r="F1406" s="45">
        <f>E1406</f>
        <v>3411892.19</v>
      </c>
      <c r="G1406" s="149">
        <v>43248</v>
      </c>
      <c r="H1406" s="45" t="s">
        <v>118</v>
      </c>
    </row>
    <row r="1407" spans="1:8" ht="30" customHeight="1">
      <c r="A1407" s="42" t="s">
        <v>5004</v>
      </c>
      <c r="B1407" s="18" t="s">
        <v>5005</v>
      </c>
      <c r="C1407" s="18" t="s">
        <v>521</v>
      </c>
      <c r="D1407" s="34">
        <v>43234</v>
      </c>
      <c r="E1407" s="141">
        <v>1330475.8700000001</v>
      </c>
      <c r="F1407" s="141"/>
      <c r="H1407" s="45" t="s">
        <v>5006</v>
      </c>
    </row>
    <row r="1408" spans="1:8" ht="30" customHeight="1">
      <c r="A1408" s="42" t="s">
        <v>5007</v>
      </c>
      <c r="B1408" s="18" t="s">
        <v>5005</v>
      </c>
      <c r="C1408" s="18" t="s">
        <v>521</v>
      </c>
      <c r="D1408" s="34">
        <v>43229</v>
      </c>
      <c r="E1408" s="141">
        <v>3000000</v>
      </c>
      <c r="F1408" s="141">
        <v>3000000</v>
      </c>
      <c r="G1408" s="149">
        <v>43370</v>
      </c>
      <c r="H1408" s="45" t="s">
        <v>5006</v>
      </c>
    </row>
    <row r="1409" spans="1:8" ht="30" customHeight="1">
      <c r="A1409" s="42" t="s">
        <v>5011</v>
      </c>
      <c r="B1409" s="18" t="s">
        <v>5012</v>
      </c>
      <c r="C1409" s="18" t="s">
        <v>5013</v>
      </c>
      <c r="D1409" s="34">
        <v>43230</v>
      </c>
      <c r="E1409" s="141">
        <v>1137600</v>
      </c>
      <c r="F1409" s="141"/>
      <c r="H1409" s="45" t="s">
        <v>5006</v>
      </c>
    </row>
    <row r="1410" spans="1:8" ht="30" hidden="1" customHeight="1">
      <c r="A1410" s="42" t="s">
        <v>5022</v>
      </c>
      <c r="B1410" s="18" t="s">
        <v>5023</v>
      </c>
      <c r="C1410" s="18" t="s">
        <v>4808</v>
      </c>
      <c r="D1410" s="34">
        <v>43224</v>
      </c>
      <c r="E1410" s="141">
        <v>240000</v>
      </c>
      <c r="F1410" s="141"/>
      <c r="H1410" s="45" t="s">
        <v>5006</v>
      </c>
    </row>
    <row r="1411" spans="1:8" ht="30" hidden="1" customHeight="1">
      <c r="A1411" s="42" t="s">
        <v>5025</v>
      </c>
      <c r="B1411" s="18" t="s">
        <v>5023</v>
      </c>
      <c r="C1411" s="18" t="s">
        <v>4220</v>
      </c>
      <c r="D1411" s="34">
        <v>43236</v>
      </c>
      <c r="E1411" s="141">
        <v>2860000</v>
      </c>
      <c r="F1411" s="141"/>
      <c r="H1411" s="45" t="s">
        <v>5006</v>
      </c>
    </row>
    <row r="1412" spans="1:8" ht="30" hidden="1" customHeight="1">
      <c r="A1412" s="42" t="s">
        <v>5026</v>
      </c>
      <c r="B1412" s="18" t="s">
        <v>4675</v>
      </c>
      <c r="C1412" s="18" t="s">
        <v>4676</v>
      </c>
      <c r="D1412" s="34">
        <v>43214</v>
      </c>
      <c r="E1412" s="141">
        <v>1476784.13</v>
      </c>
      <c r="F1412" s="141"/>
      <c r="H1412" s="45" t="s">
        <v>4677</v>
      </c>
    </row>
    <row r="1413" spans="1:8" ht="30" hidden="1" customHeight="1">
      <c r="A1413" s="42" t="s">
        <v>5026</v>
      </c>
      <c r="B1413" s="18" t="s">
        <v>4675</v>
      </c>
      <c r="C1413" s="18" t="s">
        <v>4676</v>
      </c>
      <c r="D1413" s="34">
        <v>43230</v>
      </c>
      <c r="E1413" s="141">
        <v>4799586.8</v>
      </c>
      <c r="F1413" s="141"/>
      <c r="H1413" s="45" t="s">
        <v>4677</v>
      </c>
    </row>
    <row r="1414" spans="1:8" ht="30" hidden="1" customHeight="1">
      <c r="A1414" s="42" t="s">
        <v>5027</v>
      </c>
      <c r="B1414" s="18" t="s">
        <v>4136</v>
      </c>
      <c r="C1414" s="18" t="s">
        <v>4800</v>
      </c>
      <c r="D1414" s="34">
        <v>43224</v>
      </c>
      <c r="E1414" s="141">
        <v>1100000</v>
      </c>
      <c r="F1414" s="141"/>
      <c r="H1414" s="45" t="s">
        <v>119</v>
      </c>
    </row>
    <row r="1415" spans="1:8" ht="30" hidden="1" customHeight="1">
      <c r="A1415" s="42" t="s">
        <v>5027</v>
      </c>
      <c r="B1415" s="18" t="s">
        <v>4136</v>
      </c>
      <c r="C1415" s="18" t="s">
        <v>4800</v>
      </c>
      <c r="D1415" s="34">
        <v>43227</v>
      </c>
      <c r="E1415" s="141">
        <v>300000</v>
      </c>
      <c r="F1415" s="141"/>
      <c r="H1415" s="45" t="s">
        <v>119</v>
      </c>
    </row>
    <row r="1416" spans="1:8" ht="30" hidden="1" customHeight="1">
      <c r="A1416" s="42" t="s">
        <v>5027</v>
      </c>
      <c r="B1416" s="18" t="s">
        <v>4136</v>
      </c>
      <c r="C1416" s="18" t="s">
        <v>4800</v>
      </c>
      <c r="D1416" s="34">
        <v>43229</v>
      </c>
      <c r="E1416" s="141">
        <v>300000</v>
      </c>
      <c r="F1416" s="141"/>
      <c r="H1416" s="45" t="s">
        <v>119</v>
      </c>
    </row>
    <row r="1417" spans="1:8" ht="30" hidden="1" customHeight="1">
      <c r="A1417" s="42" t="s">
        <v>5027</v>
      </c>
      <c r="B1417" s="18" t="s">
        <v>4136</v>
      </c>
      <c r="C1417" s="18" t="s">
        <v>4800</v>
      </c>
      <c r="D1417" s="34">
        <v>43229</v>
      </c>
      <c r="E1417" s="141">
        <v>300000</v>
      </c>
      <c r="F1417" s="141"/>
      <c r="H1417" s="45" t="s">
        <v>119</v>
      </c>
    </row>
    <row r="1418" spans="1:8" ht="30" hidden="1" customHeight="1">
      <c r="A1418" s="42" t="s">
        <v>5027</v>
      </c>
      <c r="B1418" s="18" t="s">
        <v>4136</v>
      </c>
      <c r="C1418" s="18" t="s">
        <v>4800</v>
      </c>
      <c r="D1418" s="34">
        <v>43230</v>
      </c>
      <c r="E1418" s="141">
        <v>260000</v>
      </c>
      <c r="F1418" s="141"/>
      <c r="H1418" s="45" t="s">
        <v>119</v>
      </c>
    </row>
    <row r="1419" spans="1:8" ht="30" hidden="1" customHeight="1">
      <c r="A1419" s="42" t="s">
        <v>5027</v>
      </c>
      <c r="B1419" s="18" t="s">
        <v>4136</v>
      </c>
      <c r="C1419" s="18" t="s">
        <v>4800</v>
      </c>
      <c r="D1419" s="34">
        <v>43231</v>
      </c>
      <c r="E1419" s="141">
        <v>310000</v>
      </c>
      <c r="F1419" s="141"/>
      <c r="H1419" s="45" t="s">
        <v>119</v>
      </c>
    </row>
    <row r="1420" spans="1:8" ht="30" hidden="1" customHeight="1">
      <c r="A1420" s="42" t="s">
        <v>5027</v>
      </c>
      <c r="B1420" s="18" t="s">
        <v>4136</v>
      </c>
      <c r="C1420" s="18" t="s">
        <v>4800</v>
      </c>
      <c r="D1420" s="34">
        <v>43231</v>
      </c>
      <c r="E1420" s="141">
        <v>380000</v>
      </c>
      <c r="F1420" s="141"/>
      <c r="H1420" s="45" t="s">
        <v>119</v>
      </c>
    </row>
    <row r="1421" spans="1:8" ht="30" hidden="1" customHeight="1">
      <c r="A1421" s="42" t="s">
        <v>5027</v>
      </c>
      <c r="B1421" s="18" t="s">
        <v>4136</v>
      </c>
      <c r="C1421" s="18" t="s">
        <v>4800</v>
      </c>
      <c r="D1421" s="34">
        <v>43231</v>
      </c>
      <c r="E1421" s="141">
        <v>350000</v>
      </c>
      <c r="F1421" s="141"/>
      <c r="H1421" s="45" t="s">
        <v>119</v>
      </c>
    </row>
    <row r="1422" spans="1:8" ht="30" hidden="1" customHeight="1">
      <c r="A1422" s="42" t="s">
        <v>5027</v>
      </c>
      <c r="B1422" s="18" t="s">
        <v>4136</v>
      </c>
      <c r="C1422" s="18" t="s">
        <v>4800</v>
      </c>
      <c r="D1422" s="34">
        <v>43231</v>
      </c>
      <c r="E1422" s="141">
        <v>340000</v>
      </c>
      <c r="F1422" s="141"/>
      <c r="H1422" s="45" t="s">
        <v>119</v>
      </c>
    </row>
    <row r="1423" spans="1:8" ht="30" hidden="1" customHeight="1">
      <c r="A1423" s="42" t="s">
        <v>5027</v>
      </c>
      <c r="B1423" s="18" t="s">
        <v>4136</v>
      </c>
      <c r="C1423" s="18" t="s">
        <v>4800</v>
      </c>
      <c r="D1423" s="34">
        <v>43235</v>
      </c>
      <c r="E1423" s="141">
        <v>310000</v>
      </c>
      <c r="F1423" s="141"/>
      <c r="H1423" s="45" t="s">
        <v>119</v>
      </c>
    </row>
    <row r="1424" spans="1:8" ht="30" hidden="1" customHeight="1">
      <c r="A1424" s="42" t="s">
        <v>5027</v>
      </c>
      <c r="B1424" s="18" t="s">
        <v>4136</v>
      </c>
      <c r="C1424" s="18" t="s">
        <v>4800</v>
      </c>
      <c r="D1424" s="34">
        <v>43235</v>
      </c>
      <c r="E1424" s="141">
        <v>270000</v>
      </c>
      <c r="F1424" s="141"/>
      <c r="H1424" s="45" t="s">
        <v>119</v>
      </c>
    </row>
    <row r="1425" spans="1:8" ht="30" hidden="1" customHeight="1">
      <c r="A1425" s="42" t="s">
        <v>5027</v>
      </c>
      <c r="B1425" s="18" t="s">
        <v>4136</v>
      </c>
      <c r="C1425" s="18" t="s">
        <v>4800</v>
      </c>
      <c r="D1425" s="34">
        <v>43235</v>
      </c>
      <c r="E1425" s="141">
        <v>250000</v>
      </c>
      <c r="F1425" s="141"/>
      <c r="H1425" s="45" t="s">
        <v>119</v>
      </c>
    </row>
    <row r="1426" spans="1:8" ht="30" hidden="1" customHeight="1">
      <c r="A1426" s="42" t="s">
        <v>5028</v>
      </c>
      <c r="B1426" s="18" t="s">
        <v>4136</v>
      </c>
      <c r="C1426" s="18" t="s">
        <v>4406</v>
      </c>
      <c r="D1426" s="34">
        <v>43224</v>
      </c>
      <c r="E1426" s="141">
        <f>-1100000-E1427</f>
        <v>-1023953.27</v>
      </c>
      <c r="F1426" s="141"/>
      <c r="H1426" s="45" t="s">
        <v>118</v>
      </c>
    </row>
    <row r="1427" spans="1:8" ht="30" hidden="1" customHeight="1">
      <c r="A1427" s="42" t="s">
        <v>5029</v>
      </c>
      <c r="B1427" s="18" t="s">
        <v>4136</v>
      </c>
      <c r="C1427" s="18" t="s">
        <v>4406</v>
      </c>
      <c r="D1427" s="34">
        <v>43224</v>
      </c>
      <c r="E1427" s="141">
        <v>-76046.73</v>
      </c>
      <c r="F1427" s="141"/>
      <c r="H1427" s="45" t="s">
        <v>118</v>
      </c>
    </row>
    <row r="1428" spans="1:8" ht="30" hidden="1" customHeight="1">
      <c r="A1428" s="42" t="s">
        <v>5029</v>
      </c>
      <c r="B1428" s="18" t="s">
        <v>4136</v>
      </c>
      <c r="C1428" s="18" t="s">
        <v>4406</v>
      </c>
      <c r="D1428" s="34">
        <v>43227</v>
      </c>
      <c r="E1428" s="141">
        <v>-300000</v>
      </c>
      <c r="F1428" s="141"/>
      <c r="H1428" s="45" t="s">
        <v>118</v>
      </c>
    </row>
    <row r="1429" spans="1:8" ht="30" hidden="1" customHeight="1">
      <c r="A1429" s="42" t="s">
        <v>5029</v>
      </c>
      <c r="B1429" s="18" t="s">
        <v>4136</v>
      </c>
      <c r="C1429" s="18" t="s">
        <v>4406</v>
      </c>
      <c r="D1429" s="34">
        <v>43229</v>
      </c>
      <c r="E1429" s="141">
        <v>-300000</v>
      </c>
      <c r="F1429" s="141"/>
      <c r="H1429" s="45" t="s">
        <v>118</v>
      </c>
    </row>
    <row r="1430" spans="1:8" ht="30" hidden="1" customHeight="1">
      <c r="A1430" s="42" t="s">
        <v>5029</v>
      </c>
      <c r="B1430" s="18" t="s">
        <v>4136</v>
      </c>
      <c r="C1430" s="18" t="s">
        <v>4406</v>
      </c>
      <c r="D1430" s="34">
        <v>43229</v>
      </c>
      <c r="E1430" s="141">
        <v>-300000</v>
      </c>
      <c r="F1430" s="141"/>
      <c r="H1430" s="45" t="s">
        <v>118</v>
      </c>
    </row>
    <row r="1431" spans="1:8" ht="30" hidden="1" customHeight="1">
      <c r="A1431" s="42" t="s">
        <v>5029</v>
      </c>
      <c r="B1431" s="18" t="s">
        <v>4136</v>
      </c>
      <c r="C1431" s="18" t="s">
        <v>4406</v>
      </c>
      <c r="D1431" s="34">
        <v>43230</v>
      </c>
      <c r="E1431" s="141">
        <v>-260000</v>
      </c>
      <c r="F1431" s="141"/>
      <c r="H1431" s="45" t="s">
        <v>118</v>
      </c>
    </row>
    <row r="1432" spans="1:8" ht="30" hidden="1" customHeight="1">
      <c r="A1432" s="42" t="s">
        <v>5029</v>
      </c>
      <c r="B1432" s="18" t="s">
        <v>4136</v>
      </c>
      <c r="C1432" s="18" t="s">
        <v>4406</v>
      </c>
      <c r="D1432" s="34">
        <v>43231</v>
      </c>
      <c r="E1432" s="141">
        <v>-310000</v>
      </c>
      <c r="F1432" s="141"/>
      <c r="H1432" s="45" t="s">
        <v>118</v>
      </c>
    </row>
    <row r="1433" spans="1:8" ht="30" hidden="1" customHeight="1">
      <c r="A1433" s="42" t="s">
        <v>5029</v>
      </c>
      <c r="B1433" s="18" t="s">
        <v>4136</v>
      </c>
      <c r="C1433" s="18" t="s">
        <v>4406</v>
      </c>
      <c r="D1433" s="34">
        <v>43231</v>
      </c>
      <c r="E1433" s="141">
        <v>-380000</v>
      </c>
      <c r="F1433" s="141"/>
      <c r="H1433" s="45" t="s">
        <v>118</v>
      </c>
    </row>
    <row r="1434" spans="1:8" ht="30" hidden="1" customHeight="1">
      <c r="A1434" s="42" t="s">
        <v>5029</v>
      </c>
      <c r="B1434" s="18" t="s">
        <v>4136</v>
      </c>
      <c r="C1434" s="18" t="s">
        <v>4406</v>
      </c>
      <c r="D1434" s="34">
        <v>43231</v>
      </c>
      <c r="E1434" s="141">
        <v>-350000</v>
      </c>
      <c r="F1434" s="141"/>
      <c r="H1434" s="45" t="s">
        <v>118</v>
      </c>
    </row>
    <row r="1435" spans="1:8" ht="30" hidden="1" customHeight="1">
      <c r="A1435" s="42" t="s">
        <v>5029</v>
      </c>
      <c r="B1435" s="18" t="s">
        <v>4136</v>
      </c>
      <c r="C1435" s="18" t="s">
        <v>4406</v>
      </c>
      <c r="D1435" s="34">
        <v>43231</v>
      </c>
      <c r="E1435" s="141">
        <v>-340000</v>
      </c>
      <c r="F1435" s="141"/>
      <c r="H1435" s="45" t="s">
        <v>118</v>
      </c>
    </row>
    <row r="1436" spans="1:8" ht="30" hidden="1" customHeight="1">
      <c r="A1436" s="42" t="s">
        <v>5029</v>
      </c>
      <c r="B1436" s="18" t="s">
        <v>4136</v>
      </c>
      <c r="C1436" s="18" t="s">
        <v>4406</v>
      </c>
      <c r="D1436" s="34">
        <v>43235</v>
      </c>
      <c r="E1436" s="141">
        <v>-310000</v>
      </c>
      <c r="F1436" s="141"/>
      <c r="H1436" s="45" t="s">
        <v>118</v>
      </c>
    </row>
    <row r="1437" spans="1:8" ht="30" hidden="1" customHeight="1">
      <c r="A1437" s="42" t="s">
        <v>5029</v>
      </c>
      <c r="B1437" s="18" t="s">
        <v>4136</v>
      </c>
      <c r="C1437" s="18" t="s">
        <v>4406</v>
      </c>
      <c r="D1437" s="34">
        <v>43235</v>
      </c>
      <c r="E1437" s="141">
        <v>-270000</v>
      </c>
      <c r="F1437" s="141"/>
      <c r="H1437" s="45" t="s">
        <v>118</v>
      </c>
    </row>
    <row r="1438" spans="1:8" ht="30" hidden="1" customHeight="1">
      <c r="A1438" s="42" t="s">
        <v>5029</v>
      </c>
      <c r="B1438" s="18" t="s">
        <v>4136</v>
      </c>
      <c r="C1438" s="18" t="s">
        <v>4406</v>
      </c>
      <c r="D1438" s="34">
        <v>43235</v>
      </c>
      <c r="E1438" s="141">
        <v>-250000</v>
      </c>
      <c r="F1438" s="141"/>
      <c r="H1438" s="45" t="s">
        <v>118</v>
      </c>
    </row>
    <row r="1439" spans="1:8" ht="30" customHeight="1">
      <c r="A1439" s="42" t="s">
        <v>5036</v>
      </c>
      <c r="B1439" s="18" t="s">
        <v>5034</v>
      </c>
      <c r="C1439" s="18" t="s">
        <v>5035</v>
      </c>
      <c r="D1439" s="34">
        <v>43227</v>
      </c>
      <c r="E1439" s="141">
        <v>761600</v>
      </c>
      <c r="F1439" s="141"/>
      <c r="H1439" s="45" t="s">
        <v>5047</v>
      </c>
    </row>
    <row r="1440" spans="1:8" ht="30" customHeight="1">
      <c r="A1440" s="42" t="s">
        <v>5042</v>
      </c>
      <c r="B1440" s="18" t="s">
        <v>5034</v>
      </c>
      <c r="C1440" s="18" t="s">
        <v>621</v>
      </c>
      <c r="D1440" s="34">
        <v>43202</v>
      </c>
      <c r="E1440" s="141">
        <v>35400</v>
      </c>
      <c r="F1440" s="141"/>
      <c r="H1440" s="45" t="s">
        <v>5046</v>
      </c>
    </row>
    <row r="1441" spans="1:8" ht="30" hidden="1" customHeight="1">
      <c r="A1441" s="42" t="s">
        <v>1073</v>
      </c>
      <c r="B1441" s="18" t="s">
        <v>905</v>
      </c>
      <c r="C1441" s="18" t="s">
        <v>431</v>
      </c>
      <c r="D1441" s="34">
        <v>42723</v>
      </c>
      <c r="E1441" s="141">
        <v>4882325.9000000004</v>
      </c>
      <c r="F1441" s="141"/>
      <c r="H1441" s="45" t="s">
        <v>5046</v>
      </c>
    </row>
    <row r="1442" spans="1:8" ht="30" hidden="1" customHeight="1">
      <c r="A1442" s="42" t="s">
        <v>1376</v>
      </c>
      <c r="B1442" s="18" t="s">
        <v>905</v>
      </c>
      <c r="C1442" s="18" t="s">
        <v>431</v>
      </c>
      <c r="D1442" s="34">
        <v>42723</v>
      </c>
      <c r="E1442" s="141">
        <v>7270026.5099999998</v>
      </c>
      <c r="F1442" s="141"/>
      <c r="H1442" s="45" t="s">
        <v>5046</v>
      </c>
    </row>
    <row r="1443" spans="1:8" ht="30" hidden="1" customHeight="1">
      <c r="A1443" s="42" t="s">
        <v>5048</v>
      </c>
      <c r="B1443" s="18" t="s">
        <v>5049</v>
      </c>
      <c r="C1443" s="18" t="s">
        <v>5050</v>
      </c>
      <c r="D1443" s="34">
        <v>43243</v>
      </c>
      <c r="E1443" s="141">
        <v>9835365.6199999992</v>
      </c>
      <c r="F1443" s="141">
        <f>E1443</f>
        <v>9835365.6199999992</v>
      </c>
      <c r="G1443" s="149">
        <v>43347</v>
      </c>
      <c r="H1443" s="45" t="s">
        <v>5051</v>
      </c>
    </row>
    <row r="1444" spans="1:8" ht="30" hidden="1" customHeight="1">
      <c r="A1444" s="42" t="s">
        <v>5052</v>
      </c>
      <c r="B1444" s="18" t="s">
        <v>5049</v>
      </c>
      <c r="C1444" s="18" t="s">
        <v>5050</v>
      </c>
      <c r="D1444" s="34">
        <v>43243</v>
      </c>
      <c r="E1444" s="141">
        <f>10969188.55-E1443</f>
        <v>1133822.9300000016</v>
      </c>
      <c r="F1444" s="141">
        <f>E1444</f>
        <v>1133822.9300000016</v>
      </c>
      <c r="G1444" s="149">
        <v>43347</v>
      </c>
      <c r="H1444" s="45" t="s">
        <v>5051</v>
      </c>
    </row>
    <row r="1445" spans="1:8" ht="30" hidden="1" customHeight="1">
      <c r="A1445" s="42" t="s">
        <v>5052</v>
      </c>
      <c r="B1445" s="18" t="s">
        <v>5049</v>
      </c>
      <c r="C1445" s="18" t="s">
        <v>5050</v>
      </c>
      <c r="D1445" s="34">
        <v>43243</v>
      </c>
      <c r="E1445" s="141">
        <v>-21938.38</v>
      </c>
      <c r="F1445" s="141"/>
      <c r="H1445" s="45" t="s">
        <v>5053</v>
      </c>
    </row>
    <row r="1446" spans="1:8" ht="30" hidden="1" customHeight="1">
      <c r="A1446" s="42" t="s">
        <v>5054</v>
      </c>
      <c r="B1446" s="18" t="s">
        <v>3954</v>
      </c>
      <c r="C1446" s="18" t="s">
        <v>168</v>
      </c>
      <c r="D1446" s="34">
        <v>43244</v>
      </c>
      <c r="E1446" s="141">
        <v>-16720.53</v>
      </c>
      <c r="F1446" s="141"/>
      <c r="H1446" s="45" t="s">
        <v>119</v>
      </c>
    </row>
    <row r="1447" spans="1:8" ht="30" hidden="1" customHeight="1">
      <c r="A1447" s="42" t="s">
        <v>5054</v>
      </c>
      <c r="B1447" s="18" t="s">
        <v>3954</v>
      </c>
      <c r="C1447" s="18" t="s">
        <v>168</v>
      </c>
      <c r="D1447" s="34">
        <v>43245</v>
      </c>
      <c r="E1447" s="141">
        <v>8360258.0099999998</v>
      </c>
      <c r="F1447" s="141">
        <v>8360258.0099999998</v>
      </c>
      <c r="G1447" s="149">
        <v>43349</v>
      </c>
      <c r="H1447" s="45" t="s">
        <v>118</v>
      </c>
    </row>
    <row r="1448" spans="1:8" ht="30" hidden="1" customHeight="1">
      <c r="A1448" s="42" t="s">
        <v>5058</v>
      </c>
      <c r="B1448" s="18" t="s">
        <v>3954</v>
      </c>
      <c r="C1448" s="18" t="s">
        <v>4800</v>
      </c>
      <c r="D1448" s="34">
        <v>43236</v>
      </c>
      <c r="E1448" s="141">
        <v>270000</v>
      </c>
      <c r="F1448" s="141"/>
      <c r="H1448" s="45" t="s">
        <v>119</v>
      </c>
    </row>
    <row r="1449" spans="1:8" ht="30" hidden="1" customHeight="1">
      <c r="A1449" s="42" t="s">
        <v>5058</v>
      </c>
      <c r="B1449" s="18" t="s">
        <v>3954</v>
      </c>
      <c r="C1449" s="18" t="s">
        <v>4800</v>
      </c>
      <c r="D1449" s="34">
        <v>43237</v>
      </c>
      <c r="E1449" s="141">
        <v>245000</v>
      </c>
      <c r="F1449" s="141"/>
      <c r="H1449" s="45" t="s">
        <v>119</v>
      </c>
    </row>
    <row r="1450" spans="1:8" ht="30" hidden="1" customHeight="1">
      <c r="A1450" s="42" t="s">
        <v>5058</v>
      </c>
      <c r="B1450" s="18" t="s">
        <v>3954</v>
      </c>
      <c r="C1450" s="18" t="s">
        <v>4800</v>
      </c>
      <c r="D1450" s="34">
        <v>43238</v>
      </c>
      <c r="E1450" s="141">
        <v>150000</v>
      </c>
      <c r="F1450" s="141"/>
      <c r="H1450" s="45" t="s">
        <v>119</v>
      </c>
    </row>
    <row r="1451" spans="1:8" ht="30" hidden="1" customHeight="1">
      <c r="A1451" s="42" t="s">
        <v>5058</v>
      </c>
      <c r="B1451" s="18" t="s">
        <v>3954</v>
      </c>
      <c r="C1451" s="18" t="s">
        <v>4800</v>
      </c>
      <c r="D1451" s="34">
        <v>43238</v>
      </c>
      <c r="E1451" s="141">
        <v>117869.2</v>
      </c>
      <c r="F1451" s="141"/>
      <c r="H1451" s="45" t="s">
        <v>119</v>
      </c>
    </row>
    <row r="1452" spans="1:8" ht="30" hidden="1" customHeight="1">
      <c r="A1452" s="42" t="s">
        <v>5055</v>
      </c>
      <c r="B1452" s="18" t="s">
        <v>3954</v>
      </c>
      <c r="C1452" s="18" t="s">
        <v>4271</v>
      </c>
      <c r="D1452" s="34">
        <v>43236</v>
      </c>
      <c r="E1452" s="141">
        <v>-270000</v>
      </c>
      <c r="F1452" s="141"/>
      <c r="H1452" s="45" t="s">
        <v>118</v>
      </c>
    </row>
    <row r="1453" spans="1:8" ht="30" hidden="1" customHeight="1">
      <c r="A1453" s="42" t="s">
        <v>5055</v>
      </c>
      <c r="B1453" s="18" t="s">
        <v>3954</v>
      </c>
      <c r="C1453" s="18" t="s">
        <v>4271</v>
      </c>
      <c r="D1453" s="34">
        <v>43237</v>
      </c>
      <c r="E1453" s="141">
        <v>-245000</v>
      </c>
      <c r="F1453" s="141"/>
      <c r="H1453" s="45" t="s">
        <v>118</v>
      </c>
    </row>
    <row r="1454" spans="1:8" ht="30" hidden="1" customHeight="1">
      <c r="A1454" s="42" t="s">
        <v>5055</v>
      </c>
      <c r="B1454" s="18" t="s">
        <v>3954</v>
      </c>
      <c r="C1454" s="18" t="s">
        <v>4271</v>
      </c>
      <c r="D1454" s="34">
        <v>43238</v>
      </c>
      <c r="E1454" s="141">
        <v>-150000</v>
      </c>
      <c r="F1454" s="141"/>
      <c r="H1454" s="45" t="s">
        <v>118</v>
      </c>
    </row>
    <row r="1455" spans="1:8" ht="30" hidden="1" customHeight="1">
      <c r="A1455" s="42" t="s">
        <v>5055</v>
      </c>
      <c r="B1455" s="18" t="s">
        <v>3954</v>
      </c>
      <c r="C1455" s="18" t="s">
        <v>4271</v>
      </c>
      <c r="D1455" s="34">
        <v>43238</v>
      </c>
      <c r="E1455" s="141">
        <v>-117869.2</v>
      </c>
      <c r="F1455" s="141"/>
      <c r="H1455" s="45" t="s">
        <v>118</v>
      </c>
    </row>
    <row r="1456" spans="1:8" ht="30" hidden="1" customHeight="1">
      <c r="A1456" s="42" t="s">
        <v>5059</v>
      </c>
      <c r="B1456" s="18" t="s">
        <v>5060</v>
      </c>
      <c r="C1456" s="18" t="s">
        <v>5062</v>
      </c>
      <c r="D1456" s="34">
        <v>43248</v>
      </c>
      <c r="E1456" s="141">
        <v>3397661.73</v>
      </c>
      <c r="F1456" s="141"/>
      <c r="H1456" s="45" t="s">
        <v>56</v>
      </c>
    </row>
    <row r="1457" spans="1:8" ht="30" hidden="1" customHeight="1">
      <c r="A1457" s="42" t="s">
        <v>4858</v>
      </c>
      <c r="B1457" s="18" t="s">
        <v>5060</v>
      </c>
      <c r="C1457" s="18" t="s">
        <v>2938</v>
      </c>
      <c r="D1457" s="34">
        <v>43249</v>
      </c>
      <c r="E1457" s="141">
        <v>4965369.07</v>
      </c>
      <c r="F1457" s="141"/>
      <c r="H1457" s="45" t="s">
        <v>118</v>
      </c>
    </row>
    <row r="1458" spans="1:8" ht="30" hidden="1" customHeight="1">
      <c r="A1458" s="42" t="s">
        <v>5067</v>
      </c>
      <c r="B1458" s="18" t="s">
        <v>4219</v>
      </c>
      <c r="C1458" s="18" t="s">
        <v>2938</v>
      </c>
      <c r="D1458" s="34">
        <v>43249</v>
      </c>
      <c r="E1458" s="141">
        <f>10880376.32-4965369.07</f>
        <v>5915007.25</v>
      </c>
      <c r="F1458" s="141"/>
      <c r="H1458" s="45" t="s">
        <v>118</v>
      </c>
    </row>
    <row r="1459" spans="1:8" ht="30" customHeight="1">
      <c r="A1459" s="42" t="s">
        <v>5074</v>
      </c>
      <c r="B1459" s="18" t="s">
        <v>194</v>
      </c>
      <c r="C1459" s="18" t="s">
        <v>2011</v>
      </c>
      <c r="D1459" s="34">
        <v>43248</v>
      </c>
      <c r="E1459" s="141">
        <v>1200000</v>
      </c>
      <c r="F1459" s="141"/>
      <c r="H1459" s="45" t="s">
        <v>56</v>
      </c>
    </row>
    <row r="1460" spans="1:8" ht="30" customHeight="1">
      <c r="A1460" s="42" t="s">
        <v>5097</v>
      </c>
      <c r="B1460" s="18" t="s">
        <v>194</v>
      </c>
      <c r="C1460" s="18" t="s">
        <v>4720</v>
      </c>
      <c r="D1460" s="34">
        <v>43252</v>
      </c>
      <c r="E1460" s="141">
        <v>857600</v>
      </c>
      <c r="F1460" s="141"/>
      <c r="H1460" s="45" t="s">
        <v>56</v>
      </c>
    </row>
    <row r="1461" spans="1:8" ht="30" hidden="1" customHeight="1">
      <c r="A1461" s="42" t="s">
        <v>5107</v>
      </c>
      <c r="B1461" s="18" t="s">
        <v>5108</v>
      </c>
      <c r="C1461" s="18" t="s">
        <v>4220</v>
      </c>
      <c r="D1461" s="34">
        <v>43251</v>
      </c>
      <c r="E1461" s="141">
        <v>2484010.4700000002</v>
      </c>
      <c r="F1461" s="141"/>
      <c r="H1461" s="45" t="s">
        <v>56</v>
      </c>
    </row>
    <row r="1462" spans="1:8" ht="30" hidden="1" customHeight="1">
      <c r="A1462" s="42" t="s">
        <v>5109</v>
      </c>
      <c r="B1462" s="18" t="s">
        <v>5108</v>
      </c>
      <c r="C1462" s="18" t="s">
        <v>4808</v>
      </c>
      <c r="D1462" s="34">
        <v>43251</v>
      </c>
      <c r="E1462" s="141">
        <v>67837.440000000002</v>
      </c>
      <c r="F1462" s="141"/>
      <c r="H1462" s="45" t="s">
        <v>56</v>
      </c>
    </row>
    <row r="1463" spans="1:8" ht="30" hidden="1" customHeight="1">
      <c r="A1463" s="42" t="s">
        <v>5110</v>
      </c>
      <c r="B1463" s="18" t="s">
        <v>5108</v>
      </c>
      <c r="C1463" s="18" t="s">
        <v>4220</v>
      </c>
      <c r="D1463" s="34">
        <v>43248</v>
      </c>
      <c r="E1463" s="141">
        <v>1960000</v>
      </c>
      <c r="F1463" s="141"/>
      <c r="H1463" s="45" t="s">
        <v>56</v>
      </c>
    </row>
    <row r="1464" spans="1:8" ht="30" hidden="1" customHeight="1">
      <c r="A1464" s="42" t="s">
        <v>5137</v>
      </c>
      <c r="B1464" s="18" t="s">
        <v>5138</v>
      </c>
      <c r="C1464" s="18" t="s">
        <v>875</v>
      </c>
      <c r="D1464" s="34">
        <v>43244</v>
      </c>
      <c r="E1464" s="141">
        <v>429000</v>
      </c>
      <c r="F1464" s="141"/>
      <c r="H1464" s="45" t="s">
        <v>1078</v>
      </c>
    </row>
    <row r="1465" spans="1:8" ht="30" hidden="1" customHeight="1">
      <c r="A1465" s="42" t="s">
        <v>5139</v>
      </c>
      <c r="B1465" s="18" t="s">
        <v>5138</v>
      </c>
      <c r="C1465" s="18" t="s">
        <v>875</v>
      </c>
      <c r="D1465" s="34">
        <v>43237</v>
      </c>
      <c r="E1465" s="141">
        <v>142000</v>
      </c>
      <c r="F1465" s="141"/>
      <c r="H1465" s="45" t="s">
        <v>1078</v>
      </c>
    </row>
    <row r="1466" spans="1:8" ht="30" hidden="1" customHeight="1">
      <c r="A1466" s="42" t="s">
        <v>5140</v>
      </c>
      <c r="B1466" s="18" t="s">
        <v>5138</v>
      </c>
      <c r="C1466" s="18" t="s">
        <v>875</v>
      </c>
      <c r="D1466" s="34">
        <v>43250</v>
      </c>
      <c r="E1466" s="141">
        <v>58600</v>
      </c>
      <c r="F1466" s="141"/>
      <c r="H1466" s="45" t="s">
        <v>1078</v>
      </c>
    </row>
    <row r="1467" spans="1:8" ht="30" hidden="1" customHeight="1">
      <c r="A1467" s="42" t="s">
        <v>5141</v>
      </c>
      <c r="B1467" s="18" t="s">
        <v>5138</v>
      </c>
      <c r="C1467" s="18" t="s">
        <v>875</v>
      </c>
      <c r="D1467" s="34">
        <v>43231</v>
      </c>
      <c r="E1467" s="141">
        <v>179900</v>
      </c>
      <c r="F1467" s="141"/>
      <c r="H1467" s="45" t="s">
        <v>1078</v>
      </c>
    </row>
    <row r="1468" spans="1:8" ht="30" hidden="1" customHeight="1">
      <c r="A1468" s="42" t="s">
        <v>5141</v>
      </c>
      <c r="B1468" s="18" t="s">
        <v>5138</v>
      </c>
      <c r="C1468" s="18" t="s">
        <v>3861</v>
      </c>
      <c r="D1468" s="34">
        <v>43255</v>
      </c>
      <c r="E1468" s="141">
        <v>1400</v>
      </c>
      <c r="F1468" s="141"/>
      <c r="H1468" s="45" t="s">
        <v>1078</v>
      </c>
    </row>
    <row r="1469" spans="1:8" ht="30" hidden="1" customHeight="1">
      <c r="A1469" s="42" t="s">
        <v>5124</v>
      </c>
      <c r="B1469" s="42" t="s">
        <v>5112</v>
      </c>
      <c r="C1469" s="18" t="s">
        <v>5125</v>
      </c>
      <c r="D1469" s="34">
        <v>43250</v>
      </c>
      <c r="E1469" s="141">
        <v>432000</v>
      </c>
      <c r="F1469" s="141"/>
      <c r="H1469" s="45" t="s">
        <v>475</v>
      </c>
    </row>
    <row r="1470" spans="1:8" ht="30" hidden="1" customHeight="1">
      <c r="A1470" s="42" t="s">
        <v>5126</v>
      </c>
      <c r="B1470" s="42" t="s">
        <v>5112</v>
      </c>
      <c r="C1470" s="18" t="s">
        <v>5127</v>
      </c>
      <c r="D1470" s="34">
        <v>43244</v>
      </c>
      <c r="E1470" s="141">
        <v>142991.70000000001</v>
      </c>
      <c r="F1470" s="141"/>
      <c r="H1470" s="45" t="s">
        <v>475</v>
      </c>
    </row>
    <row r="1471" spans="1:8" ht="30" hidden="1" customHeight="1">
      <c r="A1471" s="42" t="s">
        <v>5130</v>
      </c>
      <c r="B1471" s="42" t="s">
        <v>5112</v>
      </c>
      <c r="C1471" s="18" t="s">
        <v>5142</v>
      </c>
      <c r="D1471" s="34">
        <v>43252</v>
      </c>
      <c r="E1471" s="141">
        <v>182671.7</v>
      </c>
      <c r="F1471" s="141"/>
      <c r="H1471" s="45" t="s">
        <v>475</v>
      </c>
    </row>
    <row r="1472" spans="1:8" ht="30" customHeight="1">
      <c r="A1472" s="42" t="s">
        <v>5151</v>
      </c>
      <c r="B1472" s="42" t="s">
        <v>603</v>
      </c>
      <c r="C1472" s="18" t="s">
        <v>3405</v>
      </c>
      <c r="D1472" s="34">
        <v>43257</v>
      </c>
      <c r="E1472" s="141">
        <v>3780000</v>
      </c>
      <c r="F1472" s="141">
        <v>3780000</v>
      </c>
      <c r="G1472" s="149">
        <v>43438</v>
      </c>
      <c r="H1472" s="45" t="s">
        <v>118</v>
      </c>
    </row>
    <row r="1473" spans="1:8" ht="30" customHeight="1">
      <c r="A1473" s="42" t="s">
        <v>5151</v>
      </c>
      <c r="B1473" s="42" t="s">
        <v>603</v>
      </c>
      <c r="C1473" s="18" t="s">
        <v>3405</v>
      </c>
      <c r="D1473" s="34">
        <v>43257</v>
      </c>
      <c r="E1473" s="141">
        <v>1345351.05</v>
      </c>
      <c r="F1473" s="141">
        <v>1345351.05</v>
      </c>
      <c r="G1473" s="149">
        <v>43419</v>
      </c>
      <c r="H1473" s="45" t="s">
        <v>118</v>
      </c>
    </row>
    <row r="1474" spans="1:8" ht="30" hidden="1" customHeight="1">
      <c r="A1474" s="42" t="s">
        <v>5152</v>
      </c>
      <c r="B1474" s="42" t="s">
        <v>628</v>
      </c>
      <c r="C1474" s="18" t="s">
        <v>3405</v>
      </c>
      <c r="D1474" s="34">
        <v>43257</v>
      </c>
      <c r="E1474" s="141">
        <v>1654648.95</v>
      </c>
      <c r="F1474" s="141">
        <v>1654648.95</v>
      </c>
      <c r="G1474" s="149">
        <v>43419</v>
      </c>
      <c r="H1474" s="45" t="s">
        <v>118</v>
      </c>
    </row>
    <row r="1475" spans="1:8" ht="30" hidden="1" customHeight="1">
      <c r="A1475" s="42" t="s">
        <v>5152</v>
      </c>
      <c r="B1475" s="42" t="s">
        <v>628</v>
      </c>
      <c r="C1475" s="18" t="s">
        <v>3405</v>
      </c>
      <c r="D1475" s="34">
        <v>43257</v>
      </c>
      <c r="E1475" s="141">
        <v>100000</v>
      </c>
      <c r="F1475" s="141">
        <v>100000</v>
      </c>
      <c r="G1475" s="149">
        <v>43438</v>
      </c>
      <c r="H1475" s="45" t="s">
        <v>118</v>
      </c>
    </row>
    <row r="1476" spans="1:8" ht="30" hidden="1" customHeight="1">
      <c r="A1476" s="42" t="s">
        <v>5152</v>
      </c>
      <c r="B1476" s="42" t="s">
        <v>628</v>
      </c>
      <c r="C1476" s="18" t="s">
        <v>3405</v>
      </c>
      <c r="D1476" s="34">
        <v>43257</v>
      </c>
      <c r="E1476" s="141">
        <v>120000</v>
      </c>
      <c r="F1476" s="141">
        <v>120000</v>
      </c>
      <c r="G1476" s="149">
        <v>43365</v>
      </c>
      <c r="H1476" s="45" t="s">
        <v>118</v>
      </c>
    </row>
    <row r="1477" spans="1:8" ht="30" hidden="1" customHeight="1">
      <c r="A1477" s="42" t="s">
        <v>5155</v>
      </c>
      <c r="B1477" s="18" t="s">
        <v>5156</v>
      </c>
      <c r="C1477" s="18" t="s">
        <v>5157</v>
      </c>
      <c r="D1477" s="34">
        <v>43265</v>
      </c>
      <c r="E1477" s="141">
        <v>685179.45</v>
      </c>
      <c r="F1477" s="141">
        <v>685179.45</v>
      </c>
      <c r="G1477" s="149">
        <v>43442</v>
      </c>
      <c r="H1477" s="45" t="s">
        <v>5158</v>
      </c>
    </row>
    <row r="1478" spans="1:8" ht="30" hidden="1" customHeight="1">
      <c r="A1478" s="42" t="s">
        <v>5159</v>
      </c>
      <c r="B1478" s="18" t="s">
        <v>5156</v>
      </c>
      <c r="C1478" s="18" t="s">
        <v>5157</v>
      </c>
      <c r="D1478" s="34">
        <v>43265</v>
      </c>
      <c r="E1478" s="141">
        <v>1314820.55</v>
      </c>
      <c r="F1478" s="141">
        <v>1314820.55</v>
      </c>
      <c r="G1478" s="149">
        <v>43442</v>
      </c>
      <c r="H1478" s="45" t="s">
        <v>5158</v>
      </c>
    </row>
    <row r="1479" spans="1:8" ht="30" hidden="1" customHeight="1">
      <c r="A1479" s="42" t="s">
        <v>5159</v>
      </c>
      <c r="B1479" s="18" t="s">
        <v>5156</v>
      </c>
      <c r="C1479" s="18" t="s">
        <v>5157</v>
      </c>
      <c r="D1479" s="34">
        <v>43265</v>
      </c>
      <c r="E1479" s="141">
        <v>2000000</v>
      </c>
      <c r="F1479" s="141">
        <v>2000000</v>
      </c>
      <c r="G1479" s="149">
        <v>43442</v>
      </c>
      <c r="H1479" s="45" t="s">
        <v>5158</v>
      </c>
    </row>
    <row r="1480" spans="1:8" ht="30" hidden="1" customHeight="1">
      <c r="A1480" s="42" t="s">
        <v>5167</v>
      </c>
      <c r="B1480" s="18" t="s">
        <v>412</v>
      </c>
      <c r="C1480" s="18" t="s">
        <v>3043</v>
      </c>
      <c r="D1480" s="34">
        <v>43263</v>
      </c>
      <c r="E1480" s="141">
        <v>1000000</v>
      </c>
      <c r="F1480" s="141">
        <f>E1480</f>
        <v>1000000</v>
      </c>
      <c r="G1480" s="149">
        <v>43433</v>
      </c>
      <c r="H1480" s="45" t="s">
        <v>5158</v>
      </c>
    </row>
    <row r="1481" spans="1:8" ht="30" hidden="1" customHeight="1">
      <c r="A1481" s="42" t="s">
        <v>5167</v>
      </c>
      <c r="B1481" s="18" t="s">
        <v>412</v>
      </c>
      <c r="C1481" s="18" t="s">
        <v>3043</v>
      </c>
      <c r="D1481" s="34">
        <v>43263</v>
      </c>
      <c r="E1481" s="141">
        <v>2600000</v>
      </c>
      <c r="F1481" s="141">
        <v>2600000</v>
      </c>
      <c r="G1481" s="149">
        <v>43434</v>
      </c>
      <c r="H1481" s="45" t="s">
        <v>5158</v>
      </c>
    </row>
    <row r="1482" spans="1:8" ht="30" hidden="1" customHeight="1">
      <c r="A1482" s="42" t="s">
        <v>5187</v>
      </c>
      <c r="B1482" s="18" t="s">
        <v>2761</v>
      </c>
      <c r="C1482" s="18" t="s">
        <v>2797</v>
      </c>
      <c r="D1482" s="34">
        <v>43270</v>
      </c>
      <c r="E1482" s="141">
        <v>4000000</v>
      </c>
      <c r="F1482" s="141"/>
      <c r="H1482" s="45" t="s">
        <v>2622</v>
      </c>
    </row>
    <row r="1483" spans="1:8" ht="30" hidden="1" customHeight="1">
      <c r="A1483" s="42" t="s">
        <v>5188</v>
      </c>
      <c r="B1483" s="18" t="s">
        <v>3601</v>
      </c>
      <c r="C1483" s="18" t="s">
        <v>1172</v>
      </c>
      <c r="D1483" s="34">
        <v>43265</v>
      </c>
      <c r="E1483" s="141">
        <v>127000</v>
      </c>
      <c r="F1483" s="141"/>
      <c r="H1483" s="45" t="s">
        <v>1181</v>
      </c>
    </row>
    <row r="1484" spans="1:8" ht="30" hidden="1" customHeight="1">
      <c r="A1484" s="42" t="s">
        <v>5189</v>
      </c>
      <c r="B1484" s="18" t="s">
        <v>3601</v>
      </c>
      <c r="C1484" s="18" t="s">
        <v>1172</v>
      </c>
      <c r="D1484" s="34">
        <v>43263</v>
      </c>
      <c r="E1484" s="141">
        <v>76200</v>
      </c>
      <c r="F1484" s="141"/>
      <c r="H1484" s="45" t="s">
        <v>1181</v>
      </c>
    </row>
    <row r="1485" spans="1:8" ht="30" hidden="1" customHeight="1">
      <c r="A1485" s="42" t="s">
        <v>5190</v>
      </c>
      <c r="B1485" s="18" t="s">
        <v>3601</v>
      </c>
      <c r="C1485" s="18" t="s">
        <v>3861</v>
      </c>
      <c r="D1485" s="34">
        <v>43273</v>
      </c>
      <c r="E1485" s="141">
        <v>128000</v>
      </c>
      <c r="F1485" s="141"/>
      <c r="H1485" s="45" t="s">
        <v>1178</v>
      </c>
    </row>
    <row r="1486" spans="1:8" ht="30" hidden="1" customHeight="1">
      <c r="A1486" s="42" t="s">
        <v>5191</v>
      </c>
      <c r="B1486" s="18" t="s">
        <v>3601</v>
      </c>
      <c r="C1486" s="18" t="s">
        <v>2810</v>
      </c>
      <c r="D1486" s="34">
        <v>43270</v>
      </c>
      <c r="E1486" s="141">
        <v>76800</v>
      </c>
      <c r="F1486" s="141"/>
      <c r="H1486" s="45" t="s">
        <v>1178</v>
      </c>
    </row>
    <row r="1487" spans="1:8" ht="30" hidden="1" customHeight="1">
      <c r="A1487" s="42" t="s">
        <v>5192</v>
      </c>
      <c r="B1487" s="18" t="s">
        <v>3601</v>
      </c>
      <c r="C1487" s="18" t="s">
        <v>1165</v>
      </c>
      <c r="D1487" s="34">
        <v>43263</v>
      </c>
      <c r="E1487" s="141">
        <v>56041.7</v>
      </c>
      <c r="F1487" s="141"/>
      <c r="H1487" s="45" t="s">
        <v>1178</v>
      </c>
    </row>
    <row r="1488" spans="1:8" ht="30" hidden="1" customHeight="1">
      <c r="A1488" s="42" t="s">
        <v>5077</v>
      </c>
      <c r="B1488" s="18" t="s">
        <v>412</v>
      </c>
      <c r="C1488" s="18" t="s">
        <v>3405</v>
      </c>
      <c r="D1488" s="34">
        <v>43278</v>
      </c>
      <c r="E1488" s="141">
        <v>483725.95</v>
      </c>
      <c r="F1488" s="141">
        <v>483725.95</v>
      </c>
      <c r="G1488" s="149">
        <v>43459</v>
      </c>
      <c r="H1488" s="45" t="s">
        <v>118</v>
      </c>
    </row>
    <row r="1489" spans="1:8" ht="30" hidden="1" customHeight="1">
      <c r="A1489" s="42" t="s">
        <v>5144</v>
      </c>
      <c r="B1489" s="18" t="s">
        <v>412</v>
      </c>
      <c r="C1489" s="18" t="s">
        <v>3405</v>
      </c>
      <c r="D1489" s="34">
        <v>43278</v>
      </c>
      <c r="E1489" s="141">
        <v>16274.049999999988</v>
      </c>
      <c r="F1489" s="141">
        <v>16274.049999999988</v>
      </c>
      <c r="G1489" s="149">
        <v>43459</v>
      </c>
      <c r="H1489" s="45" t="s">
        <v>118</v>
      </c>
    </row>
    <row r="1490" spans="1:8" ht="30" hidden="1" customHeight="1">
      <c r="A1490" s="42" t="s">
        <v>5144</v>
      </c>
      <c r="B1490" s="18" t="s">
        <v>412</v>
      </c>
      <c r="C1490" s="18" t="s">
        <v>3405</v>
      </c>
      <c r="D1490" s="34">
        <v>43278</v>
      </c>
      <c r="E1490" s="141">
        <v>300000</v>
      </c>
      <c r="F1490" s="141">
        <v>300000</v>
      </c>
      <c r="G1490" s="149">
        <v>43449</v>
      </c>
      <c r="H1490" s="45" t="s">
        <v>118</v>
      </c>
    </row>
    <row r="1491" spans="1:8" ht="30" customHeight="1">
      <c r="A1491" s="42" t="s">
        <v>5144</v>
      </c>
      <c r="B1491" s="18" t="s">
        <v>603</v>
      </c>
      <c r="C1491" s="18" t="s">
        <v>3405</v>
      </c>
      <c r="D1491" s="34">
        <v>43278</v>
      </c>
      <c r="E1491" s="141">
        <v>1000000</v>
      </c>
      <c r="F1491" s="141">
        <v>1000000</v>
      </c>
      <c r="G1491" s="149">
        <v>43447</v>
      </c>
      <c r="H1491" s="45" t="s">
        <v>118</v>
      </c>
    </row>
    <row r="1492" spans="1:8" ht="30" customHeight="1">
      <c r="A1492" s="42" t="s">
        <v>5195</v>
      </c>
      <c r="B1492" s="18" t="s">
        <v>5196</v>
      </c>
      <c r="C1492" s="18" t="s">
        <v>5198</v>
      </c>
      <c r="D1492" s="34">
        <v>43276</v>
      </c>
      <c r="E1492" s="141">
        <v>452018.6</v>
      </c>
      <c r="F1492" s="141">
        <v>452018.6</v>
      </c>
      <c r="G1492" s="149">
        <v>43456</v>
      </c>
      <c r="H1492" s="45" t="s">
        <v>5209</v>
      </c>
    </row>
    <row r="1493" spans="1:8" ht="30" customHeight="1">
      <c r="A1493" s="42" t="s">
        <v>5195</v>
      </c>
      <c r="B1493" s="18" t="s">
        <v>5196</v>
      </c>
      <c r="C1493" s="18" t="s">
        <v>5198</v>
      </c>
      <c r="D1493" s="34">
        <v>43263</v>
      </c>
      <c r="E1493" s="141">
        <v>2600000</v>
      </c>
      <c r="F1493" s="141">
        <v>2600000</v>
      </c>
      <c r="G1493" s="149">
        <v>43434</v>
      </c>
      <c r="H1493" s="45" t="s">
        <v>5209</v>
      </c>
    </row>
    <row r="1494" spans="1:8" ht="30" customHeight="1">
      <c r="A1494" s="42" t="s">
        <v>5195</v>
      </c>
      <c r="B1494" s="18" t="s">
        <v>5196</v>
      </c>
      <c r="C1494" s="18" t="s">
        <v>5198</v>
      </c>
      <c r="D1494" s="34">
        <v>43263</v>
      </c>
      <c r="E1494" s="141">
        <v>1000000</v>
      </c>
      <c r="F1494" s="141">
        <v>1000000</v>
      </c>
      <c r="G1494" s="149">
        <v>43433</v>
      </c>
      <c r="H1494" s="45" t="s">
        <v>5209</v>
      </c>
    </row>
    <row r="1495" spans="1:8" ht="30" customHeight="1">
      <c r="A1495" s="42" t="s">
        <v>5195</v>
      </c>
      <c r="B1495" s="18" t="s">
        <v>5196</v>
      </c>
      <c r="C1495" s="18" t="s">
        <v>5198</v>
      </c>
      <c r="D1495" s="34">
        <v>43276</v>
      </c>
      <c r="E1495" s="141">
        <v>57981.4</v>
      </c>
      <c r="F1495" s="141"/>
      <c r="H1495" s="45" t="s">
        <v>5209</v>
      </c>
    </row>
    <row r="1496" spans="1:8" ht="30" hidden="1" customHeight="1">
      <c r="A1496" s="42" t="s">
        <v>5207</v>
      </c>
      <c r="B1496" s="18" t="s">
        <v>5208</v>
      </c>
      <c r="C1496" s="18" t="s">
        <v>3043</v>
      </c>
      <c r="D1496" s="34">
        <v>43273</v>
      </c>
      <c r="E1496" s="141">
        <v>452018.6</v>
      </c>
      <c r="F1496" s="141">
        <v>452018.6</v>
      </c>
      <c r="G1496" s="149">
        <v>43456</v>
      </c>
      <c r="H1496" s="45" t="s">
        <v>5193</v>
      </c>
    </row>
    <row r="1497" spans="1:8" ht="30" customHeight="1">
      <c r="A1497" s="42" t="s">
        <v>5212</v>
      </c>
      <c r="B1497" s="18" t="s">
        <v>5213</v>
      </c>
      <c r="C1497" s="18" t="s">
        <v>1392</v>
      </c>
      <c r="D1497" s="34">
        <v>43276</v>
      </c>
      <c r="E1497" s="141">
        <v>35599.21</v>
      </c>
      <c r="F1497" s="141"/>
      <c r="H1497" s="45" t="s">
        <v>5199</v>
      </c>
    </row>
    <row r="1498" spans="1:8" ht="30" hidden="1" customHeight="1">
      <c r="A1498" s="42" t="s">
        <v>5222</v>
      </c>
      <c r="B1498" s="18" t="s">
        <v>5223</v>
      </c>
      <c r="C1498" s="18" t="s">
        <v>5224</v>
      </c>
      <c r="D1498" s="34">
        <v>43266</v>
      </c>
      <c r="E1498" s="141">
        <v>92053.86</v>
      </c>
      <c r="F1498" s="141"/>
      <c r="H1498" s="45" t="s">
        <v>5193</v>
      </c>
    </row>
    <row r="1499" spans="1:8" ht="30" hidden="1" customHeight="1">
      <c r="A1499" s="42" t="s">
        <v>5233</v>
      </c>
      <c r="B1499" s="18" t="s">
        <v>5234</v>
      </c>
      <c r="C1499" s="18" t="s">
        <v>5235</v>
      </c>
      <c r="D1499" s="34">
        <v>43278</v>
      </c>
      <c r="E1499" s="141">
        <v>271000</v>
      </c>
      <c r="F1499" s="141"/>
      <c r="H1499" s="45" t="s">
        <v>5236</v>
      </c>
    </row>
    <row r="1500" spans="1:8" ht="30" customHeight="1">
      <c r="A1500" s="42" t="s">
        <v>5265</v>
      </c>
      <c r="B1500" s="18" t="s">
        <v>5266</v>
      </c>
      <c r="C1500" s="18" t="s">
        <v>4720</v>
      </c>
      <c r="D1500" s="34">
        <v>43286</v>
      </c>
      <c r="E1500" s="141">
        <v>1024000</v>
      </c>
      <c r="F1500" s="141"/>
      <c r="H1500" s="45" t="s">
        <v>1722</v>
      </c>
    </row>
    <row r="1501" spans="1:8" ht="30" hidden="1" customHeight="1">
      <c r="A1501" s="42" t="s">
        <v>5267</v>
      </c>
      <c r="B1501" s="18" t="s">
        <v>5268</v>
      </c>
      <c r="C1501" s="18" t="s">
        <v>2797</v>
      </c>
      <c r="D1501" s="34">
        <v>43286</v>
      </c>
      <c r="E1501" s="141">
        <v>13476000</v>
      </c>
      <c r="F1501" s="141"/>
      <c r="H1501" s="45" t="s">
        <v>1722</v>
      </c>
    </row>
    <row r="1502" spans="1:8" ht="30" customHeight="1">
      <c r="A1502" s="42" t="s">
        <v>5272</v>
      </c>
      <c r="B1502" s="18" t="s">
        <v>5273</v>
      </c>
      <c r="C1502" s="18" t="s">
        <v>637</v>
      </c>
      <c r="D1502" s="34">
        <v>43279</v>
      </c>
      <c r="E1502" s="141">
        <v>500000</v>
      </c>
      <c r="F1502" s="141">
        <v>500000</v>
      </c>
      <c r="G1502" s="149">
        <v>43459</v>
      </c>
      <c r="H1502" s="45" t="s">
        <v>1722</v>
      </c>
    </row>
    <row r="1503" spans="1:8" ht="30" customHeight="1">
      <c r="A1503" s="42" t="s">
        <v>5272</v>
      </c>
      <c r="B1503" s="18" t="s">
        <v>5273</v>
      </c>
      <c r="C1503" s="18" t="s">
        <v>637</v>
      </c>
      <c r="D1503" s="34">
        <v>43279</v>
      </c>
      <c r="E1503" s="141">
        <v>300000</v>
      </c>
      <c r="F1503" s="141">
        <v>300000</v>
      </c>
      <c r="G1503" s="149">
        <v>43449</v>
      </c>
      <c r="H1503" s="45" t="s">
        <v>1722</v>
      </c>
    </row>
    <row r="1504" spans="1:8" ht="30" customHeight="1">
      <c r="A1504" s="42" t="s">
        <v>5272</v>
      </c>
      <c r="B1504" s="18" t="s">
        <v>5273</v>
      </c>
      <c r="C1504" s="18" t="s">
        <v>637</v>
      </c>
      <c r="D1504" s="34">
        <v>43279</v>
      </c>
      <c r="E1504" s="141">
        <v>1000000</v>
      </c>
      <c r="F1504" s="141">
        <v>1000000</v>
      </c>
      <c r="G1504" s="149">
        <v>43447</v>
      </c>
      <c r="H1504" s="45" t="s">
        <v>1722</v>
      </c>
    </row>
    <row r="1505" spans="1:8" ht="30" hidden="1" customHeight="1">
      <c r="A1505" s="42" t="s">
        <v>5281</v>
      </c>
      <c r="B1505" s="18" t="s">
        <v>3263</v>
      </c>
      <c r="C1505" s="18" t="s">
        <v>875</v>
      </c>
      <c r="D1505" s="34">
        <v>43285</v>
      </c>
      <c r="E1505" s="141">
        <v>267000</v>
      </c>
      <c r="F1505" s="141"/>
      <c r="H1505" s="45" t="s">
        <v>1078</v>
      </c>
    </row>
    <row r="1506" spans="1:8" ht="30" hidden="1" customHeight="1">
      <c r="A1506" s="42" t="s">
        <v>5283</v>
      </c>
      <c r="B1506" s="18" t="s">
        <v>3263</v>
      </c>
      <c r="C1506" s="18" t="s">
        <v>2841</v>
      </c>
      <c r="D1506" s="34">
        <v>43284</v>
      </c>
      <c r="E1506" s="141">
        <v>273000</v>
      </c>
      <c r="F1506" s="141"/>
      <c r="H1506" s="45" t="s">
        <v>872</v>
      </c>
    </row>
    <row r="1507" spans="1:8" ht="30" hidden="1" customHeight="1">
      <c r="A1507" s="42" t="s">
        <v>5287</v>
      </c>
      <c r="B1507" s="42" t="s">
        <v>5270</v>
      </c>
      <c r="C1507" s="18" t="s">
        <v>5285</v>
      </c>
      <c r="D1507" s="34">
        <v>43286</v>
      </c>
      <c r="E1507" s="141">
        <v>16604352</v>
      </c>
      <c r="F1507" s="141"/>
      <c r="H1507" s="45" t="s">
        <v>1719</v>
      </c>
    </row>
    <row r="1508" spans="1:8" ht="30" customHeight="1">
      <c r="A1508" s="42" t="s">
        <v>5301</v>
      </c>
      <c r="B1508" s="18" t="s">
        <v>5302</v>
      </c>
      <c r="C1508" s="18" t="s">
        <v>3405</v>
      </c>
      <c r="D1508" s="34">
        <v>43293</v>
      </c>
      <c r="E1508" s="141">
        <v>500000</v>
      </c>
      <c r="F1508" s="141">
        <v>500000</v>
      </c>
      <c r="G1508" s="149">
        <v>43484</v>
      </c>
      <c r="H1508" s="45" t="s">
        <v>118</v>
      </c>
    </row>
    <row r="1509" spans="1:8" ht="30" customHeight="1">
      <c r="A1509" s="42" t="s">
        <v>5301</v>
      </c>
      <c r="B1509" s="18" t="s">
        <v>5302</v>
      </c>
      <c r="C1509" s="18" t="s">
        <v>3405</v>
      </c>
      <c r="D1509" s="34">
        <v>43293</v>
      </c>
      <c r="E1509" s="141">
        <v>500000</v>
      </c>
      <c r="F1509" s="141">
        <v>500000</v>
      </c>
      <c r="G1509" s="149">
        <v>43482</v>
      </c>
      <c r="H1509" s="45" t="s">
        <v>118</v>
      </c>
    </row>
    <row r="1510" spans="1:8" ht="30" customHeight="1">
      <c r="A1510" s="42" t="s">
        <v>4999</v>
      </c>
      <c r="B1510" s="42" t="s">
        <v>60</v>
      </c>
      <c r="C1510" s="18" t="s">
        <v>83</v>
      </c>
      <c r="D1510" s="34">
        <v>43293</v>
      </c>
      <c r="E1510" s="141">
        <v>500000</v>
      </c>
      <c r="F1510" s="141">
        <v>500000</v>
      </c>
      <c r="G1510" s="149">
        <v>43475</v>
      </c>
      <c r="H1510" s="45" t="s">
        <v>118</v>
      </c>
    </row>
    <row r="1511" spans="1:8" ht="30" customHeight="1">
      <c r="A1511" s="42" t="s">
        <v>4999</v>
      </c>
      <c r="B1511" s="42" t="s">
        <v>60</v>
      </c>
      <c r="C1511" s="18" t="s">
        <v>83</v>
      </c>
      <c r="D1511" s="34">
        <v>43293</v>
      </c>
      <c r="E1511" s="141">
        <v>500000</v>
      </c>
      <c r="F1511" s="141">
        <v>500000</v>
      </c>
      <c r="G1511" s="149">
        <v>43475</v>
      </c>
      <c r="H1511" s="45" t="s">
        <v>118</v>
      </c>
    </row>
    <row r="1512" spans="1:8" ht="30" customHeight="1">
      <c r="A1512" s="42" t="s">
        <v>4999</v>
      </c>
      <c r="B1512" s="42" t="s">
        <v>60</v>
      </c>
      <c r="C1512" s="18" t="s">
        <v>83</v>
      </c>
      <c r="D1512" s="34">
        <v>43293</v>
      </c>
      <c r="E1512" s="141">
        <v>400000</v>
      </c>
      <c r="F1512" s="141">
        <v>400000</v>
      </c>
      <c r="G1512" s="149">
        <v>43449</v>
      </c>
      <c r="H1512" s="45" t="s">
        <v>118</v>
      </c>
    </row>
    <row r="1513" spans="1:8" ht="30" hidden="1" customHeight="1">
      <c r="A1513" s="42" t="s">
        <v>5024</v>
      </c>
      <c r="B1513" s="42" t="s">
        <v>4223</v>
      </c>
      <c r="C1513" s="18" t="s">
        <v>4303</v>
      </c>
      <c r="D1513" s="34">
        <v>43292</v>
      </c>
      <c r="E1513" s="141">
        <v>1033066.85</v>
      </c>
      <c r="F1513" s="141"/>
      <c r="H1513" s="45" t="s">
        <v>56</v>
      </c>
    </row>
    <row r="1514" spans="1:8" ht="30" customHeight="1">
      <c r="A1514" s="42" t="s">
        <v>5304</v>
      </c>
      <c r="B1514" s="42" t="s">
        <v>240</v>
      </c>
      <c r="C1514" s="18" t="s">
        <v>4795</v>
      </c>
      <c r="D1514" s="34">
        <v>43294</v>
      </c>
      <c r="E1514" s="141">
        <v>500000</v>
      </c>
      <c r="F1514" s="141">
        <v>500000</v>
      </c>
      <c r="G1514" s="149">
        <v>43484</v>
      </c>
      <c r="H1514" s="45" t="s">
        <v>119</v>
      </c>
    </row>
    <row r="1515" spans="1:8" ht="30" customHeight="1">
      <c r="A1515" s="42" t="s">
        <v>5304</v>
      </c>
      <c r="B1515" s="42" t="s">
        <v>240</v>
      </c>
      <c r="C1515" s="18" t="s">
        <v>4795</v>
      </c>
      <c r="D1515" s="34">
        <v>43294</v>
      </c>
      <c r="E1515" s="141">
        <v>500000</v>
      </c>
      <c r="F1515" s="141">
        <v>500000</v>
      </c>
      <c r="G1515" s="149">
        <v>43475</v>
      </c>
      <c r="H1515" s="45" t="s">
        <v>119</v>
      </c>
    </row>
    <row r="1516" spans="1:8" ht="30" customHeight="1">
      <c r="A1516" s="42" t="s">
        <v>5304</v>
      </c>
      <c r="B1516" s="42" t="s">
        <v>240</v>
      </c>
      <c r="C1516" s="18" t="s">
        <v>4795</v>
      </c>
      <c r="D1516" s="34">
        <v>43294</v>
      </c>
      <c r="E1516" s="141">
        <v>500000</v>
      </c>
      <c r="F1516" s="141">
        <v>500000</v>
      </c>
      <c r="G1516" s="149">
        <v>43475</v>
      </c>
      <c r="H1516" s="45" t="s">
        <v>119</v>
      </c>
    </row>
    <row r="1517" spans="1:8" ht="30" customHeight="1">
      <c r="A1517" s="42" t="s">
        <v>5312</v>
      </c>
      <c r="B1517" s="42" t="s">
        <v>240</v>
      </c>
      <c r="C1517" s="18" t="s">
        <v>4795</v>
      </c>
      <c r="D1517" s="34">
        <v>43305</v>
      </c>
      <c r="E1517" s="141">
        <v>208800</v>
      </c>
      <c r="F1517" s="141">
        <v>208800</v>
      </c>
      <c r="G1517" s="149">
        <v>43482</v>
      </c>
      <c r="H1517" s="45" t="s">
        <v>119</v>
      </c>
    </row>
    <row r="1518" spans="1:8" ht="30" hidden="1" customHeight="1">
      <c r="A1518" s="42" t="s">
        <v>5313</v>
      </c>
      <c r="B1518" s="42" t="s">
        <v>82</v>
      </c>
      <c r="C1518" s="18" t="s">
        <v>4795</v>
      </c>
      <c r="D1518" s="34">
        <v>43305</v>
      </c>
      <c r="E1518" s="141">
        <f>500000-E1517</f>
        <v>291200</v>
      </c>
      <c r="F1518" s="141">
        <f>500000-F1517</f>
        <v>291200</v>
      </c>
      <c r="G1518" s="149">
        <v>43482</v>
      </c>
      <c r="H1518" s="45" t="s">
        <v>119</v>
      </c>
    </row>
    <row r="1519" spans="1:8" ht="30" customHeight="1">
      <c r="A1519" s="42" t="s">
        <v>5313</v>
      </c>
      <c r="B1519" s="42" t="s">
        <v>240</v>
      </c>
      <c r="C1519" s="18" t="s">
        <v>4795</v>
      </c>
      <c r="D1519" s="34">
        <v>43305</v>
      </c>
      <c r="E1519" s="141">
        <v>150000</v>
      </c>
      <c r="F1519" s="141">
        <v>150000</v>
      </c>
      <c r="G1519" s="149">
        <v>43449</v>
      </c>
      <c r="H1519" s="45" t="s">
        <v>119</v>
      </c>
    </row>
    <row r="1520" spans="1:8" ht="30" hidden="1" customHeight="1">
      <c r="A1520" s="42" t="s">
        <v>5450</v>
      </c>
      <c r="B1520" s="42" t="s">
        <v>82</v>
      </c>
      <c r="C1520" s="18" t="s">
        <v>4795</v>
      </c>
      <c r="D1520" s="34">
        <v>43305</v>
      </c>
      <c r="E1520" s="141">
        <f>250000-19620</f>
        <v>230380</v>
      </c>
      <c r="F1520" s="141">
        <f>250000-19620</f>
        <v>230380</v>
      </c>
      <c r="G1520" s="149">
        <v>43449</v>
      </c>
      <c r="H1520" s="45" t="s">
        <v>119</v>
      </c>
    </row>
    <row r="1521" spans="1:8" ht="30" customHeight="1">
      <c r="A1521" s="42" t="s">
        <v>5327</v>
      </c>
      <c r="B1521" s="42" t="s">
        <v>240</v>
      </c>
      <c r="C1521" s="18" t="s">
        <v>4795</v>
      </c>
      <c r="D1521" s="34">
        <v>43306</v>
      </c>
      <c r="E1521" s="141">
        <v>1531200</v>
      </c>
      <c r="F1521" s="141">
        <v>1531200</v>
      </c>
      <c r="G1521" s="149">
        <v>43489</v>
      </c>
      <c r="H1521" s="45" t="s">
        <v>119</v>
      </c>
    </row>
    <row r="1522" spans="1:8" ht="30" hidden="1" customHeight="1">
      <c r="A1522" s="42" t="s">
        <v>5329</v>
      </c>
      <c r="B1522" s="42" t="s">
        <v>2761</v>
      </c>
      <c r="C1522" s="18" t="s">
        <v>2938</v>
      </c>
      <c r="D1522" s="34">
        <v>43306</v>
      </c>
      <c r="E1522" s="141">
        <v>3496020.68</v>
      </c>
      <c r="F1522" s="141"/>
      <c r="H1522" s="45" t="s">
        <v>118</v>
      </c>
    </row>
    <row r="1523" spans="1:8" ht="30" hidden="1" customHeight="1">
      <c r="A1523" s="42" t="s">
        <v>5187</v>
      </c>
      <c r="B1523" s="18" t="s">
        <v>2761</v>
      </c>
      <c r="C1523" s="18" t="s">
        <v>2797</v>
      </c>
      <c r="D1523" s="34">
        <v>43306</v>
      </c>
      <c r="E1523" s="141">
        <v>2495250.9700000002</v>
      </c>
      <c r="F1523" s="141"/>
      <c r="H1523" s="45" t="s">
        <v>119</v>
      </c>
    </row>
    <row r="1524" spans="1:8" ht="30" hidden="1" customHeight="1">
      <c r="A1524" s="42" t="s">
        <v>4750</v>
      </c>
      <c r="B1524" s="42" t="s">
        <v>3954</v>
      </c>
      <c r="C1524" s="18" t="s">
        <v>5332</v>
      </c>
      <c r="D1524" s="34">
        <v>43299</v>
      </c>
      <c r="E1524" s="141">
        <f>-100000</f>
        <v>-100000</v>
      </c>
      <c r="F1524" s="141"/>
      <c r="H1524" s="45" t="s">
        <v>118</v>
      </c>
    </row>
    <row r="1525" spans="1:8" ht="30" hidden="1" customHeight="1">
      <c r="A1525" s="42" t="s">
        <v>4750</v>
      </c>
      <c r="B1525" s="18" t="s">
        <v>3954</v>
      </c>
      <c r="C1525" s="18" t="s">
        <v>4271</v>
      </c>
      <c r="D1525" s="34">
        <v>43301</v>
      </c>
      <c r="E1525" s="141">
        <v>-200000</v>
      </c>
      <c r="F1525" s="141"/>
      <c r="H1525" s="45" t="s">
        <v>118</v>
      </c>
    </row>
    <row r="1526" spans="1:8" ht="30" hidden="1" customHeight="1">
      <c r="A1526" s="42" t="s">
        <v>4750</v>
      </c>
      <c r="B1526" s="18" t="s">
        <v>3954</v>
      </c>
      <c r="C1526" s="18" t="s">
        <v>4271</v>
      </c>
      <c r="D1526" s="34">
        <v>43301</v>
      </c>
      <c r="E1526" s="141">
        <v>-171084.07</v>
      </c>
      <c r="F1526" s="141"/>
      <c r="H1526" s="45" t="s">
        <v>118</v>
      </c>
    </row>
    <row r="1527" spans="1:8" ht="30" hidden="1" customHeight="1">
      <c r="A1527" s="42" t="s">
        <v>5291</v>
      </c>
      <c r="B1527" s="18" t="s">
        <v>3954</v>
      </c>
      <c r="C1527" s="18" t="s">
        <v>5295</v>
      </c>
      <c r="D1527" s="34">
        <v>43299</v>
      </c>
      <c r="E1527" s="141">
        <v>100000</v>
      </c>
      <c r="F1527" s="141"/>
      <c r="H1527" s="45" t="s">
        <v>119</v>
      </c>
    </row>
    <row r="1528" spans="1:8" ht="30" hidden="1" customHeight="1">
      <c r="A1528" s="42" t="s">
        <v>5291</v>
      </c>
      <c r="B1528" s="18" t="s">
        <v>3954</v>
      </c>
      <c r="C1528" s="18" t="s">
        <v>5295</v>
      </c>
      <c r="D1528" s="34">
        <v>43301</v>
      </c>
      <c r="E1528" s="141">
        <v>200000</v>
      </c>
      <c r="F1528" s="141"/>
      <c r="H1528" s="45" t="s">
        <v>119</v>
      </c>
    </row>
    <row r="1529" spans="1:8" ht="30" hidden="1" customHeight="1">
      <c r="A1529" s="42" t="s">
        <v>5291</v>
      </c>
      <c r="B1529" s="18" t="s">
        <v>3954</v>
      </c>
      <c r="C1529" s="18" t="s">
        <v>5295</v>
      </c>
      <c r="D1529" s="34">
        <v>43301</v>
      </c>
      <c r="E1529" s="141">
        <v>225713.6</v>
      </c>
      <c r="F1529" s="141"/>
      <c r="H1529" s="45" t="s">
        <v>119</v>
      </c>
    </row>
    <row r="1530" spans="1:8" ht="30" hidden="1" customHeight="1">
      <c r="A1530" s="42" t="s">
        <v>5338</v>
      </c>
      <c r="B1530" s="18" t="s">
        <v>412</v>
      </c>
      <c r="C1530" s="18" t="s">
        <v>3043</v>
      </c>
      <c r="D1530" s="34">
        <v>43306</v>
      </c>
      <c r="E1530" s="141">
        <v>1531200</v>
      </c>
      <c r="F1530" s="141">
        <v>1531200</v>
      </c>
      <c r="G1530" s="149">
        <v>43489</v>
      </c>
      <c r="H1530" s="45" t="s">
        <v>118</v>
      </c>
    </row>
    <row r="1531" spans="1:8" ht="30" hidden="1" customHeight="1">
      <c r="A1531" s="42" t="s">
        <v>5338</v>
      </c>
      <c r="B1531" s="18" t="s">
        <v>412</v>
      </c>
      <c r="C1531" s="18" t="s">
        <v>3043</v>
      </c>
      <c r="D1531" s="34">
        <v>43306</v>
      </c>
      <c r="E1531" s="141">
        <v>37611.43</v>
      </c>
      <c r="F1531" s="141"/>
      <c r="H1531" s="45" t="s">
        <v>118</v>
      </c>
    </row>
    <row r="1532" spans="1:8" ht="30" customHeight="1">
      <c r="A1532" s="22" t="s">
        <v>5352</v>
      </c>
      <c r="B1532" s="17" t="s">
        <v>5353</v>
      </c>
      <c r="C1532" s="16" t="s">
        <v>2011</v>
      </c>
      <c r="D1532" s="34">
        <v>43299</v>
      </c>
      <c r="E1532" s="69">
        <v>-44509.440000000002</v>
      </c>
      <c r="H1532" s="45" t="s">
        <v>5354</v>
      </c>
    </row>
    <row r="1533" spans="1:8" ht="30" customHeight="1">
      <c r="A1533" s="22" t="s">
        <v>5355</v>
      </c>
      <c r="B1533" s="17" t="s">
        <v>5356</v>
      </c>
      <c r="C1533" s="16" t="s">
        <v>351</v>
      </c>
      <c r="D1533" s="34">
        <v>43308</v>
      </c>
      <c r="E1533" s="69">
        <v>100000</v>
      </c>
      <c r="F1533" s="45">
        <v>100000</v>
      </c>
      <c r="G1533" s="149">
        <v>43439</v>
      </c>
      <c r="H1533" s="45" t="s">
        <v>5357</v>
      </c>
    </row>
    <row r="1534" spans="1:8" ht="30" customHeight="1">
      <c r="A1534" s="22" t="s">
        <v>5355</v>
      </c>
      <c r="B1534" s="17" t="s">
        <v>5356</v>
      </c>
      <c r="C1534" s="16" t="s">
        <v>351</v>
      </c>
      <c r="D1534" s="34">
        <v>43308</v>
      </c>
      <c r="E1534" s="69">
        <v>100000</v>
      </c>
      <c r="F1534" s="45">
        <v>100000</v>
      </c>
      <c r="G1534" s="149">
        <v>43440</v>
      </c>
      <c r="H1534" s="45" t="s">
        <v>5357</v>
      </c>
    </row>
    <row r="1535" spans="1:8" ht="30" customHeight="1">
      <c r="A1535" s="22" t="s">
        <v>5355</v>
      </c>
      <c r="B1535" s="17" t="s">
        <v>5356</v>
      </c>
      <c r="C1535" s="16" t="s">
        <v>351</v>
      </c>
      <c r="D1535" s="34">
        <v>43308</v>
      </c>
      <c r="E1535" s="69">
        <v>53784.949999999953</v>
      </c>
      <c r="F1535" s="45">
        <v>53784.949999999953</v>
      </c>
      <c r="G1535" s="149">
        <v>43482</v>
      </c>
      <c r="H1535" s="45" t="s">
        <v>5357</v>
      </c>
    </row>
    <row r="1536" spans="1:8" ht="30" customHeight="1">
      <c r="A1536" s="22" t="s">
        <v>5355</v>
      </c>
      <c r="B1536" s="17" t="s">
        <v>5356</v>
      </c>
      <c r="C1536" s="16" t="s">
        <v>351</v>
      </c>
      <c r="D1536" s="34">
        <v>43308</v>
      </c>
      <c r="E1536" s="69">
        <v>200000</v>
      </c>
      <c r="F1536" s="45">
        <v>200000</v>
      </c>
      <c r="G1536" s="149">
        <v>43488</v>
      </c>
      <c r="H1536" s="45" t="s">
        <v>5357</v>
      </c>
    </row>
    <row r="1537" spans="1:8" ht="30" customHeight="1">
      <c r="A1537" s="22" t="s">
        <v>5360</v>
      </c>
      <c r="B1537" s="17" t="s">
        <v>5356</v>
      </c>
      <c r="C1537" s="16" t="s">
        <v>5364</v>
      </c>
      <c r="D1537" s="34">
        <v>43308</v>
      </c>
      <c r="E1537" s="69">
        <v>67309.61</v>
      </c>
      <c r="F1537" s="69">
        <v>67309.61</v>
      </c>
      <c r="G1537" s="149">
        <v>43439</v>
      </c>
      <c r="H1537" s="45" t="s">
        <v>5366</v>
      </c>
    </row>
    <row r="1538" spans="1:8" ht="30" hidden="1" customHeight="1">
      <c r="A1538" s="22" t="s">
        <v>5362</v>
      </c>
      <c r="B1538" s="17" t="s">
        <v>5363</v>
      </c>
      <c r="C1538" s="16" t="s">
        <v>5364</v>
      </c>
      <c r="D1538" s="34">
        <v>43308</v>
      </c>
      <c r="E1538" s="69">
        <v>32690.39</v>
      </c>
      <c r="F1538" s="69">
        <v>32690.39</v>
      </c>
      <c r="G1538" s="149">
        <v>43439</v>
      </c>
      <c r="H1538" s="45" t="s">
        <v>5366</v>
      </c>
    </row>
    <row r="1539" spans="1:8" ht="30" hidden="1" customHeight="1">
      <c r="A1539" s="22" t="s">
        <v>5362</v>
      </c>
      <c r="B1539" s="17" t="s">
        <v>5363</v>
      </c>
      <c r="C1539" s="16" t="s">
        <v>5364</v>
      </c>
      <c r="D1539" s="34">
        <v>43308</v>
      </c>
      <c r="E1539" s="69">
        <v>100000</v>
      </c>
      <c r="F1539" s="69">
        <v>100000</v>
      </c>
      <c r="G1539" s="149">
        <v>43440</v>
      </c>
      <c r="H1539" s="45" t="s">
        <v>5366</v>
      </c>
    </row>
    <row r="1540" spans="1:8" ht="30" hidden="1" customHeight="1">
      <c r="A1540" s="22" t="s">
        <v>5362</v>
      </c>
      <c r="B1540" s="17" t="s">
        <v>5363</v>
      </c>
      <c r="C1540" s="16" t="s">
        <v>5364</v>
      </c>
      <c r="D1540" s="34">
        <v>43308</v>
      </c>
      <c r="E1540" s="69">
        <v>1000000</v>
      </c>
      <c r="F1540" s="69">
        <v>1000000</v>
      </c>
      <c r="G1540" s="149">
        <v>43482</v>
      </c>
      <c r="H1540" s="45" t="s">
        <v>5366</v>
      </c>
    </row>
    <row r="1541" spans="1:8" ht="30" hidden="1" customHeight="1">
      <c r="A1541" s="22" t="s">
        <v>5362</v>
      </c>
      <c r="B1541" s="17" t="s">
        <v>5363</v>
      </c>
      <c r="C1541" s="16" t="s">
        <v>5364</v>
      </c>
      <c r="D1541" s="34">
        <v>43308</v>
      </c>
      <c r="E1541" s="69">
        <v>200000</v>
      </c>
      <c r="F1541" s="69">
        <v>200000</v>
      </c>
      <c r="G1541" s="149">
        <v>43488</v>
      </c>
      <c r="H1541" s="45" t="s">
        <v>5366</v>
      </c>
    </row>
    <row r="1542" spans="1:8" ht="30" hidden="1" customHeight="1">
      <c r="A1542" s="42" t="s">
        <v>5370</v>
      </c>
      <c r="B1542" s="42" t="s">
        <v>5373</v>
      </c>
      <c r="C1542" s="18" t="s">
        <v>992</v>
      </c>
      <c r="D1542" s="34">
        <v>43304</v>
      </c>
      <c r="E1542" s="69">
        <v>56600</v>
      </c>
      <c r="H1542" s="45" t="s">
        <v>5374</v>
      </c>
    </row>
    <row r="1543" spans="1:8" ht="30" hidden="1" customHeight="1">
      <c r="A1543" s="42" t="s">
        <v>5372</v>
      </c>
      <c r="B1543" s="42" t="s">
        <v>5373</v>
      </c>
      <c r="C1543" s="18" t="s">
        <v>3984</v>
      </c>
      <c r="D1543" s="34">
        <v>43305</v>
      </c>
      <c r="E1543" s="69">
        <v>57391.7</v>
      </c>
      <c r="H1543" s="45" t="s">
        <v>5375</v>
      </c>
    </row>
    <row r="1544" spans="1:8" ht="30" hidden="1" customHeight="1">
      <c r="A1544" s="42" t="s">
        <v>5376</v>
      </c>
      <c r="B1544" s="42" t="s">
        <v>5373</v>
      </c>
      <c r="C1544" s="18" t="s">
        <v>992</v>
      </c>
      <c r="D1544" s="34">
        <v>43304</v>
      </c>
      <c r="E1544" s="69">
        <v>-1960</v>
      </c>
      <c r="H1544" s="45" t="s">
        <v>5374</v>
      </c>
    </row>
    <row r="1545" spans="1:8" ht="30" hidden="1" customHeight="1">
      <c r="A1545" s="42" t="s">
        <v>5377</v>
      </c>
      <c r="B1545" s="42" t="s">
        <v>5373</v>
      </c>
      <c r="C1545" s="18" t="s">
        <v>992</v>
      </c>
      <c r="D1545" s="34">
        <v>43304</v>
      </c>
      <c r="E1545" s="69">
        <v>-732.5</v>
      </c>
      <c r="H1545" s="45" t="s">
        <v>5374</v>
      </c>
    </row>
    <row r="1546" spans="1:8" ht="30" hidden="1" customHeight="1">
      <c r="A1546" s="42" t="s">
        <v>5379</v>
      </c>
      <c r="B1546" s="42" t="s">
        <v>5373</v>
      </c>
      <c r="C1546" s="18" t="s">
        <v>474</v>
      </c>
      <c r="D1546" s="34">
        <v>43304</v>
      </c>
      <c r="E1546" s="69">
        <v>1466.7</v>
      </c>
      <c r="H1546" s="45" t="s">
        <v>5375</v>
      </c>
    </row>
    <row r="1547" spans="1:8" ht="30" hidden="1" customHeight="1">
      <c r="A1547" s="42" t="s">
        <v>5381</v>
      </c>
      <c r="B1547" s="42" t="s">
        <v>5373</v>
      </c>
      <c r="C1547" s="18" t="s">
        <v>5383</v>
      </c>
      <c r="D1547" s="34">
        <v>43308</v>
      </c>
      <c r="E1547" s="69">
        <v>271171.7</v>
      </c>
      <c r="H1547" s="45" t="s">
        <v>5375</v>
      </c>
    </row>
    <row r="1548" spans="1:8" ht="30" hidden="1" customHeight="1">
      <c r="A1548" s="42" t="s">
        <v>5385</v>
      </c>
      <c r="B1548" s="42" t="s">
        <v>5373</v>
      </c>
      <c r="C1548" s="18" t="s">
        <v>3984</v>
      </c>
      <c r="D1548" s="34">
        <v>43311</v>
      </c>
      <c r="E1548" s="69">
        <v>2200</v>
      </c>
      <c r="H1548" s="45" t="s">
        <v>5374</v>
      </c>
    </row>
    <row r="1549" spans="1:8" ht="30" customHeight="1">
      <c r="A1549" s="42" t="s">
        <v>5388</v>
      </c>
      <c r="B1549" s="42" t="s">
        <v>5389</v>
      </c>
      <c r="C1549" s="18" t="s">
        <v>5391</v>
      </c>
      <c r="D1549" s="34">
        <v>43442</v>
      </c>
      <c r="E1549" s="69">
        <v>-100000</v>
      </c>
      <c r="H1549" s="45" t="s">
        <v>5392</v>
      </c>
    </row>
    <row r="1550" spans="1:8" ht="30" customHeight="1">
      <c r="A1550" s="42" t="s">
        <v>5410</v>
      </c>
      <c r="B1550" s="42" t="s">
        <v>5411</v>
      </c>
      <c r="C1550" s="18" t="s">
        <v>5412</v>
      </c>
      <c r="D1550" s="34">
        <v>43322</v>
      </c>
      <c r="E1550" s="69">
        <v>981054.36</v>
      </c>
      <c r="F1550" s="45">
        <v>981054.36</v>
      </c>
      <c r="G1550" s="149">
        <v>43480</v>
      </c>
      <c r="H1550" s="45" t="s">
        <v>5413</v>
      </c>
    </row>
    <row r="1551" spans="1:8" ht="30" hidden="1" customHeight="1">
      <c r="A1551" s="42" t="s">
        <v>5414</v>
      </c>
      <c r="B1551" s="42" t="s">
        <v>5415</v>
      </c>
      <c r="C1551" s="18" t="s">
        <v>5412</v>
      </c>
      <c r="D1551" s="34">
        <v>43322</v>
      </c>
      <c r="E1551" s="69">
        <v>1018945.64</v>
      </c>
      <c r="F1551" s="45">
        <v>1018945.64</v>
      </c>
      <c r="G1551" s="149">
        <v>43480</v>
      </c>
      <c r="H1551" s="45" t="s">
        <v>5413</v>
      </c>
    </row>
    <row r="1552" spans="1:8" ht="30" customHeight="1">
      <c r="A1552" s="22" t="s">
        <v>5245</v>
      </c>
      <c r="B1552" s="17" t="s">
        <v>603</v>
      </c>
      <c r="C1552" s="16" t="s">
        <v>351</v>
      </c>
      <c r="D1552" s="34">
        <v>43308</v>
      </c>
      <c r="E1552" s="69">
        <v>946215.05</v>
      </c>
      <c r="F1552" s="69">
        <v>946215.05</v>
      </c>
      <c r="G1552" s="149">
        <v>43482</v>
      </c>
      <c r="H1552" s="45" t="s">
        <v>1722</v>
      </c>
    </row>
    <row r="1553" spans="1:8" ht="30" hidden="1" customHeight="1">
      <c r="A1553" s="42" t="s">
        <v>5425</v>
      </c>
      <c r="B1553" s="42" t="s">
        <v>5437</v>
      </c>
      <c r="C1553" s="18" t="s">
        <v>875</v>
      </c>
      <c r="D1553" s="34">
        <v>43315</v>
      </c>
      <c r="E1553" s="69">
        <v>267000</v>
      </c>
      <c r="H1553" s="45" t="s">
        <v>5438</v>
      </c>
    </row>
    <row r="1554" spans="1:8" ht="30" hidden="1" customHeight="1">
      <c r="A1554" s="42" t="s">
        <v>5429</v>
      </c>
      <c r="B1554" s="42" t="s">
        <v>5437</v>
      </c>
      <c r="C1554" s="18" t="s">
        <v>875</v>
      </c>
      <c r="D1554" s="34">
        <v>43320</v>
      </c>
      <c r="E1554" s="69">
        <v>133500</v>
      </c>
      <c r="H1554" s="45" t="s">
        <v>5438</v>
      </c>
    </row>
    <row r="1555" spans="1:8" ht="30" hidden="1" customHeight="1">
      <c r="A1555" s="42" t="s">
        <v>5430</v>
      </c>
      <c r="B1555" s="42" t="s">
        <v>5437</v>
      </c>
      <c r="C1555" s="18" t="s">
        <v>875</v>
      </c>
      <c r="D1555" s="34">
        <v>43315</v>
      </c>
      <c r="E1555" s="69">
        <v>55200</v>
      </c>
      <c r="H1555" s="45" t="s">
        <v>5438</v>
      </c>
    </row>
    <row r="1556" spans="1:8" ht="30" hidden="1" customHeight="1">
      <c r="A1556" s="42" t="s">
        <v>5431</v>
      </c>
      <c r="B1556" s="42" t="s">
        <v>5437</v>
      </c>
      <c r="C1556" s="18" t="s">
        <v>5432</v>
      </c>
      <c r="D1556" s="34">
        <v>43332</v>
      </c>
      <c r="E1556" s="69">
        <v>271171.7</v>
      </c>
      <c r="H1556" s="45" t="s">
        <v>5439</v>
      </c>
    </row>
    <row r="1557" spans="1:8" ht="30" hidden="1" customHeight="1">
      <c r="A1557" s="42" t="s">
        <v>5434</v>
      </c>
      <c r="B1557" s="42" t="s">
        <v>5437</v>
      </c>
      <c r="C1557" s="18" t="s">
        <v>5435</v>
      </c>
      <c r="D1557" s="34">
        <v>43325</v>
      </c>
      <c r="E1557" s="69">
        <v>134491.70000000001</v>
      </c>
      <c r="H1557" s="45" t="s">
        <v>5439</v>
      </c>
    </row>
    <row r="1558" spans="1:8" ht="30" hidden="1" customHeight="1">
      <c r="A1558" s="42" t="s">
        <v>5436</v>
      </c>
      <c r="B1558" s="42" t="s">
        <v>5437</v>
      </c>
      <c r="C1558" s="18" t="s">
        <v>5435</v>
      </c>
      <c r="D1558" s="34">
        <v>43318</v>
      </c>
      <c r="E1558" s="69">
        <v>55591.7</v>
      </c>
      <c r="H1558" s="45" t="s">
        <v>5439</v>
      </c>
    </row>
    <row r="1559" spans="1:8" ht="30" hidden="1" customHeight="1">
      <c r="A1559" s="42" t="s">
        <v>5431</v>
      </c>
      <c r="B1559" s="42" t="s">
        <v>5437</v>
      </c>
      <c r="C1559" s="18" t="s">
        <v>5435</v>
      </c>
      <c r="D1559" s="34">
        <v>43333</v>
      </c>
      <c r="E1559" s="69">
        <v>-2200</v>
      </c>
      <c r="H1559" s="45" t="s">
        <v>5438</v>
      </c>
    </row>
    <row r="1560" spans="1:8" ht="30" customHeight="1">
      <c r="A1560" s="42" t="s">
        <v>5358</v>
      </c>
      <c r="B1560" s="42" t="s">
        <v>5443</v>
      </c>
      <c r="C1560" s="18" t="s">
        <v>351</v>
      </c>
      <c r="D1560" s="34">
        <v>43335</v>
      </c>
      <c r="E1560" s="69">
        <v>-342744.9</v>
      </c>
      <c r="H1560" s="45" t="s">
        <v>5444</v>
      </c>
    </row>
    <row r="1561" spans="1:8" ht="30" customHeight="1">
      <c r="A1561" s="42" t="s">
        <v>5150</v>
      </c>
      <c r="B1561" s="42" t="s">
        <v>5443</v>
      </c>
      <c r="C1561" s="18" t="s">
        <v>351</v>
      </c>
      <c r="D1561" s="34">
        <v>43335</v>
      </c>
      <c r="E1561" s="69">
        <v>654677.9</v>
      </c>
      <c r="H1561" s="45" t="s">
        <v>5445</v>
      </c>
    </row>
    <row r="1562" spans="1:8" ht="30" hidden="1" customHeight="1">
      <c r="A1562" s="42" t="s">
        <v>5448</v>
      </c>
      <c r="B1562" s="42" t="s">
        <v>5449</v>
      </c>
      <c r="C1562" s="18" t="s">
        <v>4788</v>
      </c>
      <c r="D1562" s="34">
        <v>43336</v>
      </c>
      <c r="E1562" s="69">
        <v>429757.12</v>
      </c>
      <c r="H1562" s="45" t="s">
        <v>5444</v>
      </c>
    </row>
    <row r="1563" spans="1:8" ht="30" customHeight="1">
      <c r="A1563" s="42" t="s">
        <v>5314</v>
      </c>
      <c r="B1563" s="42" t="s">
        <v>240</v>
      </c>
      <c r="C1563" s="18" t="s">
        <v>4795</v>
      </c>
      <c r="D1563" s="34">
        <v>43305</v>
      </c>
      <c r="E1563" s="141">
        <v>19620</v>
      </c>
      <c r="F1563" s="141">
        <v>19620</v>
      </c>
      <c r="G1563" s="149">
        <v>43449</v>
      </c>
      <c r="H1563" s="45" t="s">
        <v>119</v>
      </c>
    </row>
    <row r="1564" spans="1:8" ht="30" customHeight="1">
      <c r="A1564" s="42" t="s">
        <v>5452</v>
      </c>
      <c r="B1564" s="42" t="s">
        <v>240</v>
      </c>
      <c r="C1564" s="18" t="s">
        <v>4795</v>
      </c>
      <c r="D1564" s="34">
        <v>43341</v>
      </c>
      <c r="E1564" s="69">
        <v>600043.5</v>
      </c>
      <c r="H1564" s="45" t="s">
        <v>119</v>
      </c>
    </row>
    <row r="1565" spans="1:8" ht="30" hidden="1" customHeight="1">
      <c r="A1565" s="42" t="s">
        <v>5454</v>
      </c>
      <c r="B1565" s="42" t="s">
        <v>5455</v>
      </c>
      <c r="C1565" s="18" t="s">
        <v>4303</v>
      </c>
      <c r="D1565" s="34">
        <v>43341</v>
      </c>
      <c r="E1565" s="69">
        <v>423228.92</v>
      </c>
      <c r="H1565" s="45" t="s">
        <v>119</v>
      </c>
    </row>
    <row r="1566" spans="1:8" ht="30" hidden="1" customHeight="1">
      <c r="A1566" s="42" t="s">
        <v>5459</v>
      </c>
      <c r="B1566" s="42" t="s">
        <v>5460</v>
      </c>
      <c r="C1566" s="18" t="s">
        <v>5461</v>
      </c>
      <c r="D1566" s="34">
        <v>43341</v>
      </c>
      <c r="E1566" s="141">
        <v>415418.57</v>
      </c>
      <c r="F1566" s="141">
        <v>415418.57</v>
      </c>
      <c r="G1566" s="149">
        <v>43498</v>
      </c>
      <c r="H1566" s="45" t="s">
        <v>1719</v>
      </c>
    </row>
    <row r="1567" spans="1:8" ht="30" customHeight="1">
      <c r="A1567" s="42" t="s">
        <v>5462</v>
      </c>
      <c r="B1567" s="42" t="s">
        <v>5463</v>
      </c>
      <c r="C1567" s="18" t="s">
        <v>5461</v>
      </c>
      <c r="D1567" s="34">
        <v>43341</v>
      </c>
      <c r="E1567" s="141">
        <v>584581.42999999993</v>
      </c>
      <c r="F1567" s="141">
        <v>584581.42999999993</v>
      </c>
      <c r="G1567" s="149">
        <v>43498</v>
      </c>
      <c r="H1567" s="45" t="s">
        <v>1719</v>
      </c>
    </row>
    <row r="1568" spans="1:8" ht="30" customHeight="1">
      <c r="A1568" s="42" t="s">
        <v>5462</v>
      </c>
      <c r="B1568" s="42" t="s">
        <v>5463</v>
      </c>
      <c r="C1568" s="18" t="s">
        <v>5461</v>
      </c>
      <c r="D1568" s="34">
        <v>43341</v>
      </c>
      <c r="E1568" s="141">
        <v>1000000</v>
      </c>
      <c r="F1568" s="141">
        <v>1000000</v>
      </c>
      <c r="G1568" s="149">
        <v>43498</v>
      </c>
      <c r="H1568" s="45" t="s">
        <v>1719</v>
      </c>
    </row>
    <row r="1569" spans="1:8" ht="30" customHeight="1">
      <c r="A1569" s="42" t="s">
        <v>5462</v>
      </c>
      <c r="B1569" s="42" t="s">
        <v>5463</v>
      </c>
      <c r="C1569" s="18" t="s">
        <v>5461</v>
      </c>
      <c r="D1569" s="34">
        <v>43341</v>
      </c>
      <c r="E1569" s="141">
        <v>389432.56</v>
      </c>
      <c r="F1569" s="141">
        <v>389432.56</v>
      </c>
      <c r="G1569" s="149">
        <v>43471</v>
      </c>
      <c r="H1569" s="45" t="s">
        <v>1719</v>
      </c>
    </row>
    <row r="1570" spans="1:8" ht="30" hidden="1" customHeight="1">
      <c r="A1570" s="42" t="s">
        <v>5464</v>
      </c>
      <c r="B1570" s="42" t="s">
        <v>5460</v>
      </c>
      <c r="C1570" s="18" t="s">
        <v>5461</v>
      </c>
      <c r="D1570" s="34">
        <v>43341</v>
      </c>
      <c r="E1570" s="141">
        <v>1066349.25</v>
      </c>
      <c r="F1570" s="141">
        <v>1066349.25</v>
      </c>
      <c r="G1570" s="149">
        <v>43471</v>
      </c>
      <c r="H1570" s="45" t="s">
        <v>1719</v>
      </c>
    </row>
    <row r="1571" spans="1:8" ht="30" hidden="1" customHeight="1">
      <c r="A1571" s="42" t="s">
        <v>5465</v>
      </c>
      <c r="B1571" s="42" t="s">
        <v>5466</v>
      </c>
      <c r="C1571" s="18" t="s">
        <v>5467</v>
      </c>
      <c r="D1571" s="34">
        <v>43341</v>
      </c>
      <c r="E1571" s="141">
        <v>544218.18999999994</v>
      </c>
      <c r="F1571" s="141">
        <v>544218.18999999994</v>
      </c>
      <c r="G1571" s="149">
        <v>43471</v>
      </c>
      <c r="H1571" s="45" t="s">
        <v>1719</v>
      </c>
    </row>
    <row r="1572" spans="1:8" ht="30" customHeight="1">
      <c r="A1572" s="42" t="s">
        <v>5476</v>
      </c>
      <c r="B1572" s="42" t="s">
        <v>5477</v>
      </c>
      <c r="C1572" s="18" t="s">
        <v>4795</v>
      </c>
      <c r="D1572" s="34">
        <v>43347</v>
      </c>
      <c r="E1572" s="141">
        <v>1000000</v>
      </c>
      <c r="F1572" s="141">
        <v>1000000</v>
      </c>
      <c r="G1572" s="149">
        <v>43498</v>
      </c>
      <c r="H1572" s="45" t="s">
        <v>119</v>
      </c>
    </row>
    <row r="1573" spans="1:8" ht="30" hidden="1" customHeight="1">
      <c r="A1573" s="42" t="s">
        <v>5487</v>
      </c>
      <c r="B1573" s="42" t="s">
        <v>5488</v>
      </c>
      <c r="C1573" s="18" t="s">
        <v>5489</v>
      </c>
      <c r="D1573" s="34">
        <v>43356</v>
      </c>
      <c r="E1573" s="141">
        <v>2000000</v>
      </c>
      <c r="F1573" s="141"/>
      <c r="H1573" s="45" t="s">
        <v>119</v>
      </c>
    </row>
    <row r="1574" spans="1:8" ht="30" customHeight="1">
      <c r="A1574" s="42" t="s">
        <v>5490</v>
      </c>
      <c r="B1574" s="42" t="s">
        <v>5491</v>
      </c>
      <c r="C1574" s="18" t="s">
        <v>5492</v>
      </c>
      <c r="D1574" s="34">
        <v>43373</v>
      </c>
      <c r="E1574" s="141">
        <v>300000</v>
      </c>
      <c r="F1574" s="141">
        <v>300000</v>
      </c>
      <c r="G1574" s="149">
        <v>43528</v>
      </c>
      <c r="H1574" s="45" t="s">
        <v>5493</v>
      </c>
    </row>
    <row r="1575" spans="1:8" ht="30" customHeight="1">
      <c r="A1575" s="42" t="s">
        <v>5490</v>
      </c>
      <c r="B1575" s="42" t="s">
        <v>5491</v>
      </c>
      <c r="C1575" s="18" t="s">
        <v>5492</v>
      </c>
      <c r="D1575" s="34">
        <v>43373</v>
      </c>
      <c r="E1575" s="141">
        <v>1500000</v>
      </c>
      <c r="F1575" s="141">
        <v>1500000</v>
      </c>
      <c r="G1575" s="149">
        <v>43544</v>
      </c>
      <c r="H1575" s="45" t="s">
        <v>5493</v>
      </c>
    </row>
    <row r="1576" spans="1:8" ht="30" hidden="1" customHeight="1">
      <c r="A1576" s="42" t="s">
        <v>5495</v>
      </c>
      <c r="B1576" s="42" t="s">
        <v>5497</v>
      </c>
      <c r="C1576" s="18" t="s">
        <v>5498</v>
      </c>
      <c r="D1576" s="34">
        <v>43369</v>
      </c>
      <c r="E1576" s="141">
        <f>132987.66-8835.14</f>
        <v>124152.52</v>
      </c>
      <c r="F1576" s="141"/>
      <c r="H1576" s="45" t="s">
        <v>5499</v>
      </c>
    </row>
    <row r="1577" spans="1:8" ht="30" hidden="1" customHeight="1">
      <c r="A1577" s="42" t="s">
        <v>5501</v>
      </c>
      <c r="B1577" s="42" t="s">
        <v>5502</v>
      </c>
      <c r="C1577" s="18" t="s">
        <v>5498</v>
      </c>
      <c r="D1577" s="34">
        <v>43369</v>
      </c>
      <c r="E1577" s="141">
        <v>8835.14</v>
      </c>
      <c r="F1577" s="141"/>
      <c r="H1577" s="45" t="s">
        <v>5499</v>
      </c>
    </row>
    <row r="1578" spans="1:8" ht="30" hidden="1" customHeight="1">
      <c r="A1578" s="42" t="s">
        <v>5504</v>
      </c>
      <c r="B1578" s="42" t="s">
        <v>5505</v>
      </c>
      <c r="C1578" s="18" t="s">
        <v>5506</v>
      </c>
      <c r="D1578" s="34">
        <v>43356</v>
      </c>
      <c r="E1578" s="141">
        <v>300000</v>
      </c>
      <c r="F1578" s="141">
        <v>300000</v>
      </c>
      <c r="G1578" s="149">
        <v>43523</v>
      </c>
      <c r="H1578" s="45" t="s">
        <v>5499</v>
      </c>
    </row>
    <row r="1579" spans="1:8" ht="30" hidden="1" customHeight="1">
      <c r="A1579" s="42" t="s">
        <v>5504</v>
      </c>
      <c r="B1579" s="42" t="s">
        <v>5505</v>
      </c>
      <c r="C1579" s="18" t="s">
        <v>5506</v>
      </c>
      <c r="D1579" s="34">
        <v>43356</v>
      </c>
      <c r="E1579" s="141">
        <v>1100000</v>
      </c>
      <c r="F1579" s="141">
        <v>1100000</v>
      </c>
      <c r="G1579" s="149">
        <v>43524</v>
      </c>
      <c r="H1579" s="45" t="s">
        <v>5499</v>
      </c>
    </row>
    <row r="1580" spans="1:8" ht="30" hidden="1" customHeight="1">
      <c r="A1580" s="42" t="s">
        <v>5481</v>
      </c>
      <c r="B1580" s="42" t="s">
        <v>5505</v>
      </c>
      <c r="C1580" s="18" t="s">
        <v>5506</v>
      </c>
      <c r="D1580" s="34">
        <v>43373</v>
      </c>
      <c r="E1580" s="141">
        <v>251872.59</v>
      </c>
      <c r="F1580" s="141">
        <v>251872.59</v>
      </c>
      <c r="G1580" s="149">
        <v>43528</v>
      </c>
      <c r="H1580" s="45" t="s">
        <v>5499</v>
      </c>
    </row>
    <row r="1581" spans="1:8" ht="30" hidden="1" customHeight="1">
      <c r="A1581" s="42" t="s">
        <v>5481</v>
      </c>
      <c r="B1581" s="42" t="s">
        <v>5505</v>
      </c>
      <c r="C1581" s="18" t="s">
        <v>5506</v>
      </c>
      <c r="D1581" s="34">
        <v>43373</v>
      </c>
      <c r="E1581" s="141">
        <v>1500000</v>
      </c>
      <c r="F1581" s="141">
        <v>1500000</v>
      </c>
      <c r="G1581" s="149">
        <v>43544</v>
      </c>
      <c r="H1581" s="45" t="s">
        <v>5499</v>
      </c>
    </row>
    <row r="1582" spans="1:8" ht="30" hidden="1" customHeight="1">
      <c r="A1582" s="42" t="s">
        <v>5504</v>
      </c>
      <c r="B1582" s="42" t="s">
        <v>5505</v>
      </c>
      <c r="C1582" s="18" t="s">
        <v>5506</v>
      </c>
      <c r="D1582" s="34">
        <v>43373</v>
      </c>
      <c r="E1582" s="141">
        <v>48127.41</v>
      </c>
      <c r="F1582" s="141">
        <v>48127.41</v>
      </c>
      <c r="G1582" s="149">
        <v>43528</v>
      </c>
      <c r="H1582" s="45" t="s">
        <v>5499</v>
      </c>
    </row>
    <row r="1583" spans="1:8" ht="30" hidden="1" customHeight="1">
      <c r="A1583" s="42" t="s">
        <v>5510</v>
      </c>
      <c r="B1583" s="42" t="s">
        <v>5511</v>
      </c>
      <c r="C1583" s="18" t="s">
        <v>5513</v>
      </c>
      <c r="D1583" s="34">
        <v>43382</v>
      </c>
      <c r="E1583" s="141">
        <v>14769756.25</v>
      </c>
      <c r="F1583" s="141"/>
      <c r="H1583" s="45" t="s">
        <v>119</v>
      </c>
    </row>
    <row r="1584" spans="1:8" ht="30" hidden="1" customHeight="1">
      <c r="A1584" s="42" t="s">
        <v>5517</v>
      </c>
      <c r="B1584" s="42" t="s">
        <v>412</v>
      </c>
      <c r="C1584" s="18" t="s">
        <v>83</v>
      </c>
      <c r="D1584" s="34">
        <v>43389</v>
      </c>
      <c r="E1584" s="141">
        <v>2590000</v>
      </c>
      <c r="F1584" s="141">
        <v>2590000</v>
      </c>
      <c r="G1584" s="149">
        <v>43565</v>
      </c>
      <c r="H1584" s="45" t="s">
        <v>118</v>
      </c>
    </row>
    <row r="1585" spans="1:8" ht="30" hidden="1" customHeight="1">
      <c r="A1585" s="42" t="s">
        <v>5517</v>
      </c>
      <c r="B1585" s="42" t="s">
        <v>412</v>
      </c>
      <c r="C1585" s="18" t="s">
        <v>83</v>
      </c>
      <c r="D1585" s="34">
        <v>43389</v>
      </c>
      <c r="E1585" s="141">
        <v>210000</v>
      </c>
      <c r="F1585" s="141">
        <v>210000</v>
      </c>
      <c r="G1585" s="149">
        <v>43565</v>
      </c>
      <c r="H1585" s="45" t="s">
        <v>118</v>
      </c>
    </row>
    <row r="1586" spans="1:8" ht="30" customHeight="1">
      <c r="A1586" s="42" t="s">
        <v>5528</v>
      </c>
      <c r="B1586" s="42" t="s">
        <v>194</v>
      </c>
      <c r="C1586" s="18" t="s">
        <v>4795</v>
      </c>
      <c r="D1586" s="34">
        <v>43392</v>
      </c>
      <c r="E1586" s="141">
        <v>210000</v>
      </c>
      <c r="F1586" s="141">
        <v>210000</v>
      </c>
      <c r="G1586" s="149">
        <v>43565</v>
      </c>
      <c r="H1586" s="45" t="s">
        <v>119</v>
      </c>
    </row>
    <row r="1587" spans="1:8" ht="30" hidden="1" customHeight="1">
      <c r="A1587" s="42" t="s">
        <v>5529</v>
      </c>
      <c r="B1587" s="42" t="s">
        <v>5530</v>
      </c>
      <c r="C1587" s="18" t="s">
        <v>2797</v>
      </c>
      <c r="D1587" s="34">
        <v>43398</v>
      </c>
      <c r="E1587" s="141">
        <v>2107429.38</v>
      </c>
      <c r="F1587" s="141"/>
      <c r="H1587" s="45" t="s">
        <v>119</v>
      </c>
    </row>
    <row r="1588" spans="1:8" ht="30" hidden="1" customHeight="1">
      <c r="A1588" s="42" t="s">
        <v>5531</v>
      </c>
      <c r="B1588" s="42" t="s">
        <v>5530</v>
      </c>
      <c r="C1588" s="18" t="s">
        <v>2797</v>
      </c>
      <c r="D1588" s="34">
        <v>43390</v>
      </c>
      <c r="E1588" s="141">
        <v>3000000</v>
      </c>
      <c r="F1588" s="141"/>
      <c r="H1588" s="45" t="s">
        <v>119</v>
      </c>
    </row>
    <row r="1589" spans="1:8" ht="30" hidden="1" customHeight="1">
      <c r="A1589" s="42" t="s">
        <v>5535</v>
      </c>
      <c r="B1589" s="42" t="s">
        <v>2761</v>
      </c>
      <c r="C1589" s="18" t="s">
        <v>2938</v>
      </c>
      <c r="D1589" s="34">
        <v>43382</v>
      </c>
      <c r="E1589" s="141">
        <v>15908490</v>
      </c>
      <c r="F1589" s="141"/>
      <c r="H1589" s="45" t="s">
        <v>118</v>
      </c>
    </row>
    <row r="1590" spans="1:8" ht="30" hidden="1" customHeight="1">
      <c r="A1590" s="42" t="s">
        <v>5535</v>
      </c>
      <c r="B1590" s="42" t="s">
        <v>2761</v>
      </c>
      <c r="C1590" s="18" t="s">
        <v>2938</v>
      </c>
      <c r="D1590" s="34">
        <v>43398</v>
      </c>
      <c r="E1590" s="141">
        <v>3107116.62</v>
      </c>
      <c r="F1590" s="141"/>
      <c r="H1590" s="45" t="s">
        <v>118</v>
      </c>
    </row>
    <row r="1591" spans="1:8" ht="30" hidden="1" customHeight="1">
      <c r="A1591" s="42" t="s">
        <v>5540</v>
      </c>
      <c r="B1591" s="42" t="s">
        <v>2761</v>
      </c>
      <c r="C1591" s="18" t="s">
        <v>2797</v>
      </c>
      <c r="D1591" s="34">
        <v>43402</v>
      </c>
      <c r="E1591" s="141">
        <v>11613718.5</v>
      </c>
      <c r="F1591" s="141"/>
      <c r="H1591" s="45" t="s">
        <v>119</v>
      </c>
    </row>
    <row r="1592" spans="1:8" ht="30" customHeight="1">
      <c r="A1592" s="42" t="s">
        <v>5536</v>
      </c>
      <c r="B1592" s="42" t="s">
        <v>5544</v>
      </c>
      <c r="C1592" s="18" t="s">
        <v>5546</v>
      </c>
      <c r="D1592" s="34">
        <v>43403</v>
      </c>
      <c r="E1592" s="141">
        <v>470000</v>
      </c>
      <c r="F1592" s="141">
        <v>470000</v>
      </c>
      <c r="G1592" s="149">
        <v>43574</v>
      </c>
      <c r="H1592" s="45" t="s">
        <v>119</v>
      </c>
    </row>
    <row r="1593" spans="1:8" ht="30" customHeight="1">
      <c r="A1593" s="42" t="s">
        <v>5542</v>
      </c>
      <c r="B1593" s="42" t="s">
        <v>5544</v>
      </c>
      <c r="C1593" s="18" t="s">
        <v>5546</v>
      </c>
      <c r="D1593" s="34">
        <v>43403</v>
      </c>
      <c r="E1593" s="141">
        <v>530000</v>
      </c>
      <c r="F1593" s="141">
        <v>530000</v>
      </c>
      <c r="G1593" s="149">
        <v>43574</v>
      </c>
      <c r="H1593" s="45" t="s">
        <v>119</v>
      </c>
    </row>
    <row r="1594" spans="1:8" ht="30" customHeight="1">
      <c r="A1594" s="42" t="s">
        <v>5542</v>
      </c>
      <c r="B1594" s="42" t="s">
        <v>5544</v>
      </c>
      <c r="C1594" s="18" t="s">
        <v>5546</v>
      </c>
      <c r="D1594" s="34">
        <v>43403</v>
      </c>
      <c r="E1594" s="141">
        <v>638000</v>
      </c>
      <c r="F1594" s="141">
        <v>638000</v>
      </c>
      <c r="G1594" s="149">
        <v>43574</v>
      </c>
      <c r="H1594" s="45" t="s">
        <v>119</v>
      </c>
    </row>
    <row r="1595" spans="1:8" ht="30" customHeight="1">
      <c r="A1595" s="42" t="s">
        <v>5543</v>
      </c>
      <c r="B1595" s="42" t="s">
        <v>5544</v>
      </c>
      <c r="C1595" s="18" t="s">
        <v>5546</v>
      </c>
      <c r="D1595" s="34">
        <v>43403</v>
      </c>
      <c r="E1595" s="141">
        <v>362000</v>
      </c>
      <c r="F1595" s="141">
        <v>362000</v>
      </c>
      <c r="G1595" s="149">
        <v>43574</v>
      </c>
      <c r="H1595" s="45" t="s">
        <v>119</v>
      </c>
    </row>
    <row r="1596" spans="1:8" ht="30" hidden="1" customHeight="1">
      <c r="A1596" s="42" t="s">
        <v>5548</v>
      </c>
      <c r="B1596" s="42" t="s">
        <v>2761</v>
      </c>
      <c r="C1596" s="18" t="s">
        <v>2938</v>
      </c>
      <c r="D1596" s="34">
        <v>43402</v>
      </c>
      <c r="E1596" s="141">
        <v>13863330</v>
      </c>
      <c r="F1596" s="141"/>
      <c r="H1596" s="45" t="s">
        <v>118</v>
      </c>
    </row>
    <row r="1597" spans="1:8" ht="30" customHeight="1">
      <c r="A1597" s="42" t="s">
        <v>5554</v>
      </c>
      <c r="B1597" s="42" t="s">
        <v>194</v>
      </c>
      <c r="C1597" s="18" t="s">
        <v>4720</v>
      </c>
      <c r="D1597" s="34">
        <v>43426</v>
      </c>
      <c r="E1597" s="141">
        <v>1818000</v>
      </c>
      <c r="F1597" s="141">
        <v>1818000</v>
      </c>
      <c r="G1597" s="149">
        <v>43594</v>
      </c>
      <c r="H1597" s="45" t="s">
        <v>119</v>
      </c>
    </row>
    <row r="1598" spans="1:8" ht="30" hidden="1" customHeight="1">
      <c r="A1598" s="42" t="s">
        <v>5522</v>
      </c>
      <c r="B1598" s="42" t="s">
        <v>412</v>
      </c>
      <c r="C1598" s="18" t="s">
        <v>3405</v>
      </c>
      <c r="D1598" s="34">
        <v>43402</v>
      </c>
      <c r="E1598" s="141">
        <v>825757.79</v>
      </c>
      <c r="F1598" s="141">
        <v>825757.79</v>
      </c>
      <c r="G1598" s="149">
        <v>43574</v>
      </c>
      <c r="H1598" s="45" t="s">
        <v>118</v>
      </c>
    </row>
    <row r="1599" spans="1:8" ht="30" hidden="1" customHeight="1">
      <c r="A1599" s="42" t="s">
        <v>5522</v>
      </c>
      <c r="B1599" s="42" t="s">
        <v>412</v>
      </c>
      <c r="C1599" s="18" t="s">
        <v>3405</v>
      </c>
      <c r="D1599" s="34">
        <v>43402</v>
      </c>
      <c r="E1599" s="141">
        <v>1000000</v>
      </c>
      <c r="F1599" s="141">
        <v>1000000</v>
      </c>
      <c r="G1599" s="149">
        <v>43574</v>
      </c>
      <c r="H1599" s="45" t="s">
        <v>118</v>
      </c>
    </row>
    <row r="1600" spans="1:8" ht="30" hidden="1" customHeight="1">
      <c r="A1600" s="42" t="s">
        <v>5482</v>
      </c>
      <c r="B1600" s="42" t="s">
        <v>412</v>
      </c>
      <c r="C1600" s="18" t="s">
        <v>3405</v>
      </c>
      <c r="D1600" s="34">
        <v>43413</v>
      </c>
      <c r="E1600" s="141">
        <v>174242.21</v>
      </c>
      <c r="F1600" s="141">
        <v>174242.21</v>
      </c>
      <c r="G1600" s="149">
        <v>43574</v>
      </c>
      <c r="H1600" s="45" t="s">
        <v>118</v>
      </c>
    </row>
    <row r="1601" spans="1:8" ht="30" hidden="1" customHeight="1">
      <c r="A1601" s="42" t="s">
        <v>5522</v>
      </c>
      <c r="B1601" s="42" t="s">
        <v>412</v>
      </c>
      <c r="C1601" s="18" t="s">
        <v>3405</v>
      </c>
      <c r="D1601" s="34">
        <v>43413</v>
      </c>
      <c r="E1601" s="141">
        <v>2000000</v>
      </c>
      <c r="F1601" s="141">
        <v>2000000</v>
      </c>
      <c r="G1601" s="149">
        <v>43594</v>
      </c>
      <c r="H1601" s="45" t="s">
        <v>118</v>
      </c>
    </row>
    <row r="1602" spans="1:8" ht="30" customHeight="1">
      <c r="A1602" s="42" t="s">
        <v>5543</v>
      </c>
      <c r="B1602" s="42" t="s">
        <v>194</v>
      </c>
      <c r="C1602" s="18" t="s">
        <v>4720</v>
      </c>
      <c r="D1602" s="34">
        <v>43426</v>
      </c>
      <c r="E1602" s="141">
        <v>182000</v>
      </c>
      <c r="F1602" s="141">
        <v>182000</v>
      </c>
      <c r="G1602" s="149">
        <v>43594</v>
      </c>
      <c r="H1602" s="45" t="s">
        <v>119</v>
      </c>
    </row>
    <row r="1603" spans="1:8" ht="30" customHeight="1">
      <c r="A1603" s="42" t="s">
        <v>5554</v>
      </c>
      <c r="B1603" s="42" t="s">
        <v>194</v>
      </c>
      <c r="C1603" s="18" t="s">
        <v>4720</v>
      </c>
      <c r="D1603" s="34">
        <v>43431</v>
      </c>
      <c r="E1603" s="141">
        <v>3659500</v>
      </c>
      <c r="F1603" s="141">
        <v>3659500</v>
      </c>
      <c r="G1603" s="149">
        <v>43605</v>
      </c>
      <c r="H1603" s="45" t="s">
        <v>119</v>
      </c>
    </row>
    <row r="1604" spans="1:8" ht="30" customHeight="1">
      <c r="A1604" s="42" t="s">
        <v>5559</v>
      </c>
      <c r="B1604" s="42" t="s">
        <v>194</v>
      </c>
      <c r="C1604" s="18" t="s">
        <v>4720</v>
      </c>
      <c r="D1604" s="34">
        <v>43431</v>
      </c>
      <c r="E1604" s="141">
        <v>1340500</v>
      </c>
      <c r="F1604" s="141">
        <v>1340500</v>
      </c>
      <c r="G1604" s="149">
        <v>43605</v>
      </c>
      <c r="H1604" s="45" t="s">
        <v>119</v>
      </c>
    </row>
    <row r="1605" spans="1:8" ht="30" hidden="1" customHeight="1">
      <c r="A1605" s="42" t="s">
        <v>5522</v>
      </c>
      <c r="B1605" s="42" t="s">
        <v>412</v>
      </c>
      <c r="C1605" s="18" t="s">
        <v>3405</v>
      </c>
      <c r="D1605" s="34">
        <v>43430</v>
      </c>
      <c r="E1605" s="141">
        <v>151398.21</v>
      </c>
      <c r="F1605" s="141">
        <v>151398.21</v>
      </c>
      <c r="G1605" s="149">
        <v>43605</v>
      </c>
      <c r="H1605" s="45" t="s">
        <v>118</v>
      </c>
    </row>
    <row r="1606" spans="1:8" ht="30" hidden="1" customHeight="1">
      <c r="A1606" s="42" t="s">
        <v>5555</v>
      </c>
      <c r="B1606" s="42" t="s">
        <v>412</v>
      </c>
      <c r="C1606" s="18" t="s">
        <v>3405</v>
      </c>
      <c r="D1606" s="34">
        <v>43430</v>
      </c>
      <c r="E1606" s="141">
        <v>4848601.79</v>
      </c>
      <c r="F1606" s="141">
        <v>4848601.79</v>
      </c>
      <c r="G1606" s="149">
        <v>43605</v>
      </c>
      <c r="H1606" s="45" t="s">
        <v>118</v>
      </c>
    </row>
    <row r="1607" spans="1:8" ht="30" hidden="1" customHeight="1">
      <c r="A1607" s="42" t="s">
        <v>5567</v>
      </c>
      <c r="B1607" s="42" t="s">
        <v>5568</v>
      </c>
      <c r="C1607" s="18" t="s">
        <v>2797</v>
      </c>
      <c r="D1607" s="34">
        <v>43445</v>
      </c>
      <c r="E1607" s="141">
        <v>2442131.92</v>
      </c>
      <c r="F1607" s="141"/>
      <c r="H1607" s="45" t="s">
        <v>119</v>
      </c>
    </row>
    <row r="1608" spans="1:8" ht="30" hidden="1" customHeight="1">
      <c r="A1608" s="42" t="s">
        <v>5569</v>
      </c>
      <c r="B1608" s="42" t="s">
        <v>2761</v>
      </c>
      <c r="C1608" s="18" t="s">
        <v>2938</v>
      </c>
      <c r="D1608" s="34">
        <v>43445</v>
      </c>
      <c r="E1608" s="141">
        <v>3317716.01</v>
      </c>
      <c r="F1608" s="141"/>
      <c r="H1608" s="45" t="s">
        <v>118</v>
      </c>
    </row>
    <row r="1609" spans="1:8" ht="30" hidden="1" customHeight="1">
      <c r="A1609" s="42" t="s">
        <v>5555</v>
      </c>
      <c r="B1609" s="42" t="s">
        <v>412</v>
      </c>
      <c r="C1609" s="18" t="s">
        <v>3405</v>
      </c>
      <c r="D1609" s="34">
        <v>43451</v>
      </c>
      <c r="E1609" s="141">
        <v>1173389.3899999997</v>
      </c>
      <c r="F1609" s="141">
        <v>1173389.3899999997</v>
      </c>
      <c r="G1609" s="149">
        <v>43622</v>
      </c>
      <c r="H1609" s="45" t="s">
        <v>118</v>
      </c>
    </row>
    <row r="1610" spans="1:8" ht="30" hidden="1" customHeight="1">
      <c r="A1610" s="42" t="s">
        <v>5573</v>
      </c>
      <c r="B1610" s="42" t="s">
        <v>412</v>
      </c>
      <c r="C1610" s="18" t="s">
        <v>3405</v>
      </c>
      <c r="D1610" s="34">
        <v>43451</v>
      </c>
      <c r="E1610" s="141">
        <v>3826610.6100000003</v>
      </c>
      <c r="F1610" s="141">
        <v>3826610.6100000003</v>
      </c>
      <c r="G1610" s="149">
        <v>43622</v>
      </c>
      <c r="H1610" s="45" t="s">
        <v>118</v>
      </c>
    </row>
    <row r="1611" spans="1:8" ht="30" hidden="1" customHeight="1">
      <c r="A1611" s="42" t="s">
        <v>5577</v>
      </c>
      <c r="B1611" s="42" t="s">
        <v>412</v>
      </c>
      <c r="C1611" s="18" t="s">
        <v>3043</v>
      </c>
      <c r="D1611" s="34">
        <v>43452</v>
      </c>
      <c r="E1611" s="141">
        <v>1248858</v>
      </c>
      <c r="F1611" s="141"/>
      <c r="H1611" s="45" t="s">
        <v>118</v>
      </c>
    </row>
    <row r="1612" spans="1:8" ht="30" hidden="1" customHeight="1">
      <c r="A1612" s="42" t="s">
        <v>5578</v>
      </c>
      <c r="B1612" s="42" t="s">
        <v>412</v>
      </c>
      <c r="C1612" s="18" t="s">
        <v>3043</v>
      </c>
      <c r="D1612" s="34">
        <v>43458</v>
      </c>
      <c r="E1612" s="141">
        <v>1272344.5</v>
      </c>
      <c r="F1612" s="141"/>
      <c r="H1612" s="45" t="s">
        <v>118</v>
      </c>
    </row>
    <row r="1613" spans="1:8" ht="30" customHeight="1">
      <c r="A1613" s="42" t="s">
        <v>5559</v>
      </c>
      <c r="B1613" s="42" t="s">
        <v>194</v>
      </c>
      <c r="C1613" s="18" t="s">
        <v>4795</v>
      </c>
      <c r="D1613" s="34">
        <v>43451</v>
      </c>
      <c r="E1613" s="141">
        <v>4668300</v>
      </c>
      <c r="F1613" s="141">
        <v>4668300</v>
      </c>
      <c r="G1613" s="149">
        <v>43622</v>
      </c>
      <c r="H1613" s="45" t="s">
        <v>119</v>
      </c>
    </row>
    <row r="1614" spans="1:8" ht="30" customHeight="1">
      <c r="A1614" s="42" t="s">
        <v>5580</v>
      </c>
      <c r="B1614" s="42" t="s">
        <v>194</v>
      </c>
      <c r="C1614" s="18" t="s">
        <v>4795</v>
      </c>
      <c r="D1614" s="34">
        <v>43451</v>
      </c>
      <c r="E1614" s="141">
        <v>331700</v>
      </c>
      <c r="F1614" s="141">
        <v>331700</v>
      </c>
      <c r="G1614" s="149">
        <v>43622</v>
      </c>
      <c r="H1614" s="45" t="s">
        <v>119</v>
      </c>
    </row>
    <row r="1615" spans="1:8" ht="30" hidden="1" customHeight="1">
      <c r="A1615" s="42" t="s">
        <v>5589</v>
      </c>
      <c r="B1615" s="42" t="s">
        <v>5590</v>
      </c>
      <c r="C1615" s="18" t="s">
        <v>5591</v>
      </c>
      <c r="D1615" s="34">
        <v>43474</v>
      </c>
      <c r="E1615" s="141">
        <v>17210000</v>
      </c>
      <c r="F1615" s="141"/>
      <c r="H1615" s="45" t="s">
        <v>5592</v>
      </c>
    </row>
    <row r="1616" spans="1:8" ht="30" hidden="1" customHeight="1">
      <c r="A1616" s="42" t="s">
        <v>5593</v>
      </c>
      <c r="B1616" s="42" t="s">
        <v>5590</v>
      </c>
      <c r="C1616" s="18" t="s">
        <v>5594</v>
      </c>
      <c r="D1616" s="34">
        <v>43474</v>
      </c>
      <c r="E1616" s="141">
        <v>20793127.600000001</v>
      </c>
      <c r="F1616" s="141"/>
      <c r="H1616" s="45" t="s">
        <v>118</v>
      </c>
    </row>
    <row r="1617" spans="1:8" ht="30" hidden="1" customHeight="1">
      <c r="A1617" s="42" t="s">
        <v>5589</v>
      </c>
      <c r="B1617" s="42" t="s">
        <v>5590</v>
      </c>
      <c r="C1617" s="18" t="s">
        <v>5591</v>
      </c>
      <c r="D1617" s="34">
        <v>43460</v>
      </c>
      <c r="E1617" s="141">
        <v>4700000</v>
      </c>
      <c r="F1617" s="141"/>
      <c r="H1617" s="45" t="s">
        <v>5592</v>
      </c>
    </row>
    <row r="1618" spans="1:8" ht="30" customHeight="1">
      <c r="A1618" s="42" t="s">
        <v>5602</v>
      </c>
      <c r="B1618" s="42" t="s">
        <v>5603</v>
      </c>
      <c r="C1618" s="18" t="s">
        <v>5604</v>
      </c>
      <c r="D1618" s="34">
        <v>43446</v>
      </c>
      <c r="E1618" s="141">
        <v>1790000</v>
      </c>
      <c r="F1618" s="141"/>
      <c r="H1618" s="45" t="s">
        <v>5605</v>
      </c>
    </row>
    <row r="1619" spans="1:8" ht="30" customHeight="1">
      <c r="A1619" s="42" t="s">
        <v>5611</v>
      </c>
      <c r="B1619" s="42" t="s">
        <v>5612</v>
      </c>
      <c r="C1619" s="18" t="s">
        <v>5613</v>
      </c>
      <c r="D1619" s="34">
        <v>43463</v>
      </c>
      <c r="E1619" s="141">
        <v>840000</v>
      </c>
      <c r="F1619" s="141">
        <v>840000</v>
      </c>
      <c r="G1619" s="149">
        <v>43637</v>
      </c>
      <c r="H1619" s="45" t="s">
        <v>5605</v>
      </c>
    </row>
    <row r="1620" spans="1:8" ht="30" customHeight="1">
      <c r="A1620" s="42" t="s">
        <v>5611</v>
      </c>
      <c r="B1620" s="42" t="s">
        <v>5612</v>
      </c>
      <c r="C1620" s="18" t="s">
        <v>5613</v>
      </c>
      <c r="D1620" s="34">
        <v>43463</v>
      </c>
      <c r="E1620" s="141">
        <v>60000</v>
      </c>
      <c r="F1620" s="141">
        <v>60000</v>
      </c>
      <c r="G1620" s="149">
        <v>43630</v>
      </c>
      <c r="H1620" s="45" t="s">
        <v>5605</v>
      </c>
    </row>
    <row r="1621" spans="1:8" ht="30" customHeight="1">
      <c r="A1621" s="42" t="s">
        <v>5611</v>
      </c>
      <c r="B1621" s="42" t="s">
        <v>5612</v>
      </c>
      <c r="C1621" s="18" t="s">
        <v>5613</v>
      </c>
      <c r="D1621" s="34">
        <v>43463</v>
      </c>
      <c r="E1621" s="141">
        <v>35500</v>
      </c>
      <c r="F1621" s="141">
        <v>35500</v>
      </c>
      <c r="G1621" s="149">
        <v>43650</v>
      </c>
      <c r="H1621" s="45" t="s">
        <v>5605</v>
      </c>
    </row>
    <row r="1622" spans="1:8" ht="30" customHeight="1">
      <c r="A1622" s="42" t="s">
        <v>5618</v>
      </c>
      <c r="B1622" s="42" t="s">
        <v>5612</v>
      </c>
      <c r="C1622" s="18" t="s">
        <v>5613</v>
      </c>
      <c r="D1622" s="34">
        <v>43463</v>
      </c>
      <c r="E1622" s="141">
        <v>64500</v>
      </c>
      <c r="F1622" s="141">
        <v>64500</v>
      </c>
      <c r="G1622" s="149">
        <v>43650</v>
      </c>
      <c r="H1622" s="45" t="s">
        <v>5605</v>
      </c>
    </row>
    <row r="1623" spans="1:8" ht="30" hidden="1" customHeight="1">
      <c r="A1623" s="42" t="s">
        <v>5614</v>
      </c>
      <c r="B1623" s="42" t="s">
        <v>5615</v>
      </c>
      <c r="C1623" s="18" t="s">
        <v>3405</v>
      </c>
      <c r="D1623" s="34">
        <v>43463</v>
      </c>
      <c r="E1623" s="141">
        <v>840000</v>
      </c>
      <c r="F1623" s="141">
        <v>840000</v>
      </c>
      <c r="G1623" s="149">
        <v>43637</v>
      </c>
      <c r="H1623" s="45" t="s">
        <v>118</v>
      </c>
    </row>
    <row r="1624" spans="1:8" ht="30" hidden="1" customHeight="1">
      <c r="A1624" s="42" t="s">
        <v>5614</v>
      </c>
      <c r="B1624" s="42" t="s">
        <v>5615</v>
      </c>
      <c r="C1624" s="18" t="s">
        <v>3405</v>
      </c>
      <c r="D1624" s="34">
        <v>43463</v>
      </c>
      <c r="E1624" s="141">
        <v>60000</v>
      </c>
      <c r="F1624" s="141">
        <v>60000</v>
      </c>
      <c r="G1624" s="149">
        <v>43630</v>
      </c>
      <c r="H1624" s="45" t="s">
        <v>118</v>
      </c>
    </row>
    <row r="1625" spans="1:8" ht="30" hidden="1" customHeight="1">
      <c r="A1625" s="42" t="s">
        <v>5614</v>
      </c>
      <c r="B1625" s="42" t="s">
        <v>5615</v>
      </c>
      <c r="C1625" s="18" t="s">
        <v>3405</v>
      </c>
      <c r="D1625" s="34">
        <v>43463</v>
      </c>
      <c r="E1625" s="141">
        <v>100000</v>
      </c>
      <c r="F1625" s="141">
        <v>100000</v>
      </c>
      <c r="G1625" s="149">
        <v>43650</v>
      </c>
      <c r="H1625" s="45" t="s">
        <v>118</v>
      </c>
    </row>
    <row r="1626" spans="1:8" ht="30" customHeight="1">
      <c r="A1626" s="42" t="s">
        <v>5620</v>
      </c>
      <c r="B1626" s="42" t="s">
        <v>5622</v>
      </c>
      <c r="C1626" s="18" t="s">
        <v>5624</v>
      </c>
      <c r="D1626" s="34">
        <v>43482</v>
      </c>
      <c r="E1626" s="141">
        <v>2313342.14</v>
      </c>
      <c r="F1626" s="141">
        <v>2313342.14</v>
      </c>
      <c r="G1626" s="149">
        <v>43663</v>
      </c>
      <c r="H1626" s="45" t="s">
        <v>5625</v>
      </c>
    </row>
    <row r="1627" spans="1:8" ht="30" hidden="1" customHeight="1">
      <c r="A1627" s="42" t="s">
        <v>5621</v>
      </c>
      <c r="B1627" s="42" t="s">
        <v>5623</v>
      </c>
      <c r="C1627" s="18" t="s">
        <v>5624</v>
      </c>
      <c r="D1627" s="34">
        <v>43482</v>
      </c>
      <c r="E1627" s="141">
        <v>393267.49</v>
      </c>
      <c r="F1627" s="141">
        <v>393267.49</v>
      </c>
      <c r="G1627" s="149">
        <v>43663</v>
      </c>
      <c r="H1627" s="45" t="s">
        <v>5625</v>
      </c>
    </row>
    <row r="1628" spans="1:8" ht="30" hidden="1" customHeight="1">
      <c r="A1628" s="42" t="s">
        <v>5619</v>
      </c>
      <c r="B1628" s="42" t="s">
        <v>5623</v>
      </c>
      <c r="C1628" s="18" t="s">
        <v>5624</v>
      </c>
      <c r="D1628" s="34">
        <v>43482</v>
      </c>
      <c r="E1628" s="141">
        <v>2263390.37</v>
      </c>
      <c r="F1628" s="141">
        <v>2263390.37</v>
      </c>
      <c r="G1628" s="149">
        <v>43663</v>
      </c>
      <c r="H1628" s="45" t="s">
        <v>5625</v>
      </c>
    </row>
    <row r="1629" spans="1:8" ht="30" hidden="1" customHeight="1">
      <c r="A1629" s="42" t="s">
        <v>5619</v>
      </c>
      <c r="B1629" s="42" t="s">
        <v>5623</v>
      </c>
      <c r="C1629" s="18" t="s">
        <v>5624</v>
      </c>
      <c r="D1629" s="34">
        <v>43482</v>
      </c>
      <c r="E1629" s="141">
        <v>30000</v>
      </c>
      <c r="F1629" s="141">
        <v>30000</v>
      </c>
      <c r="G1629" s="149">
        <v>43626</v>
      </c>
      <c r="H1629" s="45" t="s">
        <v>5625</v>
      </c>
    </row>
    <row r="1630" spans="1:8" ht="30" customHeight="1">
      <c r="A1630" s="42" t="s">
        <v>5634</v>
      </c>
      <c r="B1630" s="42" t="s">
        <v>5633</v>
      </c>
      <c r="C1630" s="18" t="s">
        <v>5635</v>
      </c>
      <c r="D1630" s="34">
        <v>43488</v>
      </c>
      <c r="E1630" s="141">
        <v>4065000</v>
      </c>
      <c r="F1630" s="141">
        <v>4065000</v>
      </c>
      <c r="G1630" s="149">
        <v>43663</v>
      </c>
      <c r="H1630" s="45" t="s">
        <v>5637</v>
      </c>
    </row>
    <row r="1631" spans="1:8" ht="30" customHeight="1">
      <c r="A1631" s="42" t="s">
        <v>5636</v>
      </c>
      <c r="B1631" s="42" t="s">
        <v>5633</v>
      </c>
      <c r="C1631" s="18" t="s">
        <v>5635</v>
      </c>
      <c r="D1631" s="34">
        <v>43488</v>
      </c>
      <c r="E1631" s="141">
        <v>905000</v>
      </c>
      <c r="F1631" s="141">
        <v>905000</v>
      </c>
      <c r="G1631" s="149">
        <v>43663</v>
      </c>
      <c r="H1631" s="45" t="s">
        <v>5637</v>
      </c>
    </row>
    <row r="1632" spans="1:8" ht="30" customHeight="1">
      <c r="A1632" s="42" t="s">
        <v>5636</v>
      </c>
      <c r="B1632" s="42" t="s">
        <v>5633</v>
      </c>
      <c r="C1632" s="18" t="s">
        <v>5635</v>
      </c>
      <c r="D1632" s="34">
        <v>43488</v>
      </c>
      <c r="E1632" s="141">
        <v>30000</v>
      </c>
      <c r="F1632" s="141">
        <v>30000</v>
      </c>
      <c r="G1632" s="149">
        <v>43626</v>
      </c>
      <c r="H1632" s="45" t="s">
        <v>5637</v>
      </c>
    </row>
    <row r="1633" spans="1:8" ht="30" customHeight="1">
      <c r="A1633" s="42" t="s">
        <v>5638</v>
      </c>
      <c r="B1633" s="42" t="s">
        <v>5622</v>
      </c>
      <c r="C1633" s="18" t="s">
        <v>5599</v>
      </c>
      <c r="D1633" s="34">
        <v>43479</v>
      </c>
      <c r="E1633" s="141">
        <v>571799.12</v>
      </c>
      <c r="F1633" s="141"/>
      <c r="H1633" s="45" t="s">
        <v>5639</v>
      </c>
    </row>
    <row r="1634" spans="1:8" ht="30" hidden="1" customHeight="1">
      <c r="A1634" s="42" t="s">
        <v>5644</v>
      </c>
      <c r="B1634" s="42" t="s">
        <v>412</v>
      </c>
      <c r="C1634" s="18" t="s">
        <v>3043</v>
      </c>
      <c r="D1634" s="34">
        <v>43493</v>
      </c>
      <c r="E1634" s="141">
        <v>4066260.15</v>
      </c>
      <c r="F1634" s="141"/>
      <c r="H1634" s="45" t="s">
        <v>118</v>
      </c>
    </row>
    <row r="1635" spans="1:8" ht="30" hidden="1" customHeight="1">
      <c r="A1635" s="42" t="s">
        <v>5645</v>
      </c>
      <c r="B1635" s="42" t="s">
        <v>412</v>
      </c>
      <c r="C1635" s="18" t="s">
        <v>3043</v>
      </c>
      <c r="D1635" s="34">
        <v>43494</v>
      </c>
      <c r="E1635" s="141">
        <v>441268.8</v>
      </c>
      <c r="F1635" s="141"/>
      <c r="H1635" s="45" t="s">
        <v>118</v>
      </c>
    </row>
    <row r="1636" spans="1:8" ht="30" hidden="1" customHeight="1">
      <c r="A1636" s="42" t="s">
        <v>5646</v>
      </c>
      <c r="B1636" s="42" t="s">
        <v>412</v>
      </c>
      <c r="C1636" s="18" t="s">
        <v>3405</v>
      </c>
      <c r="D1636" s="34">
        <v>43507</v>
      </c>
      <c r="E1636" s="141">
        <v>3000000</v>
      </c>
      <c r="F1636" s="141">
        <v>3000000</v>
      </c>
      <c r="G1636" s="149">
        <v>43678</v>
      </c>
      <c r="H1636" s="45" t="s">
        <v>118</v>
      </c>
    </row>
    <row r="1637" spans="1:8" ht="30" hidden="1" customHeight="1">
      <c r="A1637" s="42" t="s">
        <v>5646</v>
      </c>
      <c r="B1637" s="42" t="s">
        <v>412</v>
      </c>
      <c r="C1637" s="18" t="s">
        <v>3405</v>
      </c>
      <c r="D1637" s="34">
        <v>43507</v>
      </c>
      <c r="E1637" s="141">
        <v>500000</v>
      </c>
      <c r="F1637" s="141">
        <v>500000</v>
      </c>
      <c r="G1637" s="149">
        <v>43677</v>
      </c>
      <c r="H1637" s="45" t="s">
        <v>118</v>
      </c>
    </row>
    <row r="1638" spans="1:8" ht="30" customHeight="1">
      <c r="A1638" s="42" t="s">
        <v>5649</v>
      </c>
      <c r="B1638" s="42" t="s">
        <v>5650</v>
      </c>
      <c r="C1638" s="18" t="s">
        <v>4795</v>
      </c>
      <c r="D1638" s="34">
        <v>43509</v>
      </c>
      <c r="E1638" s="141">
        <v>3000000</v>
      </c>
      <c r="F1638" s="141">
        <v>3000000</v>
      </c>
      <c r="G1638" s="149">
        <v>43678</v>
      </c>
      <c r="H1638" s="45" t="s">
        <v>5637</v>
      </c>
    </row>
    <row r="1639" spans="1:8" ht="30" customHeight="1">
      <c r="A1639" s="42" t="s">
        <v>5651</v>
      </c>
      <c r="B1639" s="42" t="s">
        <v>5650</v>
      </c>
      <c r="C1639" s="18" t="s">
        <v>4795</v>
      </c>
      <c r="D1639" s="34">
        <v>43509</v>
      </c>
      <c r="E1639" s="141">
        <v>500000</v>
      </c>
      <c r="F1639" s="141">
        <v>500000</v>
      </c>
      <c r="G1639" s="149">
        <v>43677</v>
      </c>
      <c r="H1639" s="45" t="s">
        <v>119</v>
      </c>
    </row>
    <row r="1640" spans="1:8" ht="30" hidden="1" customHeight="1">
      <c r="A1640" s="42" t="s">
        <v>5661</v>
      </c>
      <c r="B1640" s="42" t="s">
        <v>5662</v>
      </c>
      <c r="C1640" s="18" t="s">
        <v>5663</v>
      </c>
      <c r="D1640" s="34">
        <v>43518</v>
      </c>
      <c r="E1640" s="141">
        <v>4143561.1</v>
      </c>
      <c r="F1640" s="141"/>
      <c r="H1640" s="45" t="s">
        <v>118</v>
      </c>
    </row>
    <row r="1641" spans="1:8" ht="30" hidden="1" customHeight="1">
      <c r="A1641" s="42" t="s">
        <v>5665</v>
      </c>
      <c r="B1641" s="42" t="s">
        <v>412</v>
      </c>
      <c r="C1641" s="18" t="s">
        <v>3043</v>
      </c>
      <c r="D1641" s="34">
        <v>43521</v>
      </c>
      <c r="E1641" s="141">
        <v>2650000</v>
      </c>
      <c r="F1641" s="141"/>
      <c r="H1641" s="45" t="s">
        <v>118</v>
      </c>
    </row>
    <row r="1642" spans="1:8" ht="30" hidden="1" customHeight="1">
      <c r="A1642" s="42" t="s">
        <v>5665</v>
      </c>
      <c r="B1642" s="42" t="s">
        <v>412</v>
      </c>
      <c r="C1642" s="18" t="s">
        <v>3043</v>
      </c>
      <c r="D1642" s="34">
        <v>43522</v>
      </c>
      <c r="E1642" s="141">
        <v>720320.5</v>
      </c>
      <c r="F1642" s="141"/>
      <c r="H1642" s="45" t="s">
        <v>118</v>
      </c>
    </row>
    <row r="1643" spans="1:8" ht="30" hidden="1" customHeight="1">
      <c r="A1643" s="42" t="s">
        <v>5582</v>
      </c>
      <c r="B1643" s="42" t="s">
        <v>2761</v>
      </c>
      <c r="C1643" s="18" t="s">
        <v>2797</v>
      </c>
      <c r="D1643" s="34">
        <v>43518</v>
      </c>
      <c r="E1643" s="141">
        <v>2833849.94</v>
      </c>
      <c r="F1643" s="141"/>
      <c r="H1643" s="45" t="s">
        <v>119</v>
      </c>
    </row>
    <row r="1644" spans="1:8" ht="30" customHeight="1">
      <c r="A1644" s="42" t="s">
        <v>5675</v>
      </c>
      <c r="B1644" s="42" t="s">
        <v>194</v>
      </c>
      <c r="C1644" s="18" t="s">
        <v>5676</v>
      </c>
      <c r="D1644" s="34">
        <v>43529</v>
      </c>
      <c r="E1644" s="141">
        <v>2534400</v>
      </c>
      <c r="F1644" s="141"/>
      <c r="H1644" s="45" t="s">
        <v>5637</v>
      </c>
    </row>
    <row r="1645" spans="1:8" ht="30" customHeight="1">
      <c r="A1645" s="42" t="s">
        <v>5682</v>
      </c>
      <c r="B1645" s="42" t="s">
        <v>194</v>
      </c>
      <c r="C1645" s="18" t="s">
        <v>5683</v>
      </c>
      <c r="D1645" s="34">
        <v>43528</v>
      </c>
      <c r="E1645" s="141">
        <v>402000</v>
      </c>
      <c r="F1645" s="141"/>
      <c r="H1645" s="45" t="s">
        <v>118</v>
      </c>
    </row>
    <row r="1646" spans="1:8" ht="30" hidden="1" customHeight="1">
      <c r="A1646" s="42" t="s">
        <v>5609</v>
      </c>
      <c r="B1646" s="42" t="s">
        <v>412</v>
      </c>
      <c r="C1646" s="18" t="s">
        <v>3405</v>
      </c>
      <c r="D1646" s="34">
        <v>43536</v>
      </c>
      <c r="E1646" s="141">
        <v>285771.63</v>
      </c>
      <c r="F1646" s="141">
        <v>285771.63</v>
      </c>
      <c r="G1646" s="149">
        <v>43705</v>
      </c>
      <c r="H1646" s="45" t="s">
        <v>118</v>
      </c>
    </row>
    <row r="1647" spans="1:8" ht="30" hidden="1" customHeight="1">
      <c r="A1647" s="42" t="s">
        <v>5668</v>
      </c>
      <c r="B1647" s="42" t="s">
        <v>412</v>
      </c>
      <c r="C1647" s="18" t="s">
        <v>3405</v>
      </c>
      <c r="D1647" s="34">
        <v>43536</v>
      </c>
      <c r="E1647" s="141">
        <v>942543.5</v>
      </c>
      <c r="F1647" s="141">
        <v>942543.5</v>
      </c>
      <c r="G1647" s="149">
        <v>43705</v>
      </c>
      <c r="H1647" s="45" t="s">
        <v>118</v>
      </c>
    </row>
    <row r="1648" spans="1:8" ht="30" hidden="1" customHeight="1">
      <c r="A1648" s="42" t="s">
        <v>5670</v>
      </c>
      <c r="B1648" s="42" t="s">
        <v>412</v>
      </c>
      <c r="C1648" s="18" t="s">
        <v>3405</v>
      </c>
      <c r="D1648" s="34">
        <v>43536</v>
      </c>
      <c r="E1648" s="141">
        <v>2771684.87</v>
      </c>
      <c r="F1648" s="141">
        <v>2771684.87</v>
      </c>
      <c r="G1648" s="149">
        <v>43705</v>
      </c>
      <c r="H1648" s="45" t="s">
        <v>118</v>
      </c>
    </row>
    <row r="1649" spans="1:8" ht="30" hidden="1" customHeight="1">
      <c r="A1649" s="42" t="s">
        <v>5670</v>
      </c>
      <c r="B1649" s="42" t="s">
        <v>412</v>
      </c>
      <c r="C1649" s="18" t="s">
        <v>3405</v>
      </c>
      <c r="D1649" s="34">
        <v>43536</v>
      </c>
      <c r="E1649" s="141">
        <v>1000000</v>
      </c>
      <c r="F1649" s="141">
        <v>1000000</v>
      </c>
      <c r="G1649" s="149">
        <v>43705</v>
      </c>
      <c r="H1649" s="45" t="s">
        <v>118</v>
      </c>
    </row>
    <row r="1650" spans="1:8" ht="30" hidden="1" customHeight="1">
      <c r="A1650" s="42" t="s">
        <v>5670</v>
      </c>
      <c r="B1650" s="42" t="s">
        <v>412</v>
      </c>
      <c r="C1650" s="18" t="s">
        <v>3405</v>
      </c>
      <c r="D1650" s="34">
        <v>43536</v>
      </c>
      <c r="E1650" s="141">
        <v>1000000</v>
      </c>
      <c r="F1650" s="141">
        <v>1000000</v>
      </c>
      <c r="G1650" s="149">
        <v>43705</v>
      </c>
      <c r="H1650" s="45" t="s">
        <v>118</v>
      </c>
    </row>
    <row r="1651" spans="1:8" ht="30" hidden="1" customHeight="1">
      <c r="A1651" s="42" t="s">
        <v>5665</v>
      </c>
      <c r="B1651" s="42" t="s">
        <v>412</v>
      </c>
      <c r="C1651" s="18" t="s">
        <v>3043</v>
      </c>
      <c r="D1651" s="34">
        <v>43536</v>
      </c>
      <c r="E1651" s="141">
        <v>1000000</v>
      </c>
      <c r="F1651" s="141"/>
      <c r="H1651" s="45" t="s">
        <v>118</v>
      </c>
    </row>
    <row r="1652" spans="1:8" ht="30" customHeight="1">
      <c r="A1652" s="42" t="s">
        <v>5686</v>
      </c>
      <c r="B1652" s="42" t="s">
        <v>5687</v>
      </c>
      <c r="C1652" s="18" t="s">
        <v>4795</v>
      </c>
      <c r="D1652" s="34">
        <v>43537</v>
      </c>
      <c r="E1652" s="141">
        <v>5885000</v>
      </c>
      <c r="F1652" s="141">
        <v>5885000</v>
      </c>
      <c r="G1652" s="149">
        <v>43705</v>
      </c>
      <c r="H1652" s="45" t="s">
        <v>5637</v>
      </c>
    </row>
    <row r="1653" spans="1:8" ht="30" customHeight="1">
      <c r="A1653" s="42" t="s">
        <v>5688</v>
      </c>
      <c r="B1653" s="42" t="s">
        <v>5687</v>
      </c>
      <c r="C1653" s="18" t="s">
        <v>4795</v>
      </c>
      <c r="D1653" s="34">
        <v>43537</v>
      </c>
      <c r="E1653" s="141">
        <v>115000</v>
      </c>
      <c r="F1653" s="141">
        <v>115000</v>
      </c>
      <c r="G1653" s="149">
        <v>43705</v>
      </c>
      <c r="H1653" s="45" t="s">
        <v>5637</v>
      </c>
    </row>
    <row r="1654" spans="1:8" ht="30" hidden="1" customHeight="1">
      <c r="A1654" s="42" t="s">
        <v>5696</v>
      </c>
      <c r="B1654" s="42" t="s">
        <v>5697</v>
      </c>
      <c r="C1654" s="18" t="s">
        <v>3043</v>
      </c>
      <c r="D1654" s="34">
        <v>43559</v>
      </c>
      <c r="E1654" s="141">
        <v>3434651.95</v>
      </c>
      <c r="F1654" s="141"/>
      <c r="H1654" s="45" t="s">
        <v>118</v>
      </c>
    </row>
    <row r="1655" spans="1:8" ht="30" customHeight="1">
      <c r="A1655" s="42" t="s">
        <v>5702</v>
      </c>
      <c r="B1655" s="42" t="s">
        <v>5703</v>
      </c>
      <c r="C1655" s="18" t="s">
        <v>5704</v>
      </c>
      <c r="D1655" s="34">
        <v>43558</v>
      </c>
      <c r="E1655" s="141">
        <v>2496000</v>
      </c>
      <c r="F1655" s="141"/>
      <c r="H1655" s="45" t="s">
        <v>5637</v>
      </c>
    </row>
    <row r="1656" spans="1:8" ht="30" hidden="1" customHeight="1">
      <c r="A1656" s="42" t="s">
        <v>5670</v>
      </c>
      <c r="B1656" s="42" t="s">
        <v>412</v>
      </c>
      <c r="C1656" s="18" t="s">
        <v>3405</v>
      </c>
      <c r="D1656" s="34">
        <v>43567</v>
      </c>
      <c r="E1656" s="141">
        <v>84611.63</v>
      </c>
      <c r="F1656" s="141">
        <v>84611.63</v>
      </c>
      <c r="G1656" s="149">
        <v>43741</v>
      </c>
      <c r="H1656" s="45" t="s">
        <v>118</v>
      </c>
    </row>
    <row r="1657" spans="1:8" ht="30" hidden="1" customHeight="1">
      <c r="A1657" s="42" t="s">
        <v>5691</v>
      </c>
      <c r="B1657" s="42" t="s">
        <v>412</v>
      </c>
      <c r="C1657" s="18" t="s">
        <v>3405</v>
      </c>
      <c r="D1657" s="34">
        <v>43567</v>
      </c>
      <c r="E1657" s="141">
        <v>2504388.37</v>
      </c>
      <c r="F1657" s="141">
        <v>2504388.37</v>
      </c>
      <c r="G1657" s="149">
        <v>43741</v>
      </c>
      <c r="H1657" s="45" t="s">
        <v>118</v>
      </c>
    </row>
    <row r="1658" spans="1:8" ht="30" hidden="1" customHeight="1">
      <c r="A1658" s="42" t="s">
        <v>5691</v>
      </c>
      <c r="B1658" s="42" t="s">
        <v>412</v>
      </c>
      <c r="C1658" s="18" t="s">
        <v>3405</v>
      </c>
      <c r="D1658" s="34">
        <v>43567</v>
      </c>
      <c r="E1658" s="141">
        <v>1400000</v>
      </c>
      <c r="F1658" s="141">
        <v>1400000</v>
      </c>
      <c r="G1658" s="149">
        <v>43730</v>
      </c>
      <c r="H1658" s="45" t="s">
        <v>118</v>
      </c>
    </row>
    <row r="1659" spans="1:8" ht="30" customHeight="1">
      <c r="A1659" s="42" t="s">
        <v>5708</v>
      </c>
      <c r="B1659" s="42" t="s">
        <v>5709</v>
      </c>
      <c r="C1659" s="18" t="s">
        <v>4795</v>
      </c>
      <c r="D1659" s="34">
        <v>43570</v>
      </c>
      <c r="E1659" s="141">
        <v>2589000</v>
      </c>
      <c r="F1659" s="141">
        <v>2589000</v>
      </c>
      <c r="G1659" s="149">
        <v>43741</v>
      </c>
      <c r="H1659" s="45" t="s">
        <v>5637</v>
      </c>
    </row>
    <row r="1660" spans="1:8" ht="30" customHeight="1">
      <c r="A1660" s="42" t="s">
        <v>5710</v>
      </c>
      <c r="B1660" s="42" t="s">
        <v>5709</v>
      </c>
      <c r="C1660" s="18" t="s">
        <v>4795</v>
      </c>
      <c r="D1660" s="34">
        <v>43570</v>
      </c>
      <c r="E1660" s="141">
        <v>755500</v>
      </c>
      <c r="F1660" s="141">
        <v>755500</v>
      </c>
      <c r="G1660" s="149">
        <v>43730</v>
      </c>
      <c r="H1660" s="45" t="s">
        <v>5711</v>
      </c>
    </row>
    <row r="1661" spans="1:8" ht="30" customHeight="1">
      <c r="A1661" s="42" t="s">
        <v>5712</v>
      </c>
      <c r="B1661" s="42" t="s">
        <v>5709</v>
      </c>
      <c r="C1661" s="18" t="s">
        <v>4795</v>
      </c>
      <c r="D1661" s="34">
        <v>43570</v>
      </c>
      <c r="E1661" s="141">
        <v>644500</v>
      </c>
      <c r="F1661" s="141">
        <v>644500</v>
      </c>
      <c r="G1661" s="149">
        <v>43730</v>
      </c>
      <c r="H1661" s="45" t="s">
        <v>5711</v>
      </c>
    </row>
    <row r="1662" spans="1:8" ht="30" customHeight="1">
      <c r="A1662" s="42" t="s">
        <v>5718</v>
      </c>
      <c r="B1662" s="42" t="s">
        <v>194</v>
      </c>
      <c r="C1662" s="18" t="s">
        <v>4795</v>
      </c>
      <c r="D1662" s="34">
        <v>43572</v>
      </c>
      <c r="E1662" s="141">
        <v>4000000</v>
      </c>
      <c r="F1662" s="141"/>
      <c r="H1662" s="45" t="s">
        <v>119</v>
      </c>
    </row>
    <row r="1663" spans="1:8" ht="30" customHeight="1">
      <c r="A1663" s="42" t="s">
        <v>5718</v>
      </c>
      <c r="B1663" s="42" t="s">
        <v>194</v>
      </c>
      <c r="C1663" s="18" t="s">
        <v>4795</v>
      </c>
      <c r="D1663" s="34">
        <v>43573</v>
      </c>
      <c r="E1663" s="141">
        <v>2000000</v>
      </c>
      <c r="F1663" s="141"/>
      <c r="H1663" s="45" t="s">
        <v>119</v>
      </c>
    </row>
    <row r="1664" spans="1:8" ht="30" customHeight="1">
      <c r="A1664" s="42" t="s">
        <v>5719</v>
      </c>
      <c r="B1664" s="42" t="s">
        <v>5720</v>
      </c>
      <c r="C1664" s="18" t="s">
        <v>4240</v>
      </c>
      <c r="D1664" s="34">
        <v>43574</v>
      </c>
      <c r="E1664" s="141">
        <v>100000</v>
      </c>
      <c r="F1664" s="141"/>
      <c r="H1664" s="45" t="s">
        <v>119</v>
      </c>
    </row>
    <row r="1665" spans="1:8" ht="30" hidden="1" customHeight="1">
      <c r="A1665" s="42" t="s">
        <v>5725</v>
      </c>
      <c r="B1665" s="42" t="s">
        <v>412</v>
      </c>
      <c r="C1665" s="18" t="s">
        <v>3043</v>
      </c>
      <c r="D1665" s="34">
        <v>43570</v>
      </c>
      <c r="E1665" s="141">
        <v>2000000</v>
      </c>
      <c r="F1665" s="141"/>
      <c r="H1665" s="45" t="s">
        <v>118</v>
      </c>
    </row>
    <row r="1666" spans="1:8" ht="30" hidden="1" customHeight="1">
      <c r="A1666" s="42" t="s">
        <v>5731</v>
      </c>
      <c r="B1666" s="42" t="s">
        <v>412</v>
      </c>
      <c r="C1666" s="18" t="s">
        <v>3405</v>
      </c>
      <c r="D1666" s="34">
        <v>43578</v>
      </c>
      <c r="E1666" s="141">
        <v>2000000</v>
      </c>
      <c r="F1666" s="141">
        <v>2000000</v>
      </c>
      <c r="G1666" s="149">
        <v>43747</v>
      </c>
      <c r="H1666" s="45" t="s">
        <v>118</v>
      </c>
    </row>
    <row r="1667" spans="1:8" ht="30" hidden="1" customHeight="1">
      <c r="A1667" s="42" t="s">
        <v>5731</v>
      </c>
      <c r="B1667" s="42" t="s">
        <v>412</v>
      </c>
      <c r="C1667" s="18" t="s">
        <v>3405</v>
      </c>
      <c r="D1667" s="34">
        <v>43578</v>
      </c>
      <c r="E1667" s="141">
        <v>2000000</v>
      </c>
      <c r="F1667" s="141">
        <v>2000000</v>
      </c>
      <c r="G1667" s="149">
        <v>43742</v>
      </c>
      <c r="H1667" s="45" t="s">
        <v>118</v>
      </c>
    </row>
    <row r="1668" spans="1:8" ht="30" customHeight="1">
      <c r="A1668" s="42" t="s">
        <v>5712</v>
      </c>
      <c r="B1668" s="42" t="s">
        <v>194</v>
      </c>
      <c r="C1668" s="18" t="s">
        <v>4795</v>
      </c>
      <c r="D1668" s="34">
        <v>43579</v>
      </c>
      <c r="E1668" s="141">
        <v>2000000</v>
      </c>
      <c r="F1668" s="141">
        <v>2000000</v>
      </c>
      <c r="G1668" s="149">
        <v>43747</v>
      </c>
      <c r="H1668" s="45" t="s">
        <v>119</v>
      </c>
    </row>
    <row r="1669" spans="1:8" ht="30" customHeight="1">
      <c r="A1669" s="42" t="s">
        <v>5712</v>
      </c>
      <c r="B1669" s="42" t="s">
        <v>194</v>
      </c>
      <c r="C1669" s="18" t="s">
        <v>4795</v>
      </c>
      <c r="D1669" s="34">
        <v>43579</v>
      </c>
      <c r="E1669" s="141">
        <v>2000000</v>
      </c>
      <c r="F1669" s="141">
        <v>2000000</v>
      </c>
      <c r="G1669" s="149">
        <v>43742</v>
      </c>
      <c r="H1669" s="45" t="s">
        <v>119</v>
      </c>
    </row>
    <row r="1670" spans="1:8" ht="30" customHeight="1">
      <c r="A1670" s="42" t="s">
        <v>5741</v>
      </c>
      <c r="B1670" s="42" t="s">
        <v>5742</v>
      </c>
      <c r="C1670" s="18" t="s">
        <v>5655</v>
      </c>
      <c r="D1670" s="34">
        <v>43593</v>
      </c>
      <c r="E1670" s="141">
        <v>2534400</v>
      </c>
      <c r="F1670" s="141"/>
      <c r="H1670" s="45" t="s">
        <v>5637</v>
      </c>
    </row>
    <row r="1671" spans="1:8" ht="30" customHeight="1">
      <c r="A1671" s="42" t="s">
        <v>5743</v>
      </c>
      <c r="B1671" s="42" t="s">
        <v>194</v>
      </c>
      <c r="C1671" s="18" t="s">
        <v>4795</v>
      </c>
      <c r="D1671" s="34">
        <v>43594</v>
      </c>
      <c r="E1671" s="141">
        <v>2000000</v>
      </c>
      <c r="F1671" s="141"/>
      <c r="H1671" s="45" t="s">
        <v>119</v>
      </c>
    </row>
    <row r="1672" spans="1:8" ht="30" hidden="1" customHeight="1">
      <c r="A1672" s="42" t="s">
        <v>5744</v>
      </c>
      <c r="B1672" s="42" t="s">
        <v>5745</v>
      </c>
      <c r="C1672" s="18" t="s">
        <v>3043</v>
      </c>
      <c r="D1672" s="34">
        <v>43590</v>
      </c>
      <c r="E1672" s="141">
        <v>1000000</v>
      </c>
      <c r="F1672" s="141">
        <v>1000000</v>
      </c>
      <c r="G1672" s="149">
        <v>43749</v>
      </c>
      <c r="H1672" s="45" t="s">
        <v>118</v>
      </c>
    </row>
    <row r="1673" spans="1:8" ht="30" hidden="1" customHeight="1">
      <c r="A1673" s="42" t="s">
        <v>5744</v>
      </c>
      <c r="B1673" s="42" t="s">
        <v>5745</v>
      </c>
      <c r="C1673" s="18" t="s">
        <v>3043</v>
      </c>
      <c r="D1673" s="34">
        <v>43590</v>
      </c>
      <c r="E1673" s="141">
        <v>672013.1</v>
      </c>
      <c r="F1673" s="141">
        <v>672013.1</v>
      </c>
      <c r="G1673" s="149">
        <v>43749</v>
      </c>
      <c r="H1673" s="45" t="s">
        <v>118</v>
      </c>
    </row>
    <row r="1674" spans="1:8" ht="30" hidden="1" customHeight="1">
      <c r="A1674" s="42" t="s">
        <v>5746</v>
      </c>
      <c r="B1674" s="42" t="s">
        <v>412</v>
      </c>
      <c r="C1674" s="18" t="s">
        <v>3042</v>
      </c>
      <c r="D1674" s="34">
        <v>43590</v>
      </c>
      <c r="E1674" s="141">
        <v>327986.90000000002</v>
      </c>
      <c r="F1674" s="141">
        <v>327986.90000000002</v>
      </c>
      <c r="G1674" s="149">
        <v>43749</v>
      </c>
      <c r="H1674" s="45" t="s">
        <v>118</v>
      </c>
    </row>
    <row r="1675" spans="1:8" ht="30" hidden="1" customHeight="1">
      <c r="A1675" s="42" t="s">
        <v>5747</v>
      </c>
      <c r="B1675" s="42" t="s">
        <v>412</v>
      </c>
      <c r="C1675" s="18" t="s">
        <v>4795</v>
      </c>
      <c r="D1675" s="34">
        <v>43578</v>
      </c>
      <c r="E1675" s="141">
        <v>3945600</v>
      </c>
      <c r="F1675" s="141"/>
      <c r="H1675" s="45" t="s">
        <v>118</v>
      </c>
    </row>
    <row r="1676" spans="1:8" ht="30" hidden="1" customHeight="1">
      <c r="A1676" s="42" t="s">
        <v>5691</v>
      </c>
      <c r="B1676" s="42" t="s">
        <v>412</v>
      </c>
      <c r="C1676" s="18" t="s">
        <v>83</v>
      </c>
      <c r="D1676" s="34">
        <v>43599</v>
      </c>
      <c r="E1676" s="141">
        <v>603979.63</v>
      </c>
      <c r="F1676" s="141">
        <v>603979.63</v>
      </c>
      <c r="G1676" s="149">
        <v>43767</v>
      </c>
      <c r="H1676" s="45" t="s">
        <v>118</v>
      </c>
    </row>
    <row r="1677" spans="1:8" ht="30" hidden="1" customHeight="1">
      <c r="A1677" s="42" t="s">
        <v>5726</v>
      </c>
      <c r="B1677" s="42" t="s">
        <v>412</v>
      </c>
      <c r="C1677" s="18" t="s">
        <v>83</v>
      </c>
      <c r="D1677" s="34">
        <v>43599</v>
      </c>
      <c r="E1677" s="141">
        <v>4396020.37</v>
      </c>
      <c r="F1677" s="141">
        <v>4396020.37</v>
      </c>
      <c r="G1677" s="149">
        <v>43767</v>
      </c>
      <c r="H1677" s="45" t="s">
        <v>118</v>
      </c>
    </row>
    <row r="1678" spans="1:8" ht="30" customHeight="1">
      <c r="A1678" s="42" t="s">
        <v>5675</v>
      </c>
      <c r="B1678" s="42" t="s">
        <v>194</v>
      </c>
      <c r="C1678" s="18" t="s">
        <v>5655</v>
      </c>
      <c r="D1678" s="34">
        <v>43599</v>
      </c>
      <c r="E1678" s="141">
        <v>-35712</v>
      </c>
      <c r="F1678" s="141"/>
      <c r="H1678" s="45" t="s">
        <v>5637</v>
      </c>
    </row>
    <row r="1679" spans="1:8" ht="30" customHeight="1">
      <c r="A1679" s="42" t="s">
        <v>5702</v>
      </c>
      <c r="B1679" s="42" t="s">
        <v>194</v>
      </c>
      <c r="C1679" s="18" t="s">
        <v>5655</v>
      </c>
      <c r="D1679" s="34">
        <v>43599</v>
      </c>
      <c r="E1679" s="141">
        <v>35712</v>
      </c>
      <c r="F1679" s="141"/>
      <c r="H1679" s="45" t="s">
        <v>5637</v>
      </c>
    </row>
    <row r="1680" spans="1:8" ht="30" customHeight="1">
      <c r="A1680" s="42" t="s">
        <v>5702</v>
      </c>
      <c r="B1680" s="42" t="s">
        <v>194</v>
      </c>
      <c r="C1680" s="18" t="s">
        <v>5655</v>
      </c>
      <c r="D1680" s="34">
        <v>43599</v>
      </c>
      <c r="E1680" s="141">
        <v>15552</v>
      </c>
      <c r="F1680" s="141"/>
      <c r="H1680" s="45" t="s">
        <v>5637</v>
      </c>
    </row>
    <row r="1681" spans="1:8" ht="30" customHeight="1">
      <c r="A1681" s="42" t="s">
        <v>5718</v>
      </c>
      <c r="B1681" s="42" t="s">
        <v>194</v>
      </c>
      <c r="C1681" s="18" t="s">
        <v>4795</v>
      </c>
      <c r="D1681" s="34">
        <v>43599</v>
      </c>
      <c r="E1681" s="141">
        <v>4033200</v>
      </c>
      <c r="F1681" s="141"/>
      <c r="H1681" s="45" t="s">
        <v>119</v>
      </c>
    </row>
    <row r="1682" spans="1:8" ht="30" customHeight="1">
      <c r="A1682" s="42" t="s">
        <v>5764</v>
      </c>
      <c r="B1682" s="42" t="s">
        <v>5765</v>
      </c>
      <c r="C1682" s="18" t="s">
        <v>4240</v>
      </c>
      <c r="D1682" s="34">
        <v>43600</v>
      </c>
      <c r="E1682" s="141">
        <v>2300000</v>
      </c>
      <c r="F1682" s="141"/>
      <c r="H1682" s="45" t="s">
        <v>119</v>
      </c>
    </row>
    <row r="1683" spans="1:8" ht="30" hidden="1" customHeight="1">
      <c r="A1683" s="42" t="s">
        <v>5775</v>
      </c>
      <c r="B1683" s="42" t="s">
        <v>5776</v>
      </c>
      <c r="C1683" s="18" t="s">
        <v>3043</v>
      </c>
      <c r="D1683" s="34">
        <v>43612</v>
      </c>
      <c r="E1683" s="141">
        <v>4899700.5</v>
      </c>
      <c r="F1683" s="141"/>
      <c r="H1683" s="45" t="s">
        <v>5777</v>
      </c>
    </row>
    <row r="1684" spans="1:8" ht="30" customHeight="1">
      <c r="A1684" s="42" t="s">
        <v>5784</v>
      </c>
      <c r="B1684" s="42" t="s">
        <v>5785</v>
      </c>
      <c r="C1684" s="18" t="s">
        <v>4795</v>
      </c>
      <c r="D1684" s="34">
        <v>43612</v>
      </c>
      <c r="E1684" s="141">
        <v>4000000</v>
      </c>
      <c r="F1684" s="141"/>
      <c r="H1684" s="45" t="s">
        <v>5786</v>
      </c>
    </row>
    <row r="1685" spans="1:8" ht="30" hidden="1" customHeight="1">
      <c r="A1685" s="42" t="s">
        <v>5790</v>
      </c>
      <c r="B1685" s="42" t="s">
        <v>412</v>
      </c>
      <c r="C1685" s="18" t="s">
        <v>83</v>
      </c>
      <c r="D1685" s="34">
        <v>43614</v>
      </c>
      <c r="E1685" s="141">
        <v>1493143.83</v>
      </c>
      <c r="F1685" s="141">
        <v>1493143.83</v>
      </c>
      <c r="G1685" s="149">
        <v>43790</v>
      </c>
      <c r="H1685" s="45" t="s">
        <v>118</v>
      </c>
    </row>
    <row r="1686" spans="1:8" ht="30" hidden="1" customHeight="1">
      <c r="A1686" s="42" t="s">
        <v>5791</v>
      </c>
      <c r="B1686" s="42" t="s">
        <v>412</v>
      </c>
      <c r="C1686" s="18" t="s">
        <v>83</v>
      </c>
      <c r="D1686" s="34">
        <v>43614</v>
      </c>
      <c r="E1686" s="141">
        <v>1296634.5</v>
      </c>
      <c r="F1686" s="141">
        <v>1296634.5</v>
      </c>
      <c r="G1686" s="149">
        <v>43790</v>
      </c>
      <c r="H1686" s="45" t="s">
        <v>118</v>
      </c>
    </row>
    <row r="1687" spans="1:8" ht="30" customHeight="1">
      <c r="A1687" s="42" t="s">
        <v>5792</v>
      </c>
      <c r="B1687" s="42" t="s">
        <v>5793</v>
      </c>
      <c r="C1687" s="18" t="s">
        <v>83</v>
      </c>
      <c r="D1687" s="34">
        <v>43614</v>
      </c>
      <c r="E1687" s="141">
        <v>810221.66999999993</v>
      </c>
      <c r="F1687" s="141">
        <v>810221.66999999993</v>
      </c>
      <c r="G1687" s="149">
        <v>43790</v>
      </c>
      <c r="H1687" s="45" t="s">
        <v>118</v>
      </c>
    </row>
    <row r="1688" spans="1:8" ht="30" customHeight="1">
      <c r="A1688" s="42" t="s">
        <v>5792</v>
      </c>
      <c r="B1688" s="42" t="s">
        <v>5793</v>
      </c>
      <c r="C1688" s="18" t="s">
        <v>83</v>
      </c>
      <c r="D1688" s="34">
        <v>43614</v>
      </c>
      <c r="E1688" s="141">
        <v>2259685.87</v>
      </c>
      <c r="F1688" s="141">
        <v>2259685.87</v>
      </c>
      <c r="G1688" s="149">
        <v>43789</v>
      </c>
      <c r="H1688" s="45" t="s">
        <v>118</v>
      </c>
    </row>
    <row r="1689" spans="1:8" ht="30" hidden="1" customHeight="1">
      <c r="A1689" s="42" t="s">
        <v>5794</v>
      </c>
      <c r="B1689" s="42" t="s">
        <v>412</v>
      </c>
      <c r="C1689" s="18" t="s">
        <v>83</v>
      </c>
      <c r="D1689" s="34">
        <v>43614</v>
      </c>
      <c r="E1689" s="141">
        <v>2740314.13</v>
      </c>
      <c r="F1689" s="141">
        <v>2740314.13</v>
      </c>
      <c r="G1689" s="149">
        <v>43789</v>
      </c>
      <c r="H1689" s="45" t="s">
        <v>118</v>
      </c>
    </row>
    <row r="1690" spans="1:8" ht="30" customHeight="1">
      <c r="A1690" s="42" t="s">
        <v>5719</v>
      </c>
      <c r="B1690" s="42" t="s">
        <v>603</v>
      </c>
      <c r="C1690" s="18" t="s">
        <v>5787</v>
      </c>
      <c r="D1690" s="34">
        <v>43615</v>
      </c>
      <c r="E1690" s="141">
        <v>-2400000</v>
      </c>
      <c r="F1690" s="141"/>
      <c r="H1690" s="45" t="s">
        <v>119</v>
      </c>
    </row>
    <row r="1691" spans="1:8" ht="30" customHeight="1">
      <c r="A1691" s="42" t="s">
        <v>5719</v>
      </c>
      <c r="B1691" s="42" t="s">
        <v>603</v>
      </c>
      <c r="C1691" s="18" t="s">
        <v>5787</v>
      </c>
      <c r="D1691" s="34">
        <v>43615</v>
      </c>
      <c r="E1691" s="141">
        <v>3007957.22</v>
      </c>
      <c r="F1691" s="141">
        <v>3007957.22</v>
      </c>
      <c r="G1691" s="149">
        <v>43798</v>
      </c>
      <c r="H1691" s="45" t="s">
        <v>119</v>
      </c>
    </row>
    <row r="1692" spans="1:8" ht="30" customHeight="1">
      <c r="A1692" s="42" t="s">
        <v>5686</v>
      </c>
      <c r="B1692" s="42" t="s">
        <v>194</v>
      </c>
      <c r="C1692" s="18" t="s">
        <v>4720</v>
      </c>
      <c r="D1692" s="34">
        <v>43615</v>
      </c>
      <c r="E1692" s="141">
        <v>294000</v>
      </c>
      <c r="F1692" s="141">
        <v>294000</v>
      </c>
      <c r="G1692" s="149">
        <v>43798</v>
      </c>
      <c r="H1692" s="45" t="s">
        <v>5637</v>
      </c>
    </row>
    <row r="1693" spans="1:8" ht="30" customHeight="1">
      <c r="A1693" s="42" t="s">
        <v>5712</v>
      </c>
      <c r="B1693" s="42" t="s">
        <v>194</v>
      </c>
      <c r="C1693" s="18" t="s">
        <v>4720</v>
      </c>
      <c r="D1693" s="34">
        <v>43615</v>
      </c>
      <c r="E1693" s="141">
        <v>118042.78</v>
      </c>
      <c r="F1693" s="141">
        <v>118042.78</v>
      </c>
      <c r="G1693" s="149">
        <v>43798</v>
      </c>
      <c r="H1693" s="45" t="s">
        <v>119</v>
      </c>
    </row>
    <row r="1694" spans="1:8" ht="30" customHeight="1">
      <c r="A1694" s="42" t="s">
        <v>5797</v>
      </c>
      <c r="B1694" s="42" t="s">
        <v>194</v>
      </c>
      <c r="C1694" s="18" t="s">
        <v>5716</v>
      </c>
      <c r="D1694" s="34">
        <v>43615</v>
      </c>
      <c r="E1694" s="141">
        <v>3836160</v>
      </c>
      <c r="F1694" s="141"/>
      <c r="H1694" s="45" t="s">
        <v>119</v>
      </c>
    </row>
    <row r="1695" spans="1:8" ht="30" customHeight="1">
      <c r="A1695" s="42" t="s">
        <v>5798</v>
      </c>
      <c r="B1695" s="42" t="s">
        <v>194</v>
      </c>
      <c r="C1695" s="18" t="s">
        <v>5716</v>
      </c>
      <c r="D1695" s="34">
        <v>43614</v>
      </c>
      <c r="E1695" s="141">
        <v>2595840</v>
      </c>
      <c r="F1695" s="141"/>
      <c r="H1695" s="45" t="s">
        <v>119</v>
      </c>
    </row>
    <row r="1696" spans="1:8" ht="30" hidden="1" customHeight="1">
      <c r="A1696" s="42" t="s">
        <v>5799</v>
      </c>
      <c r="B1696" s="42" t="s">
        <v>412</v>
      </c>
      <c r="C1696" s="18" t="s">
        <v>4720</v>
      </c>
      <c r="D1696" s="34">
        <v>43614</v>
      </c>
      <c r="E1696" s="141">
        <v>2668800</v>
      </c>
      <c r="F1696" s="141"/>
      <c r="H1696" s="45" t="s">
        <v>118</v>
      </c>
    </row>
    <row r="1697" spans="1:8" ht="30" hidden="1" customHeight="1">
      <c r="A1697" s="42" t="s">
        <v>5801</v>
      </c>
      <c r="B1697" s="42" t="s">
        <v>412</v>
      </c>
      <c r="C1697" s="18" t="s">
        <v>83</v>
      </c>
      <c r="D1697" s="34">
        <v>43622</v>
      </c>
      <c r="E1697" s="141">
        <v>1000000</v>
      </c>
      <c r="F1697" s="141">
        <v>1000000</v>
      </c>
      <c r="G1697" s="149">
        <v>43792</v>
      </c>
      <c r="H1697" s="45" t="s">
        <v>118</v>
      </c>
    </row>
    <row r="1698" spans="1:8" ht="30" hidden="1" customHeight="1">
      <c r="A1698" s="42" t="s">
        <v>5801</v>
      </c>
      <c r="B1698" s="42" t="s">
        <v>412</v>
      </c>
      <c r="C1698" s="18" t="s">
        <v>83</v>
      </c>
      <c r="D1698" s="34">
        <v>43622</v>
      </c>
      <c r="E1698" s="141">
        <v>3709500</v>
      </c>
      <c r="F1698" s="141">
        <v>3709500</v>
      </c>
      <c r="G1698" s="149">
        <v>43793</v>
      </c>
      <c r="H1698" s="45" t="s">
        <v>118</v>
      </c>
    </row>
    <row r="1699" spans="1:8" ht="30" hidden="1" customHeight="1">
      <c r="A1699" s="42" t="s">
        <v>5807</v>
      </c>
      <c r="B1699" s="42" t="s">
        <v>412</v>
      </c>
      <c r="C1699" s="18" t="s">
        <v>4720</v>
      </c>
      <c r="D1699" s="34">
        <v>43626</v>
      </c>
      <c r="E1699" s="141">
        <v>4416000</v>
      </c>
      <c r="F1699" s="141"/>
      <c r="H1699" s="45" t="s">
        <v>118</v>
      </c>
    </row>
    <row r="1700" spans="1:8" ht="30" customHeight="1">
      <c r="A1700" s="42" t="s">
        <v>5813</v>
      </c>
      <c r="B1700" s="42" t="s">
        <v>194</v>
      </c>
      <c r="C1700" s="18" t="s">
        <v>5716</v>
      </c>
      <c r="D1700" s="34">
        <v>43628</v>
      </c>
      <c r="E1700" s="141">
        <v>3694400</v>
      </c>
      <c r="F1700" s="141"/>
      <c r="H1700" s="45" t="s">
        <v>119</v>
      </c>
    </row>
    <row r="1701" spans="1:8" ht="30" customHeight="1">
      <c r="A1701" s="42" t="s">
        <v>5814</v>
      </c>
      <c r="B1701" s="42" t="s">
        <v>194</v>
      </c>
      <c r="C1701" s="18" t="s">
        <v>5655</v>
      </c>
      <c r="D1701" s="34">
        <v>43619</v>
      </c>
      <c r="E1701" s="141">
        <v>2534400</v>
      </c>
      <c r="F1701" s="141"/>
      <c r="H1701" s="45" t="s">
        <v>5637</v>
      </c>
    </row>
    <row r="1702" spans="1:8" ht="30" customHeight="1">
      <c r="A1702" s="42" t="s">
        <v>5815</v>
      </c>
      <c r="B1702" s="42" t="s">
        <v>5816</v>
      </c>
      <c r="C1702" s="18" t="s">
        <v>4240</v>
      </c>
      <c r="D1702" s="34">
        <v>43635</v>
      </c>
      <c r="E1702" s="141">
        <v>1000000</v>
      </c>
      <c r="F1702" s="141">
        <v>1000000</v>
      </c>
      <c r="G1702" s="149">
        <v>43792</v>
      </c>
      <c r="H1702" s="45" t="s">
        <v>119</v>
      </c>
    </row>
    <row r="1703" spans="1:8" ht="30" customHeight="1">
      <c r="A1703" s="42" t="s">
        <v>5813</v>
      </c>
      <c r="B1703" s="42" t="s">
        <v>194</v>
      </c>
      <c r="C1703" s="18" t="s">
        <v>5716</v>
      </c>
      <c r="D1703" s="34">
        <v>43640</v>
      </c>
      <c r="E1703" s="141">
        <v>600000</v>
      </c>
      <c r="F1703" s="141"/>
      <c r="H1703" s="45" t="s">
        <v>119</v>
      </c>
    </row>
    <row r="1704" spans="1:8" ht="30" hidden="1" customHeight="1">
      <c r="A1704" s="42" t="s">
        <v>5829</v>
      </c>
      <c r="B1704" s="42" t="s">
        <v>412</v>
      </c>
      <c r="C1704" s="18" t="s">
        <v>3043</v>
      </c>
      <c r="D1704" s="34">
        <v>43640</v>
      </c>
      <c r="E1704" s="141">
        <v>1700000</v>
      </c>
      <c r="F1704" s="141"/>
      <c r="H1704" s="45" t="s">
        <v>118</v>
      </c>
    </row>
    <row r="1705" spans="1:8" ht="30" customHeight="1">
      <c r="A1705" s="42" t="s">
        <v>5820</v>
      </c>
      <c r="B1705" s="42" t="s">
        <v>194</v>
      </c>
      <c r="C1705" s="18" t="s">
        <v>5655</v>
      </c>
      <c r="D1705" s="34">
        <v>43643</v>
      </c>
      <c r="E1705" s="141">
        <v>2534400</v>
      </c>
      <c r="F1705" s="141"/>
      <c r="H1705" s="45" t="s">
        <v>5637</v>
      </c>
    </row>
    <row r="1706" spans="1:8" ht="30" customHeight="1">
      <c r="A1706" s="42" t="s">
        <v>5824</v>
      </c>
      <c r="B1706" s="42" t="s">
        <v>603</v>
      </c>
      <c r="C1706" s="18" t="s">
        <v>4240</v>
      </c>
      <c r="D1706" s="34">
        <v>43641</v>
      </c>
      <c r="E1706" s="141">
        <v>1600000</v>
      </c>
      <c r="F1706" s="141"/>
      <c r="H1706" s="45" t="s">
        <v>119</v>
      </c>
    </row>
    <row r="1707" spans="1:8" ht="30" hidden="1" customHeight="1">
      <c r="A1707" s="42" t="s">
        <v>5832</v>
      </c>
      <c r="B1707" s="42" t="s">
        <v>412</v>
      </c>
      <c r="C1707" s="18" t="s">
        <v>83</v>
      </c>
      <c r="D1707" s="34">
        <v>43644</v>
      </c>
      <c r="E1707" s="141">
        <v>2890496.47</v>
      </c>
      <c r="F1707" s="141">
        <v>2890496.47</v>
      </c>
      <c r="G1707" s="149">
        <v>43820</v>
      </c>
      <c r="H1707" s="45" t="s">
        <v>118</v>
      </c>
    </row>
    <row r="1708" spans="1:8" ht="30" customHeight="1">
      <c r="A1708" s="42" t="s">
        <v>5833</v>
      </c>
      <c r="B1708" s="42" t="s">
        <v>603</v>
      </c>
      <c r="C1708" s="18" t="s">
        <v>83</v>
      </c>
      <c r="D1708" s="34">
        <v>43644</v>
      </c>
      <c r="E1708" s="141">
        <v>1184625.5299999998</v>
      </c>
      <c r="F1708" s="141">
        <v>1184625.5299999998</v>
      </c>
      <c r="G1708" s="149">
        <v>43820</v>
      </c>
      <c r="H1708" s="45" t="s">
        <v>118</v>
      </c>
    </row>
    <row r="1709" spans="1:8" ht="30" hidden="1" customHeight="1">
      <c r="A1709" s="42" t="s">
        <v>5839</v>
      </c>
      <c r="B1709" s="42" t="s">
        <v>412</v>
      </c>
      <c r="C1709" s="18" t="s">
        <v>5838</v>
      </c>
      <c r="D1709" s="34">
        <v>43651</v>
      </c>
      <c r="E1709" s="141">
        <v>1029181</v>
      </c>
      <c r="F1709" s="141"/>
      <c r="H1709" s="45" t="s">
        <v>118</v>
      </c>
    </row>
    <row r="1710" spans="1:8" ht="30" customHeight="1">
      <c r="A1710" s="42" t="s">
        <v>5843</v>
      </c>
      <c r="B1710" s="42" t="s">
        <v>194</v>
      </c>
      <c r="C1710" s="18" t="s">
        <v>5844</v>
      </c>
      <c r="D1710" s="34">
        <v>43648</v>
      </c>
      <c r="E1710" s="141">
        <v>1360000</v>
      </c>
      <c r="F1710" s="141"/>
      <c r="H1710" s="45" t="s">
        <v>119</v>
      </c>
    </row>
    <row r="1711" spans="1:8" ht="30" customHeight="1">
      <c r="A1711" s="42" t="s">
        <v>5845</v>
      </c>
      <c r="B1711" s="42" t="s">
        <v>194</v>
      </c>
      <c r="C1711" s="18" t="s">
        <v>5844</v>
      </c>
      <c r="D1711" s="34">
        <v>43649</v>
      </c>
      <c r="E1711" s="141">
        <v>847457.22</v>
      </c>
      <c r="F1711" s="141">
        <v>847457.22</v>
      </c>
      <c r="G1711" s="149">
        <v>43832</v>
      </c>
      <c r="H1711" s="45" t="s">
        <v>119</v>
      </c>
    </row>
    <row r="1712" spans="1:8" ht="30" customHeight="1">
      <c r="A1712" s="42" t="s">
        <v>5846</v>
      </c>
      <c r="B1712" s="42" t="s">
        <v>603</v>
      </c>
      <c r="C1712" s="18" t="s">
        <v>4240</v>
      </c>
      <c r="D1712" s="34">
        <v>43648</v>
      </c>
      <c r="E1712" s="141">
        <v>-1600000</v>
      </c>
      <c r="F1712" s="141"/>
      <c r="H1712" s="45" t="s">
        <v>119</v>
      </c>
    </row>
    <row r="1713" spans="1:8" ht="30" customHeight="1">
      <c r="A1713" s="42" t="s">
        <v>5846</v>
      </c>
      <c r="B1713" s="42" t="s">
        <v>603</v>
      </c>
      <c r="C1713" s="18" t="s">
        <v>4240</v>
      </c>
      <c r="D1713" s="34">
        <v>43649</v>
      </c>
      <c r="E1713" s="141">
        <v>1689846.38</v>
      </c>
      <c r="F1713" s="141">
        <v>1689846.38</v>
      </c>
      <c r="G1713" s="149">
        <v>43832</v>
      </c>
      <c r="H1713" s="45" t="s">
        <v>119</v>
      </c>
    </row>
    <row r="1714" spans="1:8" ht="30" customHeight="1">
      <c r="A1714" s="42" t="s">
        <v>5848</v>
      </c>
      <c r="B1714" s="42" t="s">
        <v>603</v>
      </c>
      <c r="C1714" s="18" t="s">
        <v>4240</v>
      </c>
      <c r="D1714" s="34">
        <v>43658</v>
      </c>
      <c r="E1714" s="141">
        <v>780000</v>
      </c>
      <c r="F1714" s="141">
        <v>780000</v>
      </c>
      <c r="G1714" s="149">
        <v>43841</v>
      </c>
      <c r="H1714" s="45" t="s">
        <v>119</v>
      </c>
    </row>
    <row r="1715" spans="1:8" ht="30" customHeight="1">
      <c r="A1715" s="42" t="s">
        <v>5849</v>
      </c>
      <c r="B1715" s="42" t="s">
        <v>194</v>
      </c>
      <c r="C1715" s="18" t="s">
        <v>4720</v>
      </c>
      <c r="D1715" s="34">
        <v>43658</v>
      </c>
      <c r="E1715" s="141">
        <v>5000000</v>
      </c>
      <c r="F1715" s="141"/>
      <c r="H1715" s="45" t="s">
        <v>119</v>
      </c>
    </row>
    <row r="1716" spans="1:8" ht="30" customHeight="1">
      <c r="A1716" s="42" t="s">
        <v>5855</v>
      </c>
      <c r="B1716" s="42" t="s">
        <v>603</v>
      </c>
      <c r="C1716" s="18" t="s">
        <v>83</v>
      </c>
      <c r="D1716" s="34">
        <v>43657</v>
      </c>
      <c r="E1716" s="141">
        <v>1080605.04</v>
      </c>
      <c r="F1716" s="141">
        <v>1080605.04</v>
      </c>
      <c r="G1716" s="149">
        <v>43834</v>
      </c>
      <c r="H1716" s="45" t="s">
        <v>118</v>
      </c>
    </row>
    <row r="1717" spans="1:8" ht="30" hidden="1" customHeight="1">
      <c r="A1717" s="42" t="s">
        <v>5856</v>
      </c>
      <c r="B1717" s="42" t="s">
        <v>412</v>
      </c>
      <c r="C1717" s="18" t="s">
        <v>83</v>
      </c>
      <c r="D1717" s="34">
        <v>43657</v>
      </c>
      <c r="E1717" s="141">
        <v>1461663.65</v>
      </c>
      <c r="F1717" s="141">
        <v>1461663.65</v>
      </c>
      <c r="G1717" s="149">
        <v>43834</v>
      </c>
      <c r="H1717" s="45" t="s">
        <v>118</v>
      </c>
    </row>
    <row r="1718" spans="1:8" ht="30" hidden="1" customHeight="1">
      <c r="A1718" s="42" t="s">
        <v>5857</v>
      </c>
      <c r="B1718" s="42" t="s">
        <v>412</v>
      </c>
      <c r="C1718" s="18" t="s">
        <v>83</v>
      </c>
      <c r="D1718" s="34">
        <v>43657</v>
      </c>
      <c r="E1718" s="141">
        <v>324002.62999999989</v>
      </c>
      <c r="F1718" s="141">
        <v>324002.62999999989</v>
      </c>
      <c r="G1718" s="149">
        <v>43834</v>
      </c>
      <c r="H1718" s="45" t="s">
        <v>118</v>
      </c>
    </row>
    <row r="1719" spans="1:8" ht="30" hidden="1" customHeight="1">
      <c r="A1719" s="42" t="s">
        <v>5857</v>
      </c>
      <c r="B1719" s="42" t="s">
        <v>412</v>
      </c>
      <c r="C1719" s="18" t="s">
        <v>83</v>
      </c>
      <c r="D1719" s="34">
        <v>43657</v>
      </c>
      <c r="E1719" s="141">
        <v>5000000</v>
      </c>
      <c r="F1719" s="141">
        <v>5000000</v>
      </c>
      <c r="G1719" s="149">
        <v>43819</v>
      </c>
      <c r="H1719" s="45" t="s">
        <v>118</v>
      </c>
    </row>
    <row r="1720" spans="1:8" ht="30" customHeight="1">
      <c r="A1720" s="42" t="s">
        <v>5849</v>
      </c>
      <c r="B1720" s="42" t="s">
        <v>194</v>
      </c>
      <c r="C1720" s="18" t="s">
        <v>4720</v>
      </c>
      <c r="D1720" s="34">
        <v>43661</v>
      </c>
      <c r="E1720" s="141">
        <v>2000000</v>
      </c>
      <c r="F1720" s="141"/>
      <c r="H1720" s="45" t="s">
        <v>119</v>
      </c>
    </row>
    <row r="1721" spans="1:8" ht="30" hidden="1" customHeight="1">
      <c r="A1721" s="42" t="s">
        <v>5860</v>
      </c>
      <c r="B1721" s="42" t="s">
        <v>412</v>
      </c>
      <c r="C1721" s="18" t="s">
        <v>4720</v>
      </c>
      <c r="D1721" s="34">
        <v>43661</v>
      </c>
      <c r="E1721" s="141">
        <v>2566800</v>
      </c>
      <c r="F1721" s="141"/>
      <c r="H1721" s="45" t="s">
        <v>118</v>
      </c>
    </row>
    <row r="1722" spans="1:8" ht="30" customHeight="1">
      <c r="A1722" s="42" t="s">
        <v>5861</v>
      </c>
      <c r="B1722" s="42" t="s">
        <v>194</v>
      </c>
      <c r="C1722" s="18" t="s">
        <v>5716</v>
      </c>
      <c r="D1722" s="34">
        <v>43662</v>
      </c>
      <c r="E1722" s="141">
        <v>2496120</v>
      </c>
      <c r="F1722" s="141"/>
      <c r="H1722" s="45" t="s">
        <v>119</v>
      </c>
    </row>
    <row r="1723" spans="1:8" ht="30" customHeight="1">
      <c r="A1723" s="42" t="s">
        <v>5874</v>
      </c>
      <c r="B1723" s="42" t="s">
        <v>5875</v>
      </c>
      <c r="C1723" s="18" t="s">
        <v>4240</v>
      </c>
      <c r="D1723" s="34">
        <v>43675</v>
      </c>
      <c r="E1723" s="141">
        <v>7099.07</v>
      </c>
      <c r="F1723" s="141">
        <v>7099.07</v>
      </c>
      <c r="G1723" s="149">
        <v>43858</v>
      </c>
      <c r="H1723" s="45" t="s">
        <v>5876</v>
      </c>
    </row>
    <row r="1724" spans="1:8" ht="30" customHeight="1">
      <c r="A1724" s="42" t="s">
        <v>5877</v>
      </c>
      <c r="B1724" s="42" t="s">
        <v>5875</v>
      </c>
      <c r="C1724" s="18" t="s">
        <v>4240</v>
      </c>
      <c r="D1724" s="34">
        <v>43675</v>
      </c>
      <c r="E1724" s="141">
        <v>546963.2300000001</v>
      </c>
      <c r="F1724" s="141">
        <v>546963.2300000001</v>
      </c>
      <c r="G1724" s="149">
        <v>43858</v>
      </c>
      <c r="H1724" s="45" t="s">
        <v>5876</v>
      </c>
    </row>
    <row r="1725" spans="1:8" ht="30" customHeight="1">
      <c r="A1725" s="42" t="s">
        <v>5877</v>
      </c>
      <c r="B1725" s="42" t="s">
        <v>5875</v>
      </c>
      <c r="C1725" s="18" t="s">
        <v>4240</v>
      </c>
      <c r="D1725" s="34">
        <v>43675</v>
      </c>
      <c r="E1725" s="141">
        <v>201721.66</v>
      </c>
      <c r="F1725" s="141"/>
      <c r="H1725" s="45" t="s">
        <v>5876</v>
      </c>
    </row>
    <row r="1726" spans="1:8" ht="30" customHeight="1">
      <c r="A1726" s="42" t="s">
        <v>5883</v>
      </c>
      <c r="B1726" s="42" t="s">
        <v>5884</v>
      </c>
      <c r="C1726" s="18" t="s">
        <v>3043</v>
      </c>
      <c r="D1726" s="34">
        <v>43655</v>
      </c>
      <c r="E1726" s="141">
        <v>1000000</v>
      </c>
      <c r="F1726" s="141"/>
      <c r="H1726" s="45" t="s">
        <v>119</v>
      </c>
    </row>
    <row r="1727" spans="1:8" ht="30" customHeight="1">
      <c r="A1727" s="42" t="s">
        <v>5885</v>
      </c>
      <c r="B1727" s="42" t="s">
        <v>5884</v>
      </c>
      <c r="C1727" s="18" t="s">
        <v>5887</v>
      </c>
      <c r="D1727" s="34">
        <v>43689</v>
      </c>
      <c r="E1727" s="141">
        <v>2150000</v>
      </c>
      <c r="F1727" s="141"/>
      <c r="H1727" s="45" t="s">
        <v>5637</v>
      </c>
    </row>
    <row r="1728" spans="1:8" ht="30" customHeight="1">
      <c r="A1728" s="42" t="s">
        <v>5892</v>
      </c>
      <c r="B1728" s="42" t="s">
        <v>5884</v>
      </c>
      <c r="C1728" s="18" t="s">
        <v>5887</v>
      </c>
      <c r="D1728" s="34">
        <v>43689</v>
      </c>
      <c r="E1728" s="141">
        <v>-9600</v>
      </c>
      <c r="F1728" s="141"/>
      <c r="H1728" s="45" t="s">
        <v>5893</v>
      </c>
    </row>
    <row r="1729" spans="1:8" ht="30" customHeight="1">
      <c r="A1729" s="42" t="s">
        <v>5894</v>
      </c>
      <c r="B1729" s="42" t="s">
        <v>5884</v>
      </c>
      <c r="C1729" s="18" t="s">
        <v>5887</v>
      </c>
      <c r="D1729" s="34">
        <v>43689</v>
      </c>
      <c r="E1729" s="141">
        <v>-123456</v>
      </c>
      <c r="F1729" s="141"/>
      <c r="H1729" s="45" t="s">
        <v>5893</v>
      </c>
    </row>
    <row r="1730" spans="1:8" ht="30" customHeight="1">
      <c r="A1730" s="42" t="s">
        <v>5885</v>
      </c>
      <c r="B1730" s="42" t="s">
        <v>5884</v>
      </c>
      <c r="C1730" s="18" t="s">
        <v>5655</v>
      </c>
      <c r="D1730" s="34">
        <v>43689</v>
      </c>
      <c r="E1730" s="141">
        <v>9600</v>
      </c>
      <c r="F1730" s="141"/>
      <c r="H1730" s="45" t="s">
        <v>5637</v>
      </c>
    </row>
    <row r="1731" spans="1:8" ht="30" customHeight="1">
      <c r="A1731" s="42" t="s">
        <v>5885</v>
      </c>
      <c r="B1731" s="42" t="s">
        <v>5884</v>
      </c>
      <c r="C1731" s="18" t="s">
        <v>5655</v>
      </c>
      <c r="D1731" s="34">
        <v>43689</v>
      </c>
      <c r="E1731" s="141">
        <v>123456</v>
      </c>
      <c r="F1731" s="141"/>
      <c r="H1731" s="45" t="s">
        <v>5637</v>
      </c>
    </row>
    <row r="1732" spans="1:8" ht="30" customHeight="1">
      <c r="A1732" s="42" t="s">
        <v>5898</v>
      </c>
      <c r="B1732" s="42" t="s">
        <v>603</v>
      </c>
      <c r="C1732" s="18" t="s">
        <v>4240</v>
      </c>
      <c r="D1732" s="34">
        <v>43689</v>
      </c>
      <c r="E1732" s="141">
        <v>380000</v>
      </c>
      <c r="F1732" s="141"/>
      <c r="H1732" s="45" t="s">
        <v>119</v>
      </c>
    </row>
    <row r="1733" spans="1:8" ht="30" hidden="1" customHeight="1">
      <c r="A1733" s="42" t="s">
        <v>5836</v>
      </c>
      <c r="B1733" s="42" t="s">
        <v>412</v>
      </c>
      <c r="C1733" s="18" t="s">
        <v>83</v>
      </c>
      <c r="D1733" s="34">
        <v>43688</v>
      </c>
      <c r="E1733" s="141">
        <v>6000000</v>
      </c>
      <c r="F1733" s="141">
        <v>6000000</v>
      </c>
      <c r="G1733" s="149">
        <v>43860</v>
      </c>
      <c r="H1733" s="45" t="s">
        <v>118</v>
      </c>
    </row>
    <row r="1734" spans="1:8" ht="30" customHeight="1">
      <c r="A1734" s="42" t="s">
        <v>5902</v>
      </c>
      <c r="B1734" s="42" t="s">
        <v>194</v>
      </c>
      <c r="C1734" s="18" t="s">
        <v>3043</v>
      </c>
      <c r="D1734" s="34">
        <v>43690</v>
      </c>
      <c r="E1734" s="141">
        <v>2844800</v>
      </c>
      <c r="F1734" s="141"/>
      <c r="H1734" s="45" t="s">
        <v>119</v>
      </c>
    </row>
    <row r="1735" spans="1:8" ht="30" customHeight="1">
      <c r="A1735" s="42" t="s">
        <v>5906</v>
      </c>
      <c r="B1735" s="42" t="s">
        <v>194</v>
      </c>
      <c r="C1735" s="18" t="s">
        <v>5716</v>
      </c>
      <c r="D1735" s="34">
        <v>43691</v>
      </c>
      <c r="E1735" s="141">
        <v>4125960</v>
      </c>
      <c r="F1735" s="141"/>
      <c r="H1735" s="45" t="s">
        <v>119</v>
      </c>
    </row>
    <row r="1736" spans="1:8" ht="30" hidden="1" customHeight="1">
      <c r="A1736" s="42" t="s">
        <v>5904</v>
      </c>
      <c r="B1736" s="42" t="s">
        <v>412</v>
      </c>
      <c r="C1736" s="18" t="s">
        <v>4795</v>
      </c>
      <c r="D1736" s="34">
        <v>43690</v>
      </c>
      <c r="E1736" s="141">
        <v>4239000</v>
      </c>
      <c r="F1736" s="141"/>
      <c r="H1736" s="45" t="s">
        <v>118</v>
      </c>
    </row>
    <row r="1737" spans="1:8" ht="30" customHeight="1">
      <c r="A1737" s="42" t="s">
        <v>5909</v>
      </c>
      <c r="B1737" s="42" t="s">
        <v>194</v>
      </c>
      <c r="C1737" s="18" t="s">
        <v>5716</v>
      </c>
      <c r="D1737" s="34">
        <v>43692</v>
      </c>
      <c r="E1737" s="141">
        <v>5594400</v>
      </c>
      <c r="F1737" s="141"/>
      <c r="H1737" s="45" t="s">
        <v>119</v>
      </c>
    </row>
    <row r="1738" spans="1:8" ht="30" hidden="1" customHeight="1">
      <c r="A1738" s="42" t="s">
        <v>5911</v>
      </c>
      <c r="B1738" s="42" t="s">
        <v>412</v>
      </c>
      <c r="C1738" s="18" t="s">
        <v>4795</v>
      </c>
      <c r="D1738" s="34">
        <v>43692</v>
      </c>
      <c r="E1738" s="141">
        <v>5754000</v>
      </c>
      <c r="F1738" s="141"/>
      <c r="H1738" s="45" t="s">
        <v>118</v>
      </c>
    </row>
    <row r="1739" spans="1:8" ht="30" hidden="1" customHeight="1">
      <c r="A1739" s="42" t="s">
        <v>5920</v>
      </c>
      <c r="B1739" s="42" t="s">
        <v>5921</v>
      </c>
      <c r="C1739" s="18" t="s">
        <v>3405</v>
      </c>
      <c r="D1739" s="34">
        <v>43697</v>
      </c>
      <c r="E1739" s="141">
        <v>1850098.37</v>
      </c>
      <c r="F1739" s="141">
        <v>1850098.37</v>
      </c>
      <c r="G1739" s="149">
        <v>43866</v>
      </c>
      <c r="H1739" s="45" t="s">
        <v>5922</v>
      </c>
    </row>
    <row r="1740" spans="1:8" ht="30" customHeight="1">
      <c r="A1740" s="42" t="s">
        <v>5923</v>
      </c>
      <c r="B1740" s="42" t="s">
        <v>5924</v>
      </c>
      <c r="C1740" s="18" t="s">
        <v>3405</v>
      </c>
      <c r="D1740" s="34">
        <v>43697</v>
      </c>
      <c r="E1740" s="141">
        <v>1149901.6299999999</v>
      </c>
      <c r="F1740" s="141">
        <v>1149901.6299999999</v>
      </c>
      <c r="G1740" s="149">
        <v>43866</v>
      </c>
      <c r="H1740" s="45" t="s">
        <v>5922</v>
      </c>
    </row>
    <row r="1741" spans="1:8" ht="30" customHeight="1">
      <c r="A1741" s="42" t="s">
        <v>5926</v>
      </c>
      <c r="B1741" s="42" t="s">
        <v>603</v>
      </c>
      <c r="C1741" s="18" t="s">
        <v>4240</v>
      </c>
      <c r="D1741" s="34">
        <v>43700</v>
      </c>
      <c r="E1741" s="141">
        <v>-201721.66</v>
      </c>
      <c r="F1741" s="141"/>
      <c r="H1741" s="45" t="s">
        <v>118</v>
      </c>
    </row>
    <row r="1742" spans="1:8" ht="30" customHeight="1">
      <c r="A1742" s="42" t="s">
        <v>5898</v>
      </c>
      <c r="B1742" s="42" t="s">
        <v>603</v>
      </c>
      <c r="C1742" s="18" t="s">
        <v>4240</v>
      </c>
      <c r="D1742" s="34">
        <v>43700</v>
      </c>
      <c r="E1742" s="141">
        <v>-380000</v>
      </c>
      <c r="F1742" s="141"/>
      <c r="H1742" s="45" t="s">
        <v>118</v>
      </c>
    </row>
    <row r="1743" spans="1:8" ht="30" customHeight="1">
      <c r="A1743" s="42" t="s">
        <v>5848</v>
      </c>
      <c r="B1743" s="42" t="s">
        <v>603</v>
      </c>
      <c r="C1743" s="18" t="s">
        <v>4240</v>
      </c>
      <c r="D1743" s="34">
        <v>43700</v>
      </c>
      <c r="E1743" s="141">
        <v>201721.66</v>
      </c>
      <c r="F1743" s="141">
        <v>201721.66</v>
      </c>
      <c r="G1743" s="149">
        <v>43881</v>
      </c>
      <c r="H1743" s="45" t="s">
        <v>119</v>
      </c>
    </row>
    <row r="1744" spans="1:8" ht="30" customHeight="1">
      <c r="A1744" s="42" t="s">
        <v>5898</v>
      </c>
      <c r="B1744" s="42" t="s">
        <v>603</v>
      </c>
      <c r="C1744" s="18" t="s">
        <v>4240</v>
      </c>
      <c r="D1744" s="34">
        <v>43700</v>
      </c>
      <c r="E1744" s="141">
        <v>48278.34</v>
      </c>
      <c r="F1744" s="141">
        <v>48278.34</v>
      </c>
      <c r="G1744" s="149">
        <v>43881</v>
      </c>
      <c r="H1744" s="45" t="s">
        <v>119</v>
      </c>
    </row>
    <row r="1745" spans="1:8" ht="30" customHeight="1">
      <c r="A1745" s="42" t="s">
        <v>5898</v>
      </c>
      <c r="B1745" s="42" t="s">
        <v>603</v>
      </c>
      <c r="C1745" s="18" t="s">
        <v>4240</v>
      </c>
      <c r="D1745" s="34">
        <v>43700</v>
      </c>
      <c r="E1745" s="141">
        <v>200000</v>
      </c>
      <c r="F1745" s="141">
        <v>200000</v>
      </c>
      <c r="G1745" s="149">
        <v>43877</v>
      </c>
      <c r="H1745" s="45" t="s">
        <v>119</v>
      </c>
    </row>
    <row r="1746" spans="1:8" ht="30" customHeight="1">
      <c r="A1746" s="42" t="s">
        <v>5898</v>
      </c>
      <c r="B1746" s="42" t="s">
        <v>603</v>
      </c>
      <c r="C1746" s="18" t="s">
        <v>4240</v>
      </c>
      <c r="D1746" s="34">
        <v>43700</v>
      </c>
      <c r="E1746" s="141">
        <v>100000</v>
      </c>
      <c r="F1746" s="141">
        <v>100000</v>
      </c>
      <c r="G1746" s="149">
        <v>43861</v>
      </c>
      <c r="H1746" s="45" t="s">
        <v>119</v>
      </c>
    </row>
    <row r="1747" spans="1:8" ht="30" customHeight="1">
      <c r="A1747" s="42" t="s">
        <v>5898</v>
      </c>
      <c r="B1747" s="42" t="s">
        <v>603</v>
      </c>
      <c r="C1747" s="18" t="s">
        <v>4240</v>
      </c>
      <c r="D1747" s="34">
        <v>43700</v>
      </c>
      <c r="E1747" s="141">
        <v>30000</v>
      </c>
      <c r="F1747" s="141">
        <v>30000</v>
      </c>
      <c r="G1747" s="149">
        <v>43863</v>
      </c>
      <c r="H1747" s="45" t="s">
        <v>119</v>
      </c>
    </row>
    <row r="1748" spans="1:8" ht="30" customHeight="1">
      <c r="A1748" s="42" t="s">
        <v>5927</v>
      </c>
      <c r="B1748" s="42" t="s">
        <v>603</v>
      </c>
      <c r="C1748" s="18" t="s">
        <v>195</v>
      </c>
      <c r="D1748" s="34">
        <v>43700</v>
      </c>
      <c r="E1748" s="141">
        <v>1000000</v>
      </c>
      <c r="F1748" s="141">
        <v>1000000</v>
      </c>
      <c r="G1748" s="149">
        <v>43862</v>
      </c>
      <c r="H1748" s="45" t="s">
        <v>119</v>
      </c>
    </row>
    <row r="1749" spans="1:8" ht="30" customHeight="1">
      <c r="A1749" s="42" t="s">
        <v>5927</v>
      </c>
      <c r="B1749" s="42" t="s">
        <v>603</v>
      </c>
      <c r="C1749" s="18" t="s">
        <v>195</v>
      </c>
      <c r="D1749" s="34">
        <v>43700</v>
      </c>
      <c r="E1749" s="141">
        <v>80000</v>
      </c>
      <c r="F1749" s="141">
        <v>80000</v>
      </c>
      <c r="G1749" s="149">
        <v>43860</v>
      </c>
      <c r="H1749" s="45" t="s">
        <v>119</v>
      </c>
    </row>
    <row r="1750" spans="1:8" ht="30" customHeight="1">
      <c r="A1750" s="42" t="s">
        <v>5927</v>
      </c>
      <c r="B1750" s="42" t="s">
        <v>603</v>
      </c>
      <c r="C1750" s="18" t="s">
        <v>195</v>
      </c>
      <c r="D1750" s="34">
        <v>43700</v>
      </c>
      <c r="E1750" s="141">
        <v>40000</v>
      </c>
      <c r="F1750" s="141">
        <v>40000</v>
      </c>
      <c r="G1750" s="149">
        <v>43856</v>
      </c>
      <c r="H1750" s="45" t="s">
        <v>119</v>
      </c>
    </row>
    <row r="1751" spans="1:8" ht="30" customHeight="1">
      <c r="A1751" s="42" t="s">
        <v>5927</v>
      </c>
      <c r="B1751" s="42" t="s">
        <v>603</v>
      </c>
      <c r="C1751" s="18" t="s">
        <v>195</v>
      </c>
      <c r="D1751" s="34">
        <v>43700</v>
      </c>
      <c r="E1751" s="141">
        <v>250000</v>
      </c>
      <c r="F1751" s="141">
        <v>250000</v>
      </c>
      <c r="G1751" s="149">
        <v>43876</v>
      </c>
      <c r="H1751" s="45" t="s">
        <v>119</v>
      </c>
    </row>
    <row r="1752" spans="1:8" ht="30" customHeight="1">
      <c r="A1752" s="42" t="s">
        <v>5933</v>
      </c>
      <c r="B1752" s="42" t="s">
        <v>5934</v>
      </c>
      <c r="C1752" s="18" t="s">
        <v>4795</v>
      </c>
      <c r="D1752" s="34">
        <v>43703</v>
      </c>
      <c r="E1752" s="141">
        <v>1040000</v>
      </c>
      <c r="F1752" s="141"/>
      <c r="H1752" s="45" t="s">
        <v>119</v>
      </c>
    </row>
    <row r="1753" spans="1:8" ht="30" customHeight="1">
      <c r="A1753" s="42" t="s">
        <v>5938</v>
      </c>
      <c r="B1753" s="42" t="s">
        <v>5940</v>
      </c>
      <c r="C1753" s="18" t="s">
        <v>3405</v>
      </c>
      <c r="D1753" s="34">
        <v>43707</v>
      </c>
      <c r="E1753" s="141">
        <v>919968.74</v>
      </c>
      <c r="F1753" s="141">
        <v>919968.74</v>
      </c>
      <c r="G1753" s="149">
        <v>43876</v>
      </c>
      <c r="H1753" s="45" t="s">
        <v>118</v>
      </c>
    </row>
    <row r="1754" spans="1:8" ht="30" hidden="1" customHeight="1">
      <c r="A1754" s="42" t="s">
        <v>5939</v>
      </c>
      <c r="B1754" s="42" t="s">
        <v>5941</v>
      </c>
      <c r="C1754" s="18" t="s">
        <v>3405</v>
      </c>
      <c r="D1754" s="34">
        <v>43707</v>
      </c>
      <c r="E1754" s="141">
        <v>2503908.9000000004</v>
      </c>
      <c r="F1754" s="141">
        <v>2503908.9000000004</v>
      </c>
      <c r="G1754" s="149">
        <v>43876</v>
      </c>
      <c r="H1754" s="45" t="s">
        <v>118</v>
      </c>
    </row>
    <row r="1755" spans="1:8" ht="30" customHeight="1">
      <c r="A1755" s="42" t="s">
        <v>5943</v>
      </c>
      <c r="B1755" s="42" t="s">
        <v>603</v>
      </c>
      <c r="C1755" s="18" t="s">
        <v>4240</v>
      </c>
      <c r="D1755" s="34">
        <v>43700</v>
      </c>
      <c r="E1755" s="141">
        <v>80000</v>
      </c>
      <c r="F1755" s="141">
        <v>80000</v>
      </c>
      <c r="G1755" s="149">
        <v>43867</v>
      </c>
      <c r="H1755" s="45" t="s">
        <v>119</v>
      </c>
    </row>
    <row r="1756" spans="1:8" ht="30" customHeight="1">
      <c r="A1756" s="42" t="s">
        <v>5943</v>
      </c>
      <c r="B1756" s="42" t="s">
        <v>603</v>
      </c>
      <c r="C1756" s="18" t="s">
        <v>4240</v>
      </c>
      <c r="D1756" s="34">
        <v>43700</v>
      </c>
      <c r="E1756" s="141">
        <v>300000</v>
      </c>
      <c r="F1756" s="141">
        <v>300000</v>
      </c>
      <c r="G1756" s="149">
        <v>43860</v>
      </c>
      <c r="H1756" s="45" t="s">
        <v>119</v>
      </c>
    </row>
    <row r="1757" spans="1:8" ht="30" customHeight="1">
      <c r="A1757" s="42" t="s">
        <v>5944</v>
      </c>
      <c r="B1757" s="42" t="s">
        <v>194</v>
      </c>
      <c r="C1757" s="18" t="s">
        <v>4795</v>
      </c>
      <c r="D1757" s="34">
        <v>43712</v>
      </c>
      <c r="E1757" s="141">
        <v>4000000</v>
      </c>
      <c r="F1757" s="141"/>
      <c r="H1757" s="45" t="s">
        <v>119</v>
      </c>
    </row>
    <row r="1758" spans="1:8" ht="30" customHeight="1">
      <c r="A1758" s="42" t="s">
        <v>5964</v>
      </c>
      <c r="B1758" s="42" t="s">
        <v>603</v>
      </c>
      <c r="C1758" s="18" t="s">
        <v>195</v>
      </c>
      <c r="D1758" s="34">
        <v>43713</v>
      </c>
      <c r="E1758" s="141">
        <v>100000</v>
      </c>
      <c r="F1758" s="141">
        <v>100000</v>
      </c>
      <c r="G1758" s="149">
        <v>43861</v>
      </c>
      <c r="H1758" s="45" t="s">
        <v>119</v>
      </c>
    </row>
    <row r="1759" spans="1:8" ht="30" customHeight="1">
      <c r="A1759" s="42" t="s">
        <v>5964</v>
      </c>
      <c r="B1759" s="42" t="s">
        <v>603</v>
      </c>
      <c r="C1759" s="18" t="s">
        <v>195</v>
      </c>
      <c r="D1759" s="34">
        <v>43713</v>
      </c>
      <c r="E1759" s="141">
        <v>30601.82</v>
      </c>
      <c r="F1759" s="141"/>
      <c r="H1759" s="45" t="s">
        <v>119</v>
      </c>
    </row>
    <row r="1760" spans="1:8" ht="30" customHeight="1">
      <c r="A1760" s="42" t="s">
        <v>5966</v>
      </c>
      <c r="B1760" s="42" t="s">
        <v>5968</v>
      </c>
      <c r="C1760" s="18" t="s">
        <v>5655</v>
      </c>
      <c r="D1760" s="34">
        <v>43718</v>
      </c>
      <c r="E1760" s="141">
        <v>-132656</v>
      </c>
      <c r="F1760" s="141"/>
      <c r="H1760" s="45" t="s">
        <v>5970</v>
      </c>
    </row>
    <row r="1761" spans="1:8" ht="30" customHeight="1">
      <c r="A1761" s="42" t="s">
        <v>5967</v>
      </c>
      <c r="B1761" s="42" t="s">
        <v>5968</v>
      </c>
      <c r="C1761" s="18" t="s">
        <v>5655</v>
      </c>
      <c r="D1761" s="34">
        <v>43718</v>
      </c>
      <c r="E1761" s="141">
        <v>132656</v>
      </c>
      <c r="F1761" s="141"/>
      <c r="H1761" s="45" t="s">
        <v>5969</v>
      </c>
    </row>
    <row r="1762" spans="1:8" ht="30" customHeight="1">
      <c r="A1762" s="42" t="s">
        <v>5972</v>
      </c>
      <c r="B1762" s="42" t="s">
        <v>603</v>
      </c>
      <c r="C1762" s="18" t="s">
        <v>4240</v>
      </c>
      <c r="D1762" s="34">
        <v>43717</v>
      </c>
      <c r="E1762" s="141">
        <v>34434.29</v>
      </c>
      <c r="F1762" s="141">
        <v>34434.29</v>
      </c>
      <c r="G1762" s="149">
        <v>43873</v>
      </c>
      <c r="H1762" s="45" t="s">
        <v>119</v>
      </c>
    </row>
    <row r="1763" spans="1:8" ht="30" customHeight="1">
      <c r="A1763" s="42" t="s">
        <v>5973</v>
      </c>
      <c r="B1763" s="42" t="s">
        <v>603</v>
      </c>
      <c r="C1763" s="18" t="s">
        <v>4240</v>
      </c>
      <c r="D1763" s="34">
        <v>43717</v>
      </c>
      <c r="E1763" s="141">
        <v>15565.71</v>
      </c>
      <c r="F1763" s="141">
        <v>15565.71</v>
      </c>
      <c r="G1763" s="149">
        <v>43873</v>
      </c>
      <c r="H1763" s="45" t="s">
        <v>119</v>
      </c>
    </row>
    <row r="1764" spans="1:8" ht="30" customHeight="1">
      <c r="A1764" s="42" t="s">
        <v>5978</v>
      </c>
      <c r="B1764" s="42" t="s">
        <v>194</v>
      </c>
      <c r="C1764" s="18" t="s">
        <v>5655</v>
      </c>
      <c r="D1764" s="34">
        <v>43718</v>
      </c>
      <c r="E1764" s="141">
        <v>2000000</v>
      </c>
      <c r="F1764" s="141"/>
      <c r="H1764" s="45" t="s">
        <v>5637</v>
      </c>
    </row>
    <row r="1765" spans="1:8" ht="30" customHeight="1">
      <c r="A1765" s="42" t="s">
        <v>5980</v>
      </c>
      <c r="B1765" s="42" t="s">
        <v>603</v>
      </c>
      <c r="C1765" s="18" t="s">
        <v>4240</v>
      </c>
      <c r="D1765" s="34">
        <v>43718</v>
      </c>
      <c r="E1765" s="141">
        <v>1850000</v>
      </c>
      <c r="F1765" s="141"/>
      <c r="H1765" s="45" t="s">
        <v>119</v>
      </c>
    </row>
    <row r="1766" spans="1:8" ht="30" hidden="1" customHeight="1">
      <c r="A1766" s="42" t="s">
        <v>5982</v>
      </c>
      <c r="B1766" s="42" t="s">
        <v>5983</v>
      </c>
      <c r="C1766" s="18" t="s">
        <v>4795</v>
      </c>
      <c r="D1766" s="34">
        <v>43718</v>
      </c>
      <c r="E1766" s="141">
        <v>1156400</v>
      </c>
      <c r="F1766" s="141"/>
      <c r="H1766" s="45" t="s">
        <v>118</v>
      </c>
    </row>
    <row r="1767" spans="1:8" ht="30" hidden="1" customHeight="1">
      <c r="A1767" s="42" t="s">
        <v>5984</v>
      </c>
      <c r="B1767" s="42" t="s">
        <v>5983</v>
      </c>
      <c r="C1767" s="18" t="s">
        <v>3043</v>
      </c>
      <c r="D1767" s="34">
        <v>43718</v>
      </c>
      <c r="E1767" s="141">
        <v>4000000</v>
      </c>
      <c r="F1767" s="141"/>
      <c r="H1767" s="45" t="s">
        <v>118</v>
      </c>
    </row>
    <row r="1768" spans="1:8" ht="30" hidden="1" customHeight="1">
      <c r="A1768" s="42" t="s">
        <v>5988</v>
      </c>
      <c r="B1768" s="42" t="s">
        <v>412</v>
      </c>
      <c r="C1768" s="18" t="s">
        <v>3405</v>
      </c>
      <c r="D1768" s="34">
        <v>43720</v>
      </c>
      <c r="E1768" s="141">
        <v>5788279.2000000002</v>
      </c>
      <c r="F1768" s="141"/>
      <c r="H1768" s="45" t="s">
        <v>118</v>
      </c>
    </row>
    <row r="1769" spans="1:8" ht="30" customHeight="1">
      <c r="A1769" s="42" t="s">
        <v>5989</v>
      </c>
      <c r="B1769" s="42" t="s">
        <v>603</v>
      </c>
      <c r="C1769" s="18" t="s">
        <v>3405</v>
      </c>
      <c r="D1769" s="34">
        <v>43720</v>
      </c>
      <c r="E1769" s="141">
        <v>107850.8</v>
      </c>
      <c r="F1769" s="141"/>
      <c r="H1769" s="45" t="s">
        <v>118</v>
      </c>
    </row>
    <row r="1770" spans="1:8" ht="30" customHeight="1">
      <c r="A1770" s="42" t="s">
        <v>5994</v>
      </c>
      <c r="B1770" s="42" t="s">
        <v>194</v>
      </c>
      <c r="C1770" s="18" t="s">
        <v>4795</v>
      </c>
      <c r="D1770" s="34">
        <v>43720</v>
      </c>
      <c r="E1770" s="141">
        <v>1320000</v>
      </c>
      <c r="F1770" s="141"/>
      <c r="H1770" s="45" t="s">
        <v>119</v>
      </c>
    </row>
    <row r="1771" spans="1:8" ht="30" customHeight="1">
      <c r="A1771" s="42" t="s">
        <v>5995</v>
      </c>
      <c r="B1771" s="42" t="s">
        <v>194</v>
      </c>
      <c r="C1771" s="18" t="s">
        <v>4795</v>
      </c>
      <c r="D1771" s="34">
        <v>43720</v>
      </c>
      <c r="E1771" s="141">
        <v>3000000</v>
      </c>
      <c r="F1771" s="141"/>
      <c r="H1771" s="45" t="s">
        <v>119</v>
      </c>
    </row>
    <row r="1772" spans="1:8" ht="30" customHeight="1">
      <c r="A1772" s="42" t="s">
        <v>5997</v>
      </c>
      <c r="B1772" s="42" t="s">
        <v>5998</v>
      </c>
      <c r="C1772" s="18" t="s">
        <v>5716</v>
      </c>
      <c r="D1772" s="34">
        <v>43720</v>
      </c>
      <c r="E1772" s="141">
        <v>1121120</v>
      </c>
      <c r="F1772" s="141"/>
      <c r="H1772" s="45" t="s">
        <v>119</v>
      </c>
    </row>
    <row r="1773" spans="1:8" ht="30" customHeight="1">
      <c r="A1773" s="42" t="s">
        <v>6002</v>
      </c>
      <c r="B1773" s="42" t="s">
        <v>603</v>
      </c>
      <c r="C1773" s="18" t="s">
        <v>3405</v>
      </c>
      <c r="D1773" s="34">
        <v>43728</v>
      </c>
      <c r="E1773" s="141">
        <v>2000000</v>
      </c>
      <c r="F1773" s="141">
        <v>2000000</v>
      </c>
      <c r="G1773" s="149">
        <v>43888</v>
      </c>
      <c r="H1773" s="45" t="s">
        <v>118</v>
      </c>
    </row>
    <row r="1774" spans="1:8" ht="30" hidden="1" customHeight="1">
      <c r="A1774" s="42" t="s">
        <v>6007</v>
      </c>
      <c r="B1774" s="42" t="s">
        <v>412</v>
      </c>
      <c r="C1774" s="18" t="s">
        <v>3043</v>
      </c>
      <c r="D1774" s="34">
        <v>43731</v>
      </c>
      <c r="E1774" s="141">
        <v>2000000</v>
      </c>
      <c r="F1774" s="141"/>
      <c r="H1774" s="45" t="s">
        <v>118</v>
      </c>
    </row>
    <row r="1775" spans="1:8" ht="30" customHeight="1">
      <c r="A1775" s="42" t="s">
        <v>6008</v>
      </c>
      <c r="B1775" s="42" t="s">
        <v>194</v>
      </c>
      <c r="C1775" s="18" t="s">
        <v>4795</v>
      </c>
      <c r="D1775" s="34">
        <v>43731</v>
      </c>
      <c r="E1775" s="141">
        <v>3000000</v>
      </c>
      <c r="F1775" s="141"/>
      <c r="H1775" s="45" t="s">
        <v>119</v>
      </c>
    </row>
    <row r="1776" spans="1:8" ht="30" customHeight="1">
      <c r="A1776" s="42" t="s">
        <v>6016</v>
      </c>
      <c r="B1776" s="42" t="s">
        <v>603</v>
      </c>
      <c r="C1776" s="18" t="s">
        <v>3405</v>
      </c>
      <c r="D1776" s="34">
        <v>43738</v>
      </c>
      <c r="E1776" s="141">
        <v>234923.61</v>
      </c>
      <c r="F1776" s="141">
        <v>234923.61</v>
      </c>
      <c r="G1776" s="149">
        <v>43906</v>
      </c>
      <c r="H1776" s="45" t="s">
        <v>118</v>
      </c>
    </row>
    <row r="1777" spans="1:8" ht="30" hidden="1" customHeight="1">
      <c r="A1777" s="42" t="s">
        <v>6017</v>
      </c>
      <c r="B1777" s="42" t="s">
        <v>412</v>
      </c>
      <c r="C1777" s="18" t="s">
        <v>3405</v>
      </c>
      <c r="D1777" s="34">
        <v>43738</v>
      </c>
      <c r="E1777" s="141">
        <v>765076.39</v>
      </c>
      <c r="F1777" s="141">
        <v>765076.39</v>
      </c>
      <c r="G1777" s="149">
        <v>43906</v>
      </c>
      <c r="H1777" s="45" t="s">
        <v>118</v>
      </c>
    </row>
    <row r="1778" spans="1:8" ht="30" hidden="1" customHeight="1">
      <c r="A1778" s="42" t="s">
        <v>6017</v>
      </c>
      <c r="B1778" s="42" t="s">
        <v>412</v>
      </c>
      <c r="C1778" s="18" t="s">
        <v>3405</v>
      </c>
      <c r="D1778" s="34">
        <v>43738</v>
      </c>
      <c r="E1778" s="141">
        <v>1000000</v>
      </c>
      <c r="F1778" s="141">
        <v>1000000</v>
      </c>
      <c r="G1778" s="149">
        <v>43901</v>
      </c>
      <c r="H1778" s="45" t="s">
        <v>118</v>
      </c>
    </row>
    <row r="1779" spans="1:8" ht="30" hidden="1" customHeight="1">
      <c r="A1779" s="42" t="s">
        <v>6018</v>
      </c>
      <c r="B1779" s="42" t="s">
        <v>412</v>
      </c>
      <c r="C1779" s="18" t="s">
        <v>4795</v>
      </c>
      <c r="D1779" s="34">
        <v>43734</v>
      </c>
      <c r="E1779" s="141">
        <v>2000000</v>
      </c>
      <c r="F1779" s="141"/>
      <c r="H1779" s="45" t="s">
        <v>118</v>
      </c>
    </row>
    <row r="1780" spans="1:8" ht="30" hidden="1" customHeight="1">
      <c r="A1780" s="42" t="s">
        <v>6018</v>
      </c>
      <c r="B1780" s="42" t="s">
        <v>412</v>
      </c>
      <c r="C1780" s="18" t="s">
        <v>4795</v>
      </c>
      <c r="D1780" s="34">
        <v>43735</v>
      </c>
      <c r="E1780" s="141">
        <v>2000000</v>
      </c>
      <c r="F1780" s="141"/>
      <c r="H1780" s="45" t="s">
        <v>118</v>
      </c>
    </row>
    <row r="1781" spans="1:8" ht="30" customHeight="1">
      <c r="A1781" s="42" t="s">
        <v>6019</v>
      </c>
      <c r="B1781" s="42" t="s">
        <v>194</v>
      </c>
      <c r="C1781" s="18" t="s">
        <v>5716</v>
      </c>
      <c r="D1781" s="34">
        <v>43734</v>
      </c>
      <c r="E1781" s="141">
        <v>2000000</v>
      </c>
      <c r="F1781" s="141"/>
      <c r="H1781" s="45" t="s">
        <v>119</v>
      </c>
    </row>
    <row r="1782" spans="1:8" ht="30" customHeight="1">
      <c r="A1782" s="42" t="s">
        <v>6019</v>
      </c>
      <c r="B1782" s="42" t="s">
        <v>194</v>
      </c>
      <c r="C1782" s="18" t="s">
        <v>5716</v>
      </c>
      <c r="D1782" s="34">
        <v>43735</v>
      </c>
      <c r="E1782" s="141">
        <v>2000000</v>
      </c>
      <c r="F1782" s="141"/>
      <c r="H1782" s="45" t="s">
        <v>119</v>
      </c>
    </row>
    <row r="1783" spans="1:8" ht="30" customHeight="1">
      <c r="A1783" s="42" t="s">
        <v>6027</v>
      </c>
      <c r="B1783" s="42" t="s">
        <v>194</v>
      </c>
      <c r="C1783" s="18" t="s">
        <v>3133</v>
      </c>
      <c r="D1783" s="34">
        <v>43735</v>
      </c>
      <c r="E1783" s="141">
        <v>3196800</v>
      </c>
      <c r="F1783" s="141"/>
      <c r="H1783" s="45" t="s">
        <v>119</v>
      </c>
    </row>
    <row r="1784" spans="1:8" ht="30" customHeight="1">
      <c r="A1784" s="42" t="s">
        <v>5995</v>
      </c>
      <c r="B1784" s="42" t="s">
        <v>194</v>
      </c>
      <c r="C1784" s="18" t="s">
        <v>4795</v>
      </c>
      <c r="D1784" s="34">
        <v>43732</v>
      </c>
      <c r="E1784" s="141">
        <v>1200000</v>
      </c>
      <c r="F1784" s="141"/>
      <c r="H1784" s="45" t="s">
        <v>119</v>
      </c>
    </row>
    <row r="1785" spans="1:8" ht="30" customHeight="1">
      <c r="A1785" s="42" t="s">
        <v>5973</v>
      </c>
      <c r="B1785" s="42" t="s">
        <v>603</v>
      </c>
      <c r="C1785" s="18" t="s">
        <v>5787</v>
      </c>
      <c r="D1785" s="34">
        <v>43738</v>
      </c>
      <c r="E1785" s="141">
        <v>1000000</v>
      </c>
      <c r="F1785" s="141">
        <v>1000000</v>
      </c>
      <c r="G1785" s="149">
        <v>43906</v>
      </c>
      <c r="H1785" s="45" t="s">
        <v>119</v>
      </c>
    </row>
    <row r="1786" spans="1:8" ht="30" customHeight="1">
      <c r="A1786" s="42" t="s">
        <v>5973</v>
      </c>
      <c r="B1786" s="42" t="s">
        <v>603</v>
      </c>
      <c r="C1786" s="18" t="s">
        <v>5787</v>
      </c>
      <c r="D1786" s="34">
        <v>43738</v>
      </c>
      <c r="E1786" s="141">
        <v>1000000</v>
      </c>
      <c r="F1786" s="141">
        <v>1000000</v>
      </c>
      <c r="G1786" s="149">
        <v>43901</v>
      </c>
      <c r="H1786" s="45" t="s">
        <v>119</v>
      </c>
    </row>
    <row r="1787" spans="1:8" ht="30" hidden="1" customHeight="1">
      <c r="A1787" s="42" t="s">
        <v>6018</v>
      </c>
      <c r="B1787" s="42" t="s">
        <v>412</v>
      </c>
      <c r="C1787" s="18" t="s">
        <v>4795</v>
      </c>
      <c r="D1787" s="34">
        <v>43747</v>
      </c>
      <c r="E1787" s="141">
        <v>2041600</v>
      </c>
      <c r="F1787" s="141"/>
      <c r="H1787" s="45" t="s">
        <v>118</v>
      </c>
    </row>
    <row r="1788" spans="1:8" ht="30" customHeight="1">
      <c r="A1788" s="42" t="s">
        <v>6029</v>
      </c>
      <c r="B1788" s="42" t="s">
        <v>194</v>
      </c>
      <c r="C1788" s="18" t="s">
        <v>5716</v>
      </c>
      <c r="D1788" s="34">
        <v>43747</v>
      </c>
      <c r="E1788" s="141">
        <v>1857280</v>
      </c>
      <c r="F1788" s="141"/>
      <c r="H1788" s="45" t="s">
        <v>119</v>
      </c>
    </row>
    <row r="1789" spans="1:8" ht="30" customHeight="1">
      <c r="A1789" s="42" t="s">
        <v>6034</v>
      </c>
      <c r="B1789" s="42" t="s">
        <v>603</v>
      </c>
      <c r="C1789" s="18" t="s">
        <v>5787</v>
      </c>
      <c r="D1789" s="34">
        <v>43748</v>
      </c>
      <c r="E1789" s="141">
        <v>-1850000</v>
      </c>
      <c r="F1789" s="141"/>
      <c r="H1789" s="45" t="s">
        <v>118</v>
      </c>
    </row>
    <row r="1790" spans="1:8" ht="30" customHeight="1">
      <c r="A1790" s="42" t="s">
        <v>6034</v>
      </c>
      <c r="B1790" s="42" t="s">
        <v>603</v>
      </c>
      <c r="C1790" s="18" t="s">
        <v>5787</v>
      </c>
      <c r="D1790" s="34">
        <v>43748</v>
      </c>
      <c r="E1790" s="141">
        <v>1000000</v>
      </c>
      <c r="F1790" s="141">
        <v>1000000</v>
      </c>
      <c r="G1790" s="149">
        <v>43908</v>
      </c>
      <c r="H1790" s="45" t="s">
        <v>119</v>
      </c>
    </row>
    <row r="1791" spans="1:8" ht="30" customHeight="1">
      <c r="A1791" s="42" t="s">
        <v>6035</v>
      </c>
      <c r="B1791" s="42" t="s">
        <v>603</v>
      </c>
      <c r="C1791" s="18" t="s">
        <v>5787</v>
      </c>
      <c r="D1791" s="34">
        <v>43748</v>
      </c>
      <c r="E1791" s="141">
        <v>1000000</v>
      </c>
      <c r="F1791" s="141">
        <v>1000000</v>
      </c>
      <c r="G1791" s="149">
        <v>43908</v>
      </c>
      <c r="H1791" s="45" t="s">
        <v>119</v>
      </c>
    </row>
    <row r="1792" spans="1:8" ht="30" customHeight="1">
      <c r="A1792" s="42" t="s">
        <v>6034</v>
      </c>
      <c r="B1792" s="42" t="s">
        <v>603</v>
      </c>
      <c r="C1792" s="18" t="s">
        <v>5787</v>
      </c>
      <c r="D1792" s="34">
        <v>43748</v>
      </c>
      <c r="E1792" s="141">
        <v>765744.65</v>
      </c>
      <c r="F1792" s="141">
        <v>765744.65</v>
      </c>
      <c r="G1792" s="149">
        <v>43901</v>
      </c>
      <c r="H1792" s="45" t="s">
        <v>119</v>
      </c>
    </row>
    <row r="1793" spans="1:8" ht="30" customHeight="1">
      <c r="A1793" s="42" t="s">
        <v>6035</v>
      </c>
      <c r="B1793" s="42" t="s">
        <v>603</v>
      </c>
      <c r="C1793" s="18" t="s">
        <v>5787</v>
      </c>
      <c r="D1793" s="34">
        <v>43748</v>
      </c>
      <c r="E1793" s="141">
        <v>234255.35</v>
      </c>
      <c r="F1793" s="141">
        <v>234255.35</v>
      </c>
      <c r="G1793" s="149">
        <v>43901</v>
      </c>
      <c r="H1793" s="45" t="s">
        <v>119</v>
      </c>
    </row>
    <row r="1794" spans="1:8" ht="30" hidden="1" customHeight="1">
      <c r="A1794" s="42" t="s">
        <v>6036</v>
      </c>
      <c r="B1794" s="42" t="s">
        <v>412</v>
      </c>
      <c r="C1794" s="18" t="s">
        <v>3043</v>
      </c>
      <c r="D1794" s="34">
        <v>43748</v>
      </c>
      <c r="E1794" s="141">
        <v>1000000</v>
      </c>
      <c r="F1794" s="141">
        <v>1000000</v>
      </c>
      <c r="G1794" s="149">
        <v>43908</v>
      </c>
      <c r="H1794" s="45" t="s">
        <v>118</v>
      </c>
    </row>
    <row r="1795" spans="1:8" ht="30" hidden="1" customHeight="1">
      <c r="A1795" s="42" t="s">
        <v>6036</v>
      </c>
      <c r="B1795" s="42" t="s">
        <v>412</v>
      </c>
      <c r="C1795" s="18" t="s">
        <v>3043</v>
      </c>
      <c r="D1795" s="34">
        <v>43748</v>
      </c>
      <c r="E1795" s="141">
        <v>1000000</v>
      </c>
      <c r="F1795" s="141">
        <v>1000000</v>
      </c>
      <c r="G1795" s="149">
        <v>43908</v>
      </c>
      <c r="H1795" s="45" t="s">
        <v>118</v>
      </c>
    </row>
    <row r="1796" spans="1:8" ht="30" hidden="1" customHeight="1">
      <c r="A1796" s="42" t="s">
        <v>6036</v>
      </c>
      <c r="B1796" s="42" t="s">
        <v>412</v>
      </c>
      <c r="C1796" s="18" t="s">
        <v>3043</v>
      </c>
      <c r="D1796" s="34">
        <v>43748</v>
      </c>
      <c r="E1796" s="141">
        <v>1000000</v>
      </c>
      <c r="F1796" s="141">
        <v>1000000</v>
      </c>
      <c r="G1796" s="149">
        <v>43901</v>
      </c>
      <c r="H1796" s="45" t="s">
        <v>118</v>
      </c>
    </row>
    <row r="1797" spans="1:8" ht="30" hidden="1" customHeight="1">
      <c r="A1797" s="42" t="s">
        <v>6000</v>
      </c>
      <c r="B1797" s="42" t="s">
        <v>412</v>
      </c>
      <c r="C1797" s="18" t="s">
        <v>3405</v>
      </c>
      <c r="D1797" s="34">
        <v>43749</v>
      </c>
      <c r="E1797" s="141">
        <v>1866271.85</v>
      </c>
      <c r="F1797" s="141">
        <v>1866271.85</v>
      </c>
      <c r="G1797" s="149">
        <v>43930</v>
      </c>
      <c r="H1797" s="45" t="s">
        <v>118</v>
      </c>
    </row>
    <row r="1798" spans="1:8" ht="30" customHeight="1">
      <c r="A1798" s="42" t="s">
        <v>6013</v>
      </c>
      <c r="B1798" s="42" t="s">
        <v>603</v>
      </c>
      <c r="C1798" s="18" t="s">
        <v>3405</v>
      </c>
      <c r="D1798" s="34">
        <v>43749</v>
      </c>
      <c r="E1798" s="141">
        <v>2133728.15</v>
      </c>
      <c r="F1798" s="141">
        <v>2133728.15</v>
      </c>
      <c r="G1798" s="149">
        <v>43930</v>
      </c>
      <c r="H1798" s="45" t="s">
        <v>118</v>
      </c>
    </row>
    <row r="1799" spans="1:8" ht="30" customHeight="1">
      <c r="A1799" s="42" t="s">
        <v>5967</v>
      </c>
      <c r="B1799" s="42" t="s">
        <v>194</v>
      </c>
      <c r="C1799" s="18" t="s">
        <v>5655</v>
      </c>
      <c r="D1799" s="34">
        <v>43749</v>
      </c>
      <c r="E1799" s="141">
        <v>17744</v>
      </c>
      <c r="F1799" s="141"/>
      <c r="H1799" s="45" t="s">
        <v>5637</v>
      </c>
    </row>
    <row r="1800" spans="1:8" ht="30" customHeight="1">
      <c r="A1800" s="42" t="s">
        <v>6039</v>
      </c>
      <c r="B1800" s="42" t="s">
        <v>194</v>
      </c>
      <c r="C1800" s="18" t="s">
        <v>5655</v>
      </c>
      <c r="D1800" s="34">
        <v>43749</v>
      </c>
      <c r="E1800" s="141">
        <v>2150400</v>
      </c>
      <c r="F1800" s="141"/>
      <c r="H1800" s="45" t="s">
        <v>5637</v>
      </c>
    </row>
    <row r="1801" spans="1:8" ht="30" customHeight="1">
      <c r="A1801" s="42" t="s">
        <v>6047</v>
      </c>
      <c r="B1801" s="42" t="s">
        <v>603</v>
      </c>
      <c r="C1801" s="18" t="s">
        <v>3405</v>
      </c>
      <c r="D1801" s="34">
        <v>43763</v>
      </c>
      <c r="E1801" s="141">
        <v>1000000</v>
      </c>
      <c r="F1801" s="141">
        <v>1000000</v>
      </c>
      <c r="G1801" s="149">
        <v>43944</v>
      </c>
      <c r="H1801" s="45" t="s">
        <v>118</v>
      </c>
    </row>
    <row r="1802" spans="1:8" ht="30" customHeight="1">
      <c r="A1802" s="42" t="s">
        <v>6047</v>
      </c>
      <c r="B1802" s="42" t="s">
        <v>603</v>
      </c>
      <c r="C1802" s="18" t="s">
        <v>3405</v>
      </c>
      <c r="D1802" s="34">
        <v>43763</v>
      </c>
      <c r="E1802" s="141">
        <v>724751.81</v>
      </c>
      <c r="F1802" s="141">
        <v>724751.81</v>
      </c>
      <c r="G1802" s="149">
        <v>43950</v>
      </c>
      <c r="H1802" s="45" t="s">
        <v>118</v>
      </c>
    </row>
    <row r="1803" spans="1:8" ht="30" hidden="1" customHeight="1">
      <c r="A1803" s="42" t="s">
        <v>6048</v>
      </c>
      <c r="B1803" s="42" t="s">
        <v>412</v>
      </c>
      <c r="C1803" s="18" t="s">
        <v>3405</v>
      </c>
      <c r="D1803" s="34">
        <v>43763</v>
      </c>
      <c r="E1803" s="141">
        <v>1275248.19</v>
      </c>
      <c r="F1803" s="141">
        <v>1275248.19</v>
      </c>
      <c r="G1803" s="149">
        <v>43950</v>
      </c>
      <c r="H1803" s="45" t="s">
        <v>118</v>
      </c>
    </row>
    <row r="1804" spans="1:8" ht="30" hidden="1" customHeight="1">
      <c r="A1804" s="42" t="s">
        <v>6055</v>
      </c>
      <c r="B1804" s="42" t="s">
        <v>412</v>
      </c>
      <c r="C1804" s="18" t="s">
        <v>3405</v>
      </c>
      <c r="D1804" s="34">
        <v>43768</v>
      </c>
      <c r="E1804" s="141">
        <v>500000</v>
      </c>
      <c r="F1804" s="141">
        <v>500000</v>
      </c>
      <c r="G1804" s="149">
        <v>43937</v>
      </c>
      <c r="H1804" s="45" t="s">
        <v>118</v>
      </c>
    </row>
    <row r="1805" spans="1:8" ht="30" hidden="1" customHeight="1">
      <c r="A1805" s="42" t="s">
        <v>6055</v>
      </c>
      <c r="B1805" s="42" t="s">
        <v>412</v>
      </c>
      <c r="C1805" s="18" t="s">
        <v>3405</v>
      </c>
      <c r="D1805" s="34">
        <v>43768</v>
      </c>
      <c r="E1805" s="141">
        <v>500000</v>
      </c>
      <c r="F1805" s="141">
        <v>500000</v>
      </c>
      <c r="G1805" s="149">
        <v>43937</v>
      </c>
      <c r="H1805" s="45" t="s">
        <v>118</v>
      </c>
    </row>
    <row r="1806" spans="1:8" ht="30" customHeight="1">
      <c r="A1806" s="42" t="s">
        <v>6056</v>
      </c>
      <c r="B1806" s="42" t="s">
        <v>603</v>
      </c>
      <c r="C1806" s="18" t="s">
        <v>5787</v>
      </c>
      <c r="D1806" s="34">
        <v>43768</v>
      </c>
      <c r="E1806" s="141">
        <v>500000</v>
      </c>
      <c r="F1806" s="141">
        <v>500000</v>
      </c>
      <c r="G1806" s="149">
        <v>43937</v>
      </c>
      <c r="H1806" s="45" t="s">
        <v>119</v>
      </c>
    </row>
    <row r="1807" spans="1:8" ht="30" customHeight="1">
      <c r="A1807" s="42" t="s">
        <v>6056</v>
      </c>
      <c r="B1807" s="42" t="s">
        <v>603</v>
      </c>
      <c r="C1807" s="18" t="s">
        <v>5787</v>
      </c>
      <c r="D1807" s="34">
        <v>43768</v>
      </c>
      <c r="E1807" s="141">
        <v>500000</v>
      </c>
      <c r="F1807" s="141">
        <v>500000</v>
      </c>
      <c r="G1807" s="149">
        <v>43937</v>
      </c>
      <c r="H1807" s="45" t="s">
        <v>119</v>
      </c>
    </row>
    <row r="1808" spans="1:8" ht="30" customHeight="1">
      <c r="A1808" s="42" t="s">
        <v>6057</v>
      </c>
      <c r="B1808" s="42" t="s">
        <v>194</v>
      </c>
      <c r="C1808" s="18" t="s">
        <v>4795</v>
      </c>
      <c r="D1808" s="34">
        <v>43766</v>
      </c>
      <c r="E1808" s="141">
        <v>1000000</v>
      </c>
      <c r="F1808" s="141">
        <v>1000000</v>
      </c>
      <c r="G1808" s="149">
        <v>43944</v>
      </c>
      <c r="H1808" s="45" t="s">
        <v>119</v>
      </c>
    </row>
    <row r="1809" spans="1:8" ht="30" customHeight="1">
      <c r="A1809" s="42" t="s">
        <v>6065</v>
      </c>
      <c r="B1809" s="42" t="s">
        <v>6066</v>
      </c>
      <c r="C1809" s="18" t="s">
        <v>5655</v>
      </c>
      <c r="D1809" s="34">
        <v>43781</v>
      </c>
      <c r="E1809" s="141">
        <v>-19200</v>
      </c>
      <c r="F1809" s="141"/>
      <c r="H1809" s="45" t="s">
        <v>5637</v>
      </c>
    </row>
    <row r="1810" spans="1:8" ht="30" customHeight="1">
      <c r="A1810" s="42" t="s">
        <v>6067</v>
      </c>
      <c r="B1810" s="42" t="s">
        <v>6066</v>
      </c>
      <c r="C1810" s="18" t="s">
        <v>5655</v>
      </c>
      <c r="D1810" s="34">
        <v>43781</v>
      </c>
      <c r="E1810" s="141">
        <v>19200</v>
      </c>
      <c r="F1810" s="141"/>
      <c r="H1810" s="45" t="s">
        <v>5637</v>
      </c>
    </row>
    <row r="1811" spans="1:8" ht="30" hidden="1" customHeight="1">
      <c r="A1811" s="42" t="s">
        <v>6069</v>
      </c>
      <c r="B1811" s="42" t="s">
        <v>412</v>
      </c>
      <c r="C1811" s="18" t="s">
        <v>3043</v>
      </c>
      <c r="D1811" s="34">
        <v>43781</v>
      </c>
      <c r="E1811" s="141">
        <v>200000</v>
      </c>
      <c r="F1811" s="141">
        <v>200000</v>
      </c>
      <c r="G1811" s="149">
        <v>43909</v>
      </c>
      <c r="H1811" s="45" t="s">
        <v>118</v>
      </c>
    </row>
    <row r="1812" spans="1:8" ht="30" hidden="1" customHeight="1">
      <c r="A1812" s="42" t="s">
        <v>6069</v>
      </c>
      <c r="B1812" s="42" t="s">
        <v>412</v>
      </c>
      <c r="C1812" s="18" t="s">
        <v>3043</v>
      </c>
      <c r="D1812" s="34">
        <v>43781</v>
      </c>
      <c r="E1812" s="141">
        <v>50000</v>
      </c>
      <c r="F1812" s="141">
        <v>50000</v>
      </c>
      <c r="G1812" s="149">
        <v>43880</v>
      </c>
      <c r="H1812" s="45" t="s">
        <v>118</v>
      </c>
    </row>
    <row r="1813" spans="1:8" ht="30" customHeight="1">
      <c r="A1813" s="42" t="s">
        <v>6072</v>
      </c>
      <c r="B1813" s="42" t="s">
        <v>6073</v>
      </c>
      <c r="C1813" s="18" t="s">
        <v>4240</v>
      </c>
      <c r="D1813" s="34">
        <v>43775</v>
      </c>
      <c r="E1813" s="141">
        <v>-103910.71</v>
      </c>
      <c r="F1813" s="141">
        <v>-103910.71</v>
      </c>
      <c r="G1813" s="149">
        <v>43937</v>
      </c>
      <c r="H1813" s="45" t="s">
        <v>118</v>
      </c>
    </row>
    <row r="1814" spans="1:8" ht="30" customHeight="1">
      <c r="A1814" s="42" t="s">
        <v>6074</v>
      </c>
      <c r="B1814" s="42" t="s">
        <v>6073</v>
      </c>
      <c r="C1814" s="18" t="s">
        <v>4240</v>
      </c>
      <c r="D1814" s="34">
        <v>43775</v>
      </c>
      <c r="E1814" s="141">
        <v>103910.71</v>
      </c>
      <c r="F1814" s="141">
        <v>103910.71</v>
      </c>
      <c r="G1814" s="149">
        <v>43937</v>
      </c>
      <c r="H1814" s="45" t="s">
        <v>119</v>
      </c>
    </row>
    <row r="1815" spans="1:8" ht="30" customHeight="1">
      <c r="A1815" s="42" t="s">
        <v>6075</v>
      </c>
      <c r="B1815" s="42" t="s">
        <v>6076</v>
      </c>
      <c r="C1815" s="18" t="s">
        <v>5655</v>
      </c>
      <c r="D1815" s="34">
        <v>43782</v>
      </c>
      <c r="E1815" s="141">
        <v>2073600</v>
      </c>
      <c r="F1815" s="141"/>
      <c r="H1815" s="45" t="s">
        <v>5637</v>
      </c>
    </row>
    <row r="1816" spans="1:8" ht="30" customHeight="1">
      <c r="A1816" s="42" t="s">
        <v>6074</v>
      </c>
      <c r="B1816" s="42" t="s">
        <v>603</v>
      </c>
      <c r="C1816" s="18" t="s">
        <v>4240</v>
      </c>
      <c r="D1816" s="34">
        <v>43783</v>
      </c>
      <c r="E1816" s="141">
        <v>200000</v>
      </c>
      <c r="F1816" s="141">
        <v>200000</v>
      </c>
      <c r="G1816" s="149">
        <v>43909</v>
      </c>
      <c r="H1816" s="45" t="s">
        <v>119</v>
      </c>
    </row>
    <row r="1817" spans="1:8" ht="30" customHeight="1">
      <c r="A1817" s="42" t="s">
        <v>6074</v>
      </c>
      <c r="B1817" s="42" t="s">
        <v>603</v>
      </c>
      <c r="C1817" s="18" t="s">
        <v>4240</v>
      </c>
      <c r="D1817" s="34">
        <v>43783</v>
      </c>
      <c r="E1817" s="141">
        <v>50000</v>
      </c>
      <c r="F1817" s="141">
        <v>50000</v>
      </c>
      <c r="G1817" s="149">
        <v>43880</v>
      </c>
      <c r="H1817" s="45" t="s">
        <v>119</v>
      </c>
    </row>
    <row r="1818" spans="1:8" ht="30" customHeight="1">
      <c r="A1818" s="42" t="s">
        <v>6074</v>
      </c>
      <c r="B1818" s="42" t="s">
        <v>603</v>
      </c>
      <c r="C1818" s="18" t="s">
        <v>4240</v>
      </c>
      <c r="D1818" s="34">
        <v>43783</v>
      </c>
      <c r="E1818" s="141">
        <v>520000</v>
      </c>
      <c r="F1818" s="141"/>
      <c r="H1818" s="45" t="s">
        <v>119</v>
      </c>
    </row>
    <row r="1819" spans="1:8" ht="30" customHeight="1">
      <c r="A1819" s="42" t="s">
        <v>6042</v>
      </c>
      <c r="B1819" s="42" t="s">
        <v>412</v>
      </c>
      <c r="C1819" s="18" t="s">
        <v>3405</v>
      </c>
      <c r="D1819" s="34">
        <v>43795</v>
      </c>
      <c r="E1819" s="141">
        <v>247878.29</v>
      </c>
      <c r="F1819" s="141">
        <v>247878.29</v>
      </c>
      <c r="G1819" s="149">
        <v>43972</v>
      </c>
      <c r="H1819" s="45" t="s">
        <v>118</v>
      </c>
    </row>
    <row r="1820" spans="1:8" ht="30" customHeight="1">
      <c r="A1820" s="42" t="s">
        <v>6059</v>
      </c>
      <c r="B1820" s="42" t="s">
        <v>412</v>
      </c>
      <c r="C1820" s="18" t="s">
        <v>3405</v>
      </c>
      <c r="D1820" s="34">
        <v>43795</v>
      </c>
      <c r="E1820" s="141">
        <v>2173880.11</v>
      </c>
      <c r="F1820" s="141">
        <v>2173880.11</v>
      </c>
      <c r="G1820" s="149">
        <v>43972</v>
      </c>
      <c r="H1820" s="45" t="s">
        <v>118</v>
      </c>
    </row>
    <row r="1821" spans="1:8" ht="30" customHeight="1">
      <c r="A1821" s="42" t="s">
        <v>6060</v>
      </c>
      <c r="B1821" s="42" t="s">
        <v>412</v>
      </c>
      <c r="C1821" s="18" t="s">
        <v>3405</v>
      </c>
      <c r="D1821" s="34">
        <v>43795</v>
      </c>
      <c r="E1821" s="141">
        <v>1178241.6000000001</v>
      </c>
      <c r="F1821" s="141">
        <v>1178241.6000000001</v>
      </c>
      <c r="G1821" s="149">
        <v>43972</v>
      </c>
      <c r="H1821" s="45" t="s">
        <v>118</v>
      </c>
    </row>
    <row r="1822" spans="1:8" ht="30" customHeight="1">
      <c r="A1822" s="42" t="s">
        <v>6060</v>
      </c>
      <c r="B1822" s="42" t="s">
        <v>412</v>
      </c>
      <c r="C1822" s="18" t="s">
        <v>3405</v>
      </c>
      <c r="D1822" s="34">
        <v>43795</v>
      </c>
      <c r="E1822" s="141">
        <v>150000</v>
      </c>
      <c r="F1822" s="141">
        <v>150000</v>
      </c>
      <c r="G1822" s="149">
        <v>43969</v>
      </c>
      <c r="H1822" s="45" t="s">
        <v>118</v>
      </c>
    </row>
    <row r="1823" spans="1:8" ht="30" customHeight="1">
      <c r="A1823" s="42" t="s">
        <v>6060</v>
      </c>
      <c r="B1823" s="42" t="s">
        <v>412</v>
      </c>
      <c r="C1823" s="18" t="s">
        <v>3405</v>
      </c>
      <c r="D1823" s="34">
        <v>43795</v>
      </c>
      <c r="E1823" s="141">
        <v>60000</v>
      </c>
      <c r="F1823" s="141">
        <v>60000</v>
      </c>
      <c r="G1823" s="149">
        <v>43965</v>
      </c>
      <c r="H1823" s="45" t="s">
        <v>118</v>
      </c>
    </row>
    <row r="1824" spans="1:8" ht="30" customHeight="1">
      <c r="A1824" s="42" t="s">
        <v>6060</v>
      </c>
      <c r="B1824" s="42" t="s">
        <v>412</v>
      </c>
      <c r="C1824" s="18" t="s">
        <v>3405</v>
      </c>
      <c r="D1824" s="34">
        <v>43795</v>
      </c>
      <c r="E1824" s="141">
        <v>20000</v>
      </c>
      <c r="F1824" s="141">
        <v>20000</v>
      </c>
      <c r="G1824" s="149">
        <v>43958</v>
      </c>
      <c r="H1824" s="45" t="s">
        <v>118</v>
      </c>
    </row>
    <row r="1825" spans="1:8" ht="30" customHeight="1">
      <c r="A1825" s="42" t="s">
        <v>6060</v>
      </c>
      <c r="B1825" s="42" t="s">
        <v>412</v>
      </c>
      <c r="C1825" s="18" t="s">
        <v>3405</v>
      </c>
      <c r="D1825" s="34">
        <v>43795</v>
      </c>
      <c r="E1825" s="141">
        <v>170000</v>
      </c>
      <c r="F1825" s="141">
        <v>170000</v>
      </c>
      <c r="G1825" s="149">
        <v>43962</v>
      </c>
      <c r="H1825" s="45" t="s">
        <v>118</v>
      </c>
    </row>
    <row r="1826" spans="1:8" ht="30" customHeight="1">
      <c r="A1826" s="42" t="s">
        <v>6057</v>
      </c>
      <c r="B1826" s="42" t="s">
        <v>194</v>
      </c>
      <c r="C1826" s="18" t="s">
        <v>4795</v>
      </c>
      <c r="D1826" s="34">
        <v>43796</v>
      </c>
      <c r="E1826" s="141">
        <v>3600000</v>
      </c>
      <c r="F1826" s="141">
        <v>3600000</v>
      </c>
      <c r="G1826" s="149">
        <v>43972</v>
      </c>
      <c r="H1826" s="45" t="s">
        <v>119</v>
      </c>
    </row>
    <row r="1827" spans="1:8" ht="30" customHeight="1">
      <c r="A1827" s="42" t="s">
        <v>6057</v>
      </c>
      <c r="B1827" s="42" t="s">
        <v>194</v>
      </c>
      <c r="C1827" s="18" t="s">
        <v>4795</v>
      </c>
      <c r="D1827" s="34">
        <v>43796</v>
      </c>
      <c r="E1827" s="141">
        <v>150000</v>
      </c>
      <c r="F1827" s="141">
        <v>150000</v>
      </c>
      <c r="G1827" s="149">
        <v>43969</v>
      </c>
      <c r="H1827" s="45" t="s">
        <v>119</v>
      </c>
    </row>
    <row r="1828" spans="1:8" ht="30" customHeight="1">
      <c r="A1828" s="42" t="s">
        <v>6057</v>
      </c>
      <c r="B1828" s="42" t="s">
        <v>194</v>
      </c>
      <c r="C1828" s="18" t="s">
        <v>4795</v>
      </c>
      <c r="D1828" s="34">
        <v>43796</v>
      </c>
      <c r="E1828" s="141">
        <v>60000</v>
      </c>
      <c r="F1828" s="141">
        <v>60000</v>
      </c>
      <c r="G1828" s="149">
        <v>43965</v>
      </c>
      <c r="H1828" s="45" t="s">
        <v>119</v>
      </c>
    </row>
    <row r="1829" spans="1:8" ht="30" customHeight="1">
      <c r="A1829" s="42" t="s">
        <v>6057</v>
      </c>
      <c r="B1829" s="42" t="s">
        <v>194</v>
      </c>
      <c r="C1829" s="18" t="s">
        <v>4795</v>
      </c>
      <c r="D1829" s="34">
        <v>43796</v>
      </c>
      <c r="E1829" s="141">
        <v>20000</v>
      </c>
      <c r="F1829" s="141">
        <v>20000</v>
      </c>
      <c r="G1829" s="149">
        <v>43958</v>
      </c>
      <c r="H1829" s="45" t="s">
        <v>119</v>
      </c>
    </row>
    <row r="1830" spans="1:8" ht="30" customHeight="1">
      <c r="A1830" s="42" t="s">
        <v>6057</v>
      </c>
      <c r="B1830" s="42" t="s">
        <v>194</v>
      </c>
      <c r="C1830" s="18" t="s">
        <v>4795</v>
      </c>
      <c r="D1830" s="34">
        <v>43796</v>
      </c>
      <c r="E1830" s="141">
        <v>170000</v>
      </c>
      <c r="F1830" s="141">
        <v>170000</v>
      </c>
      <c r="G1830" s="149">
        <v>43962</v>
      </c>
      <c r="H1830" s="45" t="s">
        <v>119</v>
      </c>
    </row>
    <row r="1831" spans="1:8" ht="30" customHeight="1">
      <c r="A1831" s="42" t="s">
        <v>6081</v>
      </c>
      <c r="B1831" s="42" t="s">
        <v>6082</v>
      </c>
      <c r="C1831" s="18" t="s">
        <v>3405</v>
      </c>
      <c r="D1831" s="34">
        <v>43801</v>
      </c>
      <c r="E1831" s="141">
        <v>2000000</v>
      </c>
      <c r="F1831" s="141">
        <v>2000000</v>
      </c>
      <c r="G1831" s="149">
        <v>44010</v>
      </c>
      <c r="H1831" s="45" t="s">
        <v>118</v>
      </c>
    </row>
    <row r="1832" spans="1:8" ht="30" customHeight="1">
      <c r="A1832" s="42" t="s">
        <v>6081</v>
      </c>
      <c r="B1832" s="42" t="s">
        <v>6082</v>
      </c>
      <c r="C1832" s="18" t="s">
        <v>3405</v>
      </c>
      <c r="D1832" s="34">
        <v>43801</v>
      </c>
      <c r="E1832" s="141">
        <v>1000000</v>
      </c>
      <c r="F1832" s="141">
        <v>1000000</v>
      </c>
      <c r="G1832" s="149">
        <v>44005</v>
      </c>
      <c r="H1832" s="45" t="s">
        <v>118</v>
      </c>
    </row>
    <row r="1833" spans="1:8" ht="30" customHeight="1">
      <c r="A1833" s="42" t="s">
        <v>6083</v>
      </c>
      <c r="B1833" s="42" t="s">
        <v>6085</v>
      </c>
      <c r="C1833" s="18" t="s">
        <v>4720</v>
      </c>
      <c r="D1833" s="34">
        <v>43801</v>
      </c>
      <c r="E1833" s="141">
        <v>1870000</v>
      </c>
      <c r="F1833" s="141">
        <v>1870000</v>
      </c>
      <c r="G1833" s="149">
        <v>44010</v>
      </c>
      <c r="H1833" s="45" t="s">
        <v>119</v>
      </c>
    </row>
    <row r="1834" spans="1:8" ht="30" customHeight="1">
      <c r="A1834" s="42" t="s">
        <v>6084</v>
      </c>
      <c r="B1834" s="42" t="s">
        <v>6085</v>
      </c>
      <c r="C1834" s="18" t="s">
        <v>4720</v>
      </c>
      <c r="D1834" s="34">
        <v>43801</v>
      </c>
      <c r="E1834" s="141">
        <v>130000</v>
      </c>
      <c r="F1834" s="141">
        <v>130000</v>
      </c>
      <c r="G1834" s="149">
        <v>44010</v>
      </c>
      <c r="H1834" s="45" t="s">
        <v>119</v>
      </c>
    </row>
    <row r="1835" spans="1:8" ht="30" customHeight="1">
      <c r="A1835" s="42" t="s">
        <v>6074</v>
      </c>
      <c r="B1835" s="42" t="s">
        <v>603</v>
      </c>
      <c r="C1835" s="18" t="s">
        <v>4240</v>
      </c>
      <c r="D1835" s="34">
        <v>43801</v>
      </c>
      <c r="E1835" s="141">
        <v>1000000</v>
      </c>
      <c r="F1835" s="141">
        <v>1000000</v>
      </c>
      <c r="G1835" s="149">
        <v>44005</v>
      </c>
      <c r="H1835" s="45" t="s">
        <v>119</v>
      </c>
    </row>
    <row r="1836" spans="1:8" ht="30" customHeight="1">
      <c r="A1836" s="42"/>
      <c r="B1836" s="42"/>
      <c r="C1836" s="18"/>
      <c r="D1836" s="34"/>
      <c r="E1836" s="141"/>
      <c r="F1836" s="141"/>
    </row>
    <row r="1837" spans="1:8" ht="30" customHeight="1">
      <c r="A1837" s="42"/>
      <c r="B1837" s="42"/>
      <c r="C1837" s="18"/>
      <c r="D1837" s="34"/>
      <c r="E1837" s="141"/>
      <c r="F1837" s="141"/>
    </row>
    <row r="1838" spans="1:8" ht="30" customHeight="1">
      <c r="A1838" s="42"/>
      <c r="B1838" s="42"/>
      <c r="C1838" s="18"/>
      <c r="D1838" s="34"/>
      <c r="E1838" s="141"/>
      <c r="F1838" s="141"/>
    </row>
    <row r="1839" spans="1:8" ht="30" customHeight="1">
      <c r="A1839" s="42"/>
      <c r="B1839" s="42"/>
      <c r="C1839" s="18"/>
      <c r="D1839" s="34"/>
      <c r="E1839" s="141"/>
      <c r="F1839" s="141"/>
    </row>
    <row r="1840" spans="1:8" ht="30" customHeight="1">
      <c r="A1840" s="42"/>
      <c r="B1840" s="42"/>
      <c r="C1840" s="18"/>
      <c r="D1840" s="34"/>
      <c r="E1840" s="141"/>
      <c r="F1840" s="141"/>
    </row>
    <row r="1841" spans="1:6" ht="30" customHeight="1">
      <c r="A1841" s="42"/>
      <c r="B1841" s="42"/>
      <c r="C1841" s="18"/>
      <c r="D1841" s="34"/>
      <c r="E1841" s="141"/>
      <c r="F1841" s="141"/>
    </row>
    <row r="1842" spans="1:6" ht="30" customHeight="1">
      <c r="A1842" s="42"/>
      <c r="B1842" s="42"/>
      <c r="C1842" s="18"/>
      <c r="D1842" s="34"/>
      <c r="E1842" s="141"/>
      <c r="F1842" s="141"/>
    </row>
    <row r="1843" spans="1:6" ht="30" customHeight="1">
      <c r="A1843" s="42"/>
      <c r="B1843" s="42"/>
      <c r="C1843" s="18"/>
      <c r="D1843" s="34"/>
      <c r="E1843" s="141"/>
      <c r="F1843" s="141"/>
    </row>
    <row r="1844" spans="1:6" ht="30" customHeight="1">
      <c r="A1844" s="42"/>
      <c r="B1844" s="42"/>
      <c r="C1844" s="18"/>
      <c r="D1844" s="34"/>
      <c r="E1844" s="141"/>
      <c r="F1844" s="141"/>
    </row>
  </sheetData>
  <protectedRanges>
    <protectedRange password="C71F" sqref="D29:D30" name="区域1_1_47_1"/>
    <protectedRange sqref="A400" name="可编辑！"/>
    <protectedRange sqref="A686:A688" name="可编辑！_1"/>
    <protectedRange sqref="A844 A1060" name="可编辑！_2"/>
    <protectedRange sqref="A959:A966" name="可编辑！_4"/>
    <protectedRange sqref="A1032:A1035" name="可编辑！_11"/>
    <protectedRange sqref="A1036" name="可编辑！_11_1"/>
    <protectedRange sqref="A1037:A1050" name="可编辑！_12"/>
    <protectedRange sqref="A1097" name="可编辑！_20"/>
    <protectedRange sqref="A1098:A1099" name="可编辑！_21"/>
    <protectedRange sqref="A1100" name="可编辑！_22"/>
    <protectedRange sqref="A1102:A1103" name="可编辑！_24_1"/>
    <protectedRange sqref="B1113:B1120 B1133:B1134" name="可编辑！_23"/>
    <protectedRange sqref="A1113" name="可编辑！_25"/>
    <protectedRange sqref="A1132" name="可编辑！_3"/>
    <protectedRange sqref="A1152:A1163" name="可编辑！_28"/>
    <protectedRange sqref="A1181:A1186" name="可编辑！_37"/>
    <protectedRange sqref="A1207" name="可编辑！_38"/>
    <protectedRange sqref="A1208" name="可编辑！_38_1"/>
    <protectedRange sqref="A1209:A1210" name="可编辑！_40"/>
    <protectedRange sqref="A1241:A1249" name="可编辑！_41"/>
    <protectedRange sqref="A1270:A1274" name="可编辑！_44"/>
    <protectedRange sqref="A1295:A1296" name="可编辑！_5"/>
    <protectedRange sqref="A1343:B1343" name="可编辑！_6"/>
    <protectedRange sqref="A1344:B1344" name="可编辑！_7"/>
    <protectedRange password="C71F" sqref="D1357" name="区域1_1_44"/>
    <protectedRange password="C71F" sqref="D1358" name="区域1_1_44_1"/>
    <protectedRange password="C71F" sqref="E1356" name="区域1_1_44_2"/>
    <protectedRange password="C71F" sqref="E1358" name="区域1_1_45"/>
    <protectedRange password="C71F" sqref="D1362" name="区域1_1_47"/>
    <protectedRange password="C71F" sqref="D1363" name="区域1_1_47_2"/>
    <protectedRange password="C71F" sqref="E1370" name="区域1_1_45_1"/>
    <protectedRange password="C71F" sqref="D1370" name="区域1_1_44_1_2"/>
    <protectedRange sqref="A1377:B1386" name="可编辑！_47"/>
    <protectedRange sqref="A1387:B1396 B1397 A1398:B1398" name="可编辑！_48"/>
    <protectedRange sqref="A1440" name="可编辑！_8"/>
    <protectedRange sqref="A1464:A1468" name="可编辑！_54"/>
    <protectedRange sqref="B1464:B1468" name="可编辑！_54_1"/>
    <protectedRange sqref="A1469:B1471" name="可编辑！_54_2"/>
    <protectedRange sqref="A1483:A1486" name="可编辑！_9"/>
    <protectedRange sqref="A1542:B1545 B1546:B1548" name="可编辑！_65"/>
    <protectedRange sqref="A1553:A1559" name="可编辑！_66"/>
  </protectedRanges>
  <autoFilter ref="A1:L1815" xr:uid="{00000000-0009-0000-0000-000004000000}">
    <filterColumn colId="1">
      <filters>
        <filter val="硅锰"/>
        <filter val="锰片"/>
      </filters>
    </filterColumn>
  </autoFilter>
  <phoneticPr fontId="10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M250"/>
  <sheetViews>
    <sheetView workbookViewId="0">
      <pane ySplit="1" topLeftCell="A232" activePane="bottomLeft" state="frozen"/>
      <selection pane="bottomLeft" activeCell="F246" sqref="F246"/>
    </sheetView>
  </sheetViews>
  <sheetFormatPr defaultRowHeight="13.5"/>
  <cols>
    <col min="1" max="1" width="15.75" customWidth="1"/>
    <col min="2" max="2" width="12.25" customWidth="1"/>
    <col min="3" max="3" width="16.25" customWidth="1"/>
    <col min="4" max="4" width="22.625" customWidth="1"/>
    <col min="6" max="6" width="17.5" customWidth="1"/>
    <col min="7" max="7" width="18.125" bestFit="1" customWidth="1"/>
    <col min="8" max="8" width="16.125" customWidth="1"/>
    <col min="9" max="9" width="26.75" customWidth="1"/>
    <col min="10" max="10" width="14.125" customWidth="1"/>
    <col min="11" max="11" width="9.75" customWidth="1"/>
    <col min="12" max="12" width="4.625" customWidth="1"/>
    <col min="13" max="13" width="14.875" customWidth="1"/>
  </cols>
  <sheetData>
    <row r="1" spans="1:9" s="249" customFormat="1" ht="24.95" customHeight="1">
      <c r="A1" s="243" t="s">
        <v>246</v>
      </c>
      <c r="B1" s="76" t="s">
        <v>247</v>
      </c>
      <c r="C1" s="76" t="s">
        <v>248</v>
      </c>
      <c r="D1" s="244" t="s">
        <v>249</v>
      </c>
      <c r="E1" s="245" t="s">
        <v>250</v>
      </c>
      <c r="F1" s="246" t="s">
        <v>251</v>
      </c>
      <c r="G1" s="244" t="s">
        <v>252</v>
      </c>
      <c r="H1" s="247" t="s">
        <v>245</v>
      </c>
      <c r="I1" s="248" t="str">
        <f>HYPERLINK("#往来帐款明细表！A1","返回目录")</f>
        <v>返回目录</v>
      </c>
    </row>
    <row r="2" spans="1:9" s="251" customFormat="1" ht="15">
      <c r="A2" s="222">
        <v>42366</v>
      </c>
      <c r="B2" s="223" t="s">
        <v>245</v>
      </c>
      <c r="C2" s="219"/>
      <c r="D2" s="224"/>
      <c r="E2" s="225"/>
      <c r="F2" s="224"/>
      <c r="G2" s="226"/>
      <c r="H2" s="250">
        <v>634982.43800000485</v>
      </c>
    </row>
    <row r="3" spans="1:9" s="251" customFormat="1" ht="15">
      <c r="A3" s="222">
        <v>42373</v>
      </c>
      <c r="B3" s="223" t="s">
        <v>60</v>
      </c>
      <c r="C3" s="219" t="s">
        <v>242</v>
      </c>
      <c r="D3" s="224">
        <v>140.77969999999999</v>
      </c>
      <c r="E3" s="225"/>
      <c r="F3" s="224">
        <v>648853.64</v>
      </c>
      <c r="G3" s="226"/>
      <c r="H3" s="250">
        <f t="shared" ref="H3:H46" si="0">H2+F3-G3</f>
        <v>1283836.0780000049</v>
      </c>
    </row>
    <row r="4" spans="1:9" s="251" customFormat="1" ht="15">
      <c r="A4" s="222">
        <v>42373</v>
      </c>
      <c r="B4" s="223" t="s">
        <v>60</v>
      </c>
      <c r="C4" s="219" t="s">
        <v>243</v>
      </c>
      <c r="D4" s="224">
        <v>59.791800000000002</v>
      </c>
      <c r="E4" s="225"/>
      <c r="F4" s="224">
        <v>251544.1</v>
      </c>
      <c r="G4" s="226"/>
      <c r="H4" s="250">
        <f t="shared" si="0"/>
        <v>1535380.178000005</v>
      </c>
    </row>
    <row r="5" spans="1:9" s="251" customFormat="1" ht="15">
      <c r="A5" s="222">
        <v>42373</v>
      </c>
      <c r="B5" s="223" t="s">
        <v>60</v>
      </c>
      <c r="C5" s="219" t="s">
        <v>244</v>
      </c>
      <c r="D5" s="224">
        <v>1254.9032</v>
      </c>
      <c r="E5" s="225"/>
      <c r="F5" s="224">
        <v>5639641.8700000001</v>
      </c>
      <c r="G5" s="226"/>
      <c r="H5" s="250">
        <f t="shared" si="0"/>
        <v>7175022.0480000051</v>
      </c>
    </row>
    <row r="6" spans="1:9" s="251" customFormat="1" ht="15">
      <c r="A6" s="222">
        <v>42373</v>
      </c>
      <c r="B6" s="223" t="s">
        <v>98</v>
      </c>
      <c r="C6" s="219" t="s">
        <v>253</v>
      </c>
      <c r="D6" s="224">
        <v>5788.9731000000002</v>
      </c>
      <c r="E6" s="225"/>
      <c r="F6" s="224">
        <v>4837263.5999999996</v>
      </c>
      <c r="G6" s="226"/>
      <c r="H6" s="250">
        <f t="shared" si="0"/>
        <v>12012285.648000006</v>
      </c>
    </row>
    <row r="7" spans="1:9" s="251" customFormat="1" ht="15">
      <c r="A7" s="222">
        <v>42377</v>
      </c>
      <c r="B7" s="223" t="s">
        <v>98</v>
      </c>
      <c r="C7" s="219" t="s">
        <v>254</v>
      </c>
      <c r="D7" s="224">
        <v>2894.3571000000002</v>
      </c>
      <c r="E7" s="225"/>
      <c r="F7" s="224">
        <v>2429934.52</v>
      </c>
      <c r="G7" s="226"/>
      <c r="H7" s="250">
        <f>H6+F7-G7</f>
        <v>14442220.168000005</v>
      </c>
    </row>
    <row r="8" spans="1:9" s="251" customFormat="1" ht="15">
      <c r="A8" s="222">
        <v>42373</v>
      </c>
      <c r="B8" s="223" t="s">
        <v>93</v>
      </c>
      <c r="C8" s="219" t="s">
        <v>255</v>
      </c>
      <c r="D8" s="224">
        <v>3658.0315000000001</v>
      </c>
      <c r="E8" s="225"/>
      <c r="F8" s="224">
        <v>1057169.21</v>
      </c>
      <c r="G8" s="226"/>
      <c r="H8" s="250">
        <f t="shared" si="0"/>
        <v>15499389.378000006</v>
      </c>
    </row>
    <row r="9" spans="1:9" s="251" customFormat="1" ht="15">
      <c r="A9" s="222">
        <v>42381</v>
      </c>
      <c r="B9" s="223"/>
      <c r="C9" s="219"/>
      <c r="D9" s="224"/>
      <c r="E9" s="225"/>
      <c r="F9" s="224"/>
      <c r="G9" s="226">
        <v>6540039.6100000003</v>
      </c>
      <c r="H9" s="250">
        <f t="shared" si="0"/>
        <v>8959349.7680000067</v>
      </c>
    </row>
    <row r="10" spans="1:9" s="251" customFormat="1" ht="15">
      <c r="A10" s="222">
        <v>42381</v>
      </c>
      <c r="B10" s="223"/>
      <c r="C10" s="219"/>
      <c r="D10" s="224"/>
      <c r="E10" s="225"/>
      <c r="F10" s="224"/>
      <c r="G10" s="226">
        <v>459960.39</v>
      </c>
      <c r="H10" s="250">
        <f t="shared" si="0"/>
        <v>8499389.3780000061</v>
      </c>
    </row>
    <row r="11" spans="1:9" s="251" customFormat="1" ht="15">
      <c r="A11" s="222">
        <v>42380</v>
      </c>
      <c r="B11" s="223"/>
      <c r="C11" s="219"/>
      <c r="D11" s="224"/>
      <c r="E11" s="225"/>
      <c r="F11" s="224"/>
      <c r="G11" s="226">
        <v>7260000</v>
      </c>
      <c r="H11" s="250">
        <f t="shared" si="0"/>
        <v>1239389.3780000061</v>
      </c>
    </row>
    <row r="12" spans="1:9" s="251" customFormat="1" ht="15">
      <c r="A12" s="222">
        <v>42384</v>
      </c>
      <c r="B12" s="223" t="s">
        <v>60</v>
      </c>
      <c r="C12" s="219" t="s">
        <v>65</v>
      </c>
      <c r="D12" s="224">
        <v>180.6978</v>
      </c>
      <c r="E12" s="225"/>
      <c r="F12" s="224">
        <v>797692.02</v>
      </c>
      <c r="G12" s="226"/>
      <c r="H12" s="250">
        <f t="shared" si="0"/>
        <v>2037081.3980000061</v>
      </c>
    </row>
    <row r="13" spans="1:9" s="251" customFormat="1" ht="15">
      <c r="A13" s="222">
        <v>42384</v>
      </c>
      <c r="B13" s="223" t="s">
        <v>173</v>
      </c>
      <c r="C13" s="219" t="s">
        <v>172</v>
      </c>
      <c r="D13" s="224">
        <v>115.116</v>
      </c>
      <c r="E13" s="225"/>
      <c r="F13" s="224">
        <v>713719.2</v>
      </c>
      <c r="G13" s="226"/>
      <c r="H13" s="250">
        <f t="shared" si="0"/>
        <v>2750800.5980000058</v>
      </c>
    </row>
    <row r="14" spans="1:9" s="251" customFormat="1" ht="15">
      <c r="A14" s="222">
        <v>42384</v>
      </c>
      <c r="B14" s="223" t="s">
        <v>175</v>
      </c>
      <c r="C14" s="219" t="s">
        <v>174</v>
      </c>
      <c r="D14" s="224">
        <v>190.06800000000001</v>
      </c>
      <c r="E14" s="225"/>
      <c r="F14" s="224">
        <v>1938693.6</v>
      </c>
      <c r="G14" s="226"/>
      <c r="H14" s="250">
        <f t="shared" si="0"/>
        <v>4689494.1980000064</v>
      </c>
    </row>
    <row r="15" spans="1:9" s="251" customFormat="1" ht="15">
      <c r="A15" s="222">
        <v>42403</v>
      </c>
      <c r="B15" s="223"/>
      <c r="C15" s="219"/>
      <c r="D15" s="224"/>
      <c r="E15" s="225"/>
      <c r="F15" s="224"/>
      <c r="G15" s="226">
        <v>3450104.82</v>
      </c>
      <c r="H15" s="250">
        <f t="shared" si="0"/>
        <v>1239389.3780000065</v>
      </c>
    </row>
    <row r="16" spans="1:9" s="251" customFormat="1" ht="15">
      <c r="A16" s="222">
        <v>42403</v>
      </c>
      <c r="B16" s="223"/>
      <c r="C16" s="219"/>
      <c r="D16" s="224"/>
      <c r="E16" s="225"/>
      <c r="F16" s="224"/>
      <c r="G16" s="226">
        <v>1199895.18</v>
      </c>
      <c r="H16" s="250">
        <f t="shared" si="0"/>
        <v>39494.198000006611</v>
      </c>
    </row>
    <row r="17" spans="1:10" s="251" customFormat="1" ht="15">
      <c r="A17" s="222">
        <v>42403</v>
      </c>
      <c r="B17" s="223"/>
      <c r="C17" s="219" t="s">
        <v>305</v>
      </c>
      <c r="D17" s="224"/>
      <c r="E17" s="225"/>
      <c r="F17" s="226">
        <v>-26064</v>
      </c>
      <c r="G17" s="226"/>
      <c r="H17" s="250">
        <f t="shared" si="0"/>
        <v>13430.198000006611</v>
      </c>
    </row>
    <row r="18" spans="1:10" s="251" customFormat="1" ht="15">
      <c r="A18" s="222">
        <v>42403</v>
      </c>
      <c r="B18" s="223"/>
      <c r="C18" s="219" t="s">
        <v>306</v>
      </c>
      <c r="D18" s="224"/>
      <c r="E18" s="225"/>
      <c r="F18" s="226">
        <v>-5315.3</v>
      </c>
      <c r="G18" s="226"/>
      <c r="H18" s="250">
        <f t="shared" si="0"/>
        <v>8114.8980000066103</v>
      </c>
    </row>
    <row r="19" spans="1:10" s="251" customFormat="1" ht="15">
      <c r="A19" s="222">
        <v>42430</v>
      </c>
      <c r="B19" s="223" t="s">
        <v>541</v>
      </c>
      <c r="C19" s="219" t="s">
        <v>540</v>
      </c>
      <c r="D19" s="224">
        <v>5903.4044000000004</v>
      </c>
      <c r="E19" s="225"/>
      <c r="F19" s="224">
        <f>4623493.95+202155.29</f>
        <v>4825649.24</v>
      </c>
      <c r="G19" s="226"/>
      <c r="H19" s="250">
        <f t="shared" si="0"/>
        <v>4833764.1380000068</v>
      </c>
    </row>
    <row r="20" spans="1:10" s="251" customFormat="1" ht="15">
      <c r="A20" s="222">
        <v>42445</v>
      </c>
      <c r="B20" s="223"/>
      <c r="C20" s="219"/>
      <c r="D20" s="224"/>
      <c r="E20" s="225"/>
      <c r="F20" s="224"/>
      <c r="G20" s="226">
        <v>4820000</v>
      </c>
      <c r="H20" s="332">
        <f t="shared" si="0"/>
        <v>13764.138000006787</v>
      </c>
      <c r="I20" s="363">
        <v>8273.7900000000009</v>
      </c>
      <c r="J20" s="251" t="s">
        <v>3094</v>
      </c>
    </row>
    <row r="21" spans="1:10" s="251" customFormat="1" ht="15">
      <c r="A21" s="222">
        <v>42475</v>
      </c>
      <c r="B21" s="223" t="s">
        <v>60</v>
      </c>
      <c r="C21" s="219" t="s">
        <v>453</v>
      </c>
      <c r="D21" s="224">
        <v>1068.0696</v>
      </c>
      <c r="E21" s="225"/>
      <c r="F21" s="224">
        <v>5660768.8799999999</v>
      </c>
      <c r="G21" s="226"/>
      <c r="H21" s="250">
        <f t="shared" si="0"/>
        <v>5674533.0180000067</v>
      </c>
    </row>
    <row r="22" spans="1:10" s="251" customFormat="1" ht="15">
      <c r="A22" s="222">
        <v>42494</v>
      </c>
      <c r="B22" s="223"/>
      <c r="C22" s="219"/>
      <c r="D22" s="224"/>
      <c r="E22" s="225"/>
      <c r="F22" s="224"/>
      <c r="G22" s="364">
        <v>5000000</v>
      </c>
      <c r="H22" s="250">
        <f t="shared" si="0"/>
        <v>674533.01800000668</v>
      </c>
    </row>
    <row r="23" spans="1:10" s="251" customFormat="1" ht="15">
      <c r="A23" s="222">
        <v>42495</v>
      </c>
      <c r="B23" s="223" t="s">
        <v>60</v>
      </c>
      <c r="C23" s="219" t="s">
        <v>744</v>
      </c>
      <c r="D23" s="224">
        <v>386.91520000000003</v>
      </c>
      <c r="E23" s="225"/>
      <c r="F23" s="224">
        <v>2050650.56</v>
      </c>
      <c r="G23" s="226"/>
      <c r="H23" s="250">
        <f t="shared" si="0"/>
        <v>2725183.5780000067</v>
      </c>
    </row>
    <row r="24" spans="1:10" s="251" customFormat="1" ht="15">
      <c r="A24" s="222">
        <v>42495</v>
      </c>
      <c r="B24" s="223" t="s">
        <v>60</v>
      </c>
      <c r="C24" s="219" t="s">
        <v>745</v>
      </c>
      <c r="D24" s="224">
        <v>79.8964</v>
      </c>
      <c r="E24" s="225"/>
      <c r="F24" s="224">
        <v>467393.94</v>
      </c>
      <c r="G24" s="226"/>
      <c r="H24" s="250">
        <f t="shared" si="0"/>
        <v>3192577.5180000067</v>
      </c>
    </row>
    <row r="25" spans="1:10" s="251" customFormat="1" ht="15">
      <c r="A25" s="222">
        <v>42496</v>
      </c>
      <c r="B25" s="223" t="s">
        <v>1012</v>
      </c>
      <c r="C25" s="219" t="s">
        <v>1013</v>
      </c>
      <c r="D25" s="224">
        <v>790.11810000000003</v>
      </c>
      <c r="E25" s="225"/>
      <c r="F25" s="224">
        <v>4622190.8899999997</v>
      </c>
      <c r="G25" s="226"/>
      <c r="H25" s="250">
        <f t="shared" si="0"/>
        <v>7814768.4080000063</v>
      </c>
    </row>
    <row r="26" spans="1:10" s="251" customFormat="1" ht="15">
      <c r="A26" s="222">
        <v>42515</v>
      </c>
      <c r="B26" s="223"/>
      <c r="C26" s="219"/>
      <c r="D26" s="224"/>
      <c r="E26" s="225"/>
      <c r="F26" s="224"/>
      <c r="G26" s="364">
        <v>7500000</v>
      </c>
      <c r="H26" s="250">
        <f t="shared" si="0"/>
        <v>314768.40800000634</v>
      </c>
    </row>
    <row r="27" spans="1:10" s="251" customFormat="1" ht="15">
      <c r="A27" s="222">
        <v>42523</v>
      </c>
      <c r="B27" s="223" t="s">
        <v>1012</v>
      </c>
      <c r="C27" s="219" t="s">
        <v>1014</v>
      </c>
      <c r="D27" s="224">
        <v>698.90329999999994</v>
      </c>
      <c r="E27" s="225"/>
      <c r="F27" s="224">
        <v>4088584.31</v>
      </c>
      <c r="G27" s="226"/>
      <c r="H27" s="250">
        <f t="shared" si="0"/>
        <v>4403352.7180000059</v>
      </c>
    </row>
    <row r="28" spans="1:10" s="251" customFormat="1" ht="15">
      <c r="A28" s="222">
        <v>42523</v>
      </c>
      <c r="B28" s="223" t="s">
        <v>1012</v>
      </c>
      <c r="C28" s="219" t="s">
        <v>1015</v>
      </c>
      <c r="D28" s="224">
        <v>515.42960000000005</v>
      </c>
      <c r="E28" s="225"/>
      <c r="F28" s="224">
        <v>2809091.32</v>
      </c>
      <c r="G28" s="226"/>
      <c r="H28" s="250">
        <f t="shared" si="0"/>
        <v>7212444.0380000062</v>
      </c>
    </row>
    <row r="29" spans="1:10" s="251" customFormat="1" ht="15">
      <c r="A29" s="222">
        <v>42538</v>
      </c>
      <c r="B29" s="223"/>
      <c r="C29" s="219"/>
      <c r="D29" s="224"/>
      <c r="E29" s="225"/>
      <c r="F29" s="224"/>
      <c r="G29" s="364">
        <v>7000000</v>
      </c>
      <c r="H29" s="250">
        <f t="shared" si="0"/>
        <v>212444.03800000623</v>
      </c>
    </row>
    <row r="30" spans="1:10" s="251" customFormat="1" ht="15">
      <c r="A30" s="222">
        <v>42557</v>
      </c>
      <c r="B30" s="223" t="s">
        <v>60</v>
      </c>
      <c r="C30" s="131" t="s">
        <v>1055</v>
      </c>
      <c r="D30" s="133">
        <v>488.35750000000002</v>
      </c>
      <c r="E30" s="196"/>
      <c r="F30" s="133">
        <v>2515046.2799999998</v>
      </c>
      <c r="G30" s="226"/>
      <c r="H30" s="250">
        <f t="shared" si="0"/>
        <v>2727490.318000006</v>
      </c>
    </row>
    <row r="31" spans="1:10" s="251" customFormat="1" ht="15">
      <c r="A31" s="222">
        <v>42557</v>
      </c>
      <c r="B31" s="223" t="s">
        <v>60</v>
      </c>
      <c r="C31" s="131" t="s">
        <v>804</v>
      </c>
      <c r="D31" s="133">
        <v>109.3202</v>
      </c>
      <c r="E31" s="196"/>
      <c r="F31" s="133">
        <v>595789.64</v>
      </c>
      <c r="G31" s="226"/>
      <c r="H31" s="250">
        <f t="shared" si="0"/>
        <v>3323279.9580000062</v>
      </c>
    </row>
    <row r="32" spans="1:10" s="371" customFormat="1" ht="15">
      <c r="A32" s="365">
        <v>42570</v>
      </c>
      <c r="B32" s="366"/>
      <c r="C32" s="366"/>
      <c r="D32" s="367"/>
      <c r="E32" s="368"/>
      <c r="F32" s="454"/>
      <c r="G32" s="369">
        <v>2000000</v>
      </c>
      <c r="H32" s="370">
        <f t="shared" si="0"/>
        <v>1323279.9580000062</v>
      </c>
    </row>
    <row r="33" spans="1:11" s="251" customFormat="1" ht="15">
      <c r="A33" s="222">
        <v>42583</v>
      </c>
      <c r="B33" s="223" t="s">
        <v>60</v>
      </c>
      <c r="C33" s="193" t="s">
        <v>1220</v>
      </c>
      <c r="D33" s="194">
        <v>684.92619999999999</v>
      </c>
      <c r="E33" s="256"/>
      <c r="F33" s="197">
        <v>3458877.31</v>
      </c>
      <c r="G33" s="226"/>
      <c r="H33" s="250">
        <f t="shared" si="0"/>
        <v>4782157.2680000067</v>
      </c>
    </row>
    <row r="34" spans="1:11" s="251" customFormat="1" ht="18.75" customHeight="1">
      <c r="A34" s="222">
        <v>42590</v>
      </c>
      <c r="B34" s="223" t="s">
        <v>60</v>
      </c>
      <c r="C34" s="193" t="s">
        <v>1220</v>
      </c>
      <c r="D34" s="194">
        <v>251.23650000000001</v>
      </c>
      <c r="E34" s="257"/>
      <c r="F34" s="197">
        <v>1268744.33</v>
      </c>
      <c r="G34" s="226"/>
      <c r="H34" s="250">
        <f t="shared" si="0"/>
        <v>6050901.5980000068</v>
      </c>
    </row>
    <row r="35" spans="1:11" s="371" customFormat="1" ht="15">
      <c r="A35" s="365">
        <v>42597</v>
      </c>
      <c r="B35" s="366" t="s">
        <v>1981</v>
      </c>
      <c r="C35" s="366"/>
      <c r="D35" s="367"/>
      <c r="E35" s="368"/>
      <c r="F35" s="454"/>
      <c r="G35" s="369">
        <v>4000000</v>
      </c>
      <c r="H35" s="370">
        <f t="shared" si="0"/>
        <v>2050901.5980000068</v>
      </c>
      <c r="I35" s="371" t="s">
        <v>1600</v>
      </c>
      <c r="J35" s="371" t="s">
        <v>1601</v>
      </c>
      <c r="K35" s="252">
        <v>42777</v>
      </c>
    </row>
    <row r="36" spans="1:11" s="371" customFormat="1" ht="15">
      <c r="A36" s="365">
        <v>42963</v>
      </c>
      <c r="B36" s="366"/>
      <c r="C36" s="366"/>
      <c r="D36" s="367"/>
      <c r="E36" s="368"/>
      <c r="F36" s="454"/>
      <c r="G36" s="369">
        <v>1000000</v>
      </c>
      <c r="H36" s="370">
        <f t="shared" si="0"/>
        <v>1050901.5980000068</v>
      </c>
    </row>
    <row r="37" spans="1:11" s="251" customFormat="1" ht="15">
      <c r="A37" s="222">
        <v>42599</v>
      </c>
      <c r="B37" s="223" t="s">
        <v>1380</v>
      </c>
      <c r="C37" s="219" t="s">
        <v>1407</v>
      </c>
      <c r="D37" s="224">
        <v>15863.583699999999</v>
      </c>
      <c r="E37" s="225"/>
      <c r="F37" s="455">
        <v>8774015.4900000002</v>
      </c>
      <c r="G37" s="226"/>
      <c r="H37" s="250">
        <f t="shared" si="0"/>
        <v>9824917.088000007</v>
      </c>
      <c r="K37" s="252"/>
    </row>
    <row r="38" spans="1:11" s="251" customFormat="1" ht="15">
      <c r="A38" s="222">
        <v>42601</v>
      </c>
      <c r="B38" s="317" t="s">
        <v>1981</v>
      </c>
      <c r="C38" s="318"/>
      <c r="D38" s="314"/>
      <c r="E38" s="315"/>
      <c r="F38" s="197"/>
      <c r="G38" s="364">
        <v>4000000</v>
      </c>
      <c r="H38" s="250">
        <f t="shared" si="0"/>
        <v>5824917.088000007</v>
      </c>
      <c r="I38" s="251" t="s">
        <v>1600</v>
      </c>
      <c r="J38" s="251" t="s">
        <v>1601</v>
      </c>
      <c r="K38" s="252">
        <v>42784</v>
      </c>
    </row>
    <row r="39" spans="1:11" s="251" customFormat="1" ht="15">
      <c r="A39" s="222">
        <v>42601</v>
      </c>
      <c r="B39" s="223" t="s">
        <v>60</v>
      </c>
      <c r="C39" s="193" t="s">
        <v>1220</v>
      </c>
      <c r="D39" s="194">
        <v>467.90219999999999</v>
      </c>
      <c r="E39" s="256"/>
      <c r="F39" s="197">
        <v>2357318.56</v>
      </c>
      <c r="G39" s="226"/>
      <c r="H39" s="250">
        <f t="shared" si="0"/>
        <v>8182235.6480000075</v>
      </c>
      <c r="K39" s="252"/>
    </row>
    <row r="40" spans="1:11" s="251" customFormat="1" ht="15">
      <c r="A40" s="222">
        <v>42601</v>
      </c>
      <c r="B40" s="223" t="s">
        <v>60</v>
      </c>
      <c r="C40" s="131" t="s">
        <v>1497</v>
      </c>
      <c r="D40" s="133">
        <v>621.83100000000002</v>
      </c>
      <c r="E40" s="196"/>
      <c r="F40" s="197">
        <v>4228450.79</v>
      </c>
      <c r="G40" s="226"/>
      <c r="H40" s="250">
        <f t="shared" si="0"/>
        <v>12410686.438000008</v>
      </c>
      <c r="K40" s="252"/>
    </row>
    <row r="41" spans="1:11" s="251" customFormat="1" ht="15">
      <c r="A41" s="222">
        <v>42606</v>
      </c>
      <c r="B41" s="317" t="s">
        <v>1981</v>
      </c>
      <c r="C41" s="318"/>
      <c r="D41" s="314"/>
      <c r="E41" s="315"/>
      <c r="F41" s="197"/>
      <c r="G41" s="364">
        <v>6800000</v>
      </c>
      <c r="H41" s="250">
        <f t="shared" si="0"/>
        <v>5610686.4380000085</v>
      </c>
      <c r="I41" s="251" t="s">
        <v>1759</v>
      </c>
      <c r="J41" s="251" t="s">
        <v>1760</v>
      </c>
      <c r="K41" s="252">
        <v>42785</v>
      </c>
    </row>
    <row r="42" spans="1:11" s="251" customFormat="1" ht="15">
      <c r="A42" s="222">
        <v>42614</v>
      </c>
      <c r="B42" s="223" t="s">
        <v>1380</v>
      </c>
      <c r="C42" s="131" t="s">
        <v>1407</v>
      </c>
      <c r="D42" s="133">
        <v>4444.4206000000004</v>
      </c>
      <c r="E42" s="196"/>
      <c r="F42" s="197">
        <v>2424008.12</v>
      </c>
      <c r="G42" s="327"/>
      <c r="H42" s="250">
        <f t="shared" si="0"/>
        <v>8034694.5580000086</v>
      </c>
      <c r="K42" s="252"/>
    </row>
    <row r="43" spans="1:11" s="251" customFormat="1" ht="15">
      <c r="A43" s="222">
        <v>42614</v>
      </c>
      <c r="B43" s="223" t="s">
        <v>1380</v>
      </c>
      <c r="C43" s="131" t="s">
        <v>1596</v>
      </c>
      <c r="D43" s="133">
        <v>2642.1945999999998</v>
      </c>
      <c r="E43" s="196"/>
      <c r="F43" s="197">
        <v>1528668.1</v>
      </c>
      <c r="G43" s="226"/>
      <c r="H43" s="250">
        <f t="shared" si="0"/>
        <v>9563362.6580000091</v>
      </c>
    </row>
    <row r="44" spans="1:11" s="251" customFormat="1" ht="15">
      <c r="A44" s="222">
        <v>42618</v>
      </c>
      <c r="B44" s="223" t="s">
        <v>1380</v>
      </c>
      <c r="C44" s="219" t="s">
        <v>1595</v>
      </c>
      <c r="D44" s="224">
        <v>6453.3020999999999</v>
      </c>
      <c r="E44" s="225"/>
      <c r="F44" s="455">
        <v>3727850.28</v>
      </c>
      <c r="G44" s="226"/>
      <c r="H44" s="250">
        <f t="shared" si="0"/>
        <v>13291212.938000008</v>
      </c>
      <c r="K44" s="252"/>
    </row>
    <row r="45" spans="1:11" s="251" customFormat="1" ht="15">
      <c r="A45" s="222">
        <v>42621</v>
      </c>
      <c r="B45" s="223" t="s">
        <v>1934</v>
      </c>
      <c r="C45" s="219"/>
      <c r="D45" s="224"/>
      <c r="E45" s="225"/>
      <c r="F45" s="455"/>
      <c r="G45" s="364">
        <v>8730000</v>
      </c>
      <c r="H45" s="250">
        <f t="shared" si="0"/>
        <v>4561212.9380000085</v>
      </c>
      <c r="K45" s="252"/>
    </row>
    <row r="46" spans="1:11" s="251" customFormat="1" ht="15">
      <c r="A46" s="222">
        <v>42618</v>
      </c>
      <c r="B46" s="223" t="s">
        <v>60</v>
      </c>
      <c r="C46" s="192" t="s">
        <v>1886</v>
      </c>
      <c r="D46" s="195">
        <v>123.6236</v>
      </c>
      <c r="E46" s="254"/>
      <c r="F46" s="456">
        <v>624299.18999999994</v>
      </c>
      <c r="G46" s="226"/>
      <c r="H46" s="250">
        <f t="shared" si="0"/>
        <v>5185512.1280000079</v>
      </c>
      <c r="K46" s="252"/>
    </row>
    <row r="47" spans="1:11" s="251" customFormat="1" ht="15">
      <c r="A47" s="222">
        <v>42618</v>
      </c>
      <c r="B47" s="223" t="s">
        <v>60</v>
      </c>
      <c r="C47" s="219" t="s">
        <v>1887</v>
      </c>
      <c r="D47" s="224">
        <v>601.22810000000004</v>
      </c>
      <c r="E47" s="225"/>
      <c r="F47" s="456">
        <v>4088351.07</v>
      </c>
      <c r="G47" s="226"/>
      <c r="H47" s="250">
        <f t="shared" ref="H47:H110" si="1">H46+F47-G47</f>
        <v>9273863.1980000082</v>
      </c>
      <c r="K47" s="252"/>
    </row>
    <row r="48" spans="1:11" s="251" customFormat="1" ht="15">
      <c r="A48" s="222">
        <v>42618</v>
      </c>
      <c r="B48" s="223" t="s">
        <v>60</v>
      </c>
      <c r="C48" s="219" t="s">
        <v>1890</v>
      </c>
      <c r="D48" s="224">
        <v>0</v>
      </c>
      <c r="E48" s="225"/>
      <c r="F48" s="457">
        <v>42471</v>
      </c>
      <c r="G48" s="226"/>
      <c r="H48" s="250">
        <f t="shared" si="1"/>
        <v>9316334.1980000082</v>
      </c>
      <c r="K48" s="252"/>
    </row>
    <row r="49" spans="1:13" s="251" customFormat="1" ht="15">
      <c r="A49" s="222">
        <v>42622</v>
      </c>
      <c r="B49" s="103" t="s">
        <v>3097</v>
      </c>
      <c r="C49" s="142" t="s">
        <v>1922</v>
      </c>
      <c r="D49" s="133">
        <v>483.17930000000001</v>
      </c>
      <c r="E49" s="196"/>
      <c r="F49" s="458">
        <v>3271943.89</v>
      </c>
      <c r="G49" s="226"/>
      <c r="H49" s="250">
        <f t="shared" si="1"/>
        <v>12588278.088000009</v>
      </c>
      <c r="I49" s="298" t="s">
        <v>83</v>
      </c>
      <c r="J49" s="112"/>
      <c r="K49" s="112"/>
      <c r="L49" s="112"/>
    </row>
    <row r="50" spans="1:13" s="251" customFormat="1" ht="15">
      <c r="A50" s="222">
        <v>42622</v>
      </c>
      <c r="B50" s="103" t="s">
        <v>1380</v>
      </c>
      <c r="C50" s="142" t="s">
        <v>1595</v>
      </c>
      <c r="D50" s="133">
        <v>2708.6977000000002</v>
      </c>
      <c r="E50" s="196"/>
      <c r="F50" s="458">
        <v>1552083.78</v>
      </c>
      <c r="G50" s="196"/>
      <c r="H50" s="250">
        <f t="shared" si="1"/>
        <v>14140361.868000008</v>
      </c>
      <c r="I50" s="560"/>
      <c r="J50" s="561"/>
      <c r="K50" s="561"/>
      <c r="L50" s="561"/>
    </row>
    <row r="51" spans="1:13" s="251" customFormat="1" ht="15">
      <c r="A51" s="222">
        <v>42627</v>
      </c>
      <c r="B51" s="103" t="s">
        <v>1982</v>
      </c>
      <c r="C51" s="142"/>
      <c r="D51" s="133"/>
      <c r="E51" s="196"/>
      <c r="F51" s="458"/>
      <c r="G51" s="372">
        <v>5000000</v>
      </c>
      <c r="H51" s="250">
        <f t="shared" si="1"/>
        <v>9140361.8680000082</v>
      </c>
      <c r="I51" s="560"/>
      <c r="J51" s="561"/>
      <c r="K51" s="561"/>
      <c r="L51" s="561"/>
    </row>
    <row r="52" spans="1:13" s="251" customFormat="1" ht="15">
      <c r="A52" s="222">
        <v>42627</v>
      </c>
      <c r="B52" s="103" t="s">
        <v>1934</v>
      </c>
      <c r="C52" s="142"/>
      <c r="D52" s="133"/>
      <c r="E52" s="196"/>
      <c r="F52" s="458"/>
      <c r="G52" s="372">
        <v>5000000</v>
      </c>
      <c r="H52" s="250">
        <f t="shared" si="1"/>
        <v>4140361.8680000082</v>
      </c>
      <c r="I52" s="560"/>
      <c r="J52" s="561"/>
      <c r="K52" s="561"/>
      <c r="L52" s="561"/>
    </row>
    <row r="53" spans="1:13" s="251" customFormat="1" ht="15">
      <c r="A53" s="222">
        <v>42627</v>
      </c>
      <c r="B53" s="103" t="s">
        <v>2575</v>
      </c>
      <c r="C53" s="142"/>
      <c r="D53" s="133"/>
      <c r="E53" s="196"/>
      <c r="F53" s="458"/>
      <c r="G53" s="329">
        <v>3000000</v>
      </c>
      <c r="H53" s="250">
        <f t="shared" si="1"/>
        <v>1140361.8680000082</v>
      </c>
      <c r="I53" s="560" t="s">
        <v>83</v>
      </c>
      <c r="J53" s="561"/>
      <c r="K53" s="561"/>
      <c r="L53" s="561"/>
      <c r="M53" s="251">
        <f>F49-G53</f>
        <v>271943.89000000013</v>
      </c>
    </row>
    <row r="54" spans="1:13" s="251" customFormat="1" ht="15">
      <c r="A54" s="222">
        <v>42627</v>
      </c>
      <c r="B54" s="103" t="s">
        <v>60</v>
      </c>
      <c r="C54" s="142" t="s">
        <v>1942</v>
      </c>
      <c r="D54" s="133">
        <v>463.54610000000002</v>
      </c>
      <c r="E54" s="196"/>
      <c r="F54" s="197">
        <v>3151433.48</v>
      </c>
      <c r="G54" s="196"/>
      <c r="H54" s="250">
        <f t="shared" si="1"/>
        <v>4291795.3480000086</v>
      </c>
      <c r="I54" s="560"/>
      <c r="J54" s="561"/>
      <c r="K54" s="561"/>
      <c r="L54" s="561"/>
    </row>
    <row r="55" spans="1:13" s="251" customFormat="1" ht="15">
      <c r="A55" s="222">
        <v>42627</v>
      </c>
      <c r="B55" s="103" t="s">
        <v>60</v>
      </c>
      <c r="C55" s="142" t="s">
        <v>1887</v>
      </c>
      <c r="D55" s="133">
        <v>288.55700000000002</v>
      </c>
      <c r="E55" s="196"/>
      <c r="F55" s="197">
        <v>1962867.6</v>
      </c>
      <c r="G55" s="196"/>
      <c r="H55" s="250">
        <f t="shared" si="1"/>
        <v>6254662.9480000082</v>
      </c>
      <c r="I55" s="560"/>
      <c r="J55" s="561"/>
      <c r="K55" s="561"/>
      <c r="L55" s="561"/>
    </row>
    <row r="56" spans="1:13" s="251" customFormat="1" ht="15">
      <c r="A56" s="222">
        <v>42654</v>
      </c>
      <c r="B56" s="103" t="s">
        <v>2130</v>
      </c>
      <c r="C56" s="142"/>
      <c r="D56" s="133"/>
      <c r="E56" s="196"/>
      <c r="F56" s="197"/>
      <c r="G56" s="372">
        <v>5690000</v>
      </c>
      <c r="H56" s="250">
        <f t="shared" si="1"/>
        <v>564662.94800000824</v>
      </c>
      <c r="I56" s="560"/>
      <c r="J56" s="561"/>
      <c r="K56" s="561"/>
      <c r="L56" s="561"/>
    </row>
    <row r="57" spans="1:13" s="251" customFormat="1" ht="15">
      <c r="A57" s="222">
        <v>42655</v>
      </c>
      <c r="B57" s="103" t="s">
        <v>60</v>
      </c>
      <c r="C57" s="142" t="s">
        <v>1922</v>
      </c>
      <c r="D57" s="253">
        <v>111.8304</v>
      </c>
      <c r="E57" s="196"/>
      <c r="F57" s="212">
        <v>740115.95</v>
      </c>
      <c r="G57" s="196"/>
      <c r="H57" s="250">
        <f t="shared" si="1"/>
        <v>1304778.8980000082</v>
      </c>
      <c r="I57" s="560" t="s">
        <v>83</v>
      </c>
      <c r="J57" s="561"/>
      <c r="K57" s="561"/>
      <c r="L57" s="561"/>
      <c r="M57" s="251">
        <f>M53+F57</f>
        <v>1012059.8400000001</v>
      </c>
    </row>
    <row r="58" spans="1:13" s="251" customFormat="1" ht="15">
      <c r="A58" s="222">
        <v>42655</v>
      </c>
      <c r="B58" s="103" t="s">
        <v>2032</v>
      </c>
      <c r="C58" s="142" t="s">
        <v>1595</v>
      </c>
      <c r="D58" s="133">
        <v>7416.7846</v>
      </c>
      <c r="E58" s="196"/>
      <c r="F58" s="197">
        <v>4128957.71</v>
      </c>
      <c r="G58" s="196"/>
      <c r="H58" s="250">
        <f t="shared" si="1"/>
        <v>5433736.6080000084</v>
      </c>
      <c r="I58" s="560"/>
      <c r="J58" s="561"/>
      <c r="K58" s="561"/>
      <c r="L58" s="561"/>
    </row>
    <row r="59" spans="1:13" s="251" customFormat="1" ht="15">
      <c r="A59" s="222">
        <v>42655</v>
      </c>
      <c r="B59" s="103" t="s">
        <v>2032</v>
      </c>
      <c r="C59" s="142" t="s">
        <v>1595</v>
      </c>
      <c r="D59" s="133">
        <v>2757.4650999999999</v>
      </c>
      <c r="E59" s="196"/>
      <c r="F59" s="197">
        <v>1616702.5</v>
      </c>
      <c r="G59" s="196"/>
      <c r="H59" s="250">
        <f t="shared" si="1"/>
        <v>7050439.1080000084</v>
      </c>
      <c r="I59" s="560"/>
      <c r="J59" s="561"/>
      <c r="K59" s="561"/>
      <c r="L59" s="561"/>
    </row>
    <row r="60" spans="1:13" s="251" customFormat="1" ht="15">
      <c r="A60" s="222">
        <v>42655</v>
      </c>
      <c r="B60" s="103" t="s">
        <v>2032</v>
      </c>
      <c r="C60" s="142" t="s">
        <v>1971</v>
      </c>
      <c r="D60" s="133">
        <v>4986.4326000000001</v>
      </c>
      <c r="E60" s="196"/>
      <c r="F60" s="197">
        <v>2701385.46</v>
      </c>
      <c r="G60" s="196"/>
      <c r="H60" s="250">
        <f t="shared" si="1"/>
        <v>9751824.5680000074</v>
      </c>
      <c r="I60" s="560"/>
      <c r="J60" s="561"/>
      <c r="K60" s="561"/>
      <c r="L60" s="561"/>
    </row>
    <row r="61" spans="1:13" s="251" customFormat="1" ht="15">
      <c r="A61" s="302">
        <v>42660</v>
      </c>
      <c r="B61" s="303" t="s">
        <v>2032</v>
      </c>
      <c r="C61" s="304" t="s">
        <v>1971</v>
      </c>
      <c r="D61" s="305">
        <v>2821.4767999999999</v>
      </c>
      <c r="E61" s="306"/>
      <c r="F61" s="459">
        <v>1679454.67</v>
      </c>
      <c r="G61" s="196"/>
      <c r="H61" s="250">
        <f t="shared" si="1"/>
        <v>11431279.238000007</v>
      </c>
      <c r="I61" s="560"/>
      <c r="J61" s="561"/>
      <c r="K61" s="561"/>
      <c r="L61" s="561"/>
    </row>
    <row r="62" spans="1:13" s="251" customFormat="1" ht="15">
      <c r="A62" s="222">
        <v>42670</v>
      </c>
      <c r="B62" s="103" t="s">
        <v>2032</v>
      </c>
      <c r="C62" s="142"/>
      <c r="D62" s="133"/>
      <c r="E62" s="196"/>
      <c r="F62" s="197"/>
      <c r="G62" s="372">
        <v>8700000</v>
      </c>
      <c r="H62" s="250">
        <f t="shared" si="1"/>
        <v>2731279.2380000073</v>
      </c>
      <c r="I62" s="560"/>
      <c r="J62" s="561"/>
      <c r="K62" s="561"/>
      <c r="L62" s="561"/>
    </row>
    <row r="63" spans="1:13" s="251" customFormat="1" ht="15">
      <c r="A63" s="222">
        <v>42675</v>
      </c>
      <c r="B63" s="103" t="s">
        <v>60</v>
      </c>
      <c r="C63" s="255" t="s">
        <v>1886</v>
      </c>
      <c r="D63" s="194">
        <v>130.47909999999999</v>
      </c>
      <c r="E63" s="256"/>
      <c r="F63" s="197">
        <v>212513.79</v>
      </c>
      <c r="G63" s="196"/>
      <c r="H63" s="250">
        <f t="shared" si="1"/>
        <v>2943793.0280000074</v>
      </c>
      <c r="I63" s="560"/>
      <c r="J63" s="561"/>
      <c r="K63" s="561"/>
      <c r="L63" s="561"/>
    </row>
    <row r="64" spans="1:13" s="251" customFormat="1" ht="15">
      <c r="A64" s="222">
        <v>42675</v>
      </c>
      <c r="B64" s="103" t="s">
        <v>60</v>
      </c>
      <c r="C64" s="142" t="s">
        <v>2099</v>
      </c>
      <c r="D64" s="133">
        <v>1272.3426999999999</v>
      </c>
      <c r="E64" s="196"/>
      <c r="F64" s="197">
        <v>8053185.6799999997</v>
      </c>
      <c r="G64" s="196"/>
      <c r="H64" s="250">
        <f t="shared" si="1"/>
        <v>10996978.708000008</v>
      </c>
      <c r="I64" s="560"/>
      <c r="J64" s="561"/>
      <c r="K64" s="561"/>
      <c r="L64" s="561"/>
    </row>
    <row r="65" spans="1:13" s="251" customFormat="1" ht="15">
      <c r="A65" s="222">
        <v>42675</v>
      </c>
      <c r="B65" s="103" t="s">
        <v>2032</v>
      </c>
      <c r="C65" s="142" t="s">
        <v>1971</v>
      </c>
      <c r="D65" s="133">
        <v>6585.8671999999997</v>
      </c>
      <c r="E65" s="196"/>
      <c r="F65" s="197">
        <v>3908481.08</v>
      </c>
      <c r="G65" s="196"/>
      <c r="H65" s="250">
        <f t="shared" si="1"/>
        <v>14905459.788000008</v>
      </c>
      <c r="I65" s="560"/>
      <c r="J65" s="561"/>
      <c r="K65" s="561"/>
      <c r="L65" s="561"/>
    </row>
    <row r="66" spans="1:13" s="251" customFormat="1" ht="15">
      <c r="A66" s="222">
        <v>42682</v>
      </c>
      <c r="B66" s="103" t="s">
        <v>2032</v>
      </c>
      <c r="C66" s="142" t="s">
        <v>2376</v>
      </c>
      <c r="D66" s="133">
        <v>1265.9418000000001</v>
      </c>
      <c r="E66" s="196"/>
      <c r="F66" s="197">
        <v>732559.14</v>
      </c>
      <c r="G66" s="196"/>
      <c r="H66" s="250">
        <f t="shared" si="1"/>
        <v>15638018.928000009</v>
      </c>
      <c r="I66" s="560"/>
      <c r="J66" s="561"/>
      <c r="K66" s="561"/>
      <c r="L66" s="561"/>
    </row>
    <row r="67" spans="1:13" s="251" customFormat="1" ht="15">
      <c r="A67" s="222">
        <v>42682</v>
      </c>
      <c r="B67" s="103" t="s">
        <v>2377</v>
      </c>
      <c r="C67" s="142" t="s">
        <v>2378</v>
      </c>
      <c r="D67" s="133">
        <v>142.4949</v>
      </c>
      <c r="E67" s="196"/>
      <c r="F67" s="197">
        <v>883468.38</v>
      </c>
      <c r="G67" s="196"/>
      <c r="H67" s="250">
        <f t="shared" si="1"/>
        <v>16521487.30800001</v>
      </c>
      <c r="I67" s="560"/>
      <c r="J67" s="561"/>
      <c r="K67" s="561"/>
      <c r="L67" s="561"/>
    </row>
    <row r="68" spans="1:13" s="251" customFormat="1" ht="15">
      <c r="A68" s="222">
        <v>42682</v>
      </c>
      <c r="B68" s="103" t="s">
        <v>2377</v>
      </c>
      <c r="C68" s="358" t="s">
        <v>2379</v>
      </c>
      <c r="D68" s="359">
        <v>400.86689999999999</v>
      </c>
      <c r="E68" s="360"/>
      <c r="F68" s="197">
        <v>3022516.36</v>
      </c>
      <c r="G68" s="196"/>
      <c r="H68" s="250">
        <f t="shared" si="1"/>
        <v>19544003.668000009</v>
      </c>
      <c r="I68" s="298">
        <f>SUM(G69:G75)-H67</f>
        <v>478512.69199999049</v>
      </c>
      <c r="J68" s="112"/>
      <c r="K68" s="112"/>
      <c r="L68" s="112"/>
    </row>
    <row r="69" spans="1:13" s="251" customFormat="1" ht="15">
      <c r="A69" s="222">
        <v>42689</v>
      </c>
      <c r="B69" s="103" t="s">
        <v>1982</v>
      </c>
      <c r="C69" s="142"/>
      <c r="D69" s="133"/>
      <c r="E69" s="196"/>
      <c r="F69" s="197"/>
      <c r="G69" s="372">
        <v>7000000</v>
      </c>
      <c r="H69" s="250">
        <f t="shared" si="1"/>
        <v>12544003.668000009</v>
      </c>
      <c r="I69" s="298" t="s">
        <v>2416</v>
      </c>
      <c r="J69" s="112"/>
      <c r="K69" s="112"/>
      <c r="L69" s="112"/>
    </row>
    <row r="70" spans="1:13" s="251" customFormat="1" ht="15">
      <c r="A70" s="222">
        <v>42696</v>
      </c>
      <c r="B70" s="103" t="s">
        <v>691</v>
      </c>
      <c r="C70" s="358" t="s">
        <v>2172</v>
      </c>
      <c r="D70" s="359">
        <v>401.65699999999998</v>
      </c>
      <c r="E70" s="360"/>
      <c r="F70" s="197">
        <v>3032510.35</v>
      </c>
      <c r="G70" s="196"/>
      <c r="H70" s="250">
        <f t="shared" si="1"/>
        <v>15576514.018000009</v>
      </c>
      <c r="I70" s="298"/>
      <c r="J70" s="112"/>
      <c r="K70" s="112"/>
      <c r="L70" s="112"/>
    </row>
    <row r="71" spans="1:13" s="251" customFormat="1" ht="15">
      <c r="A71" s="222">
        <v>42696</v>
      </c>
      <c r="B71" s="103" t="s">
        <v>2460</v>
      </c>
      <c r="C71" s="142" t="s">
        <v>2150</v>
      </c>
      <c r="D71" s="133">
        <v>3361.3807999999999</v>
      </c>
      <c r="E71" s="196"/>
      <c r="F71" s="197">
        <v>1962230.88</v>
      </c>
      <c r="G71" s="196"/>
      <c r="H71" s="250">
        <f t="shared" si="1"/>
        <v>17538744.898000009</v>
      </c>
      <c r="I71" s="298" t="s">
        <v>2505</v>
      </c>
      <c r="J71" s="112"/>
      <c r="K71" s="112"/>
      <c r="L71" s="112"/>
    </row>
    <row r="72" spans="1:13" s="251" customFormat="1" ht="15">
      <c r="A72" s="222">
        <v>42696</v>
      </c>
      <c r="B72" s="103" t="s">
        <v>2206</v>
      </c>
      <c r="C72" s="142" t="s">
        <v>2205</v>
      </c>
      <c r="D72" s="133">
        <v>4214.0482000000002</v>
      </c>
      <c r="E72" s="196"/>
      <c r="F72" s="197">
        <v>2209420</v>
      </c>
      <c r="G72" s="196"/>
      <c r="H72" s="332">
        <f t="shared" si="1"/>
        <v>19748164.898000009</v>
      </c>
      <c r="I72" s="298">
        <v>10524091</v>
      </c>
      <c r="J72" s="251" t="s">
        <v>2487</v>
      </c>
      <c r="K72" s="112"/>
      <c r="L72" s="112"/>
    </row>
    <row r="73" spans="1:13" s="251" customFormat="1" ht="15">
      <c r="A73" s="222">
        <v>43078</v>
      </c>
      <c r="B73" s="313" t="s">
        <v>2502</v>
      </c>
      <c r="C73" s="144"/>
      <c r="D73" s="314"/>
      <c r="E73" s="315"/>
      <c r="F73" s="197"/>
      <c r="G73" s="372">
        <v>6000000</v>
      </c>
      <c r="H73" s="250">
        <f t="shared" si="1"/>
        <v>13748164.898000009</v>
      </c>
      <c r="I73" s="298">
        <v>8206523.71</v>
      </c>
      <c r="J73" s="251" t="s">
        <v>2488</v>
      </c>
      <c r="K73" s="112"/>
      <c r="L73" s="112"/>
    </row>
    <row r="74" spans="1:13" s="251" customFormat="1" ht="15">
      <c r="A74" s="222">
        <v>42723</v>
      </c>
      <c r="B74" s="103" t="s">
        <v>2575</v>
      </c>
      <c r="C74" s="142"/>
      <c r="D74" s="133"/>
      <c r="E74" s="196"/>
      <c r="F74" s="197"/>
      <c r="G74" s="196">
        <v>1000000</v>
      </c>
      <c r="H74" s="250">
        <f t="shared" si="1"/>
        <v>12748164.898000009</v>
      </c>
      <c r="I74" s="298">
        <f>SUM(I72:I73)</f>
        <v>18730614.710000001</v>
      </c>
      <c r="J74" s="112" t="s">
        <v>2659</v>
      </c>
      <c r="K74" s="112"/>
      <c r="L74" s="112"/>
    </row>
    <row r="75" spans="1:13" s="251" customFormat="1" ht="15">
      <c r="A75" s="222">
        <v>43092</v>
      </c>
      <c r="B75" s="103" t="s">
        <v>1932</v>
      </c>
      <c r="C75" s="142"/>
      <c r="D75" s="133"/>
      <c r="E75" s="196"/>
      <c r="F75" s="197"/>
      <c r="G75" s="372">
        <v>3000000</v>
      </c>
      <c r="H75" s="250">
        <f t="shared" si="1"/>
        <v>9748164.8980000094</v>
      </c>
      <c r="I75" s="298">
        <v>1020164.79</v>
      </c>
      <c r="J75" s="112" t="s">
        <v>2658</v>
      </c>
      <c r="K75" s="112"/>
      <c r="L75" s="112"/>
    </row>
    <row r="76" spans="1:13" s="251" customFormat="1" ht="15">
      <c r="A76" s="222">
        <v>42738</v>
      </c>
      <c r="B76" s="103" t="s">
        <v>641</v>
      </c>
      <c r="C76" s="142" t="s">
        <v>2504</v>
      </c>
      <c r="D76" s="133">
        <v>774.06010000000003</v>
      </c>
      <c r="E76" s="196"/>
      <c r="F76" s="197">
        <v>6489967.3099999996</v>
      </c>
      <c r="G76" s="196"/>
      <c r="H76" s="250">
        <f t="shared" si="1"/>
        <v>16238132.208000008</v>
      </c>
      <c r="I76" s="333">
        <f>SUM(I74:I75)</f>
        <v>19750779.5</v>
      </c>
      <c r="J76" s="112" t="s">
        <v>2490</v>
      </c>
      <c r="K76" s="112"/>
      <c r="L76" s="112"/>
      <c r="M76" s="251">
        <f>H72-I76</f>
        <v>-2614.6019999906421</v>
      </c>
    </row>
    <row r="77" spans="1:13" s="251" customFormat="1" ht="15">
      <c r="A77" s="222">
        <v>42738</v>
      </c>
      <c r="B77" s="103" t="s">
        <v>2203</v>
      </c>
      <c r="C77" s="142" t="s">
        <v>2438</v>
      </c>
      <c r="D77" s="133">
        <v>4152.3092999999999</v>
      </c>
      <c r="E77" s="196"/>
      <c r="F77" s="197">
        <v>2475149.63</v>
      </c>
      <c r="G77" s="196"/>
      <c r="H77" s="250">
        <f t="shared" si="1"/>
        <v>18713281.838000007</v>
      </c>
      <c r="I77" s="298"/>
      <c r="J77" s="112"/>
      <c r="K77" s="112"/>
      <c r="L77" s="112"/>
    </row>
    <row r="78" spans="1:13" s="251" customFormat="1" ht="15">
      <c r="A78" s="222">
        <v>42738</v>
      </c>
      <c r="B78" s="103" t="s">
        <v>2203</v>
      </c>
      <c r="C78" s="142" t="s">
        <v>2483</v>
      </c>
      <c r="D78" s="133">
        <v>3926.4634000000001</v>
      </c>
      <c r="E78" s="196"/>
      <c r="F78" s="197">
        <v>2616789.06</v>
      </c>
      <c r="G78" s="196"/>
      <c r="H78" s="250">
        <f t="shared" si="1"/>
        <v>21330070.898000006</v>
      </c>
      <c r="I78" s="298"/>
      <c r="J78" s="112"/>
      <c r="K78" s="112"/>
      <c r="L78" s="112"/>
    </row>
    <row r="79" spans="1:13" s="251" customFormat="1" ht="15">
      <c r="A79" s="222">
        <v>42740</v>
      </c>
      <c r="B79" s="103" t="s">
        <v>2203</v>
      </c>
      <c r="C79" s="142" t="s">
        <v>2483</v>
      </c>
      <c r="D79" s="68">
        <v>3820.2483000000002</v>
      </c>
      <c r="E79" s="196"/>
      <c r="F79" s="36">
        <v>2595974.4300000002</v>
      </c>
      <c r="G79" s="196"/>
      <c r="H79" s="250">
        <f t="shared" si="1"/>
        <v>23926045.328000005</v>
      </c>
      <c r="I79" s="298"/>
      <c r="J79" s="112"/>
      <c r="K79" s="112"/>
      <c r="L79" s="112"/>
    </row>
    <row r="80" spans="1:13" s="251" customFormat="1" ht="15">
      <c r="A80" s="222">
        <v>42744</v>
      </c>
      <c r="B80" s="103" t="s">
        <v>2635</v>
      </c>
      <c r="C80" s="142" t="s">
        <v>2636</v>
      </c>
      <c r="D80" s="133"/>
      <c r="E80" s="196"/>
      <c r="F80" s="197">
        <v>19632.32</v>
      </c>
      <c r="G80" s="196"/>
      <c r="H80" s="250">
        <f t="shared" si="1"/>
        <v>23945677.648000006</v>
      </c>
      <c r="I80" s="298"/>
      <c r="J80" s="112"/>
      <c r="K80" s="112"/>
      <c r="L80" s="112"/>
    </row>
    <row r="81" spans="1:12" s="251" customFormat="1" ht="15">
      <c r="A81" s="222">
        <v>42748</v>
      </c>
      <c r="B81" s="103" t="s">
        <v>2637</v>
      </c>
      <c r="C81" s="142"/>
      <c r="D81" s="133"/>
      <c r="E81" s="196"/>
      <c r="F81" s="197"/>
      <c r="G81" s="373">
        <v>8000000</v>
      </c>
      <c r="H81" s="250">
        <f t="shared" si="1"/>
        <v>15945677.648000006</v>
      </c>
      <c r="I81" s="298">
        <f>18000000-H70</f>
        <v>2423485.9819999915</v>
      </c>
      <c r="J81" s="112"/>
      <c r="K81" s="112"/>
      <c r="L81" s="112"/>
    </row>
    <row r="82" spans="1:12" s="251" customFormat="1" ht="15">
      <c r="A82" s="222">
        <v>42755</v>
      </c>
      <c r="B82" s="103" t="s">
        <v>1931</v>
      </c>
      <c r="C82" s="142"/>
      <c r="D82" s="133"/>
      <c r="E82" s="196"/>
      <c r="F82" s="197"/>
      <c r="G82" s="373">
        <v>6500000</v>
      </c>
      <c r="H82" s="250">
        <f t="shared" si="1"/>
        <v>9445677.6480000056</v>
      </c>
      <c r="I82" s="298"/>
      <c r="J82" s="112"/>
      <c r="K82" s="112"/>
      <c r="L82" s="112"/>
    </row>
    <row r="83" spans="1:12" s="251" customFormat="1" ht="15">
      <c r="A83" s="222">
        <v>42755</v>
      </c>
      <c r="B83" s="103" t="s">
        <v>2724</v>
      </c>
      <c r="C83" s="142"/>
      <c r="D83" s="133"/>
      <c r="E83" s="196"/>
      <c r="F83" s="197"/>
      <c r="G83" s="373">
        <v>9230000</v>
      </c>
      <c r="H83" s="250">
        <f t="shared" si="1"/>
        <v>215677.64800000563</v>
      </c>
      <c r="I83" s="298"/>
      <c r="J83" s="112"/>
      <c r="K83" s="112"/>
      <c r="L83" s="112"/>
    </row>
    <row r="84" spans="1:12" s="251" customFormat="1" ht="15">
      <c r="A84" s="222">
        <v>42772</v>
      </c>
      <c r="B84" s="103" t="s">
        <v>2203</v>
      </c>
      <c r="C84" s="142" t="s">
        <v>2650</v>
      </c>
      <c r="D84" s="133">
        <v>2924.6686</v>
      </c>
      <c r="E84" s="196"/>
      <c r="F84" s="197">
        <v>2033644.21</v>
      </c>
      <c r="G84" s="196"/>
      <c r="H84" s="250">
        <f t="shared" si="1"/>
        <v>2249321.8580000056</v>
      </c>
      <c r="I84" s="298"/>
      <c r="J84" s="112"/>
      <c r="K84" s="112"/>
      <c r="L84" s="112"/>
    </row>
    <row r="85" spans="1:12" s="251" customFormat="1" ht="15">
      <c r="A85" s="222">
        <v>42772</v>
      </c>
      <c r="B85" s="103" t="s">
        <v>603</v>
      </c>
      <c r="C85" s="142" t="s">
        <v>2504</v>
      </c>
      <c r="D85" s="133">
        <v>122.399</v>
      </c>
      <c r="E85" s="196"/>
      <c r="F85" s="197">
        <v>1028151.6</v>
      </c>
      <c r="G85" s="196"/>
      <c r="H85" s="250">
        <f t="shared" si="1"/>
        <v>3277473.4580000057</v>
      </c>
      <c r="I85" s="298"/>
      <c r="J85" s="112"/>
      <c r="K85" s="112"/>
      <c r="L85" s="112"/>
    </row>
    <row r="86" spans="1:12" s="251" customFormat="1" ht="15">
      <c r="A86" s="222">
        <v>42801</v>
      </c>
      <c r="B86" s="103" t="s">
        <v>2809</v>
      </c>
      <c r="C86" s="142" t="s">
        <v>2851</v>
      </c>
      <c r="D86" s="133">
        <v>1241.6289999999999</v>
      </c>
      <c r="E86" s="196"/>
      <c r="F86" s="197">
        <v>853930.35</v>
      </c>
      <c r="G86" s="196"/>
      <c r="H86" s="250">
        <f t="shared" si="1"/>
        <v>4131403.8080000058</v>
      </c>
      <c r="I86" s="298"/>
      <c r="J86" s="112"/>
      <c r="K86" s="112"/>
      <c r="L86" s="112"/>
    </row>
    <row r="87" spans="1:12" s="251" customFormat="1" ht="15">
      <c r="A87" s="222">
        <v>42801</v>
      </c>
      <c r="B87" s="103" t="s">
        <v>2809</v>
      </c>
      <c r="C87" s="142" t="s">
        <v>2745</v>
      </c>
      <c r="D87" s="133">
        <v>3883.6723999999999</v>
      </c>
      <c r="E87" s="196"/>
      <c r="F87" s="197">
        <v>2788572.69</v>
      </c>
      <c r="G87" s="196"/>
      <c r="H87" s="250">
        <f t="shared" si="1"/>
        <v>6919976.4980000053</v>
      </c>
      <c r="I87" s="298"/>
      <c r="J87" s="112"/>
      <c r="K87" s="112"/>
      <c r="L87" s="112"/>
    </row>
    <row r="88" spans="1:12" s="251" customFormat="1" ht="15">
      <c r="A88" s="222">
        <v>42804</v>
      </c>
      <c r="B88" s="103" t="s">
        <v>3036</v>
      </c>
      <c r="C88" s="142"/>
      <c r="D88" s="133"/>
      <c r="E88" s="196"/>
      <c r="F88" s="197"/>
      <c r="G88" s="373">
        <v>2030000</v>
      </c>
      <c r="H88" s="250">
        <f t="shared" si="1"/>
        <v>4889976.4980000053</v>
      </c>
      <c r="I88" s="298"/>
      <c r="J88" s="112"/>
      <c r="K88" s="112"/>
      <c r="L88" s="112"/>
    </row>
    <row r="89" spans="1:12" s="251" customFormat="1" ht="15">
      <c r="A89" s="222">
        <v>42831</v>
      </c>
      <c r="B89" s="103" t="s">
        <v>2203</v>
      </c>
      <c r="C89" s="142" t="s">
        <v>2846</v>
      </c>
      <c r="D89" s="133">
        <v>8130.6469999999999</v>
      </c>
      <c r="E89" s="196"/>
      <c r="F89" s="197">
        <v>6180561.3499999996</v>
      </c>
      <c r="G89" s="196"/>
      <c r="H89" s="250">
        <f t="shared" si="1"/>
        <v>11070537.848000005</v>
      </c>
      <c r="I89" s="298"/>
      <c r="J89" s="112"/>
      <c r="K89" s="112"/>
      <c r="L89" s="112"/>
    </row>
    <row r="90" spans="1:12" s="251" customFormat="1" ht="15">
      <c r="A90" s="222">
        <v>42843</v>
      </c>
      <c r="B90" s="103" t="s">
        <v>3036</v>
      </c>
      <c r="C90" s="142"/>
      <c r="D90" s="133"/>
      <c r="E90" s="196"/>
      <c r="F90" s="197"/>
      <c r="G90" s="373">
        <v>3640000</v>
      </c>
      <c r="H90" s="250">
        <f t="shared" si="1"/>
        <v>7430537.8480000049</v>
      </c>
      <c r="I90" s="298"/>
      <c r="J90" s="112"/>
      <c r="K90" s="112"/>
      <c r="L90" s="112"/>
    </row>
    <row r="91" spans="1:12" s="251" customFormat="1" ht="15">
      <c r="A91" s="222">
        <v>42851</v>
      </c>
      <c r="B91" s="103" t="s">
        <v>1931</v>
      </c>
      <c r="C91" s="142"/>
      <c r="D91" s="133"/>
      <c r="E91" s="196"/>
      <c r="F91" s="197"/>
      <c r="G91" s="373">
        <v>1100000</v>
      </c>
      <c r="H91" s="250">
        <f t="shared" si="1"/>
        <v>6330537.8480000049</v>
      </c>
      <c r="I91" s="298">
        <v>6312987.6600000001</v>
      </c>
      <c r="J91" s="112" t="s">
        <v>3094</v>
      </c>
      <c r="K91" s="112"/>
      <c r="L91" s="112"/>
    </row>
    <row r="92" spans="1:12" s="251" customFormat="1" ht="15">
      <c r="A92" s="222">
        <v>42879</v>
      </c>
      <c r="B92" s="103" t="s">
        <v>2203</v>
      </c>
      <c r="C92" s="142"/>
      <c r="D92" s="133"/>
      <c r="E92" s="196"/>
      <c r="F92" s="197"/>
      <c r="G92" s="196">
        <v>6180000</v>
      </c>
      <c r="H92" s="250">
        <f t="shared" si="1"/>
        <v>150537.84800000489</v>
      </c>
      <c r="I92" s="298">
        <f>H91-I91</f>
        <v>17550.188000004739</v>
      </c>
      <c r="J92" s="112"/>
      <c r="K92" s="112"/>
      <c r="L92" s="112"/>
    </row>
    <row r="93" spans="1:12" s="251" customFormat="1" ht="15">
      <c r="A93" s="222">
        <v>42920</v>
      </c>
      <c r="B93" s="103" t="s">
        <v>3406</v>
      </c>
      <c r="C93" s="142" t="s">
        <v>3233</v>
      </c>
      <c r="D93" s="133">
        <v>7353.5050000000001</v>
      </c>
      <c r="E93" s="196"/>
      <c r="F93" s="197">
        <v>4313305.17</v>
      </c>
      <c r="G93" s="196"/>
      <c r="H93" s="250">
        <f t="shared" si="1"/>
        <v>4463843.0180000048</v>
      </c>
      <c r="I93" s="298">
        <v>12059.84</v>
      </c>
      <c r="J93" s="112" t="s">
        <v>3095</v>
      </c>
      <c r="K93" s="112"/>
      <c r="L93" s="112"/>
    </row>
    <row r="94" spans="1:12" s="251" customFormat="1" ht="15">
      <c r="A94" s="222">
        <v>42935</v>
      </c>
      <c r="B94" s="103" t="s">
        <v>3416</v>
      </c>
      <c r="C94" s="142"/>
      <c r="D94" s="133"/>
      <c r="E94" s="196"/>
      <c r="F94" s="197"/>
      <c r="G94" s="196">
        <v>4000000</v>
      </c>
      <c r="H94" s="250">
        <f t="shared" si="1"/>
        <v>463843.01800000481</v>
      </c>
      <c r="I94" s="298">
        <f>I92-I93</f>
        <v>5490.3480000047384</v>
      </c>
      <c r="J94" s="112" t="s">
        <v>3096</v>
      </c>
      <c r="K94" s="112"/>
      <c r="L94" s="112"/>
    </row>
    <row r="95" spans="1:12" s="251" customFormat="1" ht="15">
      <c r="A95" s="222">
        <v>42937</v>
      </c>
      <c r="B95" s="103" t="s">
        <v>412</v>
      </c>
      <c r="C95" s="142" t="s">
        <v>3303</v>
      </c>
      <c r="D95" s="133">
        <v>491.39400000000001</v>
      </c>
      <c r="E95" s="196"/>
      <c r="F95" s="197">
        <v>5893284.2000000002</v>
      </c>
      <c r="G95" s="196"/>
      <c r="H95" s="250">
        <f t="shared" si="1"/>
        <v>6357127.218000005</v>
      </c>
      <c r="I95" s="298"/>
      <c r="J95" s="112"/>
      <c r="K95" s="112"/>
      <c r="L95" s="112"/>
    </row>
    <row r="96" spans="1:12" s="251" customFormat="1" ht="15">
      <c r="A96" s="222">
        <v>42937</v>
      </c>
      <c r="B96" s="103" t="s">
        <v>603</v>
      </c>
      <c r="C96" s="142" t="s">
        <v>3352</v>
      </c>
      <c r="D96" s="133">
        <v>98.401399999999995</v>
      </c>
      <c r="E96" s="196"/>
      <c r="F96" s="197">
        <v>659289.38</v>
      </c>
      <c r="G96" s="196"/>
      <c r="H96" s="250">
        <f t="shared" si="1"/>
        <v>7016416.5980000049</v>
      </c>
      <c r="I96" s="298"/>
      <c r="J96" s="112"/>
      <c r="K96" s="112"/>
      <c r="L96" s="112"/>
    </row>
    <row r="97" spans="1:12" s="251" customFormat="1" ht="15">
      <c r="A97" s="222">
        <v>42954</v>
      </c>
      <c r="B97" s="103" t="s">
        <v>412</v>
      </c>
      <c r="C97" s="142" t="s">
        <v>3303</v>
      </c>
      <c r="D97" s="133">
        <v>32.981000000000002</v>
      </c>
      <c r="E97" s="196"/>
      <c r="F97" s="197">
        <v>395772</v>
      </c>
      <c r="G97" s="196"/>
      <c r="H97" s="250">
        <f t="shared" si="1"/>
        <v>7412188.5980000049</v>
      </c>
      <c r="I97" s="298"/>
      <c r="J97" s="112"/>
      <c r="K97" s="112"/>
      <c r="L97" s="112"/>
    </row>
    <row r="98" spans="1:12" s="251" customFormat="1" ht="15">
      <c r="A98" s="222">
        <v>42954</v>
      </c>
      <c r="B98" s="103" t="s">
        <v>412</v>
      </c>
      <c r="C98" s="142" t="s">
        <v>3448</v>
      </c>
      <c r="D98" s="133">
        <v>134.99709999999999</v>
      </c>
      <c r="E98" s="196"/>
      <c r="F98" s="197">
        <v>1552466.65</v>
      </c>
      <c r="G98" s="196"/>
      <c r="H98" s="250">
        <f t="shared" si="1"/>
        <v>8964655.2480000053</v>
      </c>
      <c r="I98" s="298"/>
      <c r="J98" s="112"/>
      <c r="K98" s="112"/>
      <c r="L98" s="112"/>
    </row>
    <row r="99" spans="1:12" s="251" customFormat="1" ht="15">
      <c r="A99" s="222">
        <v>42954</v>
      </c>
      <c r="B99" s="103" t="s">
        <v>603</v>
      </c>
      <c r="C99" s="142" t="s">
        <v>3352</v>
      </c>
      <c r="D99" s="133">
        <v>198.36019999999999</v>
      </c>
      <c r="E99" s="196"/>
      <c r="F99" s="197">
        <v>1329013.3400000001</v>
      </c>
      <c r="G99" s="196"/>
      <c r="H99" s="250">
        <f t="shared" si="1"/>
        <v>10293668.588000005</v>
      </c>
      <c r="I99" s="298"/>
      <c r="J99" s="112"/>
      <c r="K99" s="112"/>
      <c r="L99" s="112"/>
    </row>
    <row r="100" spans="1:12" s="251" customFormat="1" ht="15">
      <c r="A100" s="222">
        <v>42954</v>
      </c>
      <c r="B100" s="103" t="s">
        <v>218</v>
      </c>
      <c r="C100" s="142" t="s">
        <v>3417</v>
      </c>
      <c r="D100" s="133">
        <v>4381.1364000000003</v>
      </c>
      <c r="E100" s="196"/>
      <c r="F100" s="197">
        <v>2822622.66</v>
      </c>
      <c r="G100" s="196"/>
      <c r="H100" s="250">
        <f t="shared" si="1"/>
        <v>13116291.248000005</v>
      </c>
      <c r="I100" s="298"/>
      <c r="J100" s="112"/>
      <c r="K100" s="112"/>
      <c r="L100" s="112"/>
    </row>
    <row r="101" spans="1:12" s="251" customFormat="1" ht="15">
      <c r="A101" s="222">
        <v>42956</v>
      </c>
      <c r="B101" s="103" t="s">
        <v>3564</v>
      </c>
      <c r="C101" s="142"/>
      <c r="D101" s="133"/>
      <c r="E101" s="196"/>
      <c r="F101" s="197"/>
      <c r="G101" s="196">
        <v>6000000</v>
      </c>
      <c r="H101" s="250">
        <f t="shared" si="1"/>
        <v>7116291.2480000053</v>
      </c>
      <c r="I101" s="298"/>
      <c r="J101" s="112"/>
      <c r="K101" s="112"/>
      <c r="L101" s="112"/>
    </row>
    <row r="102" spans="1:12" s="251" customFormat="1" ht="15">
      <c r="A102" s="222">
        <v>42962</v>
      </c>
      <c r="B102" s="103" t="s">
        <v>218</v>
      </c>
      <c r="C102" s="142" t="s">
        <v>3417</v>
      </c>
      <c r="D102" s="133">
        <v>4473.5218999999997</v>
      </c>
      <c r="E102" s="196"/>
      <c r="F102" s="197">
        <v>2836759.33</v>
      </c>
      <c r="G102" s="196"/>
      <c r="H102" s="250">
        <f t="shared" si="1"/>
        <v>9953050.5780000053</v>
      </c>
      <c r="I102" s="298"/>
      <c r="J102" s="112"/>
      <c r="K102" s="112"/>
      <c r="L102" s="112"/>
    </row>
    <row r="103" spans="1:12" s="251" customFormat="1" ht="15">
      <c r="A103" s="222">
        <v>42969</v>
      </c>
      <c r="B103" s="103" t="s">
        <v>3659</v>
      </c>
      <c r="C103" s="142"/>
      <c r="D103" s="133"/>
      <c r="E103" s="196"/>
      <c r="F103" s="197"/>
      <c r="G103" s="196">
        <v>2470000</v>
      </c>
      <c r="H103" s="250">
        <f t="shared" si="1"/>
        <v>7483050.5780000053</v>
      </c>
      <c r="I103" s="298"/>
      <c r="J103" s="112"/>
      <c r="K103" s="112"/>
      <c r="L103" s="112"/>
    </row>
    <row r="104" spans="1:12" s="251" customFormat="1" ht="15">
      <c r="A104" s="222">
        <v>42969</v>
      </c>
      <c r="B104" s="103" t="s">
        <v>412</v>
      </c>
      <c r="C104" s="142" t="s">
        <v>3448</v>
      </c>
      <c r="D104" s="133">
        <v>31.981999999999999</v>
      </c>
      <c r="E104" s="196"/>
      <c r="F104" s="197">
        <v>364594.8</v>
      </c>
      <c r="G104" s="196"/>
      <c r="H104" s="250">
        <f t="shared" si="1"/>
        <v>7847645.3780000051</v>
      </c>
      <c r="I104" s="298"/>
      <c r="J104" s="112"/>
      <c r="K104" s="112"/>
      <c r="L104" s="112"/>
    </row>
    <row r="105" spans="1:12" s="251" customFormat="1" ht="15">
      <c r="A105" s="222">
        <v>42969</v>
      </c>
      <c r="B105" s="103" t="s">
        <v>412</v>
      </c>
      <c r="C105" s="142" t="s">
        <v>3628</v>
      </c>
      <c r="D105" s="133">
        <v>123.896</v>
      </c>
      <c r="E105" s="196"/>
      <c r="F105" s="197">
        <v>1443388.4</v>
      </c>
      <c r="G105" s="196"/>
      <c r="H105" s="250">
        <f t="shared" si="1"/>
        <v>9291033.7780000046</v>
      </c>
      <c r="I105" s="298"/>
      <c r="J105" s="112"/>
      <c r="K105" s="112"/>
      <c r="L105" s="112"/>
    </row>
    <row r="106" spans="1:12" s="251" customFormat="1" ht="15">
      <c r="A106" s="222">
        <v>42978</v>
      </c>
      <c r="B106" s="103" t="s">
        <v>3564</v>
      </c>
      <c r="C106" s="142"/>
      <c r="D106" s="133"/>
      <c r="E106" s="196"/>
      <c r="F106" s="197"/>
      <c r="G106" s="196">
        <v>2000000</v>
      </c>
      <c r="H106" s="250">
        <f t="shared" si="1"/>
        <v>7291033.7780000046</v>
      </c>
      <c r="I106" s="298"/>
      <c r="J106" s="112"/>
      <c r="K106" s="112"/>
      <c r="L106" s="112"/>
    </row>
    <row r="107" spans="1:12" s="251" customFormat="1" ht="15">
      <c r="A107" s="222">
        <v>42979</v>
      </c>
      <c r="B107" s="103" t="s">
        <v>218</v>
      </c>
      <c r="C107" s="142" t="s">
        <v>3626</v>
      </c>
      <c r="D107" s="133">
        <v>4005.0839000000001</v>
      </c>
      <c r="E107" s="196"/>
      <c r="F107" s="197">
        <v>2692017.13</v>
      </c>
      <c r="G107" s="196"/>
      <c r="H107" s="250">
        <f t="shared" si="1"/>
        <v>9983050.9080000035</v>
      </c>
      <c r="I107" s="298"/>
      <c r="J107" s="112"/>
      <c r="K107" s="112"/>
      <c r="L107" s="112"/>
    </row>
    <row r="108" spans="1:12" s="251" customFormat="1" ht="15">
      <c r="A108" s="222">
        <v>42986</v>
      </c>
      <c r="B108" s="103" t="s">
        <v>603</v>
      </c>
      <c r="C108" s="142" t="s">
        <v>3717</v>
      </c>
      <c r="D108" s="133">
        <v>175.17080000000001</v>
      </c>
      <c r="E108" s="196"/>
      <c r="F108" s="197">
        <v>1269988.3</v>
      </c>
      <c r="G108" s="196"/>
      <c r="H108" s="250">
        <f t="shared" si="1"/>
        <v>11253039.208000004</v>
      </c>
      <c r="I108" s="298"/>
      <c r="J108" s="112"/>
      <c r="K108" s="112"/>
      <c r="L108" s="112"/>
    </row>
    <row r="109" spans="1:12" s="251" customFormat="1" ht="15">
      <c r="A109" s="222">
        <v>42986</v>
      </c>
      <c r="B109" s="103" t="s">
        <v>218</v>
      </c>
      <c r="C109" s="142" t="s">
        <v>3626</v>
      </c>
      <c r="D109" s="133">
        <v>4013.7984999999999</v>
      </c>
      <c r="E109" s="196"/>
      <c r="F109" s="197">
        <v>2778420.38</v>
      </c>
      <c r="G109" s="196"/>
      <c r="H109" s="250">
        <f t="shared" si="1"/>
        <v>14031459.588000003</v>
      </c>
      <c r="I109" s="298"/>
      <c r="J109" s="112"/>
      <c r="K109" s="112"/>
      <c r="L109" s="112"/>
    </row>
    <row r="110" spans="1:12" s="251" customFormat="1" ht="15">
      <c r="A110" s="222">
        <v>42993</v>
      </c>
      <c r="B110" s="103" t="s">
        <v>3564</v>
      </c>
      <c r="C110" s="142"/>
      <c r="D110" s="133"/>
      <c r="E110" s="196"/>
      <c r="F110" s="197"/>
      <c r="G110" s="404">
        <v>4400000</v>
      </c>
      <c r="H110" s="250">
        <f t="shared" si="1"/>
        <v>9631459.5880000032</v>
      </c>
      <c r="I110" s="298"/>
      <c r="J110" s="112"/>
      <c r="K110" s="112"/>
      <c r="L110" s="112"/>
    </row>
    <row r="111" spans="1:12" s="251" customFormat="1" ht="15">
      <c r="A111" s="222">
        <v>42997</v>
      </c>
      <c r="B111" s="103" t="s">
        <v>3878</v>
      </c>
      <c r="C111" s="142"/>
      <c r="D111" s="133"/>
      <c r="E111" s="196"/>
      <c r="F111" s="197"/>
      <c r="G111" s="196">
        <v>4320000</v>
      </c>
      <c r="H111" s="250">
        <f t="shared" ref="H111:H152" si="2">H110+F111-G111</f>
        <v>5311459.5880000032</v>
      </c>
      <c r="I111" s="298"/>
      <c r="J111" s="112"/>
      <c r="K111" s="112"/>
      <c r="L111" s="112"/>
    </row>
    <row r="112" spans="1:12" s="251" customFormat="1" ht="15">
      <c r="A112" s="222">
        <v>43017</v>
      </c>
      <c r="B112" s="103" t="s">
        <v>3879</v>
      </c>
      <c r="C112" s="142" t="s">
        <v>3880</v>
      </c>
      <c r="D112" s="133">
        <v>89.897999999999996</v>
      </c>
      <c r="E112" s="196"/>
      <c r="F112" s="197">
        <v>1038321.9</v>
      </c>
      <c r="G112" s="196"/>
      <c r="H112" s="250">
        <f t="shared" si="2"/>
        <v>6349781.4880000036</v>
      </c>
      <c r="I112" s="298"/>
      <c r="J112" s="112"/>
      <c r="K112" s="112"/>
      <c r="L112" s="112"/>
    </row>
    <row r="113" spans="1:12" s="251" customFormat="1" ht="15">
      <c r="A113" s="222">
        <v>43017</v>
      </c>
      <c r="B113" s="103" t="s">
        <v>3881</v>
      </c>
      <c r="C113" s="142" t="s">
        <v>3882</v>
      </c>
      <c r="D113" s="133">
        <v>177.90629999999999</v>
      </c>
      <c r="E113" s="196"/>
      <c r="F113" s="197">
        <v>1286246.58</v>
      </c>
      <c r="G113" s="196"/>
      <c r="H113" s="250">
        <f t="shared" si="2"/>
        <v>7636028.0680000037</v>
      </c>
      <c r="I113" s="298"/>
      <c r="J113" s="112"/>
      <c r="K113" s="112"/>
      <c r="L113" s="112"/>
    </row>
    <row r="114" spans="1:12" s="251" customFormat="1" ht="15">
      <c r="A114" s="222">
        <v>43019</v>
      </c>
      <c r="B114" s="103" t="s">
        <v>3881</v>
      </c>
      <c r="C114" s="142" t="s">
        <v>3882</v>
      </c>
      <c r="D114" s="133">
        <v>36.575600000000001</v>
      </c>
      <c r="E114" s="196"/>
      <c r="F114" s="197">
        <v>253724.94</v>
      </c>
      <c r="G114" s="196"/>
      <c r="H114" s="250">
        <f t="shared" si="2"/>
        <v>7889753.0080000041</v>
      </c>
      <c r="I114" s="298"/>
      <c r="J114" s="112"/>
      <c r="K114" s="112"/>
      <c r="L114" s="112"/>
    </row>
    <row r="115" spans="1:12" s="251" customFormat="1" ht="15">
      <c r="A115" s="222">
        <v>43019</v>
      </c>
      <c r="B115" s="103" t="s">
        <v>3881</v>
      </c>
      <c r="C115" s="142" t="s">
        <v>3883</v>
      </c>
      <c r="D115" s="133">
        <v>69.0916</v>
      </c>
      <c r="E115" s="196"/>
      <c r="F115" s="197">
        <v>519292.47</v>
      </c>
      <c r="G115" s="196"/>
      <c r="H115" s="250">
        <f t="shared" si="2"/>
        <v>8409045.4780000038</v>
      </c>
      <c r="I115" s="298"/>
      <c r="J115" s="112"/>
      <c r="K115" s="112"/>
      <c r="L115" s="112"/>
    </row>
    <row r="116" spans="1:12" s="251" customFormat="1" ht="15">
      <c r="A116" s="222">
        <v>43024</v>
      </c>
      <c r="B116" s="103" t="s">
        <v>3879</v>
      </c>
      <c r="C116" s="142" t="s">
        <v>3884</v>
      </c>
      <c r="D116" s="133">
        <v>209.72200000000001</v>
      </c>
      <c r="E116" s="196"/>
      <c r="F116" s="197">
        <v>2569094.5</v>
      </c>
      <c r="G116" s="196"/>
      <c r="H116" s="250">
        <f t="shared" si="2"/>
        <v>10978139.978000004</v>
      </c>
      <c r="I116" s="298"/>
      <c r="J116" s="112"/>
      <c r="K116" s="112"/>
      <c r="L116" s="112"/>
    </row>
    <row r="117" spans="1:12" s="251" customFormat="1" ht="15">
      <c r="A117" s="222">
        <v>43024</v>
      </c>
      <c r="B117" s="103" t="s">
        <v>3879</v>
      </c>
      <c r="C117" s="142" t="s">
        <v>3885</v>
      </c>
      <c r="D117" s="133">
        <v>33.939</v>
      </c>
      <c r="E117" s="196"/>
      <c r="F117" s="197">
        <v>415752.75</v>
      </c>
      <c r="G117" s="196"/>
      <c r="H117" s="250">
        <f t="shared" si="2"/>
        <v>11393892.728000004</v>
      </c>
      <c r="I117" s="298"/>
      <c r="J117" s="112"/>
      <c r="K117" s="112"/>
      <c r="L117" s="112"/>
    </row>
    <row r="118" spans="1:12" s="251" customFormat="1" ht="15">
      <c r="A118" s="222">
        <v>43024</v>
      </c>
      <c r="B118" s="103" t="s">
        <v>3881</v>
      </c>
      <c r="C118" s="142" t="s">
        <v>3883</v>
      </c>
      <c r="D118" s="133">
        <v>439.68290000000002</v>
      </c>
      <c r="E118" s="196"/>
      <c r="F118" s="197">
        <v>3307979.77</v>
      </c>
      <c r="G118" s="196"/>
      <c r="H118" s="250">
        <f t="shared" si="2"/>
        <v>14701872.498000003</v>
      </c>
      <c r="I118" s="298"/>
      <c r="J118" s="112"/>
      <c r="K118" s="112"/>
      <c r="L118" s="112"/>
    </row>
    <row r="119" spans="1:12" s="251" customFormat="1" ht="15">
      <c r="A119" s="222">
        <v>43028</v>
      </c>
      <c r="B119" s="103" t="s">
        <v>3934</v>
      </c>
      <c r="C119" s="142"/>
      <c r="D119" s="133"/>
      <c r="E119" s="196"/>
      <c r="F119" s="197"/>
      <c r="G119" s="196">
        <v>5000000</v>
      </c>
      <c r="H119" s="250">
        <f t="shared" si="2"/>
        <v>9701872.4980000034</v>
      </c>
      <c r="I119" s="298"/>
      <c r="J119" s="112"/>
      <c r="K119" s="112"/>
      <c r="L119" s="112"/>
    </row>
    <row r="120" spans="1:12" s="251" customFormat="1" ht="15">
      <c r="A120" s="222">
        <v>43035</v>
      </c>
      <c r="B120" s="103" t="s">
        <v>3878</v>
      </c>
      <c r="C120" s="142"/>
      <c r="D120" s="133"/>
      <c r="E120" s="196"/>
      <c r="F120" s="197"/>
      <c r="G120" s="196">
        <v>4000000</v>
      </c>
      <c r="H120" s="250">
        <f t="shared" si="2"/>
        <v>5701872.4980000034</v>
      </c>
      <c r="I120" s="298"/>
      <c r="J120" s="112"/>
      <c r="K120" s="112"/>
      <c r="L120" s="112"/>
    </row>
    <row r="121" spans="1:12" s="251" customFormat="1" ht="15">
      <c r="A121" s="222">
        <v>43045</v>
      </c>
      <c r="B121" s="103" t="s">
        <v>3964</v>
      </c>
      <c r="C121" s="142" t="s">
        <v>3965</v>
      </c>
      <c r="D121" s="133">
        <v>1045.3834999999999</v>
      </c>
      <c r="E121" s="196"/>
      <c r="F121" s="197">
        <v>7990678.4299999997</v>
      </c>
      <c r="G121" s="196"/>
      <c r="H121" s="250">
        <f t="shared" si="2"/>
        <v>13692550.928000003</v>
      </c>
      <c r="I121" s="298"/>
      <c r="J121" s="112"/>
      <c r="K121" s="112"/>
      <c r="L121" s="112"/>
    </row>
    <row r="122" spans="1:12" s="251" customFormat="1" ht="15">
      <c r="A122" s="222">
        <v>43047</v>
      </c>
      <c r="B122" s="103" t="s">
        <v>412</v>
      </c>
      <c r="C122" s="142" t="s">
        <v>3963</v>
      </c>
      <c r="D122" s="133">
        <v>165.822</v>
      </c>
      <c r="E122" s="196"/>
      <c r="F122" s="197">
        <v>2031319.5</v>
      </c>
      <c r="G122" s="196"/>
      <c r="H122" s="250">
        <f t="shared" si="2"/>
        <v>15723870.428000003</v>
      </c>
      <c r="I122" s="298"/>
      <c r="J122" s="112"/>
      <c r="K122" s="112"/>
      <c r="L122" s="112"/>
    </row>
    <row r="123" spans="1:12" s="251" customFormat="1" ht="15">
      <c r="A123" s="222">
        <v>43059</v>
      </c>
      <c r="B123" s="103" t="s">
        <v>3564</v>
      </c>
      <c r="C123" s="142"/>
      <c r="D123" s="133"/>
      <c r="E123" s="196"/>
      <c r="F123" s="197"/>
      <c r="G123" s="196">
        <v>12148000</v>
      </c>
      <c r="H123" s="250">
        <f t="shared" si="2"/>
        <v>3575870.4280000031</v>
      </c>
      <c r="I123" s="298"/>
      <c r="J123" s="112"/>
      <c r="K123" s="112"/>
      <c r="L123" s="112"/>
    </row>
    <row r="124" spans="1:12" s="251" customFormat="1" ht="15">
      <c r="A124" s="222">
        <v>43076</v>
      </c>
      <c r="B124" s="103" t="s">
        <v>4255</v>
      </c>
      <c r="C124" s="142"/>
      <c r="D124" s="444">
        <v>199.84</v>
      </c>
      <c r="E124" s="443"/>
      <c r="F124" s="212">
        <v>2438048</v>
      </c>
      <c r="G124" s="196"/>
      <c r="H124" s="250">
        <f t="shared" si="2"/>
        <v>6013918.4280000031</v>
      </c>
      <c r="I124" s="298"/>
      <c r="J124" s="112"/>
      <c r="K124" s="112"/>
      <c r="L124" s="112"/>
    </row>
    <row r="125" spans="1:12" s="251" customFormat="1" ht="15">
      <c r="A125" s="222">
        <v>43084</v>
      </c>
      <c r="B125" s="103" t="s">
        <v>3564</v>
      </c>
      <c r="C125" s="142"/>
      <c r="D125" s="133"/>
      <c r="E125" s="196"/>
      <c r="F125" s="197"/>
      <c r="G125" s="196">
        <v>5000000</v>
      </c>
      <c r="H125" s="250">
        <f t="shared" si="2"/>
        <v>1013918.4280000031</v>
      </c>
      <c r="I125" s="298"/>
      <c r="J125" s="112"/>
      <c r="K125" s="112"/>
      <c r="L125" s="112"/>
    </row>
    <row r="126" spans="1:12" s="251" customFormat="1" ht="15">
      <c r="A126" s="222">
        <v>43115</v>
      </c>
      <c r="B126" s="103" t="s">
        <v>4693</v>
      </c>
      <c r="C126" s="142" t="s">
        <v>4694</v>
      </c>
      <c r="D126" s="68">
        <v>89.837999999999994</v>
      </c>
      <c r="E126" s="196"/>
      <c r="F126" s="36">
        <v>1069072.2</v>
      </c>
      <c r="G126" s="196"/>
      <c r="H126" s="250">
        <f t="shared" si="2"/>
        <v>2082990.6280000031</v>
      </c>
      <c r="I126" s="298"/>
      <c r="J126" s="112"/>
      <c r="K126" s="112"/>
      <c r="L126" s="112"/>
    </row>
    <row r="127" spans="1:12" s="251" customFormat="1" ht="15">
      <c r="A127" s="222">
        <v>43117</v>
      </c>
      <c r="B127" s="103" t="s">
        <v>4523</v>
      </c>
      <c r="C127" s="142" t="s">
        <v>4524</v>
      </c>
      <c r="D127" s="444">
        <v>220.124</v>
      </c>
      <c r="E127" s="196"/>
      <c r="F127" s="36">
        <v>2564444.6</v>
      </c>
      <c r="G127" s="196"/>
      <c r="H127" s="250">
        <f t="shared" si="2"/>
        <v>4647435.2280000029</v>
      </c>
      <c r="I127" s="298"/>
      <c r="J127" s="112"/>
      <c r="K127" s="112"/>
      <c r="L127" s="112"/>
    </row>
    <row r="128" spans="1:12" s="251" customFormat="1" ht="15">
      <c r="A128" s="222">
        <v>43126</v>
      </c>
      <c r="B128" s="103" t="s">
        <v>3564</v>
      </c>
      <c r="C128" s="142"/>
      <c r="D128" s="444"/>
      <c r="E128" s="196"/>
      <c r="F128" s="36"/>
      <c r="G128" s="196">
        <v>3500000</v>
      </c>
      <c r="H128" s="250">
        <f t="shared" si="2"/>
        <v>1147435.2280000029</v>
      </c>
      <c r="I128" s="298"/>
      <c r="J128" s="112"/>
      <c r="K128" s="112"/>
      <c r="L128" s="112"/>
    </row>
    <row r="129" spans="1:12" s="251" customFormat="1" ht="15">
      <c r="A129" s="222">
        <v>43137</v>
      </c>
      <c r="B129" s="103" t="s">
        <v>4514</v>
      </c>
      <c r="C129" s="142" t="s">
        <v>4516</v>
      </c>
      <c r="D129" s="444">
        <v>204.1309</v>
      </c>
      <c r="E129" s="196"/>
      <c r="F129" s="212">
        <v>1793257.62</v>
      </c>
      <c r="G129" s="196"/>
      <c r="H129" s="250">
        <f t="shared" si="2"/>
        <v>2940692.848000003</v>
      </c>
      <c r="I129" s="298"/>
      <c r="J129" s="112"/>
      <c r="K129" s="112"/>
      <c r="L129" s="112"/>
    </row>
    <row r="130" spans="1:12" s="251" customFormat="1" ht="15">
      <c r="A130" s="222">
        <v>43137</v>
      </c>
      <c r="B130" s="103" t="s">
        <v>4523</v>
      </c>
      <c r="C130" s="142" t="s">
        <v>4524</v>
      </c>
      <c r="D130" s="68">
        <v>162.98699999999999</v>
      </c>
      <c r="E130" s="196"/>
      <c r="F130" s="36">
        <v>1898798.55</v>
      </c>
      <c r="G130" s="196"/>
      <c r="H130" s="250">
        <f t="shared" si="2"/>
        <v>4839491.3980000028</v>
      </c>
      <c r="I130" s="298"/>
      <c r="J130" s="112"/>
      <c r="K130" s="112"/>
      <c r="L130" s="112"/>
    </row>
    <row r="131" spans="1:12" s="251" customFormat="1" ht="15">
      <c r="A131" s="222">
        <v>43153</v>
      </c>
      <c r="B131" s="103" t="s">
        <v>4515</v>
      </c>
      <c r="C131" s="142" t="s">
        <v>4517</v>
      </c>
      <c r="D131" s="68">
        <v>217.63749999999999</v>
      </c>
      <c r="E131" s="196"/>
      <c r="F131" s="212">
        <v>1856702.87</v>
      </c>
      <c r="G131" s="196"/>
      <c r="H131" s="250">
        <f t="shared" si="2"/>
        <v>6696194.268000003</v>
      </c>
      <c r="I131" s="298"/>
      <c r="J131" s="112"/>
      <c r="K131" s="112"/>
      <c r="L131" s="112"/>
    </row>
    <row r="132" spans="1:12" s="251" customFormat="1" ht="15">
      <c r="A132" s="222">
        <v>43153</v>
      </c>
      <c r="B132" s="103" t="s">
        <v>4518</v>
      </c>
      <c r="C132" s="142" t="s">
        <v>4519</v>
      </c>
      <c r="D132" s="133">
        <v>773.24040000000002</v>
      </c>
      <c r="E132" s="196"/>
      <c r="F132" s="197">
        <v>2379730.34</v>
      </c>
      <c r="G132" s="196"/>
      <c r="H132" s="250">
        <f t="shared" si="2"/>
        <v>9075924.6080000028</v>
      </c>
      <c r="I132" s="298"/>
      <c r="J132" s="112"/>
      <c r="K132" s="112"/>
      <c r="L132" s="112"/>
    </row>
    <row r="133" spans="1:12" s="251" customFormat="1" ht="15">
      <c r="A133" s="222">
        <v>43157</v>
      </c>
      <c r="B133" s="103" t="s">
        <v>4522</v>
      </c>
      <c r="C133" s="142" t="s">
        <v>4525</v>
      </c>
      <c r="D133" s="133">
        <v>155.04300000000001</v>
      </c>
      <c r="E133" s="196"/>
      <c r="F133" s="197">
        <v>2170602</v>
      </c>
      <c r="G133" s="196"/>
      <c r="H133" s="250">
        <f t="shared" si="2"/>
        <v>11246526.608000003</v>
      </c>
      <c r="I133" s="298"/>
      <c r="J133" s="112"/>
      <c r="K133" s="112"/>
      <c r="L133" s="112"/>
    </row>
    <row r="134" spans="1:12" s="251" customFormat="1" ht="15">
      <c r="A134" s="222">
        <v>43160</v>
      </c>
      <c r="B134" s="103" t="s">
        <v>3564</v>
      </c>
      <c r="C134" s="142"/>
      <c r="D134" s="133"/>
      <c r="E134" s="196"/>
      <c r="F134" s="197"/>
      <c r="G134" s="196">
        <v>1000000</v>
      </c>
      <c r="H134" s="250">
        <f t="shared" si="2"/>
        <v>10246526.608000003</v>
      </c>
      <c r="I134" s="298"/>
      <c r="J134" s="112"/>
      <c r="K134" s="112"/>
      <c r="L134" s="112"/>
    </row>
    <row r="135" spans="1:12" s="251" customFormat="1" ht="15">
      <c r="A135" s="222">
        <v>43165</v>
      </c>
      <c r="B135" s="103" t="s">
        <v>3564</v>
      </c>
      <c r="C135" s="142"/>
      <c r="D135" s="133"/>
      <c r="E135" s="196"/>
      <c r="F135" s="197"/>
      <c r="G135" s="196">
        <v>8000000</v>
      </c>
      <c r="H135" s="250">
        <f t="shared" si="2"/>
        <v>2246526.6080000028</v>
      </c>
      <c r="I135" s="298"/>
      <c r="J135" s="112"/>
      <c r="K135" s="112"/>
      <c r="L135" s="112"/>
    </row>
    <row r="136" spans="1:12" s="251" customFormat="1" ht="15">
      <c r="A136" s="222">
        <v>43168</v>
      </c>
      <c r="B136" s="103" t="s">
        <v>4678</v>
      </c>
      <c r="C136" s="142" t="s">
        <v>4519</v>
      </c>
      <c r="D136" s="68">
        <v>772.44</v>
      </c>
      <c r="E136" s="69"/>
      <c r="F136" s="36">
        <v>2374887.7200000002</v>
      </c>
      <c r="G136" s="196"/>
      <c r="H136" s="250">
        <f t="shared" si="2"/>
        <v>4621414.3280000035</v>
      </c>
      <c r="I136" s="298"/>
      <c r="J136" s="112"/>
      <c r="K136" s="112"/>
      <c r="L136" s="112"/>
    </row>
    <row r="137" spans="1:12" s="251" customFormat="1" ht="15">
      <c r="A137" s="222">
        <v>43172</v>
      </c>
      <c r="B137" s="103" t="s">
        <v>3564</v>
      </c>
      <c r="C137" s="142"/>
      <c r="D137" s="133"/>
      <c r="E137" s="196"/>
      <c r="F137" s="197"/>
      <c r="G137" s="196">
        <v>1400000</v>
      </c>
      <c r="H137" s="250">
        <f t="shared" si="2"/>
        <v>3221414.3280000035</v>
      </c>
      <c r="I137" s="298"/>
      <c r="J137" s="112"/>
      <c r="K137" s="112"/>
      <c r="L137" s="112"/>
    </row>
    <row r="138" spans="1:12" s="251" customFormat="1" ht="15">
      <c r="A138" s="222">
        <v>43174</v>
      </c>
      <c r="B138" s="103" t="s">
        <v>4627</v>
      </c>
      <c r="C138" s="142" t="s">
        <v>4672</v>
      </c>
      <c r="D138" s="133">
        <v>200.14</v>
      </c>
      <c r="E138" s="196"/>
      <c r="F138" s="197">
        <v>2862002</v>
      </c>
      <c r="G138" s="196"/>
      <c r="H138" s="250">
        <f t="shared" si="2"/>
        <v>6083416.3280000035</v>
      </c>
      <c r="I138" s="298"/>
      <c r="J138" s="112"/>
      <c r="K138" s="112"/>
      <c r="L138" s="112"/>
    </row>
    <row r="139" spans="1:12" s="251" customFormat="1" ht="15">
      <c r="A139" s="222">
        <v>43180</v>
      </c>
      <c r="B139" s="103" t="s">
        <v>4668</v>
      </c>
      <c r="C139" s="142" t="s">
        <v>4671</v>
      </c>
      <c r="D139" s="133">
        <v>857.75</v>
      </c>
      <c r="E139" s="196"/>
      <c r="F139" s="197">
        <v>2646844.34</v>
      </c>
      <c r="G139" s="196"/>
      <c r="H139" s="250">
        <f t="shared" si="2"/>
        <v>8730260.6680000033</v>
      </c>
      <c r="I139" s="298"/>
      <c r="J139" s="112"/>
      <c r="K139" s="112"/>
      <c r="L139" s="112"/>
    </row>
    <row r="140" spans="1:12" s="251" customFormat="1" ht="15">
      <c r="A140" s="222">
        <v>43180</v>
      </c>
      <c r="B140" s="103" t="s">
        <v>4669</v>
      </c>
      <c r="C140" s="142" t="s">
        <v>4670</v>
      </c>
      <c r="D140" s="133">
        <v>337.51049999999998</v>
      </c>
      <c r="E140" s="196"/>
      <c r="F140" s="197">
        <v>2919465.83</v>
      </c>
      <c r="G140" s="196"/>
      <c r="H140" s="250">
        <f t="shared" si="2"/>
        <v>11649726.498000003</v>
      </c>
      <c r="I140" s="298"/>
      <c r="J140" s="112"/>
      <c r="K140" s="112"/>
      <c r="L140" s="112"/>
    </row>
    <row r="141" spans="1:12" s="251" customFormat="1" ht="15">
      <c r="A141" s="222">
        <v>43187</v>
      </c>
      <c r="B141" s="103" t="s">
        <v>3564</v>
      </c>
      <c r="C141" s="142"/>
      <c r="D141" s="133"/>
      <c r="E141" s="196"/>
      <c r="F141" s="197"/>
      <c r="G141" s="196">
        <v>10000000</v>
      </c>
      <c r="H141" s="250">
        <f t="shared" si="2"/>
        <v>1649726.4980000034</v>
      </c>
      <c r="I141" s="298"/>
      <c r="J141" s="112"/>
      <c r="K141" s="112"/>
      <c r="L141" s="112"/>
    </row>
    <row r="142" spans="1:12" s="251" customFormat="1" ht="15">
      <c r="A142" s="222">
        <v>43194</v>
      </c>
      <c r="B142" s="103" t="s">
        <v>4669</v>
      </c>
      <c r="C142" s="142" t="s">
        <v>4670</v>
      </c>
      <c r="D142" s="133">
        <v>671.00779999999997</v>
      </c>
      <c r="E142" s="196"/>
      <c r="F142" s="197">
        <v>5804217.4699999997</v>
      </c>
      <c r="G142" s="196"/>
      <c r="H142" s="250">
        <f t="shared" si="2"/>
        <v>7453943.9680000031</v>
      </c>
      <c r="I142" s="298"/>
      <c r="J142" s="112"/>
      <c r="K142" s="112"/>
      <c r="L142" s="112"/>
    </row>
    <row r="143" spans="1:12" s="251" customFormat="1" ht="15">
      <c r="A143" s="222">
        <v>43194</v>
      </c>
      <c r="B143" s="103" t="s">
        <v>4737</v>
      </c>
      <c r="C143" s="142" t="s">
        <v>4738</v>
      </c>
      <c r="D143" s="133">
        <v>157.017</v>
      </c>
      <c r="E143" s="196"/>
      <c r="F143" s="197">
        <v>2261044.7999999998</v>
      </c>
      <c r="G143" s="196"/>
      <c r="H143" s="250">
        <f t="shared" si="2"/>
        <v>9714988.768000003</v>
      </c>
      <c r="I143" s="298"/>
      <c r="J143" s="112"/>
      <c r="K143" s="112"/>
      <c r="L143" s="112"/>
    </row>
    <row r="144" spans="1:12" s="251" customFormat="1" ht="15">
      <c r="A144" s="222">
        <v>43200</v>
      </c>
      <c r="B144" s="103" t="s">
        <v>4668</v>
      </c>
      <c r="C144" s="142" t="s">
        <v>4782</v>
      </c>
      <c r="D144" s="133">
        <v>1351.9996000000001</v>
      </c>
      <c r="E144" s="196"/>
      <c r="F144" s="197">
        <v>4423037.1100000003</v>
      </c>
      <c r="G144" s="196"/>
      <c r="H144" s="250">
        <f t="shared" si="2"/>
        <v>14138025.878000002</v>
      </c>
      <c r="I144" s="298"/>
      <c r="J144" s="112"/>
      <c r="K144" s="112"/>
      <c r="L144" s="112"/>
    </row>
    <row r="145" spans="1:12" s="251" customFormat="1" ht="15">
      <c r="A145" s="222">
        <v>43202</v>
      </c>
      <c r="B145" s="103" t="s">
        <v>3564</v>
      </c>
      <c r="C145" s="142"/>
      <c r="D145" s="133"/>
      <c r="E145" s="196"/>
      <c r="F145" s="197"/>
      <c r="G145" s="196">
        <v>9000000</v>
      </c>
      <c r="H145" s="250">
        <f t="shared" si="2"/>
        <v>5138025.8780000024</v>
      </c>
      <c r="I145" s="298"/>
      <c r="J145" s="112"/>
      <c r="K145" s="112"/>
      <c r="L145" s="112"/>
    </row>
    <row r="146" spans="1:12" s="251" customFormat="1" ht="15">
      <c r="A146" s="222">
        <v>43210</v>
      </c>
      <c r="B146" s="103" t="s">
        <v>4833</v>
      </c>
      <c r="C146" s="142"/>
      <c r="D146" s="133"/>
      <c r="E146" s="196"/>
      <c r="F146" s="197"/>
      <c r="G146" s="196">
        <v>600000</v>
      </c>
      <c r="H146" s="250">
        <f t="shared" si="2"/>
        <v>4538025.8780000024</v>
      </c>
      <c r="I146" s="298"/>
      <c r="J146" s="112"/>
      <c r="K146" s="112"/>
      <c r="L146" s="112"/>
    </row>
    <row r="147" spans="1:12" s="251" customFormat="1" ht="15">
      <c r="A147" s="222">
        <v>43210</v>
      </c>
      <c r="B147" s="103" t="s">
        <v>4822</v>
      </c>
      <c r="C147" s="142"/>
      <c r="D147" s="133"/>
      <c r="E147" s="196"/>
      <c r="F147" s="197"/>
      <c r="G147" s="196">
        <v>45288.89</v>
      </c>
      <c r="H147" s="250">
        <f t="shared" si="2"/>
        <v>4492736.9880000027</v>
      </c>
      <c r="I147" s="298"/>
      <c r="J147" s="112"/>
      <c r="K147" s="112"/>
      <c r="L147" s="112"/>
    </row>
    <row r="148" spans="1:12" s="251" customFormat="1" ht="15">
      <c r="A148" s="222">
        <v>43214</v>
      </c>
      <c r="B148" s="103" t="s">
        <v>4821</v>
      </c>
      <c r="C148" s="142" t="s">
        <v>4671</v>
      </c>
      <c r="D148" s="133">
        <v>312.04000000000002</v>
      </c>
      <c r="E148" s="196"/>
      <c r="F148" s="197">
        <v>1005997.7</v>
      </c>
      <c r="G148" s="196"/>
      <c r="H148" s="250">
        <f t="shared" si="2"/>
        <v>5498734.6880000029</v>
      </c>
      <c r="I148" s="298"/>
      <c r="J148" s="112"/>
      <c r="K148" s="112"/>
      <c r="L148" s="112"/>
    </row>
    <row r="149" spans="1:12" s="251" customFormat="1" ht="15">
      <c r="A149" s="222">
        <v>43214</v>
      </c>
      <c r="B149" s="464" t="s">
        <v>4820</v>
      </c>
      <c r="C149" s="142" t="s">
        <v>4869</v>
      </c>
      <c r="D149" s="133">
        <v>287.23520000000002</v>
      </c>
      <c r="E149" s="196"/>
      <c r="F149" s="197">
        <v>2398413.92</v>
      </c>
      <c r="G149" s="196"/>
      <c r="H149" s="250">
        <f t="shared" si="2"/>
        <v>7897148.6080000028</v>
      </c>
      <c r="I149" s="298"/>
      <c r="J149" s="112"/>
      <c r="K149" s="112"/>
      <c r="L149" s="112"/>
    </row>
    <row r="150" spans="1:12" s="251" customFormat="1" ht="15">
      <c r="A150" s="222">
        <v>43215</v>
      </c>
      <c r="B150" s="103" t="s">
        <v>4834</v>
      </c>
      <c r="C150" s="142"/>
      <c r="D150" s="133"/>
      <c r="E150" s="196"/>
      <c r="F150" s="197"/>
      <c r="G150" s="196">
        <v>2000000</v>
      </c>
      <c r="H150" s="250">
        <f t="shared" si="2"/>
        <v>5897148.6080000028</v>
      </c>
      <c r="I150" s="298">
        <v>5758939.7699999996</v>
      </c>
      <c r="J150" s="112" t="s">
        <v>4835</v>
      </c>
      <c r="K150" s="112">
        <f>H150-I150</f>
        <v>138208.83800000325</v>
      </c>
      <c r="L150" s="112"/>
    </row>
    <row r="151" spans="1:12" s="251" customFormat="1" ht="15">
      <c r="A151" s="222">
        <v>43224</v>
      </c>
      <c r="B151" s="464" t="s">
        <v>4820</v>
      </c>
      <c r="C151" s="142" t="s">
        <v>4963</v>
      </c>
      <c r="D151" s="133">
        <v>344.36829999999998</v>
      </c>
      <c r="E151" s="196"/>
      <c r="F151" s="197">
        <v>2875475.3</v>
      </c>
      <c r="G151" s="196"/>
      <c r="H151" s="250">
        <f t="shared" si="2"/>
        <v>8772623.9080000035</v>
      </c>
      <c r="I151" s="298"/>
      <c r="J151" s="112"/>
      <c r="K151" s="112"/>
      <c r="L151" s="112"/>
    </row>
    <row r="152" spans="1:12" s="251" customFormat="1" ht="15">
      <c r="A152" s="222">
        <v>43224</v>
      </c>
      <c r="B152" s="103" t="s">
        <v>4965</v>
      </c>
      <c r="C152" s="142" t="s">
        <v>4964</v>
      </c>
      <c r="D152" s="133">
        <v>209.822</v>
      </c>
      <c r="E152" s="196"/>
      <c r="F152" s="197">
        <v>2559828.4</v>
      </c>
      <c r="G152" s="196"/>
      <c r="H152" s="250">
        <f t="shared" si="2"/>
        <v>11332452.308000004</v>
      </c>
      <c r="I152" s="298"/>
      <c r="J152" s="112"/>
      <c r="K152" s="112"/>
      <c r="L152" s="112"/>
    </row>
    <row r="153" spans="1:12" s="251" customFormat="1" ht="15">
      <c r="A153" s="222">
        <v>43224</v>
      </c>
      <c r="B153" s="103" t="s">
        <v>3564</v>
      </c>
      <c r="C153" s="142"/>
      <c r="D153" s="133"/>
      <c r="E153" s="196"/>
      <c r="F153" s="197"/>
      <c r="G153" s="196">
        <v>5000000</v>
      </c>
      <c r="H153" s="250">
        <f>H152+F153-G153</f>
        <v>6332452.3080000039</v>
      </c>
      <c r="I153" s="298"/>
      <c r="J153" s="112"/>
      <c r="K153" s="112"/>
      <c r="L153" s="112"/>
    </row>
    <row r="154" spans="1:12" s="251" customFormat="1" ht="15">
      <c r="A154" s="222">
        <v>43236</v>
      </c>
      <c r="B154" s="464" t="s">
        <v>4820</v>
      </c>
      <c r="C154" s="142" t="s">
        <v>4869</v>
      </c>
      <c r="D154" s="133">
        <v>184.34190000000001</v>
      </c>
      <c r="E154" s="196"/>
      <c r="F154" s="197">
        <v>1499040.93</v>
      </c>
      <c r="G154" s="196"/>
      <c r="H154" s="250">
        <f t="shared" ref="H154:H217" si="3">H153+F154-G154</f>
        <v>7831493.2380000036</v>
      </c>
      <c r="I154" s="298"/>
      <c r="J154" s="112"/>
      <c r="K154" s="112"/>
      <c r="L154" s="112"/>
    </row>
    <row r="155" spans="1:12" s="251" customFormat="1" ht="15">
      <c r="A155" s="222">
        <v>43255</v>
      </c>
      <c r="B155" s="103" t="s">
        <v>5076</v>
      </c>
      <c r="C155" s="142" t="s">
        <v>5077</v>
      </c>
      <c r="D155" s="133">
        <v>285.60500000000002</v>
      </c>
      <c r="E155" s="196"/>
      <c r="F155" s="197">
        <v>3798546.5</v>
      </c>
      <c r="G155" s="196"/>
      <c r="H155" s="250">
        <f t="shared" si="3"/>
        <v>11630039.738000004</v>
      </c>
      <c r="I155" s="298"/>
      <c r="J155" s="112"/>
      <c r="K155" s="112"/>
      <c r="L155" s="112"/>
    </row>
    <row r="156" spans="1:12" s="251" customFormat="1" ht="15">
      <c r="A156" s="222">
        <v>43257</v>
      </c>
      <c r="B156" s="103" t="s">
        <v>5145</v>
      </c>
      <c r="C156" s="142" t="s">
        <v>5144</v>
      </c>
      <c r="D156" s="133">
        <v>183.2431</v>
      </c>
      <c r="E156" s="196"/>
      <c r="F156" s="197">
        <v>1433877.26</v>
      </c>
      <c r="G156" s="196"/>
      <c r="H156" s="250">
        <f t="shared" si="3"/>
        <v>13063916.998000003</v>
      </c>
      <c r="I156" s="298"/>
      <c r="J156" s="112"/>
      <c r="K156" s="112"/>
      <c r="L156" s="112"/>
    </row>
    <row r="157" spans="1:12" s="251" customFormat="1" ht="15">
      <c r="A157" s="222">
        <v>43257</v>
      </c>
      <c r="B157" s="103" t="s">
        <v>3564</v>
      </c>
      <c r="C157" s="142"/>
      <c r="D157" s="133"/>
      <c r="E157" s="196"/>
      <c r="F157" s="197"/>
      <c r="G157" s="196">
        <v>7000000</v>
      </c>
      <c r="H157" s="250">
        <f t="shared" si="3"/>
        <v>6063916.9980000034</v>
      </c>
      <c r="I157" s="298"/>
      <c r="J157" s="112"/>
      <c r="K157" s="112"/>
      <c r="L157" s="112"/>
    </row>
    <row r="158" spans="1:12" s="251" customFormat="1" ht="15">
      <c r="A158" s="222">
        <v>43265</v>
      </c>
      <c r="B158" s="103" t="s">
        <v>3564</v>
      </c>
      <c r="C158" s="142"/>
      <c r="D158" s="133"/>
      <c r="E158" s="196"/>
      <c r="F158" s="197"/>
      <c r="G158" s="196">
        <v>4000000</v>
      </c>
      <c r="H158" s="250">
        <f t="shared" si="3"/>
        <v>2063916.9980000034</v>
      </c>
      <c r="I158" s="298"/>
      <c r="J158" s="112"/>
      <c r="K158" s="112"/>
      <c r="L158" s="112"/>
    </row>
    <row r="159" spans="1:12" s="251" customFormat="1" ht="15">
      <c r="A159" s="222">
        <v>43278</v>
      </c>
      <c r="B159" s="103" t="s">
        <v>3564</v>
      </c>
      <c r="C159" s="142"/>
      <c r="D159" s="133"/>
      <c r="E159" s="196"/>
      <c r="F159" s="197"/>
      <c r="G159" s="196">
        <v>1800000</v>
      </c>
      <c r="H159" s="250">
        <f t="shared" si="3"/>
        <v>263916.9980000034</v>
      </c>
      <c r="I159" s="298"/>
      <c r="J159" s="112"/>
      <c r="K159" s="112"/>
      <c r="L159" s="112"/>
    </row>
    <row r="160" spans="1:12" s="251" customFormat="1" ht="15">
      <c r="A160" s="222">
        <v>43283</v>
      </c>
      <c r="B160" s="103" t="s">
        <v>5145</v>
      </c>
      <c r="C160" s="142" t="s">
        <v>5144</v>
      </c>
      <c r="D160" s="133">
        <v>312.89819999999997</v>
      </c>
      <c r="E160" s="196"/>
      <c r="F160" s="197">
        <v>2349706.4</v>
      </c>
      <c r="G160" s="196"/>
      <c r="H160" s="250">
        <f t="shared" si="3"/>
        <v>2613623.3980000033</v>
      </c>
      <c r="I160" s="298"/>
      <c r="J160" s="112"/>
      <c r="K160" s="112"/>
      <c r="L160" s="112"/>
    </row>
    <row r="161" spans="1:12" s="251" customFormat="1" ht="15">
      <c r="A161" s="222">
        <v>43291</v>
      </c>
      <c r="B161" s="103" t="s">
        <v>5297</v>
      </c>
      <c r="C161" s="142" t="s">
        <v>5298</v>
      </c>
      <c r="D161" s="133">
        <v>92.992999999999995</v>
      </c>
      <c r="E161" s="196"/>
      <c r="F161" s="197">
        <v>1334444.2</v>
      </c>
      <c r="G161" s="196"/>
      <c r="H161" s="250">
        <f t="shared" si="3"/>
        <v>3948067.598000003</v>
      </c>
      <c r="I161" s="298"/>
      <c r="J161" s="112"/>
      <c r="K161" s="112"/>
      <c r="L161" s="112"/>
    </row>
    <row r="162" spans="1:12" s="251" customFormat="1" ht="15">
      <c r="A162" s="222">
        <v>43293</v>
      </c>
      <c r="B162" s="103" t="s">
        <v>3564</v>
      </c>
      <c r="C162" s="142"/>
      <c r="D162" s="133"/>
      <c r="E162" s="196"/>
      <c r="F162" s="197"/>
      <c r="G162" s="196">
        <v>2400000</v>
      </c>
      <c r="H162" s="250">
        <f t="shared" si="3"/>
        <v>1548067.598000003</v>
      </c>
      <c r="I162" s="298"/>
      <c r="J162" s="112"/>
      <c r="K162" s="112"/>
      <c r="L162" s="112"/>
    </row>
    <row r="163" spans="1:12" s="251" customFormat="1" ht="15">
      <c r="A163" s="222">
        <v>43304</v>
      </c>
      <c r="B163" s="103" t="s">
        <v>5297</v>
      </c>
      <c r="C163" s="142" t="s">
        <v>5307</v>
      </c>
      <c r="D163" s="133">
        <v>98.123999999999995</v>
      </c>
      <c r="E163" s="196"/>
      <c r="F163" s="197">
        <v>1432610.4</v>
      </c>
      <c r="G163" s="196"/>
      <c r="H163" s="250">
        <f t="shared" si="3"/>
        <v>2980677.9980000029</v>
      </c>
      <c r="I163" s="298"/>
      <c r="J163" s="112"/>
      <c r="K163" s="112"/>
      <c r="L163" s="112"/>
    </row>
    <row r="164" spans="1:12" s="251" customFormat="1" ht="15">
      <c r="A164" s="222">
        <v>43304</v>
      </c>
      <c r="B164" s="103" t="s">
        <v>5309</v>
      </c>
      <c r="C164" s="142" t="s">
        <v>5308</v>
      </c>
      <c r="D164" s="133">
        <v>64.045000000000002</v>
      </c>
      <c r="E164" s="196"/>
      <c r="F164" s="197">
        <v>1066349.25</v>
      </c>
      <c r="G164" s="196"/>
      <c r="H164" s="250">
        <f t="shared" si="3"/>
        <v>4047027.2480000029</v>
      </c>
      <c r="I164" s="298"/>
      <c r="J164" s="112"/>
      <c r="K164" s="112"/>
      <c r="L164" s="112"/>
    </row>
    <row r="165" spans="1:12" ht="15">
      <c r="A165" s="222">
        <v>43308</v>
      </c>
      <c r="B165" s="103" t="s">
        <v>3564</v>
      </c>
      <c r="C165" s="142"/>
      <c r="D165" s="133"/>
      <c r="E165" s="196"/>
      <c r="F165" s="197"/>
      <c r="G165" s="196">
        <v>1400000</v>
      </c>
      <c r="H165" s="250">
        <f t="shared" si="3"/>
        <v>2647027.2480000029</v>
      </c>
    </row>
    <row r="166" spans="1:12" ht="15">
      <c r="A166" s="222">
        <v>43318</v>
      </c>
      <c r="B166" s="103" t="s">
        <v>5396</v>
      </c>
      <c r="C166" s="142" t="s">
        <v>5397</v>
      </c>
      <c r="D166" s="133">
        <v>131.15700000000001</v>
      </c>
      <c r="E166" s="196"/>
      <c r="F166" s="197">
        <v>981054.36</v>
      </c>
      <c r="G166" s="196"/>
      <c r="H166" s="250">
        <f t="shared" si="3"/>
        <v>3628081.6080000028</v>
      </c>
    </row>
    <row r="167" spans="1:12" ht="15">
      <c r="A167" s="222">
        <v>43318</v>
      </c>
      <c r="B167" s="103" t="s">
        <v>5395</v>
      </c>
      <c r="C167" s="142" t="s">
        <v>5398</v>
      </c>
      <c r="D167" s="133">
        <v>102.43899999999999</v>
      </c>
      <c r="E167" s="196"/>
      <c r="F167" s="197">
        <v>870731.5</v>
      </c>
      <c r="G167" s="196"/>
      <c r="H167" s="250">
        <f t="shared" si="3"/>
        <v>4498813.1080000028</v>
      </c>
    </row>
    <row r="168" spans="1:12" ht="15">
      <c r="A168" s="222">
        <v>43322</v>
      </c>
      <c r="B168" s="103" t="s">
        <v>3564</v>
      </c>
      <c r="C168" s="142"/>
      <c r="D168" s="133"/>
      <c r="E168" s="196"/>
      <c r="F168" s="197"/>
      <c r="G168" s="196">
        <v>2000000</v>
      </c>
      <c r="H168" s="250">
        <f t="shared" si="3"/>
        <v>2498813.1080000028</v>
      </c>
    </row>
    <row r="169" spans="1:12" ht="15">
      <c r="A169" s="222">
        <v>43325</v>
      </c>
      <c r="B169" s="103" t="s">
        <v>5408</v>
      </c>
      <c r="C169" s="142" t="s">
        <v>5407</v>
      </c>
      <c r="D169" s="133">
        <v>97.664000000000001</v>
      </c>
      <c r="E169" s="196"/>
      <c r="F169" s="197">
        <v>1992345.6000000001</v>
      </c>
      <c r="G169" s="196"/>
      <c r="H169" s="250">
        <f t="shared" si="3"/>
        <v>4491158.7080000024</v>
      </c>
    </row>
    <row r="170" spans="1:12" ht="15">
      <c r="A170" s="222">
        <v>43334</v>
      </c>
      <c r="B170" s="103" t="s">
        <v>5395</v>
      </c>
      <c r="C170" s="142" t="s">
        <v>5398</v>
      </c>
      <c r="D170" s="133">
        <v>130.68199999999999</v>
      </c>
      <c r="E170" s="196"/>
      <c r="F170" s="197">
        <v>1103282.49</v>
      </c>
      <c r="G170" s="196"/>
      <c r="H170" s="250">
        <f t="shared" si="3"/>
        <v>5594441.1980000027</v>
      </c>
    </row>
    <row r="171" spans="1:12" ht="15">
      <c r="A171" s="222">
        <v>43341</v>
      </c>
      <c r="B171" s="103" t="s">
        <v>3564</v>
      </c>
      <c r="C171" s="142"/>
      <c r="D171" s="133"/>
      <c r="E171" s="196"/>
      <c r="F171" s="197"/>
      <c r="G171" s="196">
        <v>4000000</v>
      </c>
      <c r="H171" s="250">
        <f t="shared" si="3"/>
        <v>1594441.1980000027</v>
      </c>
    </row>
    <row r="172" spans="1:12" ht="15">
      <c r="A172" s="222">
        <v>43356</v>
      </c>
      <c r="B172" s="103" t="s">
        <v>3564</v>
      </c>
      <c r="C172" s="142"/>
      <c r="D172" s="133"/>
      <c r="E172" s="196"/>
      <c r="F172" s="197"/>
      <c r="G172" s="196">
        <v>1400000</v>
      </c>
      <c r="H172" s="250">
        <f t="shared" si="3"/>
        <v>194441.19800000265</v>
      </c>
    </row>
    <row r="173" spans="1:12" ht="15">
      <c r="A173" s="222">
        <v>43364</v>
      </c>
      <c r="B173" s="103" t="s">
        <v>5480</v>
      </c>
      <c r="C173" s="142" t="s">
        <v>5482</v>
      </c>
      <c r="D173" s="133">
        <v>105.191</v>
      </c>
      <c r="E173" s="196"/>
      <c r="F173" s="197">
        <v>1909216.65</v>
      </c>
      <c r="G173" s="196"/>
      <c r="H173" s="250">
        <f t="shared" si="3"/>
        <v>2103657.8480000026</v>
      </c>
    </row>
    <row r="174" spans="1:12" ht="15">
      <c r="A174" s="222">
        <v>43369</v>
      </c>
      <c r="B174" s="103" t="s">
        <v>5508</v>
      </c>
      <c r="C174" s="142"/>
      <c r="D174" s="133"/>
      <c r="E174" s="196"/>
      <c r="F174" s="197"/>
      <c r="G174" s="196">
        <v>132987.66</v>
      </c>
      <c r="H174" s="250">
        <f t="shared" si="3"/>
        <v>1970670.1880000026</v>
      </c>
      <c r="I174" t="s">
        <v>5483</v>
      </c>
    </row>
    <row r="175" spans="1:12" ht="15">
      <c r="A175" s="222">
        <v>43371</v>
      </c>
      <c r="B175" s="103" t="s">
        <v>3564</v>
      </c>
      <c r="C175" s="142"/>
      <c r="D175" s="133"/>
      <c r="E175" s="196"/>
      <c r="F175" s="197"/>
      <c r="G175" s="196">
        <v>1800000</v>
      </c>
      <c r="H175" s="250">
        <f t="shared" si="3"/>
        <v>170670.18800000264</v>
      </c>
    </row>
    <row r="176" spans="1:12" ht="15">
      <c r="A176" s="222">
        <v>43364</v>
      </c>
      <c r="B176" s="103" t="s">
        <v>5480</v>
      </c>
      <c r="C176" s="142" t="s">
        <v>5514</v>
      </c>
      <c r="D176" s="133">
        <v>155.20099999999999</v>
      </c>
      <c r="E176" s="196"/>
      <c r="F176" s="197">
        <v>2816898.15</v>
      </c>
      <c r="G176" s="196"/>
      <c r="H176" s="250">
        <f t="shared" si="3"/>
        <v>2987568.3380000023</v>
      </c>
    </row>
    <row r="177" spans="1:8" ht="15">
      <c r="A177" s="222">
        <v>43389</v>
      </c>
      <c r="B177" s="103" t="s">
        <v>3564</v>
      </c>
      <c r="C177" s="142"/>
      <c r="D177" s="133"/>
      <c r="E177" s="196"/>
      <c r="F177" s="197"/>
      <c r="G177" s="196">
        <v>2800000</v>
      </c>
      <c r="H177" s="250">
        <f t="shared" si="3"/>
        <v>187568.33800000232</v>
      </c>
    </row>
    <row r="178" spans="1:8" ht="15">
      <c r="A178" s="222">
        <v>43395</v>
      </c>
      <c r="B178" s="103" t="s">
        <v>5521</v>
      </c>
      <c r="C178" s="142" t="s">
        <v>5522</v>
      </c>
      <c r="D178" s="133">
        <v>105.23099999999999</v>
      </c>
      <c r="E178" s="196"/>
      <c r="F178" s="197">
        <v>1999389</v>
      </c>
      <c r="G178" s="196"/>
      <c r="H178" s="250">
        <f t="shared" si="3"/>
        <v>2186957.3380000023</v>
      </c>
    </row>
    <row r="179" spans="1:8" ht="15">
      <c r="A179" s="222">
        <v>43402</v>
      </c>
      <c r="B179" s="103" t="s">
        <v>3564</v>
      </c>
      <c r="C179" s="142"/>
      <c r="D179" s="133"/>
      <c r="E179" s="196"/>
      <c r="F179" s="197"/>
      <c r="G179" s="196">
        <v>2000000</v>
      </c>
      <c r="H179" s="250">
        <f t="shared" si="3"/>
        <v>186957.33800000232</v>
      </c>
    </row>
    <row r="180" spans="1:8" ht="15">
      <c r="A180" s="222">
        <v>43410</v>
      </c>
      <c r="B180" s="103" t="s">
        <v>5521</v>
      </c>
      <c r="C180" s="142" t="s">
        <v>5522</v>
      </c>
      <c r="D180" s="133">
        <v>104.093</v>
      </c>
      <c r="E180" s="196"/>
      <c r="F180" s="197">
        <v>1977767</v>
      </c>
      <c r="G180" s="196"/>
      <c r="H180" s="250">
        <f t="shared" si="3"/>
        <v>2164724.3380000023</v>
      </c>
    </row>
    <row r="181" spans="1:8" ht="15">
      <c r="A181" s="222">
        <v>43413</v>
      </c>
      <c r="B181" s="103" t="s">
        <v>3564</v>
      </c>
      <c r="C181" s="142"/>
      <c r="D181" s="133"/>
      <c r="E181" s="196"/>
      <c r="F181" s="197"/>
      <c r="G181" s="196">
        <v>2000000</v>
      </c>
      <c r="H181" s="250">
        <f t="shared" si="3"/>
        <v>164724.33800000232</v>
      </c>
    </row>
    <row r="182" spans="1:8" ht="15">
      <c r="A182" s="222">
        <v>43420</v>
      </c>
      <c r="B182" s="103" t="s">
        <v>5556</v>
      </c>
      <c r="C182" s="142" t="s">
        <v>5555</v>
      </c>
      <c r="D182" s="133">
        <v>320.19400000000002</v>
      </c>
      <c r="E182" s="196"/>
      <c r="F182" s="197">
        <v>5251181.5999999996</v>
      </c>
      <c r="G182" s="196"/>
      <c r="H182" s="250">
        <f t="shared" si="3"/>
        <v>5415905.9380000019</v>
      </c>
    </row>
    <row r="183" spans="1:8" ht="15">
      <c r="A183" s="222">
        <v>43430</v>
      </c>
      <c r="B183" s="103" t="s">
        <v>3564</v>
      </c>
      <c r="C183" s="142"/>
      <c r="D183" s="133"/>
      <c r="E183" s="196"/>
      <c r="F183" s="197"/>
      <c r="G183" s="196">
        <v>5000000</v>
      </c>
      <c r="H183" s="250">
        <f t="shared" si="3"/>
        <v>415905.93800000194</v>
      </c>
    </row>
    <row r="184" spans="1:8" ht="15">
      <c r="A184" s="222">
        <v>43441</v>
      </c>
      <c r="B184" s="103" t="s">
        <v>5556</v>
      </c>
      <c r="C184" s="142" t="s">
        <v>5555</v>
      </c>
      <c r="D184" s="133">
        <v>47.034999999999997</v>
      </c>
      <c r="E184" s="196"/>
      <c r="F184" s="197">
        <v>770809.58</v>
      </c>
      <c r="G184" s="196"/>
      <c r="H184" s="250">
        <f t="shared" si="3"/>
        <v>1186715.518000002</v>
      </c>
    </row>
    <row r="185" spans="1:8" ht="15">
      <c r="A185" s="222">
        <v>43441</v>
      </c>
      <c r="B185" s="103" t="s">
        <v>5572</v>
      </c>
      <c r="C185" s="142" t="s">
        <v>5573</v>
      </c>
      <c r="D185" s="133">
        <v>339.029</v>
      </c>
      <c r="E185" s="196"/>
      <c r="F185" s="197">
        <v>4644697.3</v>
      </c>
      <c r="G185" s="196"/>
      <c r="H185" s="250">
        <f t="shared" si="3"/>
        <v>5831412.8180000018</v>
      </c>
    </row>
    <row r="186" spans="1:8" ht="15">
      <c r="A186" s="222">
        <v>43451</v>
      </c>
      <c r="B186" s="103" t="s">
        <v>3564</v>
      </c>
      <c r="C186" s="142"/>
      <c r="D186" s="133"/>
      <c r="E186" s="196"/>
      <c r="F186" s="197"/>
      <c r="G186" s="196">
        <v>5000000</v>
      </c>
      <c r="H186" s="250">
        <f t="shared" si="3"/>
        <v>831412.81800000183</v>
      </c>
    </row>
    <row r="187" spans="1:8" ht="15">
      <c r="A187" s="222">
        <v>43454</v>
      </c>
      <c r="B187" s="103" t="s">
        <v>5572</v>
      </c>
      <c r="C187" s="142" t="s">
        <v>5579</v>
      </c>
      <c r="D187" s="133">
        <v>41.984000000000002</v>
      </c>
      <c r="E187" s="196"/>
      <c r="F187" s="197">
        <v>575180.80000000005</v>
      </c>
      <c r="G187" s="196"/>
      <c r="H187" s="250">
        <f t="shared" si="3"/>
        <v>1406593.6180000019</v>
      </c>
    </row>
    <row r="188" spans="1:8" ht="15">
      <c r="A188" s="222">
        <v>43463</v>
      </c>
      <c r="B188" s="103" t="s">
        <v>3564</v>
      </c>
      <c r="C188" s="142"/>
      <c r="D188" s="133"/>
      <c r="E188" s="196"/>
      <c r="F188" s="197"/>
      <c r="G188" s="196">
        <v>1000000</v>
      </c>
      <c r="H188" s="250">
        <f t="shared" si="3"/>
        <v>406593.61800000188</v>
      </c>
    </row>
    <row r="189" spans="1:8" ht="15">
      <c r="A189" s="222">
        <v>43468</v>
      </c>
      <c r="B189" s="103" t="s">
        <v>5608</v>
      </c>
      <c r="C189" s="142" t="s">
        <v>5607</v>
      </c>
      <c r="D189" s="133">
        <v>273.76830000000001</v>
      </c>
      <c r="E189" s="196"/>
      <c r="F189" s="197">
        <v>2313342.14</v>
      </c>
      <c r="G189" s="196"/>
      <c r="H189" s="250">
        <f t="shared" si="3"/>
        <v>2719935.7580000022</v>
      </c>
    </row>
    <row r="190" spans="1:8" ht="15">
      <c r="A190" s="222">
        <v>43476</v>
      </c>
      <c r="B190" s="103" t="s">
        <v>5610</v>
      </c>
      <c r="C190" s="142" t="s">
        <v>5609</v>
      </c>
      <c r="D190" s="133">
        <v>190.11799999999999</v>
      </c>
      <c r="E190" s="196"/>
      <c r="F190" s="197">
        <v>2699675.6</v>
      </c>
      <c r="G190" s="196"/>
      <c r="H190" s="250">
        <f t="shared" si="3"/>
        <v>5419611.3580000028</v>
      </c>
    </row>
    <row r="191" spans="1:8" ht="15">
      <c r="A191" s="222">
        <v>43482</v>
      </c>
      <c r="B191" s="103" t="s">
        <v>3564</v>
      </c>
      <c r="C191" s="142"/>
      <c r="D191" s="133"/>
      <c r="E191" s="196"/>
      <c r="F191" s="197"/>
      <c r="G191" s="196">
        <v>5000000</v>
      </c>
      <c r="H191" s="250">
        <f t="shared" si="3"/>
        <v>419611.3580000028</v>
      </c>
    </row>
    <row r="192" spans="1:8" ht="15">
      <c r="A192" s="222">
        <v>43490</v>
      </c>
      <c r="B192" s="103" t="s">
        <v>5610</v>
      </c>
      <c r="C192" s="142" t="s">
        <v>5609</v>
      </c>
      <c r="D192" s="133">
        <v>237.99199999999999</v>
      </c>
      <c r="E192" s="196"/>
      <c r="F192" s="197">
        <v>3379486.4</v>
      </c>
      <c r="G192" s="196"/>
      <c r="H192" s="250">
        <f t="shared" si="3"/>
        <v>3799097.7580000027</v>
      </c>
    </row>
    <row r="193" spans="1:8" ht="15">
      <c r="A193" s="222">
        <v>43507</v>
      </c>
      <c r="B193" s="103" t="s">
        <v>3564</v>
      </c>
      <c r="C193" s="142"/>
      <c r="D193" s="133"/>
      <c r="E193" s="196"/>
      <c r="F193" s="197"/>
      <c r="G193" s="196">
        <v>3500000</v>
      </c>
      <c r="H193" s="250">
        <f t="shared" si="3"/>
        <v>299097.75800000271</v>
      </c>
    </row>
    <row r="194" spans="1:8" ht="15">
      <c r="A194" s="222">
        <v>43528</v>
      </c>
      <c r="B194" s="103" t="s">
        <v>5667</v>
      </c>
      <c r="C194" s="142" t="s">
        <v>5668</v>
      </c>
      <c r="D194" s="133">
        <v>65.003</v>
      </c>
      <c r="E194" s="196"/>
      <c r="F194" s="197">
        <v>942543.5</v>
      </c>
      <c r="G194" s="196"/>
      <c r="H194" s="250">
        <f t="shared" si="3"/>
        <v>1241641.2580000027</v>
      </c>
    </row>
    <row r="195" spans="1:8" ht="15">
      <c r="A195" s="222">
        <v>43528</v>
      </c>
      <c r="B195" s="103" t="s">
        <v>5669</v>
      </c>
      <c r="C195" s="142" t="s">
        <v>5670</v>
      </c>
      <c r="D195" s="133">
        <v>334.91699999999997</v>
      </c>
      <c r="E195" s="196"/>
      <c r="F195" s="197">
        <v>4856296.5</v>
      </c>
      <c r="G195" s="196"/>
      <c r="H195" s="250">
        <f t="shared" si="3"/>
        <v>6097937.7580000032</v>
      </c>
    </row>
    <row r="196" spans="1:8" ht="15">
      <c r="A196" s="222">
        <v>43536</v>
      </c>
      <c r="B196" s="103" t="s">
        <v>3564</v>
      </c>
      <c r="C196" s="142"/>
      <c r="D196" s="133"/>
      <c r="E196" s="196"/>
      <c r="F196" s="197"/>
      <c r="G196" s="196">
        <v>6000000</v>
      </c>
      <c r="H196" s="250">
        <f t="shared" si="3"/>
        <v>97937.758000003174</v>
      </c>
    </row>
    <row r="197" spans="1:8" ht="15">
      <c r="A197" s="222">
        <v>43556</v>
      </c>
      <c r="B197" s="103" t="s">
        <v>4627</v>
      </c>
      <c r="C197" s="142" t="s">
        <v>5691</v>
      </c>
      <c r="D197" s="133">
        <v>248.01390000000001</v>
      </c>
      <c r="E197" s="196"/>
      <c r="F197" s="197">
        <v>3596201.55</v>
      </c>
      <c r="G197" s="196"/>
      <c r="H197" s="250">
        <f t="shared" si="3"/>
        <v>3694139.308000003</v>
      </c>
    </row>
    <row r="198" spans="1:8" ht="15">
      <c r="A198" s="222">
        <v>43564</v>
      </c>
      <c r="B198" s="103" t="s">
        <v>4737</v>
      </c>
      <c r="C198" s="142" t="s">
        <v>5706</v>
      </c>
      <c r="D198" s="133">
        <v>338.77010000000001</v>
      </c>
      <c r="E198" s="196"/>
      <c r="F198" s="197">
        <v>4912166.45</v>
      </c>
      <c r="G198" s="196"/>
      <c r="H198" s="250">
        <f t="shared" si="3"/>
        <v>8606305.7580000032</v>
      </c>
    </row>
    <row r="199" spans="1:8" ht="15">
      <c r="A199" s="222">
        <v>43567</v>
      </c>
      <c r="B199" s="103" t="s">
        <v>3564</v>
      </c>
      <c r="C199" s="142"/>
      <c r="D199" s="133"/>
      <c r="E199" s="196"/>
      <c r="F199" s="197"/>
      <c r="G199" s="196">
        <v>2589000</v>
      </c>
      <c r="H199" s="250">
        <f t="shared" si="3"/>
        <v>6017305.7580000032</v>
      </c>
    </row>
    <row r="200" spans="1:8" ht="15">
      <c r="A200" s="222">
        <v>43567</v>
      </c>
      <c r="B200" s="103" t="s">
        <v>3564</v>
      </c>
      <c r="C200" s="142"/>
      <c r="D200" s="133"/>
      <c r="E200" s="196"/>
      <c r="F200" s="197"/>
      <c r="G200" s="196">
        <v>1400000</v>
      </c>
      <c r="H200" s="250">
        <f t="shared" si="3"/>
        <v>4617305.7580000032</v>
      </c>
    </row>
    <row r="201" spans="1:8" ht="15">
      <c r="A201" s="222">
        <v>43578</v>
      </c>
      <c r="B201" s="103" t="s">
        <v>3564</v>
      </c>
      <c r="C201" s="142"/>
      <c r="D201" s="133"/>
      <c r="E201" s="196"/>
      <c r="F201" s="197"/>
      <c r="G201" s="196">
        <v>4000000</v>
      </c>
      <c r="H201" s="250">
        <f t="shared" si="3"/>
        <v>617305.75800000317</v>
      </c>
    </row>
    <row r="202" spans="1:8" ht="15">
      <c r="A202" s="222">
        <v>43579</v>
      </c>
      <c r="B202" s="103" t="s">
        <v>5727</v>
      </c>
      <c r="C202" s="142" t="s">
        <v>5726</v>
      </c>
      <c r="D202" s="133">
        <v>429.86599999999999</v>
      </c>
      <c r="E202" s="196"/>
      <c r="F202" s="197">
        <v>5889164.2000000002</v>
      </c>
      <c r="G202" s="196"/>
      <c r="H202" s="250">
        <f t="shared" si="3"/>
        <v>6506469.9580000034</v>
      </c>
    </row>
    <row r="203" spans="1:8" ht="15">
      <c r="A203" s="222">
        <v>43599</v>
      </c>
      <c r="B203" s="103" t="s">
        <v>3564</v>
      </c>
      <c r="C203" s="142"/>
      <c r="D203" s="133"/>
      <c r="E203" s="196"/>
      <c r="F203" s="197"/>
      <c r="G203" s="196">
        <v>5000000</v>
      </c>
      <c r="H203" s="250">
        <f t="shared" si="3"/>
        <v>1506469.9580000034</v>
      </c>
    </row>
    <row r="204" spans="1:8" ht="15">
      <c r="A204" s="222">
        <v>43599</v>
      </c>
      <c r="B204" s="103" t="s">
        <v>5076</v>
      </c>
      <c r="C204" s="142" t="s">
        <v>5756</v>
      </c>
      <c r="D204" s="133">
        <v>96.046999999999997</v>
      </c>
      <c r="E204" s="196"/>
      <c r="F204" s="197">
        <v>1296634.5</v>
      </c>
      <c r="G204" s="196"/>
      <c r="H204" s="250">
        <f t="shared" si="3"/>
        <v>2803104.4580000034</v>
      </c>
    </row>
    <row r="205" spans="1:8" ht="15">
      <c r="A205" s="222">
        <v>43607</v>
      </c>
      <c r="B205" s="103" t="s">
        <v>5768</v>
      </c>
      <c r="C205" s="142" t="s">
        <v>5767</v>
      </c>
      <c r="D205" s="133">
        <v>299.95999999999998</v>
      </c>
      <c r="E205" s="196"/>
      <c r="F205" s="197">
        <v>4244434</v>
      </c>
      <c r="G205" s="196"/>
      <c r="H205" s="250">
        <f t="shared" si="3"/>
        <v>7047538.4580000034</v>
      </c>
    </row>
    <row r="206" spans="1:8" ht="15">
      <c r="A206" s="222">
        <v>43608</v>
      </c>
      <c r="B206" s="103" t="s">
        <v>5781</v>
      </c>
      <c r="C206" s="142" t="s">
        <v>5782</v>
      </c>
      <c r="D206" s="133">
        <v>411.35669999999999</v>
      </c>
      <c r="E206" s="196"/>
      <c r="F206" s="197">
        <v>3069907.54</v>
      </c>
      <c r="G206" s="196"/>
      <c r="H206" s="250">
        <f t="shared" si="3"/>
        <v>10117445.998000003</v>
      </c>
    </row>
    <row r="207" spans="1:8" ht="15">
      <c r="A207" s="222">
        <v>43614</v>
      </c>
      <c r="B207" s="103" t="s">
        <v>3564</v>
      </c>
      <c r="C207" s="142"/>
      <c r="D207" s="133"/>
      <c r="E207" s="196"/>
      <c r="F207" s="197"/>
      <c r="G207" s="196">
        <v>8600000</v>
      </c>
      <c r="H207" s="250">
        <f t="shared" si="3"/>
        <v>1517445.9980000034</v>
      </c>
    </row>
    <row r="208" spans="1:8" ht="15">
      <c r="A208" s="222">
        <v>43619</v>
      </c>
      <c r="B208" s="103" t="s">
        <v>5768</v>
      </c>
      <c r="C208" s="142" t="s">
        <v>5767</v>
      </c>
      <c r="D208" s="133">
        <v>430.80399999999997</v>
      </c>
      <c r="E208" s="196"/>
      <c r="F208" s="197">
        <v>6095876.5999999996</v>
      </c>
      <c r="G208" s="196"/>
      <c r="H208" s="250">
        <f t="shared" si="3"/>
        <v>7613322.598000003</v>
      </c>
    </row>
    <row r="209" spans="1:8" ht="15">
      <c r="A209" s="222">
        <v>43622</v>
      </c>
      <c r="B209" s="103" t="s">
        <v>3564</v>
      </c>
      <c r="C209" s="142"/>
      <c r="D209" s="133"/>
      <c r="E209" s="196"/>
      <c r="F209" s="197"/>
      <c r="G209" s="196">
        <v>4709500</v>
      </c>
      <c r="H209" s="250">
        <f t="shared" si="3"/>
        <v>2903822.598000003</v>
      </c>
    </row>
    <row r="210" spans="1:8" ht="15">
      <c r="A210" s="222">
        <v>43629</v>
      </c>
      <c r="B210" s="103" t="s">
        <v>5297</v>
      </c>
      <c r="C210" s="142" t="s">
        <v>5808</v>
      </c>
      <c r="D210" s="133">
        <v>104.033</v>
      </c>
      <c r="E210" s="196"/>
      <c r="F210" s="197">
        <v>1461663.65</v>
      </c>
      <c r="G210" s="196"/>
      <c r="H210" s="250">
        <f t="shared" si="3"/>
        <v>4365486.2480000034</v>
      </c>
    </row>
    <row r="211" spans="1:8" ht="15">
      <c r="A211" s="222">
        <v>43643</v>
      </c>
      <c r="B211" s="103" t="s">
        <v>5396</v>
      </c>
      <c r="C211" s="142" t="s">
        <v>5828</v>
      </c>
      <c r="D211" s="133">
        <v>299.76350000000002</v>
      </c>
      <c r="E211" s="196"/>
      <c r="F211" s="197">
        <v>2265230.5699999998</v>
      </c>
      <c r="G211" s="196"/>
      <c r="H211" s="250">
        <f t="shared" si="3"/>
        <v>6630716.8180000037</v>
      </c>
    </row>
    <row r="212" spans="1:8" ht="15">
      <c r="A212" s="222">
        <v>43644</v>
      </c>
      <c r="B212" s="103" t="s">
        <v>3564</v>
      </c>
      <c r="C212" s="142"/>
      <c r="D212" s="133"/>
      <c r="E212" s="196"/>
      <c r="F212" s="197"/>
      <c r="G212" s="196">
        <v>4075122</v>
      </c>
      <c r="H212" s="250">
        <f t="shared" si="3"/>
        <v>2555594.8180000037</v>
      </c>
    </row>
    <row r="213" spans="1:8" ht="15">
      <c r="A213" s="222">
        <v>43651</v>
      </c>
      <c r="B213" s="103" t="s">
        <v>5835</v>
      </c>
      <c r="C213" s="142" t="s">
        <v>5836</v>
      </c>
      <c r="D213" s="133">
        <v>400.51900000000001</v>
      </c>
      <c r="E213" s="196"/>
      <c r="F213" s="197">
        <v>5587240.0499999998</v>
      </c>
      <c r="G213" s="196"/>
      <c r="H213" s="250">
        <f t="shared" si="3"/>
        <v>8142834.8680000035</v>
      </c>
    </row>
    <row r="214" spans="1:8" ht="15">
      <c r="A214" s="222">
        <v>43657</v>
      </c>
      <c r="B214" s="103" t="s">
        <v>3564</v>
      </c>
      <c r="C214" s="142"/>
      <c r="D214" s="133"/>
      <c r="E214" s="196"/>
      <c r="F214" s="197"/>
      <c r="G214" s="196">
        <v>7866271.3200000003</v>
      </c>
      <c r="H214" s="250">
        <f>H213+F214-G214</f>
        <v>276563.54800000321</v>
      </c>
    </row>
    <row r="215" spans="1:8" ht="15">
      <c r="A215" s="222">
        <v>43662</v>
      </c>
      <c r="B215" s="103" t="s">
        <v>5395</v>
      </c>
      <c r="C215" s="13" t="s">
        <v>5853</v>
      </c>
      <c r="D215" s="133">
        <v>64.311199999999999</v>
      </c>
      <c r="E215" s="196"/>
      <c r="F215" s="197">
        <v>509987.82</v>
      </c>
      <c r="G215" s="196"/>
      <c r="H215" s="250">
        <f t="shared" si="3"/>
        <v>786551.36800000328</v>
      </c>
    </row>
    <row r="216" spans="1:8" ht="15">
      <c r="A216" s="222">
        <v>43662</v>
      </c>
      <c r="B216" s="103" t="s">
        <v>5309</v>
      </c>
      <c r="C216" s="13" t="s">
        <v>5863</v>
      </c>
      <c r="D216" s="133">
        <v>45.079000000000001</v>
      </c>
      <c r="E216" s="196"/>
      <c r="F216" s="197">
        <v>628852.05000000005</v>
      </c>
      <c r="G216" s="196"/>
      <c r="H216" s="250">
        <f t="shared" si="3"/>
        <v>1415403.4180000033</v>
      </c>
    </row>
    <row r="217" spans="1:8" ht="15">
      <c r="A217" s="222">
        <v>43670</v>
      </c>
      <c r="B217" s="103" t="s">
        <v>5309</v>
      </c>
      <c r="C217" s="13" t="s">
        <v>5818</v>
      </c>
      <c r="D217" s="133">
        <v>220.024</v>
      </c>
      <c r="E217" s="196"/>
      <c r="F217" s="197">
        <v>3069334.8</v>
      </c>
      <c r="G217" s="196"/>
      <c r="H217" s="250">
        <f t="shared" si="3"/>
        <v>4484738.2180000031</v>
      </c>
    </row>
    <row r="218" spans="1:8" ht="15">
      <c r="A218" s="222">
        <v>43679</v>
      </c>
      <c r="B218" s="103" t="s">
        <v>5395</v>
      </c>
      <c r="C218" s="13" t="s">
        <v>5853</v>
      </c>
      <c r="D218" s="133">
        <v>196.70650000000001</v>
      </c>
      <c r="E218" s="196"/>
      <c r="F218" s="197">
        <v>1559882.55</v>
      </c>
      <c r="G218" s="196"/>
      <c r="H218" s="250">
        <f t="shared" ref="H218:H250" si="4">H217+F218-G218</f>
        <v>6044620.768000003</v>
      </c>
    </row>
    <row r="219" spans="1:8" ht="15">
      <c r="A219" s="222">
        <v>43683</v>
      </c>
      <c r="B219" s="103" t="s">
        <v>5309</v>
      </c>
      <c r="C219" s="13" t="s">
        <v>5818</v>
      </c>
      <c r="D219" s="133">
        <v>278.75799999999998</v>
      </c>
      <c r="E219" s="196"/>
      <c r="F219" s="197">
        <v>3888674.1</v>
      </c>
      <c r="G219" s="196"/>
      <c r="H219" s="250">
        <f t="shared" si="4"/>
        <v>9933294.8680000026</v>
      </c>
    </row>
    <row r="220" spans="1:8" ht="15">
      <c r="A220" s="222">
        <v>43688</v>
      </c>
      <c r="B220" s="103" t="s">
        <v>3564</v>
      </c>
      <c r="C220" s="142"/>
      <c r="D220" s="133"/>
      <c r="E220" s="196"/>
      <c r="F220" s="197"/>
      <c r="G220" s="196">
        <v>6000000</v>
      </c>
      <c r="H220" s="250">
        <f t="shared" si="4"/>
        <v>3933294.8680000026</v>
      </c>
    </row>
    <row r="221" spans="1:8" ht="15">
      <c r="A221" s="222">
        <v>43697</v>
      </c>
      <c r="B221" s="103" t="s">
        <v>3564</v>
      </c>
      <c r="C221" s="142"/>
      <c r="D221" s="133"/>
      <c r="E221" s="196"/>
      <c r="F221" s="197"/>
      <c r="G221" s="196">
        <v>3000000</v>
      </c>
      <c r="H221" s="250">
        <f t="shared" si="4"/>
        <v>933294.86800000258</v>
      </c>
    </row>
    <row r="222" spans="1:8" ht="15">
      <c r="A222" s="222">
        <v>43703</v>
      </c>
      <c r="B222" s="103" t="s">
        <v>5929</v>
      </c>
      <c r="C222" s="13" t="s">
        <v>5881</v>
      </c>
      <c r="D222" s="133">
        <v>209.822</v>
      </c>
      <c r="E222" s="196"/>
      <c r="F222" s="197">
        <v>2807418.36</v>
      </c>
      <c r="G222" s="196"/>
      <c r="H222" s="250">
        <f>H221+F222-G222</f>
        <v>3740713.2280000024</v>
      </c>
    </row>
    <row r="223" spans="1:8" ht="15">
      <c r="A223" s="222">
        <v>43707</v>
      </c>
      <c r="B223" s="103" t="s">
        <v>3564</v>
      </c>
      <c r="C223" s="142"/>
      <c r="D223" s="133"/>
      <c r="E223" s="196"/>
      <c r="F223" s="197"/>
      <c r="G223" s="196">
        <v>3423877.64</v>
      </c>
      <c r="H223" s="250">
        <f t="shared" si="4"/>
        <v>316835.58800000232</v>
      </c>
    </row>
    <row r="224" spans="1:8" ht="15">
      <c r="A224" s="222">
        <v>43712</v>
      </c>
      <c r="B224" s="103" t="s">
        <v>5945</v>
      </c>
      <c r="C224" s="142" t="s">
        <v>5946</v>
      </c>
      <c r="D224" s="133">
        <v>298.44260000000003</v>
      </c>
      <c r="E224" s="196"/>
      <c r="F224" s="197">
        <v>2342774.41</v>
      </c>
      <c r="G224" s="196"/>
      <c r="H224" s="250">
        <f t="shared" si="4"/>
        <v>2659609.9980000025</v>
      </c>
    </row>
    <row r="225" spans="1:8" ht="15">
      <c r="A225" s="222">
        <v>43713</v>
      </c>
      <c r="B225" s="103" t="s">
        <v>5948</v>
      </c>
      <c r="C225" s="142" t="s">
        <v>5947</v>
      </c>
      <c r="D225" s="133">
        <v>310.88099999999997</v>
      </c>
      <c r="E225" s="196"/>
      <c r="F225" s="197">
        <v>4159587.78</v>
      </c>
      <c r="G225" s="196"/>
      <c r="H225" s="250">
        <f t="shared" si="4"/>
        <v>6819197.7780000027</v>
      </c>
    </row>
    <row r="226" spans="1:8" ht="15">
      <c r="A226" s="222">
        <v>43717</v>
      </c>
      <c r="B226" s="103" t="s">
        <v>5948</v>
      </c>
      <c r="C226" s="142" t="s">
        <v>5947</v>
      </c>
      <c r="D226" s="133">
        <v>99.042000000000002</v>
      </c>
      <c r="E226" s="196"/>
      <c r="F226" s="197">
        <v>1325181.96</v>
      </c>
      <c r="G226" s="196"/>
      <c r="H226" s="250">
        <f t="shared" si="4"/>
        <v>8144379.7380000027</v>
      </c>
    </row>
    <row r="227" spans="1:8" ht="15">
      <c r="A227" s="222">
        <v>43720</v>
      </c>
      <c r="B227" s="103" t="s">
        <v>5986</v>
      </c>
      <c r="C227" s="142"/>
      <c r="D227" s="133"/>
      <c r="E227" s="196"/>
      <c r="F227" s="197"/>
      <c r="G227" s="196">
        <v>5896130</v>
      </c>
      <c r="H227" s="250">
        <f t="shared" si="4"/>
        <v>2248249.7380000027</v>
      </c>
    </row>
    <row r="228" spans="1:8" ht="15">
      <c r="A228" s="222">
        <v>43724</v>
      </c>
      <c r="B228" s="103" t="s">
        <v>5480</v>
      </c>
      <c r="C228" s="142" t="s">
        <v>6000</v>
      </c>
      <c r="D228" s="133"/>
      <c r="E228" s="196"/>
      <c r="F228" s="197">
        <v>2460285.84</v>
      </c>
      <c r="G228" s="196"/>
      <c r="H228" s="250">
        <f t="shared" si="4"/>
        <v>4708535.5780000025</v>
      </c>
    </row>
    <row r="229" spans="1:8" ht="15">
      <c r="A229" s="222">
        <v>43728</v>
      </c>
      <c r="B229" s="103" t="s">
        <v>3564</v>
      </c>
      <c r="C229" s="142"/>
      <c r="D229" s="133"/>
      <c r="E229" s="196"/>
      <c r="F229" s="197"/>
      <c r="G229" s="196">
        <v>2000000</v>
      </c>
      <c r="H229" s="250">
        <f t="shared" si="4"/>
        <v>2708535.5780000025</v>
      </c>
    </row>
    <row r="230" spans="1:8" ht="15">
      <c r="A230" s="222">
        <v>43738</v>
      </c>
      <c r="B230" s="103" t="s">
        <v>6014</v>
      </c>
      <c r="C230" s="142" t="s">
        <v>6013</v>
      </c>
      <c r="D230" s="133">
        <v>441.78800000000001</v>
      </c>
      <c r="E230" s="196"/>
      <c r="F230" s="197">
        <v>3366424.56</v>
      </c>
      <c r="G230" s="196"/>
      <c r="H230" s="250">
        <f t="shared" si="4"/>
        <v>6074960.1380000021</v>
      </c>
    </row>
    <row r="231" spans="1:8" ht="15">
      <c r="A231" s="222">
        <v>43738</v>
      </c>
      <c r="B231" s="103" t="s">
        <v>3564</v>
      </c>
      <c r="C231" s="142"/>
      <c r="D231" s="133"/>
      <c r="E231" s="196"/>
      <c r="F231" s="197"/>
      <c r="G231" s="196">
        <v>2000000</v>
      </c>
      <c r="H231" s="250">
        <f t="shared" si="4"/>
        <v>4074960.1380000021</v>
      </c>
    </row>
    <row r="232" spans="1:8" ht="15">
      <c r="A232" s="222">
        <v>43746</v>
      </c>
      <c r="B232" s="103" t="s">
        <v>5480</v>
      </c>
      <c r="C232" s="142" t="s">
        <v>6000</v>
      </c>
      <c r="D232" s="133">
        <v>99.92</v>
      </c>
      <c r="E232" s="196"/>
      <c r="F232" s="197">
        <v>1171062.3999999999</v>
      </c>
      <c r="G232" s="196"/>
      <c r="H232" s="250">
        <f t="shared" si="4"/>
        <v>5246022.5380000025</v>
      </c>
    </row>
    <row r="233" spans="1:8" ht="15">
      <c r="A233" s="222">
        <v>43746</v>
      </c>
      <c r="B233" s="103" t="s">
        <v>6014</v>
      </c>
      <c r="C233" s="142" t="s">
        <v>6013</v>
      </c>
      <c r="D233" s="133">
        <v>64.574200000000005</v>
      </c>
      <c r="E233" s="196"/>
      <c r="F233" s="197">
        <v>492055.4</v>
      </c>
      <c r="G233" s="196"/>
      <c r="H233" s="250">
        <f t="shared" si="4"/>
        <v>5738077.9380000029</v>
      </c>
    </row>
    <row r="234" spans="1:8" ht="15">
      <c r="A234" s="222">
        <v>43748</v>
      </c>
      <c r="B234" s="103" t="s">
        <v>5521</v>
      </c>
      <c r="C234" s="142" t="s">
        <v>6042</v>
      </c>
      <c r="D234" s="133">
        <v>209.56200000000001</v>
      </c>
      <c r="E234" s="196"/>
      <c r="F234" s="197">
        <v>2523126.48</v>
      </c>
      <c r="G234" s="196"/>
      <c r="H234" s="250">
        <f t="shared" si="4"/>
        <v>8261204.4180000033</v>
      </c>
    </row>
    <row r="235" spans="1:8" ht="15">
      <c r="A235" s="222">
        <v>43749</v>
      </c>
      <c r="B235" s="103" t="s">
        <v>3564</v>
      </c>
      <c r="C235" s="142"/>
      <c r="D235" s="133"/>
      <c r="E235" s="196"/>
      <c r="F235" s="197"/>
      <c r="G235" s="196">
        <v>4000000</v>
      </c>
      <c r="H235" s="250">
        <f t="shared" si="4"/>
        <v>4261204.4180000033</v>
      </c>
    </row>
    <row r="236" spans="1:8" ht="15">
      <c r="A236" s="222">
        <v>43763</v>
      </c>
      <c r="B236" s="103" t="s">
        <v>3564</v>
      </c>
      <c r="C236" s="142"/>
      <c r="D236" s="133"/>
      <c r="E236" s="196"/>
      <c r="F236" s="197"/>
      <c r="G236" s="196">
        <v>3000000</v>
      </c>
      <c r="H236" s="250">
        <f t="shared" si="4"/>
        <v>1261204.4180000033</v>
      </c>
    </row>
    <row r="237" spans="1:8" ht="15">
      <c r="A237" s="222">
        <v>43768</v>
      </c>
      <c r="B237" s="103" t="s">
        <v>3564</v>
      </c>
      <c r="C237" s="142"/>
      <c r="D237" s="133"/>
      <c r="E237" s="196"/>
      <c r="F237" s="197"/>
      <c r="G237" s="196">
        <v>1000000</v>
      </c>
      <c r="H237" s="250">
        <f t="shared" si="4"/>
        <v>261204.41800000332</v>
      </c>
    </row>
    <row r="238" spans="1:8" ht="15">
      <c r="A238" s="222">
        <v>43773</v>
      </c>
      <c r="B238" s="103" t="s">
        <v>6058</v>
      </c>
      <c r="C238" s="142" t="s">
        <v>6059</v>
      </c>
      <c r="D238" s="133">
        <v>302.32960000000003</v>
      </c>
      <c r="E238" s="196"/>
      <c r="F238" s="197">
        <v>2173880.11</v>
      </c>
      <c r="G238" s="196"/>
      <c r="H238" s="250">
        <f t="shared" si="4"/>
        <v>2435084.5280000032</v>
      </c>
    </row>
    <row r="239" spans="1:8" ht="15">
      <c r="A239" s="222">
        <v>43774</v>
      </c>
      <c r="B239" s="103" t="s">
        <v>5556</v>
      </c>
      <c r="C239" s="142" t="s">
        <v>6060</v>
      </c>
      <c r="D239" s="133">
        <v>267.11919999999998</v>
      </c>
      <c r="E239" s="196"/>
      <c r="F239" s="197">
        <v>3178718.48</v>
      </c>
      <c r="G239" s="196"/>
      <c r="H239" s="250">
        <f t="shared" si="4"/>
        <v>5613803.0080000032</v>
      </c>
    </row>
    <row r="240" spans="1:8" ht="15">
      <c r="A240" s="222">
        <v>43783</v>
      </c>
      <c r="B240" s="103" t="s">
        <v>5556</v>
      </c>
      <c r="C240" s="142" t="s">
        <v>6060</v>
      </c>
      <c r="D240" s="133">
        <v>202.89410000000001</v>
      </c>
      <c r="E240" s="196"/>
      <c r="F240" s="197">
        <v>2414439.79</v>
      </c>
      <c r="G240" s="196"/>
      <c r="H240" s="250">
        <f t="shared" si="4"/>
        <v>8028242.7980000032</v>
      </c>
    </row>
    <row r="241" spans="1:8" ht="15">
      <c r="A241" s="222">
        <v>43785</v>
      </c>
      <c r="B241" s="103" t="s">
        <v>3564</v>
      </c>
      <c r="C241" s="142"/>
      <c r="D241" s="133"/>
      <c r="E241" s="196"/>
      <c r="F241" s="197"/>
      <c r="G241" s="196">
        <v>4000000</v>
      </c>
      <c r="H241" s="250">
        <f t="shared" si="4"/>
        <v>4028242.7980000032</v>
      </c>
    </row>
    <row r="242" spans="1:8" ht="15">
      <c r="A242" s="222">
        <v>43802</v>
      </c>
      <c r="B242" s="103" t="s">
        <v>3564</v>
      </c>
      <c r="C242" s="142"/>
      <c r="D242" s="133"/>
      <c r="E242" s="196"/>
      <c r="F242" s="197"/>
      <c r="G242" s="196">
        <v>3000000</v>
      </c>
      <c r="H242" s="250">
        <f t="shared" si="4"/>
        <v>1028242.7980000032</v>
      </c>
    </row>
    <row r="243" spans="1:8" ht="15">
      <c r="A243" s="222">
        <v>43802</v>
      </c>
      <c r="B243" s="103" t="s">
        <v>6089</v>
      </c>
      <c r="C243" s="142" t="s">
        <v>6090</v>
      </c>
      <c r="D243" s="133">
        <v>309.30059999999997</v>
      </c>
      <c r="E243" s="196"/>
      <c r="F243" s="197">
        <v>1823172.27</v>
      </c>
      <c r="G243" s="196"/>
      <c r="H243" s="250">
        <f t="shared" si="4"/>
        <v>2851415.0680000032</v>
      </c>
    </row>
    <row r="244" spans="1:8" ht="15">
      <c r="A244" s="222"/>
      <c r="B244" s="103"/>
      <c r="C244" s="142"/>
      <c r="D244" s="133"/>
      <c r="E244" s="196"/>
      <c r="F244" s="197"/>
      <c r="G244" s="196"/>
      <c r="H244" s="250">
        <f t="shared" si="4"/>
        <v>2851415.0680000032</v>
      </c>
    </row>
    <row r="245" spans="1:8" ht="15">
      <c r="A245" s="222"/>
      <c r="B245" s="103"/>
      <c r="C245" s="142"/>
      <c r="D245" s="133"/>
      <c r="E245" s="196"/>
      <c r="F245" s="197"/>
      <c r="G245" s="196"/>
      <c r="H245" s="250">
        <f t="shared" si="4"/>
        <v>2851415.0680000032</v>
      </c>
    </row>
    <row r="246" spans="1:8" ht="15">
      <c r="A246" s="222"/>
      <c r="B246" s="103"/>
      <c r="C246" s="142"/>
      <c r="D246" s="133"/>
      <c r="E246" s="196"/>
      <c r="F246" s="197"/>
      <c r="G246" s="196"/>
      <c r="H246" s="250">
        <f t="shared" si="4"/>
        <v>2851415.0680000032</v>
      </c>
    </row>
    <row r="247" spans="1:8" ht="15">
      <c r="A247" s="222"/>
      <c r="B247" s="103"/>
      <c r="C247" s="142"/>
      <c r="D247" s="133"/>
      <c r="E247" s="196"/>
      <c r="F247" s="197"/>
      <c r="G247" s="196"/>
      <c r="H247" s="250">
        <f t="shared" si="4"/>
        <v>2851415.0680000032</v>
      </c>
    </row>
    <row r="248" spans="1:8" ht="15">
      <c r="A248" s="222"/>
      <c r="B248" s="103"/>
      <c r="C248" s="142"/>
      <c r="D248" s="133"/>
      <c r="E248" s="196"/>
      <c r="F248" s="197"/>
      <c r="G248" s="196"/>
      <c r="H248" s="250">
        <f t="shared" si="4"/>
        <v>2851415.0680000032</v>
      </c>
    </row>
    <row r="249" spans="1:8" ht="15">
      <c r="A249" s="222"/>
      <c r="B249" s="103"/>
      <c r="C249" s="142"/>
      <c r="D249" s="133"/>
      <c r="E249" s="196"/>
      <c r="F249" s="197"/>
      <c r="G249" s="196"/>
      <c r="H249" s="250">
        <f t="shared" si="4"/>
        <v>2851415.0680000032</v>
      </c>
    </row>
    <row r="250" spans="1:8" ht="15">
      <c r="H250" s="250">
        <f t="shared" si="4"/>
        <v>2851415.0680000032</v>
      </c>
    </row>
  </sheetData>
  <autoFilter ref="A1:K164" xr:uid="{00000000-0009-0000-0000-000005000000}"/>
  <mergeCells count="18">
    <mergeCell ref="I63:L63"/>
    <mergeCell ref="I64:L64"/>
    <mergeCell ref="I65:L65"/>
    <mergeCell ref="I66:L66"/>
    <mergeCell ref="I67:L67"/>
    <mergeCell ref="I59:L59"/>
    <mergeCell ref="I60:L60"/>
    <mergeCell ref="I62:L62"/>
    <mergeCell ref="I50:L50"/>
    <mergeCell ref="I51:L51"/>
    <mergeCell ref="I52:L52"/>
    <mergeCell ref="I53:L53"/>
    <mergeCell ref="I54:L54"/>
    <mergeCell ref="I55:L55"/>
    <mergeCell ref="I57:L57"/>
    <mergeCell ref="I58:L58"/>
    <mergeCell ref="I56:L56"/>
    <mergeCell ref="I61:L61"/>
  </mergeCells>
  <phoneticPr fontId="10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N150"/>
  <sheetViews>
    <sheetView topLeftCell="A133" workbookViewId="0">
      <selection activeCell="J56" sqref="J56"/>
    </sheetView>
  </sheetViews>
  <sheetFormatPr defaultRowHeight="24.95" customHeight="1"/>
  <cols>
    <col min="1" max="1" width="17.75" style="227" customWidth="1"/>
    <col min="2" max="2" width="19.25" style="135" customWidth="1"/>
    <col min="3" max="3" width="19.125" style="135" customWidth="1"/>
    <col min="4" max="4" width="15.625" style="135" customWidth="1"/>
    <col min="5" max="5" width="15.125" style="135" customWidth="1"/>
    <col min="6" max="6" width="14.875" style="228" customWidth="1"/>
    <col min="7" max="7" width="15.25" style="228" customWidth="1"/>
    <col min="8" max="8" width="19.625" style="228" customWidth="1"/>
    <col min="9" max="9" width="19.125" style="135" customWidth="1"/>
    <col min="10" max="10" width="19.625" style="135" customWidth="1"/>
    <col min="11" max="16384" width="9" style="135"/>
  </cols>
  <sheetData>
    <row r="1" spans="1:9" ht="24.95" customHeight="1">
      <c r="A1" s="198" t="s">
        <v>530</v>
      </c>
      <c r="B1" s="198" t="s">
        <v>528</v>
      </c>
      <c r="C1" s="199" t="s">
        <v>529</v>
      </c>
      <c r="D1" s="199" t="s">
        <v>531</v>
      </c>
      <c r="E1" s="198" t="s">
        <v>532</v>
      </c>
      <c r="F1" s="200" t="s">
        <v>533</v>
      </c>
      <c r="G1" s="197" t="s">
        <v>534</v>
      </c>
      <c r="H1" s="197" t="s">
        <v>535</v>
      </c>
    </row>
    <row r="2" spans="1:9" ht="24.95" customHeight="1">
      <c r="A2" s="132">
        <v>42425</v>
      </c>
      <c r="B2" s="201" t="s">
        <v>525</v>
      </c>
      <c r="C2" s="202" t="s">
        <v>203</v>
      </c>
      <c r="D2" s="133">
        <v>1626.47</v>
      </c>
      <c r="E2" s="203">
        <v>4500</v>
      </c>
      <c r="F2" s="89">
        <v>7310212.0199999996</v>
      </c>
      <c r="G2" s="89"/>
      <c r="H2" s="89">
        <f>F2</f>
        <v>7310212.0199999996</v>
      </c>
    </row>
    <row r="3" spans="1:9" ht="24.95" customHeight="1">
      <c r="A3" s="132">
        <v>42425</v>
      </c>
      <c r="B3" s="204" t="s">
        <v>526</v>
      </c>
      <c r="C3" s="205" t="s">
        <v>536</v>
      </c>
      <c r="D3" s="133">
        <v>126.22</v>
      </c>
      <c r="E3" s="203">
        <v>6350</v>
      </c>
      <c r="F3" s="89">
        <v>801484.3</v>
      </c>
      <c r="G3" s="89"/>
      <c r="H3" s="89">
        <f>H2+F3-G3</f>
        <v>8111696.3199999994</v>
      </c>
    </row>
    <row r="4" spans="1:9" ht="24.95" customHeight="1">
      <c r="A4" s="132">
        <v>42425</v>
      </c>
      <c r="B4" s="204" t="s">
        <v>169</v>
      </c>
      <c r="C4" s="205" t="s">
        <v>537</v>
      </c>
      <c r="D4" s="133">
        <v>95.11</v>
      </c>
      <c r="E4" s="203">
        <v>10250</v>
      </c>
      <c r="F4" s="89">
        <v>974867.25</v>
      </c>
      <c r="G4" s="89"/>
      <c r="H4" s="89">
        <f>H3+F4-G4</f>
        <v>9086563.5700000003</v>
      </c>
    </row>
    <row r="5" spans="1:9" ht="24.95" customHeight="1">
      <c r="A5" s="132">
        <v>42425</v>
      </c>
      <c r="B5" s="204" t="s">
        <v>389</v>
      </c>
      <c r="C5" s="205" t="s">
        <v>538</v>
      </c>
      <c r="D5" s="133">
        <v>7053.9735999999994</v>
      </c>
      <c r="E5" s="203">
        <v>495</v>
      </c>
      <c r="F5" s="89">
        <v>3494935.7</v>
      </c>
      <c r="G5" s="89"/>
      <c r="H5" s="89">
        <f>H4+F5-G5</f>
        <v>12581499.27</v>
      </c>
    </row>
    <row r="6" spans="1:9" ht="24.95" customHeight="1">
      <c r="A6" s="132">
        <v>42425</v>
      </c>
      <c r="B6" s="204" t="s">
        <v>527</v>
      </c>
      <c r="C6" s="205" t="s">
        <v>539</v>
      </c>
      <c r="D6" s="133">
        <v>4212.7957999999999</v>
      </c>
      <c r="E6" s="203">
        <v>445</v>
      </c>
      <c r="F6" s="89">
        <v>1782315.01</v>
      </c>
      <c r="G6" s="89"/>
      <c r="H6" s="89">
        <f>H5+F6-G6</f>
        <v>14363814.279999999</v>
      </c>
    </row>
    <row r="7" spans="1:9" ht="24.95" customHeight="1">
      <c r="A7" s="206">
        <v>42426</v>
      </c>
      <c r="B7" s="207" t="s">
        <v>318</v>
      </c>
      <c r="C7" s="208" t="s">
        <v>880</v>
      </c>
      <c r="D7" s="209">
        <v>1128.5029999999999</v>
      </c>
      <c r="E7" s="210">
        <v>4550</v>
      </c>
      <c r="F7" s="211">
        <v>5134688.6473800009</v>
      </c>
      <c r="G7" s="89"/>
      <c r="H7" s="89">
        <f>H6+F7-G7</f>
        <v>19498502.927379999</v>
      </c>
      <c r="I7"/>
    </row>
    <row r="8" spans="1:9" ht="24.95" customHeight="1">
      <c r="A8" s="132">
        <v>42439</v>
      </c>
      <c r="B8" s="131" t="s">
        <v>285</v>
      </c>
      <c r="C8" s="205" t="s">
        <v>539</v>
      </c>
      <c r="D8" s="133">
        <v>13074.6909</v>
      </c>
      <c r="E8" s="212">
        <v>425</v>
      </c>
      <c r="F8" s="89">
        <v>5499393.54</v>
      </c>
      <c r="G8" s="89"/>
      <c r="H8" s="89">
        <f t="shared" ref="H8:H73" si="0">H7+F8-G8</f>
        <v>24997896.467379998</v>
      </c>
    </row>
    <row r="9" spans="1:9" ht="24.95" customHeight="1">
      <c r="A9" s="132">
        <v>42433</v>
      </c>
      <c r="B9" s="213"/>
      <c r="C9" s="213"/>
      <c r="D9" s="213"/>
      <c r="E9" s="213"/>
      <c r="F9" s="89"/>
      <c r="G9" s="89">
        <v>9080000</v>
      </c>
      <c r="H9" s="89">
        <f t="shared" si="0"/>
        <v>15917896.467379998</v>
      </c>
    </row>
    <row r="10" spans="1:9" ht="24.95" customHeight="1">
      <c r="A10" s="132">
        <v>42433</v>
      </c>
      <c r="B10" s="213"/>
      <c r="C10" s="213"/>
      <c r="D10" s="213"/>
      <c r="E10" s="213"/>
      <c r="F10" s="89"/>
      <c r="G10" s="89">
        <v>5270000</v>
      </c>
      <c r="H10" s="89">
        <f t="shared" si="0"/>
        <v>10647896.467379998</v>
      </c>
    </row>
    <row r="11" spans="1:9" ht="24.95" customHeight="1">
      <c r="A11" s="206">
        <v>42439</v>
      </c>
      <c r="B11" s="214"/>
      <c r="C11" s="214"/>
      <c r="D11" s="214"/>
      <c r="E11" s="214"/>
      <c r="F11" s="211"/>
      <c r="G11" s="211">
        <v>5000000</v>
      </c>
      <c r="H11" s="89">
        <f t="shared" si="0"/>
        <v>5647896.4673799984</v>
      </c>
    </row>
    <row r="12" spans="1:9" ht="24.95" customHeight="1">
      <c r="A12" s="132">
        <v>42445</v>
      </c>
      <c r="B12" s="131"/>
      <c r="C12" s="205"/>
      <c r="D12" s="133"/>
      <c r="E12" s="212"/>
      <c r="F12" s="89"/>
      <c r="G12" s="89">
        <v>5500000</v>
      </c>
      <c r="H12" s="89">
        <f t="shared" si="0"/>
        <v>147896.46737999842</v>
      </c>
    </row>
    <row r="13" spans="1:9" ht="24.95" customHeight="1">
      <c r="A13" s="132">
        <v>42447</v>
      </c>
      <c r="B13" s="131" t="s">
        <v>279</v>
      </c>
      <c r="C13" s="52" t="s">
        <v>85</v>
      </c>
      <c r="D13" s="133">
        <v>59.984000000000002</v>
      </c>
      <c r="E13" s="60">
        <v>6245</v>
      </c>
      <c r="F13" s="212">
        <v>374600.08365600003</v>
      </c>
      <c r="G13" s="89"/>
      <c r="H13" s="89">
        <f t="shared" si="0"/>
        <v>522496.55103599845</v>
      </c>
    </row>
    <row r="14" spans="1:9" ht="24.95" customHeight="1">
      <c r="A14" s="132">
        <v>42447</v>
      </c>
      <c r="B14" s="131" t="s">
        <v>283</v>
      </c>
      <c r="C14" s="52" t="s">
        <v>82</v>
      </c>
      <c r="D14" s="133">
        <v>79.995999999999995</v>
      </c>
      <c r="E14" s="60">
        <v>11390</v>
      </c>
      <c r="F14" s="212">
        <v>911154.44380800007</v>
      </c>
      <c r="G14" s="89"/>
      <c r="H14" s="89">
        <f t="shared" si="0"/>
        <v>1433650.9948439985</v>
      </c>
    </row>
    <row r="15" spans="1:9" ht="24.95" customHeight="1">
      <c r="A15" s="132">
        <v>42451</v>
      </c>
      <c r="B15" s="131" t="s">
        <v>303</v>
      </c>
      <c r="C15" s="52" t="s">
        <v>52</v>
      </c>
      <c r="D15" s="133">
        <v>2059.6507999999999</v>
      </c>
      <c r="E15" s="60">
        <v>4850</v>
      </c>
      <c r="F15" s="212">
        <v>9724953.5099999998</v>
      </c>
      <c r="G15" s="89"/>
      <c r="H15" s="89">
        <f t="shared" si="0"/>
        <v>11158604.504843999</v>
      </c>
    </row>
    <row r="16" spans="1:9" ht="24.95" customHeight="1">
      <c r="A16" s="132">
        <v>42461</v>
      </c>
      <c r="B16" s="131"/>
      <c r="C16" s="52"/>
      <c r="D16" s="133"/>
      <c r="E16" s="60"/>
      <c r="F16" s="212"/>
      <c r="G16" s="89">
        <v>11158604.504843999</v>
      </c>
      <c r="H16" s="89">
        <f t="shared" si="0"/>
        <v>0</v>
      </c>
    </row>
    <row r="17" spans="1:9" ht="24.95" customHeight="1">
      <c r="A17" s="132">
        <v>42461</v>
      </c>
      <c r="B17" s="131"/>
      <c r="C17" s="52"/>
      <c r="D17" s="133"/>
      <c r="E17" s="60"/>
      <c r="F17" s="89"/>
      <c r="G17" s="89">
        <f>13000000-G16</f>
        <v>1841395.4951560013</v>
      </c>
      <c r="H17" s="89">
        <f t="shared" si="0"/>
        <v>-1841395.4951560013</v>
      </c>
      <c r="I17" s="134"/>
    </row>
    <row r="18" spans="1:9" ht="24.95" customHeight="1">
      <c r="A18" s="132">
        <v>42473</v>
      </c>
      <c r="B18" s="131" t="s">
        <v>647</v>
      </c>
      <c r="C18" s="52" t="s">
        <v>649</v>
      </c>
      <c r="D18" s="133">
        <v>2367.0129999999999</v>
      </c>
      <c r="E18" s="60"/>
      <c r="F18" s="89">
        <v>546112.78</v>
      </c>
      <c r="G18" s="89"/>
      <c r="H18" s="89">
        <f t="shared" si="0"/>
        <v>-1295282.7151560013</v>
      </c>
      <c r="I18" s="134"/>
    </row>
    <row r="19" spans="1:9" ht="24.95" customHeight="1">
      <c r="A19" s="132">
        <v>42485</v>
      </c>
      <c r="B19" s="131" t="s">
        <v>452</v>
      </c>
      <c r="C19" s="52" t="s">
        <v>52</v>
      </c>
      <c r="D19" s="133">
        <v>1370.2449999999999</v>
      </c>
      <c r="E19" s="60"/>
      <c r="F19" s="89">
        <v>7219140.9299999997</v>
      </c>
      <c r="G19" s="89"/>
      <c r="H19" s="89">
        <f t="shared" si="0"/>
        <v>5923858.2148439987</v>
      </c>
      <c r="I19" s="134"/>
    </row>
    <row r="20" spans="1:9" ht="24.95" customHeight="1">
      <c r="A20" s="206">
        <v>42473</v>
      </c>
      <c r="B20" s="215" t="s">
        <v>881</v>
      </c>
      <c r="C20" s="216" t="s">
        <v>880</v>
      </c>
      <c r="D20" s="209">
        <v>1439.7546</v>
      </c>
      <c r="E20" s="217"/>
      <c r="F20" s="211">
        <v>6964535.7300000004</v>
      </c>
      <c r="G20" s="89"/>
      <c r="H20" s="89">
        <f t="shared" si="0"/>
        <v>12888393.944844</v>
      </c>
      <c r="I20" s="134"/>
    </row>
    <row r="21" spans="1:9" ht="24.95" customHeight="1">
      <c r="A21" s="132">
        <v>42485</v>
      </c>
      <c r="B21" s="131" t="s">
        <v>638</v>
      </c>
      <c r="C21" s="52" t="s">
        <v>639</v>
      </c>
      <c r="D21" s="133">
        <v>60.084000000000003</v>
      </c>
      <c r="E21" s="60"/>
      <c r="F21" s="89">
        <v>381533.4</v>
      </c>
      <c r="G21" s="89"/>
      <c r="H21" s="89">
        <f t="shared" si="0"/>
        <v>13269927.344844</v>
      </c>
      <c r="I21" s="134"/>
    </row>
    <row r="22" spans="1:9" ht="24.95" customHeight="1">
      <c r="A22" s="132">
        <v>42485</v>
      </c>
      <c r="B22" s="131" t="s">
        <v>650</v>
      </c>
      <c r="C22" s="52" t="s">
        <v>649</v>
      </c>
      <c r="D22" s="133">
        <v>2440.0149999999999</v>
      </c>
      <c r="E22" s="60"/>
      <c r="F22" s="89">
        <v>617079.80000000005</v>
      </c>
      <c r="G22" s="89"/>
      <c r="H22" s="89">
        <f t="shared" si="0"/>
        <v>13887007.144844001</v>
      </c>
      <c r="I22" s="134"/>
    </row>
    <row r="23" spans="1:9" ht="24.95" customHeight="1">
      <c r="A23" s="206">
        <v>42482</v>
      </c>
      <c r="B23" s="215"/>
      <c r="C23" s="216"/>
      <c r="D23" s="209"/>
      <c r="E23" s="217"/>
      <c r="F23" s="211"/>
      <c r="G23" s="211">
        <v>7099224.3799999999</v>
      </c>
      <c r="H23" s="89">
        <f t="shared" si="0"/>
        <v>6787782.7648440013</v>
      </c>
      <c r="I23" s="134"/>
    </row>
    <row r="24" spans="1:9" ht="24.95" customHeight="1">
      <c r="A24" s="132">
        <v>42488</v>
      </c>
      <c r="B24" s="131" t="s">
        <v>652</v>
      </c>
      <c r="C24" s="52" t="s">
        <v>218</v>
      </c>
      <c r="D24" s="133">
        <v>4671.6779999999999</v>
      </c>
      <c r="E24" s="60"/>
      <c r="F24" s="89">
        <v>2101596.94</v>
      </c>
      <c r="G24" s="89"/>
      <c r="H24" s="89">
        <f t="shared" si="0"/>
        <v>8889379.7048440017</v>
      </c>
      <c r="I24" s="134"/>
    </row>
    <row r="25" spans="1:9" ht="24.95" customHeight="1">
      <c r="A25" s="132">
        <v>42494</v>
      </c>
      <c r="B25" s="131"/>
      <c r="C25" s="52"/>
      <c r="D25" s="133"/>
      <c r="E25" s="60"/>
      <c r="F25" s="89"/>
      <c r="G25" s="89">
        <v>5000000</v>
      </c>
      <c r="H25" s="89">
        <f t="shared" si="0"/>
        <v>3889379.7048440017</v>
      </c>
      <c r="I25" s="134"/>
    </row>
    <row r="26" spans="1:9" ht="24.95" customHeight="1">
      <c r="A26" s="132">
        <v>42496</v>
      </c>
      <c r="B26" s="131"/>
      <c r="C26" s="52"/>
      <c r="D26" s="133"/>
      <c r="E26" s="60"/>
      <c r="F26" s="89"/>
      <c r="G26" s="89">
        <v>3260000</v>
      </c>
      <c r="H26" s="89">
        <f t="shared" si="0"/>
        <v>629379.70484400168</v>
      </c>
      <c r="I26" s="134"/>
    </row>
    <row r="27" spans="1:9" ht="24.95" customHeight="1">
      <c r="A27" s="132">
        <v>42496</v>
      </c>
      <c r="B27" s="131" t="s">
        <v>915</v>
      </c>
      <c r="C27" s="52" t="s">
        <v>916</v>
      </c>
      <c r="D27" s="133">
        <v>1919.8</v>
      </c>
      <c r="E27" s="60"/>
      <c r="F27" s="89">
        <v>948490.81</v>
      </c>
      <c r="G27" s="89"/>
      <c r="H27" s="89">
        <f t="shared" si="0"/>
        <v>1577870.5148440017</v>
      </c>
      <c r="I27" s="134"/>
    </row>
    <row r="28" spans="1:9" ht="24.95" customHeight="1">
      <c r="A28" s="132">
        <v>42499</v>
      </c>
      <c r="B28" s="131" t="s">
        <v>452</v>
      </c>
      <c r="C28" s="52" t="s">
        <v>52</v>
      </c>
      <c r="D28" s="133">
        <v>80.653400000000005</v>
      </c>
      <c r="E28" s="60"/>
      <c r="F28" s="89">
        <v>395669.45</v>
      </c>
      <c r="G28" s="89"/>
      <c r="H28" s="89">
        <f t="shared" si="0"/>
        <v>1973539.9648440017</v>
      </c>
      <c r="I28" s="134"/>
    </row>
    <row r="29" spans="1:9" ht="24.95" customHeight="1">
      <c r="A29" s="132">
        <v>42499</v>
      </c>
      <c r="B29" s="131" t="s">
        <v>502</v>
      </c>
      <c r="C29" s="52" t="s">
        <v>82</v>
      </c>
      <c r="D29" s="133">
        <v>208.13499999999999</v>
      </c>
      <c r="E29" s="60"/>
      <c r="F29" s="89">
        <v>2268671.5</v>
      </c>
      <c r="G29" s="89"/>
      <c r="H29" s="89">
        <f t="shared" si="0"/>
        <v>4242211.4648440015</v>
      </c>
      <c r="I29" s="134"/>
    </row>
    <row r="30" spans="1:9" ht="24.95" customHeight="1">
      <c r="A30" s="132">
        <v>42499</v>
      </c>
      <c r="B30" s="131" t="s">
        <v>544</v>
      </c>
      <c r="C30" s="52" t="s">
        <v>52</v>
      </c>
      <c r="D30" s="133">
        <v>1696.482</v>
      </c>
      <c r="E30" s="60"/>
      <c r="F30" s="89">
        <v>10013129.789999999</v>
      </c>
      <c r="G30" s="89"/>
      <c r="H30" s="89">
        <f t="shared" si="0"/>
        <v>14255341.254844001</v>
      </c>
      <c r="I30" s="134"/>
    </row>
    <row r="31" spans="1:9" ht="24.95" customHeight="1">
      <c r="A31" s="132">
        <v>42501</v>
      </c>
      <c r="B31" s="131" t="s">
        <v>878</v>
      </c>
      <c r="C31" s="52" t="s">
        <v>879</v>
      </c>
      <c r="D31" s="133">
        <v>3783.3180000000002</v>
      </c>
      <c r="E31" s="60"/>
      <c r="F31" s="89">
        <v>1687610.03</v>
      </c>
      <c r="G31" s="89"/>
      <c r="H31" s="89">
        <f t="shared" si="0"/>
        <v>15942951.284844</v>
      </c>
      <c r="I31" s="134"/>
    </row>
    <row r="32" spans="1:9" ht="24.95" customHeight="1">
      <c r="A32" s="132">
        <v>42503</v>
      </c>
      <c r="B32" s="131"/>
      <c r="C32" s="52"/>
      <c r="D32" s="133"/>
      <c r="E32" s="60"/>
      <c r="F32" s="89"/>
      <c r="G32" s="89">
        <v>12800000</v>
      </c>
      <c r="H32" s="89">
        <f t="shared" si="0"/>
        <v>3142951.2848439999</v>
      </c>
      <c r="I32" s="134"/>
    </row>
    <row r="33" spans="1:14" ht="24.95" customHeight="1">
      <c r="A33" s="132">
        <v>42513</v>
      </c>
      <c r="B33" s="131" t="s">
        <v>906</v>
      </c>
      <c r="C33" s="52" t="s">
        <v>905</v>
      </c>
      <c r="D33" s="133">
        <v>4748.8580000000002</v>
      </c>
      <c r="E33" s="60"/>
      <c r="F33" s="89">
        <v>2660258</v>
      </c>
      <c r="G33" s="89"/>
      <c r="H33" s="89">
        <f t="shared" si="0"/>
        <v>5803209.2848439999</v>
      </c>
      <c r="I33" s="134"/>
    </row>
    <row r="34" spans="1:14" ht="24.95" customHeight="1">
      <c r="A34" s="132">
        <v>42513</v>
      </c>
      <c r="B34" s="131" t="s">
        <v>907</v>
      </c>
      <c r="C34" s="52" t="s">
        <v>908</v>
      </c>
      <c r="D34" s="133">
        <v>17236.562999999998</v>
      </c>
      <c r="E34" s="60"/>
      <c r="F34" s="89">
        <v>8525732.8800000008</v>
      </c>
      <c r="G34" s="89"/>
      <c r="H34" s="89">
        <f t="shared" si="0"/>
        <v>14328942.164844001</v>
      </c>
      <c r="I34" s="134"/>
    </row>
    <row r="35" spans="1:14" ht="24.95" customHeight="1">
      <c r="A35" s="132">
        <v>42524</v>
      </c>
      <c r="B35" s="131"/>
      <c r="C35" s="52"/>
      <c r="D35" s="133"/>
      <c r="E35" s="60"/>
      <c r="F35" s="89"/>
      <c r="G35" s="89">
        <v>9470000</v>
      </c>
      <c r="H35" s="89">
        <f t="shared" si="0"/>
        <v>4858942.1648440007</v>
      </c>
      <c r="I35" s="134">
        <f>G35-H32</f>
        <v>6327048.7151560001</v>
      </c>
    </row>
    <row r="36" spans="1:14" ht="24.95" customHeight="1">
      <c r="A36" s="132">
        <v>42533</v>
      </c>
      <c r="B36" s="131" t="s">
        <v>924</v>
      </c>
      <c r="C36" s="52" t="s">
        <v>1066</v>
      </c>
      <c r="D36" s="133">
        <v>877.57090000000005</v>
      </c>
      <c r="E36" s="60"/>
      <c r="F36" s="89">
        <v>4677801.97</v>
      </c>
      <c r="G36" s="89"/>
      <c r="H36" s="89">
        <f t="shared" si="0"/>
        <v>9536744.1348440014</v>
      </c>
      <c r="I36" s="134"/>
    </row>
    <row r="37" spans="1:14" ht="24.95" customHeight="1">
      <c r="A37" s="132">
        <v>42533</v>
      </c>
      <c r="B37" s="131" t="s">
        <v>893</v>
      </c>
      <c r="C37" s="52" t="s">
        <v>1067</v>
      </c>
      <c r="D37" s="133">
        <v>252.39709999999999</v>
      </c>
      <c r="E37" s="60"/>
      <c r="F37" s="89">
        <v>2713268.83</v>
      </c>
      <c r="G37" s="89"/>
      <c r="H37" s="89">
        <f t="shared" si="0"/>
        <v>12250012.964844001</v>
      </c>
      <c r="I37" s="134"/>
    </row>
    <row r="38" spans="1:14" ht="24.95" customHeight="1">
      <c r="A38" s="132">
        <v>42538</v>
      </c>
      <c r="B38" s="131"/>
      <c r="C38" s="52"/>
      <c r="D38" s="133"/>
      <c r="E38" s="60"/>
      <c r="F38" s="89"/>
      <c r="G38" s="89">
        <v>7000000</v>
      </c>
      <c r="H38" s="89">
        <f t="shared" si="0"/>
        <v>5250012.9648440015</v>
      </c>
      <c r="I38" s="134">
        <f>F34+F33-I35</f>
        <v>4858942.1648440007</v>
      </c>
    </row>
    <row r="39" spans="1:14" ht="24.95" customHeight="1">
      <c r="A39" s="132">
        <v>42541</v>
      </c>
      <c r="B39" s="131" t="s">
        <v>1358</v>
      </c>
      <c r="C39" s="52" t="s">
        <v>1360</v>
      </c>
      <c r="D39" s="133">
        <v>4336.4639999999999</v>
      </c>
      <c r="E39" s="60"/>
      <c r="F39" s="89">
        <v>2516581.3199999998</v>
      </c>
      <c r="G39" s="89"/>
      <c r="H39" s="89">
        <f t="shared" si="0"/>
        <v>7766594.2848440018</v>
      </c>
      <c r="I39" s="134"/>
    </row>
    <row r="40" spans="1:14" ht="24.95" customHeight="1">
      <c r="A40" s="132">
        <v>42541</v>
      </c>
      <c r="B40" s="131" t="s">
        <v>1206</v>
      </c>
      <c r="C40" s="52" t="s">
        <v>1199</v>
      </c>
      <c r="D40" s="133">
        <f>12724.657-D39</f>
        <v>8388.1929999999993</v>
      </c>
      <c r="E40" s="60"/>
      <c r="F40" s="89">
        <f>6794737.29-F39</f>
        <v>4278155.9700000007</v>
      </c>
      <c r="G40" s="89"/>
      <c r="H40" s="89">
        <f t="shared" si="0"/>
        <v>12044750.254844002</v>
      </c>
      <c r="I40" s="134"/>
    </row>
    <row r="41" spans="1:14" ht="24.95" customHeight="1">
      <c r="A41" s="132">
        <v>42548</v>
      </c>
      <c r="B41" s="131"/>
      <c r="C41" s="52"/>
      <c r="D41" s="133"/>
      <c r="E41" s="60"/>
      <c r="F41" s="89"/>
      <c r="G41" s="89">
        <v>8000000</v>
      </c>
      <c r="H41" s="89">
        <f t="shared" si="0"/>
        <v>4044750.2548440024</v>
      </c>
      <c r="I41" s="134">
        <f>G41-H38</f>
        <v>2749987.0351559985</v>
      </c>
    </row>
    <row r="42" spans="1:14" ht="24.95" customHeight="1">
      <c r="A42" s="132">
        <v>42557</v>
      </c>
      <c r="B42" s="131" t="s">
        <v>903</v>
      </c>
      <c r="C42" s="52" t="s">
        <v>218</v>
      </c>
      <c r="D42" s="133">
        <v>5211</v>
      </c>
      <c r="E42" s="60"/>
      <c r="F42" s="89">
        <v>2854023.17</v>
      </c>
      <c r="G42" s="89"/>
      <c r="H42" s="89">
        <f t="shared" si="0"/>
        <v>6898773.4248440024</v>
      </c>
      <c r="I42" s="134"/>
    </row>
    <row r="43" spans="1:14" ht="24.95" customHeight="1">
      <c r="A43" s="132">
        <v>42557</v>
      </c>
      <c r="B43" s="131" t="s">
        <v>904</v>
      </c>
      <c r="C43" s="52" t="s">
        <v>218</v>
      </c>
      <c r="D43" s="133">
        <v>5262.44</v>
      </c>
      <c r="E43" s="60"/>
      <c r="F43" s="89">
        <v>3022935.16</v>
      </c>
      <c r="G43" s="89"/>
      <c r="H43" s="89">
        <f t="shared" si="0"/>
        <v>9921708.5848440025</v>
      </c>
      <c r="I43" s="134"/>
    </row>
    <row r="44" spans="1:14" ht="24.95" customHeight="1">
      <c r="A44" s="132">
        <v>42566</v>
      </c>
      <c r="B44" s="131" t="s">
        <v>803</v>
      </c>
      <c r="C44" s="52" t="s">
        <v>603</v>
      </c>
      <c r="D44" s="133">
        <v>37.861499999999999</v>
      </c>
      <c r="E44" s="60"/>
      <c r="F44" s="89">
        <v>202559.03</v>
      </c>
      <c r="G44" s="89"/>
      <c r="H44" s="89">
        <f t="shared" si="0"/>
        <v>10124267.614844002</v>
      </c>
      <c r="I44" s="134"/>
    </row>
    <row r="45" spans="1:14" ht="24.95" customHeight="1">
      <c r="A45" s="132">
        <v>42566</v>
      </c>
      <c r="B45" s="131" t="s">
        <v>1020</v>
      </c>
      <c r="C45" s="52" t="s">
        <v>412</v>
      </c>
      <c r="D45" s="133">
        <v>285.32810000000001</v>
      </c>
      <c r="E45" s="60"/>
      <c r="F45" s="89">
        <v>3055069.67</v>
      </c>
      <c r="G45" s="89"/>
      <c r="H45" s="89">
        <f t="shared" si="0"/>
        <v>13179337.284844002</v>
      </c>
      <c r="I45" s="134"/>
    </row>
    <row r="46" spans="1:14" ht="24.95" customHeight="1">
      <c r="A46" s="132">
        <v>42566</v>
      </c>
      <c r="B46" s="131" t="s">
        <v>1054</v>
      </c>
      <c r="C46" s="52" t="s">
        <v>603</v>
      </c>
      <c r="D46" s="133">
        <v>931.32899999999995</v>
      </c>
      <c r="E46" s="60"/>
      <c r="F46" s="89">
        <v>4684424.4800000004</v>
      </c>
      <c r="G46" s="89"/>
      <c r="H46" s="89">
        <f t="shared" si="0"/>
        <v>17863761.764844</v>
      </c>
      <c r="I46" s="134"/>
    </row>
    <row r="47" spans="1:14" ht="24.95" customHeight="1">
      <c r="A47" s="132">
        <v>42566</v>
      </c>
      <c r="B47" s="131" t="s">
        <v>1109</v>
      </c>
      <c r="C47" s="52" t="s">
        <v>412</v>
      </c>
      <c r="D47" s="133">
        <v>208.92410000000001</v>
      </c>
      <c r="E47" s="60"/>
      <c r="F47" s="89">
        <v>2253704.2799999998</v>
      </c>
      <c r="G47" s="89"/>
      <c r="H47" s="89">
        <f t="shared" si="0"/>
        <v>20117466.044844002</v>
      </c>
      <c r="I47" s="136"/>
      <c r="J47" s="33"/>
      <c r="K47" s="16"/>
      <c r="L47" s="137"/>
      <c r="M47" s="35"/>
      <c r="N47" s="35"/>
    </row>
    <row r="48" spans="1:14" ht="24.95" customHeight="1">
      <c r="A48" s="132">
        <v>42566</v>
      </c>
      <c r="B48" s="131" t="s">
        <v>1021</v>
      </c>
      <c r="C48" s="52" t="s">
        <v>644</v>
      </c>
      <c r="D48" s="133">
        <v>80.442999999999998</v>
      </c>
      <c r="E48" s="60"/>
      <c r="F48" s="89">
        <v>578385.17000000004</v>
      </c>
      <c r="G48" s="89"/>
      <c r="H48" s="89">
        <f t="shared" si="0"/>
        <v>20695851.214844003</v>
      </c>
      <c r="I48" s="134"/>
    </row>
    <row r="49" spans="1:10" ht="24.95" customHeight="1">
      <c r="A49" s="132">
        <v>42570</v>
      </c>
      <c r="B49" s="131"/>
      <c r="C49" s="52"/>
      <c r="D49" s="133"/>
      <c r="E49" s="60"/>
      <c r="F49" s="89"/>
      <c r="G49" s="89">
        <v>10000000</v>
      </c>
      <c r="H49" s="89">
        <f t="shared" si="0"/>
        <v>10695851.214844003</v>
      </c>
      <c r="I49" s="134"/>
    </row>
    <row r="50" spans="1:10" ht="24.95" customHeight="1">
      <c r="A50" s="132">
        <v>42570</v>
      </c>
      <c r="B50" s="131"/>
      <c r="C50" s="52"/>
      <c r="D50" s="133"/>
      <c r="E50" s="60"/>
      <c r="F50" s="89"/>
      <c r="G50" s="89">
        <v>6000000</v>
      </c>
      <c r="H50" s="89">
        <f t="shared" si="0"/>
        <v>4695851.2148440033</v>
      </c>
      <c r="I50" s="134"/>
    </row>
    <row r="51" spans="1:10" ht="24.95" customHeight="1">
      <c r="A51" s="132">
        <v>42576</v>
      </c>
      <c r="B51" s="131" t="s">
        <v>1454</v>
      </c>
      <c r="C51" s="52" t="s">
        <v>1455</v>
      </c>
      <c r="D51" s="133">
        <v>3533.0129999999999</v>
      </c>
      <c r="E51" s="35"/>
      <c r="F51" s="36">
        <v>1858300.2798840003</v>
      </c>
      <c r="G51" s="89"/>
      <c r="H51" s="89">
        <f t="shared" si="0"/>
        <v>6554151.4947280036</v>
      </c>
      <c r="I51" s="134"/>
    </row>
    <row r="52" spans="1:10" ht="24.95" customHeight="1">
      <c r="A52" s="132">
        <v>42576</v>
      </c>
      <c r="B52" s="218" t="s">
        <v>1935</v>
      </c>
      <c r="C52" s="219" t="s">
        <v>1936</v>
      </c>
      <c r="D52" s="220">
        <v>9300.518</v>
      </c>
      <c r="E52" s="221"/>
      <c r="F52" s="89">
        <f>3638231.91+1248976.32</f>
        <v>4887208.2300000004</v>
      </c>
      <c r="G52" s="89"/>
      <c r="H52" s="89">
        <f t="shared" si="0"/>
        <v>11441359.724728003</v>
      </c>
      <c r="I52" s="134" t="s">
        <v>1537</v>
      </c>
    </row>
    <row r="53" spans="1:10" ht="24.95" customHeight="1">
      <c r="A53" s="132">
        <v>42576</v>
      </c>
      <c r="B53" s="218" t="s">
        <v>1937</v>
      </c>
      <c r="C53" s="219" t="s">
        <v>1936</v>
      </c>
      <c r="D53" s="220">
        <f>3801.554+7627.961</f>
        <v>11429.514999999999</v>
      </c>
      <c r="E53" s="221"/>
      <c r="F53" s="89">
        <f>2020776.24+4113543.06</f>
        <v>6134319.2999999998</v>
      </c>
      <c r="G53" s="89"/>
      <c r="H53" s="89">
        <f t="shared" si="0"/>
        <v>17575679.024728004</v>
      </c>
      <c r="I53" s="134" t="s">
        <v>1537</v>
      </c>
    </row>
    <row r="54" spans="1:10" ht="24.95" customHeight="1">
      <c r="A54" s="132">
        <v>42585</v>
      </c>
      <c r="B54" s="218"/>
      <c r="C54" s="219"/>
      <c r="D54" s="220"/>
      <c r="E54" s="221"/>
      <c r="F54" s="89"/>
      <c r="G54" s="89">
        <v>10000000</v>
      </c>
      <c r="H54" s="89">
        <f t="shared" si="0"/>
        <v>7575679.0247280039</v>
      </c>
      <c r="I54" s="134" t="s">
        <v>1537</v>
      </c>
      <c r="J54" s="135">
        <v>1021527.53</v>
      </c>
    </row>
    <row r="55" spans="1:10" ht="24.95" customHeight="1">
      <c r="A55" s="132">
        <v>42585</v>
      </c>
      <c r="B55" s="218"/>
      <c r="C55" s="219"/>
      <c r="D55" s="220"/>
      <c r="E55" s="221"/>
      <c r="F55" s="89"/>
      <c r="G55" s="89">
        <v>4880000</v>
      </c>
      <c r="H55" s="89">
        <f t="shared" si="0"/>
        <v>2695679.0247280039</v>
      </c>
      <c r="I55" s="134"/>
    </row>
    <row r="56" spans="1:10" ht="24.95" customHeight="1">
      <c r="A56" s="132">
        <v>42587</v>
      </c>
      <c r="B56" s="218" t="s">
        <v>1937</v>
      </c>
      <c r="C56" s="219" t="s">
        <v>1936</v>
      </c>
      <c r="D56" s="220">
        <v>2124.9670000000001</v>
      </c>
      <c r="E56" s="221"/>
      <c r="F56" s="89">
        <v>1142977.24</v>
      </c>
      <c r="G56" s="89"/>
      <c r="H56" s="89">
        <f t="shared" si="0"/>
        <v>3838656.2647280041</v>
      </c>
      <c r="I56" s="134" t="s">
        <v>1536</v>
      </c>
      <c r="J56" s="135">
        <f>J54+F56</f>
        <v>2164504.77</v>
      </c>
    </row>
    <row r="57" spans="1:10" ht="24.95" customHeight="1">
      <c r="A57" s="132">
        <v>42587</v>
      </c>
      <c r="B57" s="218" t="s">
        <v>1938</v>
      </c>
      <c r="C57" s="219" t="s">
        <v>1939</v>
      </c>
      <c r="D57" s="220">
        <v>70.932000000000002</v>
      </c>
      <c r="E57" s="60"/>
      <c r="F57" s="89">
        <v>768902.87983200001</v>
      </c>
      <c r="G57" s="89"/>
      <c r="H57" s="89">
        <f t="shared" si="0"/>
        <v>4607559.1445600037</v>
      </c>
      <c r="I57" s="134"/>
    </row>
    <row r="58" spans="1:10" ht="24.95" customHeight="1">
      <c r="A58" s="132">
        <v>42587</v>
      </c>
      <c r="B58" s="131" t="s">
        <v>1512</v>
      </c>
      <c r="C58" s="52" t="s">
        <v>644</v>
      </c>
      <c r="D58" s="133">
        <v>78.185000000000002</v>
      </c>
      <c r="E58" s="60"/>
      <c r="F58" s="89">
        <v>562150.15478400013</v>
      </c>
      <c r="G58" s="89"/>
      <c r="H58" s="89">
        <f t="shared" si="0"/>
        <v>5169709.2993440041</v>
      </c>
      <c r="I58" s="134"/>
      <c r="J58" s="362">
        <f>F51+F52+F53+F56-G54</f>
        <v>4022805.0498840008</v>
      </c>
    </row>
    <row r="59" spans="1:10" ht="24.95" customHeight="1">
      <c r="A59" s="132">
        <v>42587</v>
      </c>
      <c r="B59" s="131" t="s">
        <v>1513</v>
      </c>
      <c r="C59" s="52" t="s">
        <v>603</v>
      </c>
      <c r="D59" s="133">
        <v>834.95100000000002</v>
      </c>
      <c r="E59" s="60"/>
      <c r="F59" s="89">
        <v>4165767.3432720006</v>
      </c>
      <c r="G59" s="89"/>
      <c r="H59" s="89">
        <f t="shared" si="0"/>
        <v>9335476.6426160038</v>
      </c>
      <c r="I59" s="134"/>
    </row>
    <row r="60" spans="1:10" ht="24.95" customHeight="1">
      <c r="A60" s="132">
        <v>42597</v>
      </c>
      <c r="B60" s="131"/>
      <c r="C60" s="52" t="s">
        <v>1933</v>
      </c>
      <c r="D60" s="133"/>
      <c r="E60" s="60"/>
      <c r="F60" s="89"/>
      <c r="G60" s="89">
        <v>6000000</v>
      </c>
      <c r="H60" s="89">
        <f t="shared" si="0"/>
        <v>3335476.6426160038</v>
      </c>
      <c r="I60" s="134"/>
    </row>
    <row r="61" spans="1:10" ht="24.95" customHeight="1">
      <c r="A61" s="132">
        <v>42594</v>
      </c>
      <c r="B61" s="131" t="s">
        <v>1511</v>
      </c>
      <c r="C61" s="52" t="s">
        <v>412</v>
      </c>
      <c r="D61" s="133">
        <v>71.960999999999999</v>
      </c>
      <c r="E61" s="60"/>
      <c r="F61" s="89">
        <v>780057.24448800005</v>
      </c>
      <c r="G61" s="89"/>
      <c r="H61" s="89">
        <f t="shared" si="0"/>
        <v>4115533.8871040037</v>
      </c>
      <c r="I61" s="134"/>
    </row>
    <row r="62" spans="1:10" ht="24.95" customHeight="1">
      <c r="A62" s="132">
        <v>42594</v>
      </c>
      <c r="B62" s="131" t="s">
        <v>1513</v>
      </c>
      <c r="C62" s="52" t="s">
        <v>603</v>
      </c>
      <c r="D62" s="133">
        <v>488.26900000000001</v>
      </c>
      <c r="E62" s="60"/>
      <c r="F62" s="89">
        <v>2429978.6047200002</v>
      </c>
      <c r="G62" s="89"/>
      <c r="H62" s="89">
        <f t="shared" si="0"/>
        <v>6545512.4918240039</v>
      </c>
      <c r="I62" s="134"/>
    </row>
    <row r="63" spans="1:10" ht="24.95" customHeight="1">
      <c r="A63" s="132">
        <v>42607</v>
      </c>
      <c r="B63" s="131" t="s">
        <v>907</v>
      </c>
      <c r="C63" s="52" t="s">
        <v>219</v>
      </c>
      <c r="D63" s="133">
        <v>2021.8227999999999</v>
      </c>
      <c r="E63" s="60"/>
      <c r="F63" s="89">
        <v>1054412.78</v>
      </c>
      <c r="G63" s="89"/>
      <c r="H63" s="89">
        <f t="shared" si="0"/>
        <v>7599925.2718240041</v>
      </c>
      <c r="I63" s="134"/>
    </row>
    <row r="64" spans="1:10" ht="24.95" customHeight="1">
      <c r="A64" s="132">
        <v>42612</v>
      </c>
      <c r="B64" s="131" t="s">
        <v>1819</v>
      </c>
      <c r="C64" s="52" t="s">
        <v>1820</v>
      </c>
      <c r="D64" s="133">
        <v>263.27879999999999</v>
      </c>
      <c r="E64" s="60"/>
      <c r="F64" s="387">
        <v>1315544.7389520002</v>
      </c>
      <c r="G64" s="89"/>
      <c r="H64" s="89">
        <f t="shared" si="0"/>
        <v>8915470.0107760038</v>
      </c>
      <c r="I64" s="134"/>
    </row>
    <row r="65" spans="1:10" ht="24.95" customHeight="1">
      <c r="A65" s="132">
        <v>42612</v>
      </c>
      <c r="B65" s="131" t="s">
        <v>1821</v>
      </c>
      <c r="C65" s="52" t="s">
        <v>603</v>
      </c>
      <c r="D65" s="133">
        <v>189.12200000000001</v>
      </c>
      <c r="E65" s="60"/>
      <c r="F65" s="387">
        <v>1002347.12832</v>
      </c>
      <c r="G65" s="89"/>
      <c r="H65" s="89">
        <f t="shared" si="0"/>
        <v>9917817.139096003</v>
      </c>
      <c r="I65" s="134"/>
    </row>
    <row r="66" spans="1:10" ht="24.95" customHeight="1">
      <c r="A66" s="132">
        <v>42612</v>
      </c>
      <c r="B66" s="131" t="s">
        <v>1822</v>
      </c>
      <c r="C66" s="52" t="s">
        <v>603</v>
      </c>
      <c r="D66" s="133">
        <v>412.73599999999999</v>
      </c>
      <c r="E66" s="60"/>
      <c r="F66" s="387">
        <v>2804117.8170120004</v>
      </c>
      <c r="G66" s="89"/>
      <c r="H66" s="89">
        <f t="shared" si="0"/>
        <v>12721934.956108004</v>
      </c>
      <c r="I66" s="134"/>
    </row>
    <row r="67" spans="1:10" ht="24.95" customHeight="1">
      <c r="A67" s="132">
        <v>42619</v>
      </c>
      <c r="B67" s="131"/>
      <c r="C67" s="52" t="s">
        <v>1931</v>
      </c>
      <c r="D67" s="133"/>
      <c r="E67" s="60"/>
      <c r="F67" s="89"/>
      <c r="G67" s="89">
        <v>3870000</v>
      </c>
      <c r="H67" s="89">
        <f t="shared" si="0"/>
        <v>8851934.9561080039</v>
      </c>
      <c r="I67" s="134"/>
    </row>
    <row r="68" spans="1:10" ht="24.95" customHeight="1">
      <c r="A68" s="132">
        <v>42621</v>
      </c>
      <c r="B68" s="131"/>
      <c r="C68" s="52" t="s">
        <v>1931</v>
      </c>
      <c r="D68" s="133"/>
      <c r="E68" s="60"/>
      <c r="F68" s="89"/>
      <c r="G68" s="89">
        <v>5000000</v>
      </c>
      <c r="H68" s="89">
        <f t="shared" si="0"/>
        <v>3851934.9561080039</v>
      </c>
      <c r="I68" s="134"/>
    </row>
    <row r="69" spans="1:10" ht="24.95" customHeight="1">
      <c r="A69" s="388">
        <v>42621</v>
      </c>
      <c r="B69" s="218"/>
      <c r="C69" s="219" t="s">
        <v>3087</v>
      </c>
      <c r="D69" s="220"/>
      <c r="E69" s="389"/>
      <c r="F69" s="387"/>
      <c r="G69" s="387">
        <v>2160000</v>
      </c>
      <c r="H69" s="89">
        <f t="shared" si="0"/>
        <v>1691934.9561080039</v>
      </c>
      <c r="I69" s="134">
        <f>G69-H69</f>
        <v>468065.04389199615</v>
      </c>
      <c r="J69" s="135">
        <f>J56-G69</f>
        <v>4504.7700000000186</v>
      </c>
    </row>
    <row r="70" spans="1:10" ht="24.95" customHeight="1">
      <c r="A70" s="132">
        <v>42619</v>
      </c>
      <c r="B70" s="131" t="s">
        <v>1513</v>
      </c>
      <c r="C70" s="52" t="s">
        <v>603</v>
      </c>
      <c r="D70" s="133">
        <v>40.375999999999998</v>
      </c>
      <c r="E70" s="60"/>
      <c r="F70" s="89">
        <v>193802.88</v>
      </c>
      <c r="G70" s="89"/>
      <c r="H70" s="89">
        <f t="shared" si="0"/>
        <v>1885737.8361080037</v>
      </c>
      <c r="I70" s="134"/>
    </row>
    <row r="71" spans="1:10" ht="24.95" customHeight="1">
      <c r="A71" s="132">
        <v>42619</v>
      </c>
      <c r="B71" s="131" t="s">
        <v>1822</v>
      </c>
      <c r="C71" s="52" t="s">
        <v>603</v>
      </c>
      <c r="D71" s="133">
        <v>412.15800000000002</v>
      </c>
      <c r="E71" s="60"/>
      <c r="F71" s="89">
        <v>2802671</v>
      </c>
      <c r="G71" s="89"/>
      <c r="H71" s="89">
        <f t="shared" si="0"/>
        <v>4688408.8361080037</v>
      </c>
      <c r="I71" s="134"/>
    </row>
    <row r="72" spans="1:10" ht="24.95" customHeight="1">
      <c r="A72" s="132">
        <v>42619</v>
      </c>
      <c r="B72" s="131" t="s">
        <v>1897</v>
      </c>
      <c r="C72" s="52" t="s">
        <v>412</v>
      </c>
      <c r="D72" s="133">
        <v>149.69</v>
      </c>
      <c r="E72" s="60"/>
      <c r="F72" s="89">
        <v>1673534.2</v>
      </c>
      <c r="G72" s="89"/>
      <c r="H72" s="89">
        <f t="shared" si="0"/>
        <v>6361943.0361080039</v>
      </c>
      <c r="I72" s="134"/>
    </row>
    <row r="73" spans="1:10" ht="24.95" customHeight="1">
      <c r="A73" s="132">
        <v>42619</v>
      </c>
      <c r="B73" s="131" t="s">
        <v>1898</v>
      </c>
      <c r="C73" s="52" t="s">
        <v>644</v>
      </c>
      <c r="D73" s="133">
        <v>80.661000000000001</v>
      </c>
      <c r="E73" s="60"/>
      <c r="F73" s="89">
        <v>588825.30000000005</v>
      </c>
      <c r="G73" s="89"/>
      <c r="H73" s="89">
        <f t="shared" si="0"/>
        <v>6950768.3361080037</v>
      </c>
      <c r="I73" s="134"/>
    </row>
    <row r="74" spans="1:10" ht="24.95" customHeight="1">
      <c r="A74" s="222">
        <v>42627</v>
      </c>
      <c r="B74" s="223" t="s">
        <v>1980</v>
      </c>
      <c r="C74" s="219"/>
      <c r="D74" s="224"/>
      <c r="E74" s="225"/>
      <c r="F74" s="224"/>
      <c r="G74" s="226">
        <v>4000000</v>
      </c>
      <c r="H74" s="89">
        <f t="shared" ref="H74:H123" si="1">H73+F74-G74</f>
        <v>2950768.3361080037</v>
      </c>
      <c r="I74" s="134">
        <f>F66-I69</f>
        <v>2336052.7731200042</v>
      </c>
      <c r="J74" s="135">
        <f>G74-H70</f>
        <v>2114262.1638919963</v>
      </c>
    </row>
    <row r="75" spans="1:10" ht="24.95" customHeight="1">
      <c r="A75" s="132">
        <v>42632</v>
      </c>
      <c r="B75" s="131" t="s">
        <v>1896</v>
      </c>
      <c r="C75" s="52" t="s">
        <v>1976</v>
      </c>
      <c r="D75" s="133">
        <v>4737.3696999999993</v>
      </c>
      <c r="E75" s="60"/>
      <c r="F75" s="89">
        <v>2546146.498124002</v>
      </c>
      <c r="G75" s="89"/>
      <c r="H75" s="89">
        <f t="shared" si="1"/>
        <v>5496914.8342320062</v>
      </c>
      <c r="I75" s="134"/>
    </row>
    <row r="76" spans="1:10" ht="24.95" customHeight="1">
      <c r="A76" s="132">
        <v>42632</v>
      </c>
      <c r="B76" s="131" t="s">
        <v>1513</v>
      </c>
      <c r="C76" s="52" t="s">
        <v>603</v>
      </c>
      <c r="D76" s="133">
        <v>70.399000000000001</v>
      </c>
      <c r="E76" s="60"/>
      <c r="F76" s="89">
        <v>351995.49727200001</v>
      </c>
      <c r="G76" s="89"/>
      <c r="H76" s="89">
        <f t="shared" si="1"/>
        <v>5848910.3315040059</v>
      </c>
      <c r="I76" s="134"/>
    </row>
    <row r="77" spans="1:10" ht="24.95" customHeight="1">
      <c r="A77" s="132">
        <v>42632</v>
      </c>
      <c r="B77" s="131" t="s">
        <v>1822</v>
      </c>
      <c r="C77" s="52" t="s">
        <v>603</v>
      </c>
      <c r="D77" s="133">
        <v>122.087</v>
      </c>
      <c r="E77" s="60"/>
      <c r="F77" s="89">
        <v>830191.59583200002</v>
      </c>
      <c r="G77" s="89"/>
      <c r="H77" s="89">
        <f t="shared" si="1"/>
        <v>6679101.9273360055</v>
      </c>
      <c r="I77" s="134"/>
    </row>
    <row r="78" spans="1:10" ht="24.95" customHeight="1">
      <c r="A78" s="132">
        <v>42632</v>
      </c>
      <c r="B78" s="131" t="s">
        <v>1897</v>
      </c>
      <c r="C78" s="52" t="s">
        <v>412</v>
      </c>
      <c r="D78" s="133">
        <v>78.798000000000002</v>
      </c>
      <c r="E78" s="60"/>
      <c r="F78" s="89">
        <v>880962.76246800018</v>
      </c>
      <c r="G78" s="89"/>
      <c r="H78" s="89">
        <f t="shared" si="1"/>
        <v>7560064.6898040054</v>
      </c>
      <c r="I78" s="134"/>
    </row>
    <row r="79" spans="1:10" ht="24.95" customHeight="1">
      <c r="A79" s="132">
        <v>42639</v>
      </c>
      <c r="B79" s="131" t="s">
        <v>2018</v>
      </c>
      <c r="C79" s="52" t="s">
        <v>603</v>
      </c>
      <c r="D79" s="133">
        <v>775.91899999999998</v>
      </c>
      <c r="E79" s="60"/>
      <c r="F79" s="89">
        <v>4802663.28</v>
      </c>
      <c r="G79" s="89"/>
      <c r="H79" s="89">
        <f t="shared" si="1"/>
        <v>12362727.969804006</v>
      </c>
      <c r="I79" s="134"/>
    </row>
    <row r="80" spans="1:10" ht="24.95" customHeight="1">
      <c r="A80" s="132">
        <v>42654</v>
      </c>
      <c r="B80" s="131" t="s">
        <v>2131</v>
      </c>
      <c r="C80" s="52"/>
      <c r="D80" s="133"/>
      <c r="E80" s="60"/>
      <c r="F80" s="89"/>
      <c r="G80" s="89">
        <v>8750000</v>
      </c>
      <c r="H80" s="89">
        <f t="shared" si="1"/>
        <v>3612727.9698040057</v>
      </c>
      <c r="I80" s="134">
        <f>G80-H78</f>
        <v>1189935.3101959946</v>
      </c>
      <c r="J80" s="135">
        <f>F77</f>
        <v>830191.59583200002</v>
      </c>
    </row>
    <row r="81" spans="1:10" ht="25.5" customHeight="1">
      <c r="A81" s="132">
        <v>42656</v>
      </c>
      <c r="B81" s="142" t="s">
        <v>2040</v>
      </c>
      <c r="C81" s="213" t="s">
        <v>1895</v>
      </c>
      <c r="D81" s="253">
        <v>4386.7763999999997</v>
      </c>
      <c r="E81" s="60"/>
      <c r="F81" s="89">
        <v>2520735.6781328642</v>
      </c>
      <c r="G81" s="89"/>
      <c r="H81" s="89">
        <f t="shared" si="1"/>
        <v>6133463.6479368694</v>
      </c>
      <c r="I81" s="134"/>
    </row>
    <row r="82" spans="1:10" ht="24.95" customHeight="1">
      <c r="A82" s="132">
        <v>42656</v>
      </c>
      <c r="B82" s="142" t="s">
        <v>2018</v>
      </c>
      <c r="C82" s="213" t="s">
        <v>430</v>
      </c>
      <c r="D82" s="253">
        <v>350.96600000000001</v>
      </c>
      <c r="E82" s="60"/>
      <c r="F82" s="89">
        <v>2175040.414632</v>
      </c>
      <c r="G82" s="89"/>
      <c r="H82" s="89">
        <f t="shared" si="1"/>
        <v>8308504.0625688694</v>
      </c>
    </row>
    <row r="83" spans="1:10" ht="24.95" customHeight="1">
      <c r="A83" s="132">
        <v>42669</v>
      </c>
      <c r="B83" s="142" t="s">
        <v>2261</v>
      </c>
      <c r="C83" s="213"/>
      <c r="D83" s="253"/>
      <c r="E83" s="60"/>
      <c r="F83" s="89"/>
      <c r="G83" s="89">
        <v>2170000</v>
      </c>
      <c r="H83" s="89">
        <f t="shared" si="1"/>
        <v>6138504.0625688694</v>
      </c>
    </row>
    <row r="84" spans="1:10" ht="24.95" customHeight="1">
      <c r="A84" s="132">
        <v>42670</v>
      </c>
      <c r="B84" s="142" t="s">
        <v>2276</v>
      </c>
      <c r="C84" s="213"/>
      <c r="D84" s="253"/>
      <c r="E84" s="60"/>
      <c r="F84" s="89"/>
      <c r="G84" s="89">
        <v>5060000</v>
      </c>
      <c r="H84" s="89">
        <f t="shared" si="1"/>
        <v>1078504.0625688694</v>
      </c>
    </row>
    <row r="85" spans="1:10" ht="24.95" customHeight="1">
      <c r="A85" s="132">
        <v>42671</v>
      </c>
      <c r="B85" s="213" t="s">
        <v>1970</v>
      </c>
      <c r="C85" s="213" t="s">
        <v>93</v>
      </c>
      <c r="D85" s="253">
        <v>957.6</v>
      </c>
      <c r="E85" s="213"/>
      <c r="F85" s="89">
        <v>554402.23371599999</v>
      </c>
      <c r="G85" s="89"/>
      <c r="H85" s="89">
        <f t="shared" si="1"/>
        <v>1632906.2962848693</v>
      </c>
    </row>
    <row r="86" spans="1:10" ht="24.95" customHeight="1">
      <c r="A86" s="132">
        <v>42671</v>
      </c>
      <c r="B86" s="213" t="s">
        <v>1970</v>
      </c>
      <c r="C86" s="213" t="s">
        <v>93</v>
      </c>
      <c r="D86" s="253">
        <v>3057.6709999999998</v>
      </c>
      <c r="E86" s="213"/>
      <c r="F86" s="89">
        <v>1779056.8866840003</v>
      </c>
      <c r="G86" s="89"/>
      <c r="H86" s="89">
        <f t="shared" si="1"/>
        <v>3411963.1829688698</v>
      </c>
    </row>
    <row r="87" spans="1:10" ht="24.95" customHeight="1">
      <c r="A87" s="132">
        <v>42671</v>
      </c>
      <c r="B87" s="213" t="s">
        <v>1513</v>
      </c>
      <c r="C87" s="213" t="s">
        <v>60</v>
      </c>
      <c r="D87" s="253">
        <v>143.108</v>
      </c>
      <c r="E87" s="213"/>
      <c r="F87" s="89">
        <v>714304.37265600008</v>
      </c>
      <c r="G87" s="89"/>
      <c r="H87" s="89">
        <f t="shared" si="1"/>
        <v>4126267.5556248697</v>
      </c>
    </row>
    <row r="88" spans="1:10" ht="24.95" customHeight="1">
      <c r="A88" s="132">
        <v>42671</v>
      </c>
      <c r="B88" s="213" t="s">
        <v>2018</v>
      </c>
      <c r="C88" s="213" t="s">
        <v>60</v>
      </c>
      <c r="D88" s="253">
        <v>160.376</v>
      </c>
      <c r="E88" s="213"/>
      <c r="F88" s="89">
        <v>992762.3017800001</v>
      </c>
      <c r="G88" s="89"/>
      <c r="H88" s="89">
        <f t="shared" si="1"/>
        <v>5119029.85740487</v>
      </c>
    </row>
    <row r="89" spans="1:10" ht="24.95" customHeight="1">
      <c r="A89" s="132">
        <v>42671</v>
      </c>
      <c r="B89" s="213" t="s">
        <v>2132</v>
      </c>
      <c r="C89" s="213" t="s">
        <v>60</v>
      </c>
      <c r="D89" s="253">
        <v>506.79599999999999</v>
      </c>
      <c r="E89" s="213"/>
      <c r="F89" s="89">
        <v>3796046.0957280002</v>
      </c>
      <c r="G89" s="89"/>
      <c r="H89" s="89">
        <f t="shared" si="1"/>
        <v>8915075.9531328697</v>
      </c>
    </row>
    <row r="90" spans="1:10" ht="24.95" customHeight="1">
      <c r="A90" s="132">
        <v>42688</v>
      </c>
      <c r="B90" s="213" t="s">
        <v>1931</v>
      </c>
      <c r="C90" s="213"/>
      <c r="D90" s="253"/>
      <c r="E90" s="213"/>
      <c r="F90" s="89"/>
      <c r="G90" s="89">
        <v>5500000</v>
      </c>
      <c r="H90" s="89">
        <f t="shared" si="1"/>
        <v>3415075.9531328697</v>
      </c>
    </row>
    <row r="91" spans="1:10" ht="24.95" customHeight="1">
      <c r="A91" s="132">
        <v>42692</v>
      </c>
      <c r="B91" s="213" t="s">
        <v>2215</v>
      </c>
      <c r="C91" s="213" t="s">
        <v>2395</v>
      </c>
      <c r="D91" s="253">
        <v>49.82</v>
      </c>
      <c r="E91" s="89"/>
      <c r="F91" s="89">
        <v>388596.00229200005</v>
      </c>
      <c r="G91" s="89"/>
      <c r="H91" s="89">
        <f t="shared" si="1"/>
        <v>3803671.9554248699</v>
      </c>
    </row>
    <row r="92" spans="1:10" ht="24.95" customHeight="1">
      <c r="A92" s="132">
        <v>42692</v>
      </c>
      <c r="B92" s="213" t="s">
        <v>2306</v>
      </c>
      <c r="C92" s="213" t="s">
        <v>412</v>
      </c>
      <c r="D92" s="253">
        <v>63.017000000000003</v>
      </c>
      <c r="E92" s="89"/>
      <c r="F92" s="89">
        <v>809768.4457080001</v>
      </c>
      <c r="G92" s="89"/>
      <c r="H92" s="89">
        <f t="shared" si="1"/>
        <v>4613440.4011328705</v>
      </c>
    </row>
    <row r="93" spans="1:10" ht="24.95" customHeight="1">
      <c r="A93" s="132">
        <v>42692</v>
      </c>
      <c r="B93" s="213" t="s">
        <v>2132</v>
      </c>
      <c r="C93" s="213" t="s">
        <v>603</v>
      </c>
      <c r="D93" s="253">
        <v>1013.175</v>
      </c>
      <c r="E93" s="89"/>
      <c r="F93" s="89">
        <v>7596263.7802080009</v>
      </c>
      <c r="G93" s="89"/>
      <c r="H93" s="89">
        <f t="shared" si="1"/>
        <v>12209704.181340871</v>
      </c>
    </row>
    <row r="94" spans="1:10" ht="24.95" customHeight="1">
      <c r="A94" s="132">
        <v>42692</v>
      </c>
      <c r="B94" s="213" t="s">
        <v>1970</v>
      </c>
      <c r="C94" s="213" t="s">
        <v>218</v>
      </c>
      <c r="D94" s="253">
        <v>5393.5</v>
      </c>
      <c r="E94" s="89"/>
      <c r="F94" s="89">
        <v>3225580.8797520003</v>
      </c>
      <c r="G94" s="89"/>
      <c r="H94" s="89">
        <f t="shared" si="1"/>
        <v>15435285.061092872</v>
      </c>
      <c r="I94" s="135">
        <v>1058636.47</v>
      </c>
      <c r="J94" s="134" t="s">
        <v>2489</v>
      </c>
    </row>
    <row r="95" spans="1:10" ht="24.95" customHeight="1">
      <c r="A95" s="132">
        <v>42706</v>
      </c>
      <c r="B95" s="213" t="s">
        <v>2215</v>
      </c>
      <c r="C95" s="213" t="s">
        <v>644</v>
      </c>
      <c r="D95" s="253">
        <v>26.997</v>
      </c>
      <c r="E95" s="213"/>
      <c r="F95" s="89">
        <v>210552.30249600002</v>
      </c>
      <c r="G95" s="89"/>
      <c r="H95" s="89">
        <f t="shared" si="1"/>
        <v>15645837.363588871</v>
      </c>
      <c r="I95" s="135">
        <v>5568575.6399999997</v>
      </c>
    </row>
    <row r="96" spans="1:10" ht="24.95" customHeight="1">
      <c r="A96" s="132">
        <v>42706</v>
      </c>
      <c r="B96" s="213" t="s">
        <v>2306</v>
      </c>
      <c r="C96" s="213" t="s">
        <v>412</v>
      </c>
      <c r="D96" s="253">
        <v>51.896000000000001</v>
      </c>
      <c r="E96" s="213"/>
      <c r="F96" s="89">
        <v>666863.59629600006</v>
      </c>
      <c r="G96" s="89"/>
      <c r="H96" s="89">
        <f t="shared" si="1"/>
        <v>16312700.959884871</v>
      </c>
      <c r="I96" s="135">
        <v>8803568.1699999999</v>
      </c>
    </row>
    <row r="97" spans="1:10" ht="24.95" customHeight="1">
      <c r="A97" s="132">
        <v>42706</v>
      </c>
      <c r="B97" s="213" t="s">
        <v>2132</v>
      </c>
      <c r="C97" s="213" t="s">
        <v>603</v>
      </c>
      <c r="D97" s="253">
        <v>519.64400000000001</v>
      </c>
      <c r="E97" s="213"/>
      <c r="F97" s="89">
        <v>3897330.7499640002</v>
      </c>
      <c r="G97" s="89"/>
      <c r="H97" s="89">
        <f t="shared" si="1"/>
        <v>20210031.70984887</v>
      </c>
      <c r="I97" s="135">
        <f>SUM(I95:I96)</f>
        <v>14372143.809999999</v>
      </c>
      <c r="J97" s="135">
        <f>I97-H94</f>
        <v>-1063141.2510928735</v>
      </c>
    </row>
    <row r="98" spans="1:10" ht="24.95" customHeight="1">
      <c r="A98" s="132">
        <v>42706</v>
      </c>
      <c r="B98" s="213" t="s">
        <v>2458</v>
      </c>
      <c r="C98" s="213" t="s">
        <v>603</v>
      </c>
      <c r="D98" s="253">
        <v>61.262999999999998</v>
      </c>
      <c r="E98" s="213"/>
      <c r="F98" s="89">
        <v>508483.73463600007</v>
      </c>
      <c r="G98" s="89"/>
      <c r="H98" s="89">
        <f t="shared" si="1"/>
        <v>20718515.444484871</v>
      </c>
      <c r="I98" s="135">
        <f>SUM(G99:G114)</f>
        <v>31550000</v>
      </c>
    </row>
    <row r="99" spans="1:10" ht="24.95" customHeight="1">
      <c r="A99" s="132">
        <v>42711</v>
      </c>
      <c r="B99" s="390" t="s">
        <v>2498</v>
      </c>
      <c r="C99" s="213"/>
      <c r="D99" s="253"/>
      <c r="E99" s="213"/>
      <c r="F99" s="89"/>
      <c r="G99" s="89">
        <v>8700000</v>
      </c>
      <c r="H99" s="89">
        <f t="shared" si="1"/>
        <v>12018515.444484871</v>
      </c>
      <c r="I99" s="135">
        <f>I98-H97</f>
        <v>11339968.29015113</v>
      </c>
    </row>
    <row r="100" spans="1:10" ht="24.95" customHeight="1">
      <c r="A100" s="132">
        <v>42711</v>
      </c>
      <c r="B100" s="390" t="s">
        <v>2499</v>
      </c>
      <c r="C100" s="213"/>
      <c r="D100" s="253"/>
      <c r="E100" s="213"/>
      <c r="F100" s="89"/>
      <c r="G100" s="89">
        <v>2340000</v>
      </c>
      <c r="H100" s="89">
        <f t="shared" si="1"/>
        <v>9678515.4444848709</v>
      </c>
    </row>
    <row r="101" spans="1:10" ht="24.95" customHeight="1">
      <c r="A101" s="132">
        <v>42723</v>
      </c>
      <c r="B101" s="390" t="s">
        <v>1931</v>
      </c>
      <c r="C101" s="213"/>
      <c r="D101" s="253"/>
      <c r="E101" s="213"/>
      <c r="F101" s="89"/>
      <c r="G101" s="89">
        <v>5000000</v>
      </c>
      <c r="H101" s="89">
        <f t="shared" si="1"/>
        <v>4678515.4444848709</v>
      </c>
    </row>
    <row r="102" spans="1:10" ht="24.95" customHeight="1">
      <c r="A102" s="132">
        <v>42724</v>
      </c>
      <c r="B102" s="213" t="s">
        <v>2132</v>
      </c>
      <c r="C102" s="213" t="s">
        <v>603</v>
      </c>
      <c r="D102" s="253">
        <v>122.76</v>
      </c>
      <c r="E102" s="213"/>
      <c r="F102" s="89">
        <v>910696.24682400003</v>
      </c>
      <c r="G102" s="89"/>
      <c r="H102" s="89">
        <f t="shared" si="1"/>
        <v>5589211.6913088709</v>
      </c>
    </row>
    <row r="103" spans="1:10" ht="24.95" customHeight="1">
      <c r="A103" s="132">
        <v>42724</v>
      </c>
      <c r="B103" s="213" t="s">
        <v>2458</v>
      </c>
      <c r="C103" s="213" t="s">
        <v>603</v>
      </c>
      <c r="D103" s="253">
        <v>407.77300000000002</v>
      </c>
      <c r="E103" s="213"/>
      <c r="F103" s="89">
        <v>3392964.3293040004</v>
      </c>
      <c r="G103" s="89"/>
      <c r="H103" s="89">
        <f t="shared" si="1"/>
        <v>8982176.0206128713</v>
      </c>
    </row>
    <row r="104" spans="1:10" ht="24.95" customHeight="1">
      <c r="A104" s="132">
        <v>42724</v>
      </c>
      <c r="B104" s="213" t="s">
        <v>2500</v>
      </c>
      <c r="C104" s="213" t="s">
        <v>644</v>
      </c>
      <c r="D104" s="253">
        <v>83.775999999999996</v>
      </c>
      <c r="E104" s="213"/>
      <c r="F104" s="89">
        <v>737228.80479600013</v>
      </c>
      <c r="G104" s="89"/>
      <c r="H104" s="89">
        <f t="shared" si="1"/>
        <v>9719404.8254088722</v>
      </c>
    </row>
    <row r="105" spans="1:10" ht="24.95" customHeight="1">
      <c r="A105" s="132">
        <v>42724</v>
      </c>
      <c r="B105" s="213" t="s">
        <v>2501</v>
      </c>
      <c r="C105" s="213" t="s">
        <v>412</v>
      </c>
      <c r="D105" s="253">
        <v>142.923</v>
      </c>
      <c r="E105" s="213"/>
      <c r="F105" s="89">
        <v>1857999.0034080001</v>
      </c>
      <c r="G105" s="89"/>
      <c r="H105" s="89">
        <f t="shared" si="1"/>
        <v>11577403.828816872</v>
      </c>
    </row>
    <row r="106" spans="1:10" ht="24.95" customHeight="1">
      <c r="A106" s="132">
        <v>42727</v>
      </c>
      <c r="B106" s="213" t="s">
        <v>2487</v>
      </c>
      <c r="C106" s="213"/>
      <c r="D106" s="253"/>
      <c r="E106" s="213"/>
      <c r="F106" s="89"/>
      <c r="G106" s="89">
        <v>2000000</v>
      </c>
      <c r="H106" s="89">
        <f t="shared" si="1"/>
        <v>9577403.8288168721</v>
      </c>
      <c r="I106" s="135">
        <f>SUM(G99:G106)-H96</f>
        <v>1727299.0401151292</v>
      </c>
    </row>
    <row r="107" spans="1:10" ht="24.95" customHeight="1">
      <c r="A107" s="132">
        <v>42727</v>
      </c>
      <c r="B107" s="213" t="s">
        <v>2391</v>
      </c>
      <c r="C107" s="213" t="s">
        <v>218</v>
      </c>
      <c r="D107" s="253">
        <v>4716.558</v>
      </c>
      <c r="E107" s="213"/>
      <c r="F107" s="89">
        <v>2794439.1045960002</v>
      </c>
      <c r="G107" s="89"/>
      <c r="H107" s="89">
        <f t="shared" si="1"/>
        <v>12371842.933412872</v>
      </c>
    </row>
    <row r="108" spans="1:10" ht="24.95" customHeight="1">
      <c r="A108" s="132">
        <v>42727</v>
      </c>
      <c r="B108" s="213" t="s">
        <v>2419</v>
      </c>
      <c r="C108" s="213" t="s">
        <v>218</v>
      </c>
      <c r="D108" s="253">
        <v>3591.92</v>
      </c>
      <c r="E108" s="213"/>
      <c r="F108" s="89">
        <v>2488372.945212</v>
      </c>
      <c r="G108" s="89"/>
      <c r="H108" s="89">
        <f t="shared" si="1"/>
        <v>14860215.878624871</v>
      </c>
    </row>
    <row r="109" spans="1:10" ht="24.95" customHeight="1">
      <c r="A109" s="132">
        <v>42745</v>
      </c>
      <c r="B109" s="391" t="s">
        <v>2458</v>
      </c>
      <c r="C109" s="392" t="s">
        <v>603</v>
      </c>
      <c r="D109" s="133">
        <v>194.607</v>
      </c>
      <c r="E109" s="213"/>
      <c r="F109" s="89">
        <v>1595704.7545200002</v>
      </c>
      <c r="G109" s="89"/>
      <c r="H109" s="89">
        <f>H108+F109-G109</f>
        <v>16455920.633144872</v>
      </c>
      <c r="I109" s="135">
        <f>G113+G114+G115-H108</f>
        <v>3239784.1213751286</v>
      </c>
    </row>
    <row r="110" spans="1:10" ht="24.95" customHeight="1">
      <c r="A110" s="132">
        <v>42745</v>
      </c>
      <c r="B110" s="391" t="s">
        <v>2572</v>
      </c>
      <c r="C110" s="392" t="s">
        <v>412</v>
      </c>
      <c r="D110" s="133">
        <v>65.063000000000002</v>
      </c>
      <c r="E110" s="213"/>
      <c r="F110" s="89">
        <v>1073539.4973240001</v>
      </c>
      <c r="G110" s="89"/>
      <c r="H110" s="89">
        <f>H109+F110-G110</f>
        <v>17529460.130468871</v>
      </c>
    </row>
    <row r="111" spans="1:10" ht="24.95" customHeight="1">
      <c r="A111" s="132">
        <v>42745</v>
      </c>
      <c r="B111" s="391" t="s">
        <v>2458</v>
      </c>
      <c r="C111" s="392" t="s">
        <v>2585</v>
      </c>
      <c r="D111" s="133">
        <v>100.688</v>
      </c>
      <c r="E111" s="213"/>
      <c r="F111" s="89">
        <v>811547.69558400009</v>
      </c>
      <c r="G111" s="89"/>
      <c r="H111" s="89">
        <f t="shared" si="1"/>
        <v>18341007.826052871</v>
      </c>
    </row>
    <row r="112" spans="1:10" ht="24.95" customHeight="1">
      <c r="A112" s="132">
        <v>42745</v>
      </c>
      <c r="B112" s="391" t="s">
        <v>2705</v>
      </c>
      <c r="C112" s="392" t="s">
        <v>2706</v>
      </c>
      <c r="D112" s="133">
        <v>50.1</v>
      </c>
      <c r="E112" s="213"/>
      <c r="F112" s="89">
        <v>826650.00018000009</v>
      </c>
      <c r="G112" s="89"/>
      <c r="H112" s="89">
        <f t="shared" si="1"/>
        <v>19167657.826232869</v>
      </c>
    </row>
    <row r="113" spans="1:8" ht="24.95" customHeight="1">
      <c r="A113" s="132">
        <v>42755</v>
      </c>
      <c r="B113" s="391" t="s">
        <v>2707</v>
      </c>
      <c r="C113" s="392"/>
      <c r="D113" s="133"/>
      <c r="E113" s="213"/>
      <c r="F113" s="89"/>
      <c r="G113" s="89">
        <v>6510000</v>
      </c>
      <c r="H113" s="89">
        <f t="shared" si="1"/>
        <v>12657657.826232869</v>
      </c>
    </row>
    <row r="114" spans="1:8" ht="24.95" customHeight="1">
      <c r="A114" s="132">
        <v>42755</v>
      </c>
      <c r="B114" s="391" t="s">
        <v>2708</v>
      </c>
      <c r="C114" s="392"/>
      <c r="D114" s="133"/>
      <c r="E114" s="213"/>
      <c r="F114" s="89"/>
      <c r="G114" s="89">
        <v>7000000</v>
      </c>
      <c r="H114" s="89">
        <f t="shared" si="1"/>
        <v>5657657.8262328692</v>
      </c>
    </row>
    <row r="115" spans="1:8" ht="24.95" customHeight="1">
      <c r="A115" s="132">
        <v>42782</v>
      </c>
      <c r="B115" s="391" t="s">
        <v>2755</v>
      </c>
      <c r="C115" s="392"/>
      <c r="D115" s="133"/>
      <c r="E115" s="213"/>
      <c r="F115" s="89"/>
      <c r="G115" s="89">
        <v>4590000</v>
      </c>
      <c r="H115" s="89">
        <f t="shared" si="1"/>
        <v>1067657.8262328692</v>
      </c>
    </row>
    <row r="116" spans="1:8" ht="24.95" customHeight="1">
      <c r="A116" s="132">
        <v>42787</v>
      </c>
      <c r="B116" s="391" t="s">
        <v>2709</v>
      </c>
      <c r="C116" s="392" t="s">
        <v>2710</v>
      </c>
      <c r="D116" s="133">
        <v>83.825000000000003</v>
      </c>
      <c r="E116" s="213"/>
      <c r="F116" s="89">
        <v>685688.49656400015</v>
      </c>
      <c r="G116" s="89"/>
      <c r="H116" s="89">
        <f t="shared" si="1"/>
        <v>1753346.3227968693</v>
      </c>
    </row>
    <row r="117" spans="1:8" ht="24.95" customHeight="1">
      <c r="A117" s="132">
        <v>42787</v>
      </c>
      <c r="B117" s="391" t="s">
        <v>2660</v>
      </c>
      <c r="C117" s="392" t="s">
        <v>412</v>
      </c>
      <c r="D117" s="133">
        <v>124.965</v>
      </c>
      <c r="E117" s="213"/>
      <c r="F117" s="89">
        <v>2349342.0008280003</v>
      </c>
      <c r="G117" s="89"/>
      <c r="H117" s="89">
        <f t="shared" si="1"/>
        <v>4102688.3236248698</v>
      </c>
    </row>
    <row r="118" spans="1:8" ht="24.95" customHeight="1">
      <c r="A118" s="132">
        <v>42787</v>
      </c>
      <c r="B118" s="391" t="s">
        <v>2458</v>
      </c>
      <c r="C118" s="392" t="s">
        <v>603</v>
      </c>
      <c r="D118" s="133">
        <v>307.11200000000002</v>
      </c>
      <c r="E118" s="213"/>
      <c r="F118" s="89">
        <v>2493459.84</v>
      </c>
      <c r="G118" s="89"/>
      <c r="H118" s="89">
        <f t="shared" si="1"/>
        <v>6596148.1636248697</v>
      </c>
    </row>
    <row r="119" spans="1:8" ht="24.95" customHeight="1">
      <c r="A119" s="132">
        <v>42787</v>
      </c>
      <c r="B119" s="391" t="s">
        <v>2711</v>
      </c>
      <c r="C119" s="392" t="s">
        <v>603</v>
      </c>
      <c r="D119" s="133">
        <v>121.837</v>
      </c>
      <c r="E119" s="213"/>
      <c r="F119" s="89">
        <v>998453.11</v>
      </c>
      <c r="G119" s="89"/>
      <c r="H119" s="89">
        <f t="shared" si="1"/>
        <v>7594601.27362487</v>
      </c>
    </row>
    <row r="120" spans="1:8" ht="24.95" customHeight="1">
      <c r="A120" s="132">
        <v>42793</v>
      </c>
      <c r="B120" s="391" t="s">
        <v>2801</v>
      </c>
      <c r="C120" s="392" t="s">
        <v>2802</v>
      </c>
      <c r="D120" s="133">
        <v>4221.6180000000004</v>
      </c>
      <c r="E120" s="213"/>
      <c r="F120" s="89">
        <v>3078930.4551840005</v>
      </c>
      <c r="G120" s="89"/>
      <c r="H120" s="89">
        <f t="shared" si="1"/>
        <v>10673531.728808871</v>
      </c>
    </row>
    <row r="121" spans="1:8" ht="24.95" customHeight="1">
      <c r="A121" s="132">
        <v>42801</v>
      </c>
      <c r="B121" s="391" t="s">
        <v>2803</v>
      </c>
      <c r="C121" s="392" t="s">
        <v>2804</v>
      </c>
      <c r="D121" s="133">
        <v>92.992999999999995</v>
      </c>
      <c r="E121" s="213"/>
      <c r="F121" s="89">
        <v>1404194.3000160002</v>
      </c>
      <c r="G121" s="89"/>
      <c r="H121" s="89">
        <f t="shared" si="1"/>
        <v>12077726.028824871</v>
      </c>
    </row>
    <row r="122" spans="1:8" ht="24.95" customHeight="1">
      <c r="A122" s="132">
        <v>42801</v>
      </c>
      <c r="B122" s="391" t="s">
        <v>2805</v>
      </c>
      <c r="C122" s="392" t="s">
        <v>2806</v>
      </c>
      <c r="D122" s="133">
        <v>245.97399999999999</v>
      </c>
      <c r="E122" s="213"/>
      <c r="F122" s="89">
        <v>2016985.1621520002</v>
      </c>
      <c r="G122" s="89"/>
      <c r="H122" s="89">
        <f t="shared" si="1"/>
        <v>14094711.190976871</v>
      </c>
    </row>
    <row r="123" spans="1:8" ht="24.95" customHeight="1">
      <c r="A123" s="132">
        <v>42801</v>
      </c>
      <c r="B123" s="391" t="s">
        <v>2807</v>
      </c>
      <c r="C123" s="392" t="s">
        <v>2806</v>
      </c>
      <c r="D123" s="133">
        <v>122.33</v>
      </c>
      <c r="E123" s="213"/>
      <c r="F123" s="89">
        <v>893011.9242120001</v>
      </c>
      <c r="G123" s="89"/>
      <c r="H123" s="89">
        <f t="shared" si="1"/>
        <v>14987723.115188871</v>
      </c>
    </row>
    <row r="124" spans="1:8" ht="24.95" customHeight="1">
      <c r="A124" s="132">
        <v>42804</v>
      </c>
      <c r="B124" s="391" t="s">
        <v>2868</v>
      </c>
      <c r="C124" s="392"/>
      <c r="D124" s="133"/>
      <c r="E124" s="213"/>
      <c r="F124" s="89"/>
      <c r="G124" s="89">
        <v>5000000</v>
      </c>
      <c r="H124" s="89">
        <f t="shared" ref="H124:H147" si="2">H123+F124-G124</f>
        <v>9987723.1151888706</v>
      </c>
    </row>
    <row r="125" spans="1:8" ht="24.95" customHeight="1">
      <c r="A125" s="132">
        <v>42804</v>
      </c>
      <c r="B125" s="391" t="s">
        <v>2869</v>
      </c>
      <c r="C125" s="392"/>
      <c r="D125" s="133"/>
      <c r="E125" s="213"/>
      <c r="F125" s="89"/>
      <c r="G125" s="89">
        <v>3080000</v>
      </c>
      <c r="H125" s="89">
        <f t="shared" si="2"/>
        <v>6907723.1151888706</v>
      </c>
    </row>
    <row r="126" spans="1:8" ht="24.95" customHeight="1">
      <c r="A126" s="132">
        <v>42804</v>
      </c>
      <c r="B126" s="391" t="s">
        <v>2888</v>
      </c>
      <c r="C126" s="392"/>
      <c r="D126" s="133"/>
      <c r="E126" s="213"/>
      <c r="F126" s="89"/>
      <c r="G126" s="89">
        <v>1050000</v>
      </c>
      <c r="H126" s="89">
        <f t="shared" si="2"/>
        <v>5857723.1151888706</v>
      </c>
    </row>
    <row r="127" spans="1:8" ht="24.95" customHeight="1">
      <c r="A127" s="132">
        <v>42810</v>
      </c>
      <c r="B127" s="391" t="s">
        <v>2717</v>
      </c>
      <c r="C127" s="392" t="s">
        <v>412</v>
      </c>
      <c r="D127" s="133">
        <v>157.63499999999999</v>
      </c>
      <c r="E127" s="213"/>
      <c r="F127" s="89">
        <v>2380288.5032160003</v>
      </c>
      <c r="G127" s="89"/>
      <c r="H127" s="89">
        <f t="shared" si="2"/>
        <v>8238011.6184048709</v>
      </c>
    </row>
    <row r="128" spans="1:8" ht="24.95" customHeight="1">
      <c r="A128" s="132">
        <v>42810</v>
      </c>
      <c r="B128" s="391" t="s">
        <v>2759</v>
      </c>
      <c r="C128" s="392" t="s">
        <v>721</v>
      </c>
      <c r="D128" s="133">
        <v>187.12299999999999</v>
      </c>
      <c r="E128" s="213"/>
      <c r="F128" s="89">
        <v>1365255.9024600002</v>
      </c>
      <c r="G128" s="89"/>
      <c r="H128" s="89">
        <f t="shared" si="2"/>
        <v>9603267.5208648704</v>
      </c>
    </row>
    <row r="129" spans="1:8" ht="24.95" customHeight="1">
      <c r="A129" s="132">
        <v>42823</v>
      </c>
      <c r="B129" s="391" t="s">
        <v>2983</v>
      </c>
      <c r="C129" s="392"/>
      <c r="D129" s="133"/>
      <c r="E129" s="213"/>
      <c r="F129" s="89"/>
      <c r="G129" s="89">
        <v>5000000</v>
      </c>
      <c r="H129" s="89">
        <f t="shared" si="2"/>
        <v>4603267.5208648704</v>
      </c>
    </row>
    <row r="130" spans="1:8" ht="24.95" customHeight="1">
      <c r="A130" s="132">
        <v>42843</v>
      </c>
      <c r="B130" s="391" t="s">
        <v>1931</v>
      </c>
      <c r="C130" s="392"/>
      <c r="D130" s="133"/>
      <c r="E130" s="213"/>
      <c r="F130" s="89"/>
      <c r="G130" s="89">
        <v>5000000</v>
      </c>
      <c r="H130" s="89">
        <f t="shared" si="2"/>
        <v>-396732.4791351296</v>
      </c>
    </row>
    <row r="131" spans="1:8" ht="24.75" customHeight="1">
      <c r="A131" s="132">
        <v>42866</v>
      </c>
      <c r="B131" s="338" t="s">
        <v>2979</v>
      </c>
      <c r="C131" s="339" t="s">
        <v>412</v>
      </c>
      <c r="D131" s="357">
        <v>190.76599999999999</v>
      </c>
      <c r="E131" s="395"/>
      <c r="F131" s="396">
        <v>2556261.7182</v>
      </c>
      <c r="G131" s="89"/>
      <c r="H131" s="89">
        <f t="shared" si="2"/>
        <v>2159529.2390648704</v>
      </c>
    </row>
    <row r="132" spans="1:8" ht="24.75" customHeight="1">
      <c r="A132" s="132">
        <v>42866</v>
      </c>
      <c r="B132" s="391" t="s">
        <v>3063</v>
      </c>
      <c r="C132" s="392" t="s">
        <v>603</v>
      </c>
      <c r="D132" s="133">
        <v>126.444</v>
      </c>
      <c r="E132" s="213"/>
      <c r="F132" s="89">
        <v>884044.30420800007</v>
      </c>
      <c r="G132" s="89"/>
      <c r="H132" s="89">
        <f t="shared" si="2"/>
        <v>3043573.5432728706</v>
      </c>
    </row>
    <row r="133" spans="1:8" ht="24.75" customHeight="1">
      <c r="A133" s="132">
        <v>42866</v>
      </c>
      <c r="B133" s="391" t="s">
        <v>3044</v>
      </c>
      <c r="C133" s="392" t="s">
        <v>2347</v>
      </c>
      <c r="D133" s="133">
        <v>232.33099999999999</v>
      </c>
      <c r="E133" s="213"/>
      <c r="F133" s="89">
        <v>1231352.7133680002</v>
      </c>
      <c r="G133" s="89"/>
      <c r="H133" s="89">
        <f t="shared" si="2"/>
        <v>4274926.2566408711</v>
      </c>
    </row>
    <row r="134" spans="1:8" ht="24.75" customHeight="1">
      <c r="A134" s="132">
        <v>42892</v>
      </c>
      <c r="B134" s="391" t="s">
        <v>3105</v>
      </c>
      <c r="C134" s="392" t="s">
        <v>412</v>
      </c>
      <c r="D134" s="133">
        <v>334.56700000000001</v>
      </c>
      <c r="E134" s="213"/>
      <c r="F134" s="89">
        <v>4851221.5</v>
      </c>
      <c r="G134" s="89"/>
      <c r="H134" s="89">
        <f t="shared" si="2"/>
        <v>9126147.7566408701</v>
      </c>
    </row>
    <row r="135" spans="1:8" ht="24.75" customHeight="1">
      <c r="A135" s="132">
        <v>42892</v>
      </c>
      <c r="B135" s="391" t="s">
        <v>3149</v>
      </c>
      <c r="C135" s="392" t="s">
        <v>412</v>
      </c>
      <c r="D135" s="133">
        <v>127.709</v>
      </c>
      <c r="E135" s="213"/>
      <c r="F135" s="89">
        <v>1864551.4</v>
      </c>
      <c r="G135" s="89"/>
      <c r="H135" s="89">
        <f t="shared" si="2"/>
        <v>10990699.15664087</v>
      </c>
    </row>
    <row r="136" spans="1:8" ht="24.75" customHeight="1">
      <c r="A136" s="132">
        <v>42892</v>
      </c>
      <c r="B136" s="391" t="s">
        <v>3131</v>
      </c>
      <c r="C136" s="392" t="s">
        <v>603</v>
      </c>
      <c r="D136" s="133">
        <v>92.671999999999997</v>
      </c>
      <c r="E136" s="213"/>
      <c r="F136" s="89">
        <v>630170.96</v>
      </c>
      <c r="G136" s="89"/>
      <c r="H136" s="89">
        <f t="shared" si="2"/>
        <v>11620870.11664087</v>
      </c>
    </row>
    <row r="137" spans="1:8" ht="24.75" customHeight="1">
      <c r="A137" s="132">
        <v>42892</v>
      </c>
      <c r="B137" s="391" t="s">
        <v>1931</v>
      </c>
      <c r="C137" s="392"/>
      <c r="D137" s="133"/>
      <c r="E137" s="213"/>
      <c r="F137" s="89"/>
      <c r="G137" s="89">
        <v>3000000</v>
      </c>
      <c r="H137" s="89">
        <f t="shared" si="2"/>
        <v>8620870.1166408695</v>
      </c>
    </row>
    <row r="138" spans="1:8" ht="24.75" customHeight="1">
      <c r="A138" s="132">
        <v>42929</v>
      </c>
      <c r="B138" s="391" t="s">
        <v>3149</v>
      </c>
      <c r="C138" s="392" t="s">
        <v>412</v>
      </c>
      <c r="D138" s="133">
        <v>80.834000000000003</v>
      </c>
      <c r="E138" s="213"/>
      <c r="F138" s="89">
        <v>1180176.4033920001</v>
      </c>
      <c r="G138" s="89"/>
      <c r="H138" s="89">
        <f t="shared" si="2"/>
        <v>9801046.5200328697</v>
      </c>
    </row>
    <row r="139" spans="1:8" ht="24.75" customHeight="1">
      <c r="A139" s="132">
        <v>42929</v>
      </c>
      <c r="B139" s="391" t="s">
        <v>3223</v>
      </c>
      <c r="C139" s="392" t="s">
        <v>412</v>
      </c>
      <c r="D139" s="133">
        <v>334.55500000000001</v>
      </c>
      <c r="E139" s="213"/>
      <c r="F139" s="89">
        <v>4483036.9951680005</v>
      </c>
      <c r="G139" s="89"/>
      <c r="H139" s="89">
        <f t="shared" si="2"/>
        <v>14284083.51520087</v>
      </c>
    </row>
    <row r="140" spans="1:8" ht="24.75" customHeight="1">
      <c r="A140" s="132">
        <v>42929</v>
      </c>
      <c r="B140" s="391" t="s">
        <v>3244</v>
      </c>
      <c r="C140" s="392" t="s">
        <v>412</v>
      </c>
      <c r="D140" s="133">
        <v>142.78299999999999</v>
      </c>
      <c r="E140" s="213"/>
      <c r="F140" s="89">
        <v>1684839.397656</v>
      </c>
      <c r="G140" s="89"/>
      <c r="H140" s="89">
        <f t="shared" si="2"/>
        <v>15968922.912856869</v>
      </c>
    </row>
    <row r="141" spans="1:8" ht="24.75" customHeight="1">
      <c r="A141" s="132">
        <v>42930</v>
      </c>
      <c r="B141" s="391" t="s">
        <v>3407</v>
      </c>
      <c r="C141" s="392"/>
      <c r="D141" s="133"/>
      <c r="E141" s="213"/>
      <c r="F141" s="89"/>
      <c r="G141" s="89">
        <v>8600000</v>
      </c>
      <c r="H141" s="89">
        <f t="shared" si="2"/>
        <v>7368922.9128568694</v>
      </c>
    </row>
    <row r="142" spans="1:8" ht="24.75" customHeight="1">
      <c r="A142" s="132">
        <v>42955</v>
      </c>
      <c r="B142" s="391" t="s">
        <v>3131</v>
      </c>
      <c r="C142" s="392" t="s">
        <v>603</v>
      </c>
      <c r="D142" s="133">
        <v>131.23099999999999</v>
      </c>
      <c r="E142" s="213"/>
      <c r="F142" s="89">
        <v>879244.35</v>
      </c>
      <c r="G142" s="89"/>
      <c r="H142" s="89">
        <f t="shared" si="2"/>
        <v>8248167.262856869</v>
      </c>
    </row>
    <row r="143" spans="1:8" ht="24.75" customHeight="1">
      <c r="A143" s="132">
        <v>42955</v>
      </c>
      <c r="B143" s="391"/>
      <c r="C143" s="392"/>
      <c r="D143" s="133"/>
      <c r="E143" s="213"/>
      <c r="F143" s="89"/>
      <c r="G143" s="89">
        <v>7400000</v>
      </c>
      <c r="H143" s="89">
        <f t="shared" si="2"/>
        <v>848167.26285686903</v>
      </c>
    </row>
    <row r="144" spans="1:8" ht="24.75" customHeight="1">
      <c r="A144" s="132">
        <v>42985</v>
      </c>
      <c r="B144" s="391" t="s">
        <v>3131</v>
      </c>
      <c r="C144" s="392" t="s">
        <v>603</v>
      </c>
      <c r="D144" s="133">
        <v>68.316000000000003</v>
      </c>
      <c r="E144" s="213"/>
      <c r="F144" s="89">
        <v>445760.60230800003</v>
      </c>
      <c r="G144" s="89"/>
      <c r="H144" s="89">
        <f t="shared" si="2"/>
        <v>1293927.865164869</v>
      </c>
    </row>
    <row r="145" spans="1:8" ht="24.75" customHeight="1">
      <c r="A145" s="132">
        <v>43021</v>
      </c>
      <c r="B145" s="391" t="s">
        <v>3870</v>
      </c>
      <c r="C145" s="392"/>
      <c r="D145" s="133"/>
      <c r="E145" s="213"/>
      <c r="F145" s="89"/>
      <c r="G145" s="89">
        <v>1280000</v>
      </c>
      <c r="H145" s="89">
        <f t="shared" si="2"/>
        <v>13927.865164868999</v>
      </c>
    </row>
    <row r="146" spans="1:8" ht="24.95" customHeight="1">
      <c r="C146" s="393"/>
      <c r="D146" s="137"/>
      <c r="H146" s="89">
        <f t="shared" si="2"/>
        <v>13927.865164868999</v>
      </c>
    </row>
    <row r="147" spans="1:8" ht="24.95" customHeight="1">
      <c r="A147" s="42"/>
      <c r="B147" s="18"/>
      <c r="C147" s="18"/>
      <c r="D147" s="34"/>
      <c r="E147" s="68"/>
      <c r="F147" s="69"/>
      <c r="H147" s="89">
        <f t="shared" si="2"/>
        <v>13927.865164868999</v>
      </c>
    </row>
    <row r="148" spans="1:8" ht="24.95" customHeight="1">
      <c r="A148" s="394"/>
      <c r="B148" s="393"/>
      <c r="C148" s="393"/>
      <c r="D148" s="137"/>
      <c r="E148" s="35"/>
      <c r="F148" s="36"/>
    </row>
    <row r="149" spans="1:8" ht="24.95" customHeight="1">
      <c r="A149" s="386"/>
      <c r="B149" s="393"/>
      <c r="C149" s="393"/>
      <c r="D149" s="137"/>
      <c r="E149" s="35"/>
      <c r="F149" s="36"/>
    </row>
    <row r="150" spans="1:8" ht="24.95" customHeight="1">
      <c r="A150" s="42"/>
      <c r="B150" s="18"/>
      <c r="C150" s="18"/>
      <c r="D150" s="34"/>
      <c r="E150" s="68"/>
      <c r="F150" s="69"/>
    </row>
  </sheetData>
  <autoFilter ref="A1:H147" xr:uid="{00000000-0009-0000-0000-000006000000}"/>
  <phoneticPr fontId="1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T8"/>
  <sheetViews>
    <sheetView workbookViewId="0">
      <selection activeCell="O13" sqref="O13"/>
    </sheetView>
  </sheetViews>
  <sheetFormatPr defaultRowHeight="13.5"/>
  <cols>
    <col min="1" max="1" width="11.5" customWidth="1"/>
    <col min="3" max="3" width="16.875" customWidth="1"/>
    <col min="4" max="4" width="8.5" customWidth="1"/>
    <col min="5" max="5" width="8.875" customWidth="1"/>
    <col min="6" max="6" width="10.875" customWidth="1"/>
    <col min="7" max="7" width="10.25" customWidth="1"/>
    <col min="8" max="8" width="13.25" customWidth="1"/>
    <col min="9" max="9" width="11.125" customWidth="1"/>
    <col min="10" max="10" width="17" customWidth="1"/>
    <col min="11" max="11" width="8.5" customWidth="1"/>
    <col min="12" max="12" width="15.375" bestFit="1" customWidth="1"/>
    <col min="13" max="13" width="9.5" bestFit="1" customWidth="1"/>
    <col min="14" max="14" width="13.375" customWidth="1"/>
    <col min="15" max="15" width="9.75" customWidth="1"/>
    <col min="16" max="16" width="13.375" customWidth="1"/>
    <col min="17" max="17" width="8.75" customWidth="1"/>
    <col min="18" max="19" width="12.875" customWidth="1"/>
    <col min="20" max="20" width="12.625" customWidth="1"/>
  </cols>
  <sheetData>
    <row r="1" spans="1:20" s="76" customFormat="1" ht="37.5" customHeight="1">
      <c r="A1" s="71" t="s">
        <v>246</v>
      </c>
      <c r="B1" s="72" t="s">
        <v>777</v>
      </c>
      <c r="C1" s="72" t="s">
        <v>778</v>
      </c>
      <c r="D1" s="72" t="s">
        <v>779</v>
      </c>
      <c r="E1" s="72" t="s">
        <v>794</v>
      </c>
      <c r="F1" s="73" t="s">
        <v>780</v>
      </c>
      <c r="G1" s="73" t="s">
        <v>250</v>
      </c>
      <c r="H1" s="74" t="s">
        <v>251</v>
      </c>
      <c r="I1" s="72" t="s">
        <v>781</v>
      </c>
      <c r="J1" s="72" t="s">
        <v>782</v>
      </c>
      <c r="K1" s="72" t="s">
        <v>783</v>
      </c>
      <c r="L1" s="72" t="s">
        <v>784</v>
      </c>
      <c r="M1" s="72" t="s">
        <v>785</v>
      </c>
      <c r="N1" s="72" t="s">
        <v>251</v>
      </c>
      <c r="O1" s="72" t="s">
        <v>786</v>
      </c>
      <c r="P1" s="72" t="s">
        <v>251</v>
      </c>
      <c r="Q1" s="72" t="s">
        <v>787</v>
      </c>
      <c r="R1" s="72" t="s">
        <v>788</v>
      </c>
      <c r="S1" s="75"/>
      <c r="T1" s="75" t="s">
        <v>789</v>
      </c>
    </row>
    <row r="2" spans="1:20" s="76" customFormat="1" ht="16.5">
      <c r="A2" s="140">
        <v>42494</v>
      </c>
      <c r="B2" s="77" t="s">
        <v>791</v>
      </c>
      <c r="C2" s="78" t="s">
        <v>793</v>
      </c>
      <c r="D2" s="79" t="s">
        <v>792</v>
      </c>
      <c r="E2" s="79" t="s">
        <v>430</v>
      </c>
      <c r="F2" s="80">
        <v>1500</v>
      </c>
      <c r="G2" s="80">
        <v>5720</v>
      </c>
      <c r="H2" s="81">
        <f t="shared" ref="H2:H8" si="0">F2*G2</f>
        <v>8580000</v>
      </c>
      <c r="I2" s="171">
        <v>42509</v>
      </c>
      <c r="J2" s="82">
        <v>8580000</v>
      </c>
      <c r="K2" s="78">
        <v>42499</v>
      </c>
      <c r="L2" s="83">
        <v>8580000</v>
      </c>
      <c r="M2" s="84">
        <f>G2*(1+0.0044*2)</f>
        <v>5770.3359999999993</v>
      </c>
      <c r="N2" s="85">
        <v>8655510</v>
      </c>
      <c r="O2" s="77">
        <v>42507</v>
      </c>
      <c r="P2" s="85">
        <v>8655510</v>
      </c>
      <c r="Q2" s="139">
        <v>42570</v>
      </c>
      <c r="R2" s="81">
        <v>8655510</v>
      </c>
      <c r="S2" s="75"/>
      <c r="T2" s="86" t="s">
        <v>790</v>
      </c>
    </row>
    <row r="3" spans="1:20" s="76" customFormat="1" ht="16.5">
      <c r="A3" s="140">
        <v>42558</v>
      </c>
      <c r="B3" s="77" t="s">
        <v>791</v>
      </c>
      <c r="C3" s="78" t="s">
        <v>1265</v>
      </c>
      <c r="D3" s="79" t="s">
        <v>792</v>
      </c>
      <c r="E3" s="79" t="s">
        <v>240</v>
      </c>
      <c r="F3" s="80">
        <v>280</v>
      </c>
      <c r="G3" s="80">
        <v>9815</v>
      </c>
      <c r="H3" s="81">
        <f t="shared" si="0"/>
        <v>2748200</v>
      </c>
      <c r="I3" s="171">
        <v>42571</v>
      </c>
      <c r="J3" s="82">
        <v>2748200</v>
      </c>
      <c r="K3" s="78">
        <v>42573</v>
      </c>
      <c r="L3" s="81">
        <v>2748200</v>
      </c>
      <c r="M3" s="84">
        <v>9901.3700000000008</v>
      </c>
      <c r="N3" s="85">
        <v>2772383.6</v>
      </c>
      <c r="O3" s="77">
        <v>42578</v>
      </c>
      <c r="P3" s="85">
        <v>2772383.6</v>
      </c>
      <c r="Q3" s="139">
        <v>42633</v>
      </c>
      <c r="R3" s="85">
        <v>2772383.6</v>
      </c>
      <c r="S3" s="75"/>
      <c r="T3" s="86" t="s">
        <v>790</v>
      </c>
    </row>
    <row r="4" spans="1:20" s="76" customFormat="1" ht="16.5">
      <c r="A4" s="140">
        <v>42558</v>
      </c>
      <c r="B4" s="77" t="s">
        <v>791</v>
      </c>
      <c r="C4" s="78" t="s">
        <v>1266</v>
      </c>
      <c r="D4" s="79" t="s">
        <v>792</v>
      </c>
      <c r="E4" s="79" t="s">
        <v>60</v>
      </c>
      <c r="F4" s="80">
        <v>500</v>
      </c>
      <c r="G4" s="80">
        <v>4950</v>
      </c>
      <c r="H4" s="81">
        <f t="shared" si="0"/>
        <v>2475000</v>
      </c>
      <c r="I4" s="171">
        <v>42571</v>
      </c>
      <c r="J4" s="82">
        <v>2475000</v>
      </c>
      <c r="K4" s="78">
        <v>42573</v>
      </c>
      <c r="L4" s="81">
        <v>2475000</v>
      </c>
      <c r="M4" s="84">
        <v>4993.5600000000004</v>
      </c>
      <c r="N4" s="85">
        <v>2496780</v>
      </c>
      <c r="O4" s="77">
        <v>42578</v>
      </c>
      <c r="P4" s="85">
        <v>2496780</v>
      </c>
      <c r="Q4" s="139">
        <v>42633</v>
      </c>
      <c r="R4" s="85">
        <v>2496780</v>
      </c>
      <c r="S4" s="75"/>
      <c r="T4" s="86" t="s">
        <v>790</v>
      </c>
    </row>
    <row r="5" spans="1:20" s="76" customFormat="1" ht="16.5">
      <c r="A5" s="140">
        <v>42613</v>
      </c>
      <c r="B5" s="77" t="s">
        <v>791</v>
      </c>
      <c r="C5" s="78" t="s">
        <v>1899</v>
      </c>
      <c r="D5" s="79" t="s">
        <v>792</v>
      </c>
      <c r="E5" s="79" t="s">
        <v>60</v>
      </c>
      <c r="F5" s="80">
        <v>1000</v>
      </c>
      <c r="G5" s="80">
        <v>6000</v>
      </c>
      <c r="H5" s="81">
        <f t="shared" si="0"/>
        <v>6000000</v>
      </c>
      <c r="I5" s="171">
        <v>42633</v>
      </c>
      <c r="J5" s="82">
        <v>6000000</v>
      </c>
      <c r="K5" s="78">
        <v>42625</v>
      </c>
      <c r="L5" s="81">
        <v>6000000</v>
      </c>
      <c r="M5" s="84">
        <f>G5*(1+0.0044*2)</f>
        <v>6052.7999999999993</v>
      </c>
      <c r="N5" s="85">
        <f>F5*M5</f>
        <v>6052799.9999999991</v>
      </c>
      <c r="O5" s="77">
        <v>42631</v>
      </c>
      <c r="P5" s="85">
        <v>6052800</v>
      </c>
      <c r="Q5" s="139">
        <v>42695</v>
      </c>
      <c r="R5" s="81"/>
      <c r="S5" s="75"/>
      <c r="T5" s="86" t="s">
        <v>790</v>
      </c>
    </row>
    <row r="6" spans="1:20" s="76" customFormat="1" ht="16.5">
      <c r="A6" s="140">
        <v>42613</v>
      </c>
      <c r="B6" s="77" t="s">
        <v>791</v>
      </c>
      <c r="C6" s="78" t="s">
        <v>1900</v>
      </c>
      <c r="D6" s="79" t="s">
        <v>792</v>
      </c>
      <c r="E6" s="79" t="s">
        <v>2019</v>
      </c>
      <c r="F6" s="80">
        <v>20000</v>
      </c>
      <c r="G6" s="80">
        <v>560</v>
      </c>
      <c r="H6" s="81">
        <f t="shared" si="0"/>
        <v>11200000</v>
      </c>
      <c r="I6" s="171">
        <v>42641</v>
      </c>
      <c r="J6" s="82">
        <v>11200000</v>
      </c>
      <c r="K6" s="78">
        <v>42632</v>
      </c>
      <c r="L6" s="81">
        <v>11200000</v>
      </c>
      <c r="M6" s="84">
        <f>G6*(1+0.0044*2)</f>
        <v>564.928</v>
      </c>
      <c r="N6" s="85">
        <v>11298600</v>
      </c>
      <c r="O6" s="77">
        <v>42631</v>
      </c>
      <c r="P6" s="85">
        <v>11298600</v>
      </c>
      <c r="Q6" s="139">
        <v>42702</v>
      </c>
      <c r="R6" s="81"/>
      <c r="S6" s="75"/>
      <c r="T6" s="86" t="s">
        <v>790</v>
      </c>
    </row>
    <row r="7" spans="1:20" s="355" customFormat="1" ht="16.5">
      <c r="A7" s="140">
        <v>42758</v>
      </c>
      <c r="B7" s="139" t="s">
        <v>791</v>
      </c>
      <c r="C7" s="139" t="s">
        <v>2699</v>
      </c>
      <c r="D7" s="348" t="s">
        <v>792</v>
      </c>
      <c r="E7" s="348" t="s">
        <v>2206</v>
      </c>
      <c r="F7" s="349">
        <v>9404.0300000000007</v>
      </c>
      <c r="G7" s="349">
        <v>685</v>
      </c>
      <c r="H7" s="350">
        <f t="shared" si="0"/>
        <v>6441760.5500000007</v>
      </c>
      <c r="I7" s="171">
        <v>42816</v>
      </c>
      <c r="J7" s="351">
        <v>6441760.5499999998</v>
      </c>
      <c r="K7" s="139">
        <v>42804</v>
      </c>
      <c r="L7" s="350">
        <v>6441760.5499999998</v>
      </c>
      <c r="M7" s="352">
        <f>G7*(1+0.0044*2)</f>
        <v>691.02799999999991</v>
      </c>
      <c r="N7" s="350">
        <v>6498466.8499999996</v>
      </c>
      <c r="O7" s="139">
        <v>42815</v>
      </c>
      <c r="P7" s="350">
        <v>6498466.8499999996</v>
      </c>
      <c r="Q7" s="139">
        <v>42877</v>
      </c>
      <c r="R7" s="350"/>
      <c r="S7" s="353"/>
      <c r="T7" s="354" t="s">
        <v>790</v>
      </c>
    </row>
    <row r="8" spans="1:20" s="355" customFormat="1" ht="16.5">
      <c r="A8" s="140">
        <v>43066</v>
      </c>
      <c r="B8" s="139" t="s">
        <v>791</v>
      </c>
      <c r="C8" s="139" t="s">
        <v>4101</v>
      </c>
      <c r="D8" s="348" t="s">
        <v>792</v>
      </c>
      <c r="E8" s="348" t="s">
        <v>103</v>
      </c>
      <c r="F8" s="349">
        <v>400</v>
      </c>
      <c r="G8" s="349">
        <v>12500</v>
      </c>
      <c r="H8" s="350">
        <f t="shared" si="0"/>
        <v>5000000</v>
      </c>
      <c r="I8" s="171">
        <v>43456</v>
      </c>
      <c r="J8" s="351">
        <v>5000000</v>
      </c>
      <c r="K8" s="139">
        <v>43083</v>
      </c>
      <c r="L8" s="350">
        <v>5000000</v>
      </c>
      <c r="M8" s="352">
        <v>12734</v>
      </c>
      <c r="N8" s="350">
        <v>5093600</v>
      </c>
      <c r="O8" s="139"/>
      <c r="P8" s="350"/>
      <c r="Q8" s="139"/>
      <c r="R8" s="350"/>
      <c r="S8" s="353"/>
      <c r="T8" s="354"/>
    </row>
  </sheetData>
  <protectedRanges>
    <protectedRange password="CC6A" sqref="E1" name="区域1_5"/>
  </protectedRanges>
  <phoneticPr fontId="14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M7"/>
  <sheetViews>
    <sheetView workbookViewId="0">
      <selection activeCell="E17" sqref="E17"/>
    </sheetView>
  </sheetViews>
  <sheetFormatPr defaultRowHeight="24.95" customHeight="1"/>
  <cols>
    <col min="1" max="1" width="17.75" customWidth="1"/>
    <col min="2" max="2" width="15.375" customWidth="1"/>
    <col min="3" max="3" width="7.875" customWidth="1"/>
    <col min="4" max="4" width="20.5" customWidth="1"/>
    <col min="5" max="5" width="9.875" customWidth="1"/>
    <col min="7" max="7" width="9.625" customWidth="1"/>
    <col min="8" max="8" width="15" customWidth="1"/>
    <col min="10" max="10" width="25.375" customWidth="1"/>
    <col min="12" max="12" width="13.25" customWidth="1"/>
  </cols>
  <sheetData>
    <row r="1" spans="1:13" ht="24.95" customHeight="1">
      <c r="A1" s="15" t="s">
        <v>11</v>
      </c>
      <c r="B1" s="15" t="s">
        <v>410</v>
      </c>
      <c r="C1" s="15" t="s">
        <v>14</v>
      </c>
      <c r="D1" s="15" t="s">
        <v>407</v>
      </c>
      <c r="E1" s="14" t="s">
        <v>414</v>
      </c>
      <c r="F1" s="14" t="s">
        <v>625</v>
      </c>
      <c r="G1" s="14" t="s">
        <v>3034</v>
      </c>
      <c r="H1" s="14" t="s">
        <v>408</v>
      </c>
      <c r="I1" s="14" t="s">
        <v>409</v>
      </c>
      <c r="J1" s="14" t="s">
        <v>411</v>
      </c>
      <c r="K1" s="14" t="s">
        <v>414</v>
      </c>
      <c r="L1" s="14" t="s">
        <v>3061</v>
      </c>
      <c r="M1" s="14" t="s">
        <v>609</v>
      </c>
    </row>
    <row r="2" spans="1:13" ht="24.95" customHeight="1">
      <c r="A2" s="13" t="s">
        <v>3009</v>
      </c>
      <c r="B2" s="6" t="s">
        <v>1</v>
      </c>
      <c r="C2" s="7">
        <v>42837</v>
      </c>
      <c r="D2" s="6" t="s">
        <v>3010</v>
      </c>
      <c r="E2" s="9">
        <v>150</v>
      </c>
      <c r="F2" s="10">
        <v>6630</v>
      </c>
      <c r="G2" s="9">
        <v>125.68</v>
      </c>
      <c r="H2" s="102" t="s">
        <v>2860</v>
      </c>
      <c r="I2" s="114" t="s">
        <v>60</v>
      </c>
      <c r="J2" s="103" t="s">
        <v>321</v>
      </c>
      <c r="K2" s="107">
        <v>240</v>
      </c>
      <c r="L2" s="9">
        <v>228.72</v>
      </c>
      <c r="M2" s="9">
        <f>G2-L2</f>
        <v>-103.03999999999999</v>
      </c>
    </row>
    <row r="3" spans="1:13" ht="24.95" customHeight="1">
      <c r="A3" s="13" t="s">
        <v>3029</v>
      </c>
      <c r="B3" s="6" t="s">
        <v>1</v>
      </c>
      <c r="C3" s="7">
        <v>42842</v>
      </c>
      <c r="D3" s="6" t="s">
        <v>3010</v>
      </c>
      <c r="E3" s="9">
        <v>300</v>
      </c>
      <c r="F3" s="10">
        <v>6630</v>
      </c>
      <c r="G3" s="9">
        <v>318.61200000000002</v>
      </c>
      <c r="H3" s="102" t="s">
        <v>3028</v>
      </c>
      <c r="I3" s="114" t="s">
        <v>60</v>
      </c>
      <c r="J3" s="103" t="s">
        <v>321</v>
      </c>
      <c r="K3" s="107">
        <v>120</v>
      </c>
      <c r="L3" s="9">
        <v>125.68</v>
      </c>
      <c r="M3" s="9">
        <f>M2+G3-L3</f>
        <v>89.892000000000024</v>
      </c>
    </row>
    <row r="4" spans="1:13" ht="24.95" customHeight="1">
      <c r="A4" s="13"/>
      <c r="B4" s="6"/>
      <c r="C4" s="7"/>
      <c r="D4" s="6"/>
      <c r="E4" s="9"/>
      <c r="F4" s="10"/>
      <c r="G4" s="9"/>
      <c r="H4" s="102" t="s">
        <v>3128</v>
      </c>
      <c r="I4" s="114" t="s">
        <v>3129</v>
      </c>
      <c r="J4" s="103" t="s">
        <v>3130</v>
      </c>
      <c r="K4" s="107">
        <v>300</v>
      </c>
      <c r="L4" s="9">
        <v>90.78</v>
      </c>
      <c r="M4" s="9">
        <f>M3+G4-L4</f>
        <v>-0.88799999999997681</v>
      </c>
    </row>
    <row r="5" spans="1:13" ht="24.95" customHeight="1">
      <c r="A5" s="13"/>
      <c r="B5" s="6"/>
      <c r="C5" s="7"/>
      <c r="D5" s="6"/>
      <c r="E5" s="9"/>
      <c r="F5" s="10"/>
      <c r="G5" s="9"/>
      <c r="H5" s="102"/>
      <c r="I5" s="114"/>
      <c r="J5" s="103"/>
      <c r="K5" s="107"/>
      <c r="L5" s="9"/>
      <c r="M5" s="9">
        <f>M4+G5-L5</f>
        <v>-0.88799999999997681</v>
      </c>
    </row>
    <row r="6" spans="1:13" ht="24.95" customHeight="1">
      <c r="A6" s="13"/>
      <c r="B6" s="6"/>
      <c r="C6" s="7"/>
      <c r="D6" s="6"/>
      <c r="E6" s="9"/>
      <c r="F6" s="10"/>
      <c r="G6" s="9"/>
      <c r="H6" s="102"/>
      <c r="I6" s="114"/>
      <c r="J6" s="103"/>
      <c r="K6" s="107"/>
      <c r="L6" s="9"/>
      <c r="M6" s="9">
        <f>M5+G6-L6</f>
        <v>-0.88799999999997681</v>
      </c>
    </row>
    <row r="7" spans="1:13" ht="24.95" customHeight="1">
      <c r="A7" s="13"/>
      <c r="B7" s="6"/>
      <c r="C7" s="7"/>
      <c r="D7" s="6"/>
      <c r="E7" s="9"/>
      <c r="F7" s="10"/>
      <c r="G7" s="9"/>
      <c r="H7" s="102"/>
      <c r="I7" s="114"/>
      <c r="J7" s="103"/>
      <c r="K7" s="107"/>
      <c r="L7" s="9"/>
      <c r="M7" s="9">
        <f>M6+G7-L7</f>
        <v>-0.88799999999997681</v>
      </c>
    </row>
  </sheetData>
  <autoFilter ref="A1:L1" xr:uid="{00000000-0009-0000-0000-000008000000}"/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销售合同</vt:lpstr>
      <vt:lpstr>采购合同</vt:lpstr>
      <vt:lpstr>收发货</vt:lpstr>
      <vt:lpstr>收开票</vt:lpstr>
      <vt:lpstr>收付款</vt:lpstr>
      <vt:lpstr>XG转款</vt:lpstr>
      <vt:lpstr>XG-中船</vt:lpstr>
      <vt:lpstr>上海中船</vt:lpstr>
      <vt:lpstr>其他库存</vt:lpstr>
      <vt:lpstr>锰片</vt:lpstr>
      <vt:lpstr>Sheet1</vt:lpstr>
      <vt:lpstr>Sheet2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yuell</dc:creator>
  <cp:lastModifiedBy>芦胜</cp:lastModifiedBy>
  <cp:lastPrinted>2018-05-16T05:54:46Z</cp:lastPrinted>
  <dcterms:created xsi:type="dcterms:W3CDTF">2016-01-07T02:07:18Z</dcterms:created>
  <dcterms:modified xsi:type="dcterms:W3CDTF">2019-12-10T03:04:19Z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3e7cd7ce-8ab4-4f5d-9035-f6003ff15123</vt:lpwstr>
  </property>
</Properties>
</file>