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/>
  <mc:AlternateContent xmlns:mc="http://schemas.openxmlformats.org/markup-compatibility/2006">
    <mc:Choice Requires="x15">
      <x15ac:absPath xmlns:x15ac="http://schemas.microsoft.com/office/spreadsheetml/2010/11/ac" url="/Users/lucas/repos/onearth/platform-v3-backend/src/data/lca/"/>
    </mc:Choice>
  </mc:AlternateContent>
  <xr:revisionPtr revIDLastSave="0" documentId="8_{7D71EDC5-2F82-9245-B939-4CA8BF53D32A}" xr6:coauthVersionLast="47" xr6:coauthVersionMax="47" xr10:uidLastSave="{00000000-0000-0000-0000-000000000000}"/>
  <bookViews>
    <workbookView xWindow="0" yWindow="880" windowWidth="41120" windowHeight="25700" tabRatio="886" firstSheet="8" activeTab="21" xr2:uid="{00000000-000D-0000-FFFF-FFFF00000000}"/>
  </bookViews>
  <sheets>
    <sheet name="Resultados Consolidados" sheetId="23" r:id="rId1"/>
    <sheet name="Resultados Por Item" sheetId="24" r:id="rId2"/>
    <sheet name="Resultado - Carvão Vegetal" sheetId="21" r:id="rId3"/>
    <sheet name="Florestal (Combustíveis)" sheetId="1" r:id="rId4"/>
    <sheet name="Florestal (Fertilizantes)" sheetId="2" r:id="rId5"/>
    <sheet name="Florestal (Energia Elétrica)" sheetId="4" r:id="rId6"/>
    <sheet name="Carbonização" sheetId="3" r:id="rId7"/>
    <sheet name="Balanço de Carbono" sheetId="20" r:id="rId8"/>
    <sheet name="Transporte" sheetId="5" r:id="rId9"/>
    <sheet name="Industrial" sheetId="6" r:id="rId10"/>
    <sheet name="Mineração de Quartzo Rima" sheetId="19" r:id="rId11"/>
    <sheet name="Redução" sheetId="22" r:id="rId12"/>
    <sheet name="Fatores de Emissão" sheetId="7" r:id="rId13"/>
    <sheet name="Fatores_Fertilizantes" sheetId="10" r:id="rId14"/>
    <sheet name="Fatores_Marítimo" sheetId="9" r:id="rId15"/>
    <sheet name="Fatores de Conversão" sheetId="18" r:id="rId16"/>
    <sheet name="Densidades" sheetId="11" r:id="rId17"/>
    <sheet name="Fatores_GRID" sheetId="12" r:id="rId18"/>
    <sheet name="Combustão_Estacionária" sheetId="13" r:id="rId19"/>
    <sheet name="Combustão_Móvel" sheetId="17" r:id="rId20"/>
    <sheet name="Fatores_Carbonização" sheetId="16" r:id="rId21"/>
    <sheet name="GWP_Quioto" sheetId="14" r:id="rId22"/>
  </sheets>
  <definedNames>
    <definedName name="_xlnm._FilterDatabase" localSheetId="12" hidden="1">'Fatores de Emissão'!$A$1:$J$55</definedName>
    <definedName name="_xlnm._FilterDatabase" localSheetId="4" hidden="1">'Florestal (Fertilizantes)'!$A$1:$Y$18</definedName>
    <definedName name="_xlnm._FilterDatabase" localSheetId="9" hidden="1">Industrial!$A$1:$Y$44</definedName>
    <definedName name="_xlnm._FilterDatabase" localSheetId="1" hidden="1">'Resultados Por Item'!$A$1:$AG$38</definedName>
    <definedName name="_xlnm._FilterDatabase" localSheetId="8" hidden="1">Transporte!$A$1:$AC$66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B15" i="20"/>
  <c r="B13" i="20"/>
  <c r="E10" i="22"/>
  <c r="D10" i="22"/>
  <c r="C10" i="22"/>
  <c r="B10" i="22"/>
  <c r="A10" i="22"/>
  <c r="C10" i="20"/>
  <c r="D10" i="21" l="1"/>
  <c r="D2" i="23"/>
  <c r="E2" i="23"/>
  <c r="D9" i="23"/>
  <c r="B2" i="23"/>
  <c r="D19" i="23" l="1"/>
  <c r="D22" i="23" s="1"/>
  <c r="S19" i="24"/>
  <c r="R19" i="24"/>
  <c r="Q19" i="24"/>
  <c r="I3" i="22"/>
  <c r="I4" i="22"/>
  <c r="I5" i="22"/>
  <c r="I6" i="22"/>
  <c r="I2" i="22"/>
  <c r="J4" i="23"/>
  <c r="K4" i="23" s="1"/>
  <c r="J3" i="21" l="1"/>
  <c r="J5" i="21"/>
  <c r="K5" i="21" s="1"/>
  <c r="K4" i="21"/>
  <c r="J4" i="21"/>
  <c r="I3" i="5"/>
  <c r="J3" i="5" s="1"/>
  <c r="K3" i="5" s="1"/>
  <c r="I4" i="5"/>
  <c r="J4" i="5" s="1"/>
  <c r="K4" i="5" s="1"/>
  <c r="I5" i="5"/>
  <c r="J5" i="5" s="1"/>
  <c r="K5" i="5" s="1"/>
  <c r="I6" i="5"/>
  <c r="J6" i="5" s="1"/>
  <c r="K6" i="5" s="1"/>
  <c r="I7" i="5"/>
  <c r="J7" i="5" s="1"/>
  <c r="K7" i="5" s="1"/>
  <c r="I8" i="5"/>
  <c r="J8" i="5" s="1"/>
  <c r="K8" i="5" s="1"/>
  <c r="I9" i="5"/>
  <c r="J9" i="5" s="1"/>
  <c r="K9" i="5" s="1"/>
  <c r="I10" i="5"/>
  <c r="J10" i="5" s="1"/>
  <c r="K10" i="5" s="1"/>
  <c r="I11" i="5"/>
  <c r="J11" i="5" s="1"/>
  <c r="K11" i="5" s="1"/>
  <c r="I12" i="5"/>
  <c r="J12" i="5" s="1"/>
  <c r="K12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18" i="5"/>
  <c r="J18" i="5" s="1"/>
  <c r="K18" i="5" s="1"/>
  <c r="I19" i="5"/>
  <c r="J19" i="5" s="1"/>
  <c r="K19" i="5" s="1"/>
  <c r="I20" i="5"/>
  <c r="J20" i="5" s="1"/>
  <c r="K20" i="5" s="1"/>
  <c r="I21" i="5"/>
  <c r="J21" i="5" s="1"/>
  <c r="K21" i="5" s="1"/>
  <c r="I22" i="5"/>
  <c r="J22" i="5" s="1"/>
  <c r="K22" i="5" s="1"/>
  <c r="I23" i="5"/>
  <c r="J23" i="5" s="1"/>
  <c r="K23" i="5" s="1"/>
  <c r="I24" i="5"/>
  <c r="J24" i="5" s="1"/>
  <c r="K24" i="5" s="1"/>
  <c r="I25" i="5"/>
  <c r="J25" i="5" s="1"/>
  <c r="K25" i="5" s="1"/>
  <c r="I26" i="5"/>
  <c r="J26" i="5" s="1"/>
  <c r="K26" i="5" s="1"/>
  <c r="I27" i="5"/>
  <c r="J27" i="5" s="1"/>
  <c r="K27" i="5" s="1"/>
  <c r="I28" i="5"/>
  <c r="J28" i="5" s="1"/>
  <c r="K28" i="5" s="1"/>
  <c r="I29" i="5"/>
  <c r="J29" i="5" s="1"/>
  <c r="K29" i="5" s="1"/>
  <c r="I30" i="5"/>
  <c r="J30" i="5" s="1"/>
  <c r="K30" i="5" s="1"/>
  <c r="I31" i="5"/>
  <c r="J31" i="5" s="1"/>
  <c r="K31" i="5" s="1"/>
  <c r="I32" i="5"/>
  <c r="J32" i="5" s="1"/>
  <c r="K32" i="5" s="1"/>
  <c r="I33" i="5"/>
  <c r="J33" i="5" s="1"/>
  <c r="K33" i="5" s="1"/>
  <c r="I34" i="5"/>
  <c r="J34" i="5" s="1"/>
  <c r="K34" i="5" s="1"/>
  <c r="I35" i="5"/>
  <c r="J35" i="5" s="1"/>
  <c r="K35" i="5" s="1"/>
  <c r="I36" i="5"/>
  <c r="J36" i="5" s="1"/>
  <c r="K36" i="5" s="1"/>
  <c r="I37" i="5"/>
  <c r="J37" i="5" s="1"/>
  <c r="K37" i="5" s="1"/>
  <c r="I38" i="5"/>
  <c r="J38" i="5" s="1"/>
  <c r="K38" i="5" s="1"/>
  <c r="I39" i="5"/>
  <c r="J39" i="5" s="1"/>
  <c r="K39" i="5" s="1"/>
  <c r="I40" i="5"/>
  <c r="J40" i="5" s="1"/>
  <c r="K40" i="5" s="1"/>
  <c r="I41" i="5"/>
  <c r="J41" i="5" s="1"/>
  <c r="K41" i="5" s="1"/>
  <c r="I42" i="5"/>
  <c r="J42" i="5" s="1"/>
  <c r="K42" i="5" s="1"/>
  <c r="I43" i="5"/>
  <c r="J43" i="5" s="1"/>
  <c r="K43" i="5" s="1"/>
  <c r="I44" i="5"/>
  <c r="J44" i="5" s="1"/>
  <c r="K44" i="5" s="1"/>
  <c r="I45" i="5"/>
  <c r="J45" i="5" s="1"/>
  <c r="K45" i="5" s="1"/>
  <c r="I46" i="5"/>
  <c r="J46" i="5" s="1"/>
  <c r="K46" i="5" s="1"/>
  <c r="I47" i="5"/>
  <c r="J47" i="5" s="1"/>
  <c r="K47" i="5" s="1"/>
  <c r="I48" i="5"/>
  <c r="J48" i="5" s="1"/>
  <c r="K48" i="5" s="1"/>
  <c r="I49" i="5"/>
  <c r="J49" i="5" s="1"/>
  <c r="K49" i="5" s="1"/>
  <c r="I50" i="5"/>
  <c r="J50" i="5" s="1"/>
  <c r="K50" i="5" s="1"/>
  <c r="I51" i="5"/>
  <c r="J51" i="5" s="1"/>
  <c r="K51" i="5" s="1"/>
  <c r="I52" i="5"/>
  <c r="J52" i="5" s="1"/>
  <c r="K52" i="5" s="1"/>
  <c r="I53" i="5"/>
  <c r="J53" i="5" s="1"/>
  <c r="K53" i="5" s="1"/>
  <c r="I54" i="5"/>
  <c r="J54" i="5" s="1"/>
  <c r="K54" i="5" s="1"/>
  <c r="I55" i="5"/>
  <c r="J55" i="5" s="1"/>
  <c r="K55" i="5" s="1"/>
  <c r="I56" i="5"/>
  <c r="J56" i="5" s="1"/>
  <c r="K56" i="5" s="1"/>
  <c r="I57" i="5"/>
  <c r="J57" i="5" s="1"/>
  <c r="K57" i="5" s="1"/>
  <c r="I58" i="5"/>
  <c r="J58" i="5" s="1"/>
  <c r="K58" i="5" s="1"/>
  <c r="I59" i="5"/>
  <c r="J59" i="5" s="1"/>
  <c r="K59" i="5" s="1"/>
  <c r="I60" i="5"/>
  <c r="J60" i="5" s="1"/>
  <c r="K60" i="5" s="1"/>
  <c r="I61" i="5"/>
  <c r="J61" i="5" s="1"/>
  <c r="K61" i="5" s="1"/>
  <c r="I62" i="5"/>
  <c r="J62" i="5" s="1"/>
  <c r="K62" i="5" s="1"/>
  <c r="I63" i="5"/>
  <c r="J63" i="5" s="1"/>
  <c r="K63" i="5" s="1"/>
  <c r="I64" i="5"/>
  <c r="J64" i="5" s="1"/>
  <c r="K64" i="5" s="1"/>
  <c r="I65" i="5"/>
  <c r="J65" i="5" s="1"/>
  <c r="K65" i="5" s="1"/>
  <c r="I66" i="5"/>
  <c r="J66" i="5" s="1"/>
  <c r="K66" i="5" s="1"/>
  <c r="I2" i="5"/>
  <c r="F4" i="6"/>
  <c r="F18" i="6"/>
  <c r="F19" i="6"/>
  <c r="F20" i="6"/>
  <c r="F21" i="6"/>
  <c r="F22" i="6"/>
  <c r="F23" i="6"/>
  <c r="F39" i="6"/>
  <c r="F43" i="6"/>
  <c r="D15" i="23"/>
  <c r="E15" i="23"/>
  <c r="AD15" i="24"/>
  <c r="AD13" i="24"/>
  <c r="AD3" i="24"/>
  <c r="AD25" i="24"/>
  <c r="AD10" i="24"/>
  <c r="AD14" i="24"/>
  <c r="AD6" i="24"/>
  <c r="AD31" i="24"/>
  <c r="AD32" i="24"/>
  <c r="AD33" i="24"/>
  <c r="AD34" i="24"/>
  <c r="AD35" i="24"/>
  <c r="AD26" i="24"/>
  <c r="AD28" i="24"/>
  <c r="AD16" i="24"/>
  <c r="AD27" i="24"/>
  <c r="AD2" i="24"/>
  <c r="AD5" i="24"/>
  <c r="AD24" i="24"/>
  <c r="AD36" i="24"/>
  <c r="AD4" i="24"/>
  <c r="AD29" i="24"/>
  <c r="AD18" i="24"/>
  <c r="AD21" i="24"/>
  <c r="AD20" i="24"/>
  <c r="AD37" i="24"/>
  <c r="AD19" i="24"/>
  <c r="AD38" i="24"/>
  <c r="AD11" i="24"/>
  <c r="AD22" i="24"/>
  <c r="AD23" i="24"/>
  <c r="AD9" i="24"/>
  <c r="AD17" i="24"/>
  <c r="AD12" i="24"/>
  <c r="AD30" i="24"/>
  <c r="Z15" i="24"/>
  <c r="AA15" i="24"/>
  <c r="AB15" i="24"/>
  <c r="AC15" i="24"/>
  <c r="Z13" i="24"/>
  <c r="AA13" i="24"/>
  <c r="AB13" i="24"/>
  <c r="AC13" i="24"/>
  <c r="Z25" i="24"/>
  <c r="AA25" i="24"/>
  <c r="AB25" i="24"/>
  <c r="AC25" i="24"/>
  <c r="Z10" i="24"/>
  <c r="AA10" i="24"/>
  <c r="AB10" i="24"/>
  <c r="AC10" i="24"/>
  <c r="Z14" i="24"/>
  <c r="AA14" i="24"/>
  <c r="AB14" i="24"/>
  <c r="AC14" i="24"/>
  <c r="Z6" i="24"/>
  <c r="AA6" i="24"/>
  <c r="AB6" i="24"/>
  <c r="AC6" i="24"/>
  <c r="Z31" i="24"/>
  <c r="AA31" i="24"/>
  <c r="AB31" i="24"/>
  <c r="AC31" i="24"/>
  <c r="Z32" i="24"/>
  <c r="AA32" i="24"/>
  <c r="AB32" i="24"/>
  <c r="AC32" i="24"/>
  <c r="Z33" i="24"/>
  <c r="AA33" i="24"/>
  <c r="AB33" i="24"/>
  <c r="AC33" i="24"/>
  <c r="Z34" i="24"/>
  <c r="AA34" i="24"/>
  <c r="AB34" i="24"/>
  <c r="AC34" i="24"/>
  <c r="Z35" i="24"/>
  <c r="AA35" i="24"/>
  <c r="AB35" i="24"/>
  <c r="AC35" i="24"/>
  <c r="Z26" i="24"/>
  <c r="AA26" i="24"/>
  <c r="AB26" i="24"/>
  <c r="AC26" i="24"/>
  <c r="Z28" i="24"/>
  <c r="AA28" i="24"/>
  <c r="AB28" i="24"/>
  <c r="AC28" i="24"/>
  <c r="Z16" i="24"/>
  <c r="AA16" i="24"/>
  <c r="AB16" i="24"/>
  <c r="AC16" i="24"/>
  <c r="Z27" i="24"/>
  <c r="AA27" i="24"/>
  <c r="AB27" i="24"/>
  <c r="AC27" i="24"/>
  <c r="Z2" i="24"/>
  <c r="AA2" i="24"/>
  <c r="AB2" i="24"/>
  <c r="AC2" i="24"/>
  <c r="Z5" i="24"/>
  <c r="AA5" i="24"/>
  <c r="AB5" i="24"/>
  <c r="AC5" i="24"/>
  <c r="Z24" i="24"/>
  <c r="AA24" i="24"/>
  <c r="AB24" i="24"/>
  <c r="AC24" i="24"/>
  <c r="Z36" i="24"/>
  <c r="AA36" i="24"/>
  <c r="AB36" i="24"/>
  <c r="AC36" i="24"/>
  <c r="Z4" i="24"/>
  <c r="AA4" i="24"/>
  <c r="AB4" i="24"/>
  <c r="AC4" i="24"/>
  <c r="Z29" i="24"/>
  <c r="AA29" i="24"/>
  <c r="AB29" i="24"/>
  <c r="AC29" i="24"/>
  <c r="Z18" i="24"/>
  <c r="AA18" i="24"/>
  <c r="AB18" i="24"/>
  <c r="AC18" i="24"/>
  <c r="Z21" i="24"/>
  <c r="AA21" i="24"/>
  <c r="AB21" i="24"/>
  <c r="AC21" i="24"/>
  <c r="Z20" i="24"/>
  <c r="AA20" i="24"/>
  <c r="AB20" i="24"/>
  <c r="AC20" i="24"/>
  <c r="Z37" i="24"/>
  <c r="AA37" i="24"/>
  <c r="AB37" i="24"/>
  <c r="AC37" i="24"/>
  <c r="Z38" i="24"/>
  <c r="AA38" i="24"/>
  <c r="AB38" i="24"/>
  <c r="AC38" i="24"/>
  <c r="Z11" i="24"/>
  <c r="AA11" i="24"/>
  <c r="AB11" i="24"/>
  <c r="AC11" i="24"/>
  <c r="Z22" i="24"/>
  <c r="AA22" i="24"/>
  <c r="AB22" i="24"/>
  <c r="AC22" i="24"/>
  <c r="Z23" i="24"/>
  <c r="AA23" i="24"/>
  <c r="AB23" i="24"/>
  <c r="AC23" i="24"/>
  <c r="Z9" i="24"/>
  <c r="AA9" i="24"/>
  <c r="AB9" i="24"/>
  <c r="AC9" i="24"/>
  <c r="Z17" i="24"/>
  <c r="AA17" i="24"/>
  <c r="AB17" i="24"/>
  <c r="AC17" i="24"/>
  <c r="Z12" i="24"/>
  <c r="AA12" i="24"/>
  <c r="AB12" i="24"/>
  <c r="AC12" i="24"/>
  <c r="AA30" i="24"/>
  <c r="AB30" i="24"/>
  <c r="AC30" i="24"/>
  <c r="Z30" i="24"/>
  <c r="D2" i="21"/>
  <c r="O7" i="24" l="1"/>
  <c r="AB7" i="24" s="1"/>
  <c r="J2" i="5"/>
  <c r="K2" i="5" s="1"/>
  <c r="K3" i="21"/>
  <c r="F2" i="21"/>
  <c r="D13" i="21"/>
  <c r="B10" i="21"/>
  <c r="V8" i="24" l="1"/>
  <c r="W8" i="24"/>
  <c r="A15" i="24"/>
  <c r="A13" i="24"/>
  <c r="A3" i="24"/>
  <c r="A25" i="24"/>
  <c r="A8" i="24"/>
  <c r="A10" i="24"/>
  <c r="A14" i="24"/>
  <c r="A6" i="24"/>
  <c r="A31" i="24"/>
  <c r="A32" i="24"/>
  <c r="A33" i="24"/>
  <c r="A34" i="24"/>
  <c r="A35" i="24"/>
  <c r="A26" i="24"/>
  <c r="A28" i="24"/>
  <c r="A16" i="24"/>
  <c r="A27" i="24"/>
  <c r="A2" i="24"/>
  <c r="A5" i="24"/>
  <c r="A24" i="24"/>
  <c r="A36" i="24"/>
  <c r="A4" i="24"/>
  <c r="A29" i="24"/>
  <c r="A18" i="24"/>
  <c r="A21" i="24"/>
  <c r="A20" i="24"/>
  <c r="A37" i="24"/>
  <c r="A19" i="24"/>
  <c r="A38" i="24"/>
  <c r="A11" i="24"/>
  <c r="A22" i="24"/>
  <c r="A23" i="24"/>
  <c r="A9" i="24"/>
  <c r="A17" i="24"/>
  <c r="A12" i="24"/>
  <c r="A30" i="24"/>
  <c r="P15" i="24"/>
  <c r="P13" i="24"/>
  <c r="P3" i="24"/>
  <c r="P25" i="24"/>
  <c r="P8" i="24"/>
  <c r="P10" i="24"/>
  <c r="P14" i="24"/>
  <c r="P6" i="24"/>
  <c r="P31" i="24"/>
  <c r="P32" i="24"/>
  <c r="P33" i="24"/>
  <c r="P34" i="24"/>
  <c r="P35" i="24"/>
  <c r="P26" i="24"/>
  <c r="P28" i="24"/>
  <c r="P16" i="24"/>
  <c r="P27" i="24"/>
  <c r="P2" i="24"/>
  <c r="P5" i="24"/>
  <c r="P24" i="24"/>
  <c r="P36" i="24"/>
  <c r="P4" i="24"/>
  <c r="P29" i="24"/>
  <c r="P18" i="24"/>
  <c r="P21" i="24"/>
  <c r="P20" i="24"/>
  <c r="P37" i="24"/>
  <c r="P19" i="24"/>
  <c r="P38" i="24"/>
  <c r="P11" i="24"/>
  <c r="P22" i="24"/>
  <c r="P23" i="24"/>
  <c r="P9" i="24"/>
  <c r="P17" i="24"/>
  <c r="P12" i="24"/>
  <c r="P30" i="24"/>
  <c r="O15" i="24"/>
  <c r="O13" i="24"/>
  <c r="O3" i="24"/>
  <c r="O25" i="24"/>
  <c r="O10" i="24"/>
  <c r="O14" i="24"/>
  <c r="O6" i="24"/>
  <c r="O31" i="24"/>
  <c r="O32" i="24"/>
  <c r="O33" i="24"/>
  <c r="O34" i="24"/>
  <c r="O35" i="24"/>
  <c r="O26" i="24"/>
  <c r="O28" i="24"/>
  <c r="O16" i="24"/>
  <c r="O27" i="24"/>
  <c r="O2" i="24"/>
  <c r="O5" i="24"/>
  <c r="O24" i="24"/>
  <c r="O36" i="24"/>
  <c r="O4" i="24"/>
  <c r="O29" i="24"/>
  <c r="O18" i="24"/>
  <c r="O20" i="24"/>
  <c r="O37" i="24"/>
  <c r="O19" i="24"/>
  <c r="O38" i="24"/>
  <c r="O11" i="24"/>
  <c r="O22" i="24"/>
  <c r="O23" i="24"/>
  <c r="O9" i="24"/>
  <c r="O17" i="24"/>
  <c r="O12" i="24"/>
  <c r="O30" i="24"/>
  <c r="O21" i="24"/>
  <c r="J3" i="3"/>
  <c r="J4" i="3"/>
  <c r="J2" i="3"/>
  <c r="H2" i="3"/>
  <c r="I3" i="3"/>
  <c r="I4" i="3"/>
  <c r="I2" i="3"/>
  <c r="S14" i="24" l="1"/>
  <c r="R14" i="24"/>
  <c r="Q14" i="24"/>
  <c r="R3" i="24"/>
  <c r="Q3" i="24"/>
  <c r="S3" i="24"/>
  <c r="C3" i="20"/>
  <c r="C2" i="20"/>
  <c r="E2" i="20" s="1"/>
  <c r="C4" i="20" l="1"/>
  <c r="E4" i="20" s="1"/>
  <c r="C8" i="20"/>
  <c r="C6" i="20"/>
  <c r="C7" i="20"/>
  <c r="E3" i="20"/>
  <c r="C5" i="20"/>
  <c r="E5" i="20" s="1"/>
  <c r="E7" i="20" l="1"/>
  <c r="E6" i="20"/>
  <c r="E8" i="20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2" i="5"/>
  <c r="J30" i="1" l="1"/>
  <c r="J29" i="1"/>
  <c r="L4" i="19"/>
  <c r="L5" i="19"/>
  <c r="L6" i="19"/>
  <c r="M5" i="6"/>
  <c r="K5" i="6"/>
  <c r="P5" i="6" s="1"/>
  <c r="V14" i="24" s="1"/>
  <c r="L5" i="6"/>
  <c r="Q5" i="6" s="1"/>
  <c r="W14" i="24" s="1"/>
  <c r="F6" i="22" l="1"/>
  <c r="E6" i="22"/>
  <c r="E10" i="20" s="1"/>
  <c r="F5" i="22"/>
  <c r="E5" i="22"/>
  <c r="F4" i="22"/>
  <c r="E4" i="22"/>
  <c r="F3" i="22"/>
  <c r="E3" i="22"/>
  <c r="F2" i="22"/>
  <c r="E2" i="22"/>
  <c r="H6" i="22" l="1"/>
  <c r="G6" i="22"/>
  <c r="H5" i="22"/>
  <c r="G5" i="22"/>
  <c r="H4" i="22"/>
  <c r="G4" i="22"/>
  <c r="H3" i="22"/>
  <c r="G3" i="22"/>
  <c r="G2" i="22"/>
  <c r="H2" i="22"/>
  <c r="C27" i="7" l="1"/>
  <c r="D27" i="7"/>
  <c r="E27" i="7"/>
  <c r="B27" i="7"/>
  <c r="C11" i="20" l="1"/>
  <c r="E11" i="20" s="1"/>
  <c r="H10" i="22"/>
  <c r="J10" i="22" s="1"/>
  <c r="O31" i="6" s="1"/>
  <c r="C9" i="20" s="1"/>
  <c r="F10" i="22"/>
  <c r="G10" i="22" s="1"/>
  <c r="I10" i="22" s="1"/>
  <c r="F31" i="6" s="1"/>
  <c r="B21" i="7"/>
  <c r="N3" i="2"/>
  <c r="N4" i="2"/>
  <c r="N5" i="2"/>
  <c r="N6" i="2"/>
  <c r="N7" i="2"/>
  <c r="N9" i="2"/>
  <c r="N10" i="2"/>
  <c r="N11" i="2"/>
  <c r="N12" i="2"/>
  <c r="N14" i="2"/>
  <c r="N15" i="2"/>
  <c r="N16" i="2"/>
  <c r="N17" i="2"/>
  <c r="N18" i="2"/>
  <c r="N2" i="2"/>
  <c r="O8" i="24" l="1"/>
  <c r="N31" i="6"/>
  <c r="C15" i="23"/>
  <c r="U8" i="24"/>
  <c r="E9" i="20"/>
  <c r="R2" i="4"/>
  <c r="S2" i="4"/>
  <c r="T2" i="4"/>
  <c r="U2" i="4"/>
  <c r="V2" i="4"/>
  <c r="R3" i="4"/>
  <c r="S3" i="4"/>
  <c r="T3" i="4"/>
  <c r="U3" i="4"/>
  <c r="V3" i="4"/>
  <c r="R5" i="4"/>
  <c r="S5" i="4"/>
  <c r="T5" i="4"/>
  <c r="U5" i="4"/>
  <c r="V5" i="4"/>
  <c r="R6" i="4"/>
  <c r="S6" i="4"/>
  <c r="T6" i="4"/>
  <c r="U6" i="4"/>
  <c r="V6" i="4"/>
  <c r="Q3" i="4"/>
  <c r="Q5" i="4"/>
  <c r="Q6" i="4"/>
  <c r="Q2" i="4"/>
  <c r="J2" i="4"/>
  <c r="K2" i="4"/>
  <c r="L2" i="4"/>
  <c r="M2" i="4"/>
  <c r="N2" i="4"/>
  <c r="O2" i="4"/>
  <c r="K3" i="4"/>
  <c r="L3" i="4"/>
  <c r="M3" i="4"/>
  <c r="N3" i="4"/>
  <c r="O3" i="4"/>
  <c r="K5" i="4"/>
  <c r="L5" i="4"/>
  <c r="M5" i="4"/>
  <c r="N5" i="4"/>
  <c r="O5" i="4"/>
  <c r="K6" i="4"/>
  <c r="L6" i="4"/>
  <c r="M6" i="4"/>
  <c r="N6" i="4"/>
  <c r="O6" i="4"/>
  <c r="J3" i="4"/>
  <c r="J5" i="4"/>
  <c r="J6" i="4"/>
  <c r="N20" i="12"/>
  <c r="O20" i="12" s="1"/>
  <c r="N19" i="12"/>
  <c r="O19" i="12" s="1"/>
  <c r="N18" i="12"/>
  <c r="O18" i="12" s="1"/>
  <c r="N17" i="12"/>
  <c r="O17" i="12" s="1"/>
  <c r="N16" i="12"/>
  <c r="O16" i="12" s="1"/>
  <c r="N15" i="12"/>
  <c r="O15" i="12" s="1"/>
  <c r="N14" i="12"/>
  <c r="O14" i="12" s="1"/>
  <c r="N13" i="12"/>
  <c r="O13" i="12" s="1"/>
  <c r="N12" i="12"/>
  <c r="O12" i="12" s="1"/>
  <c r="N11" i="12"/>
  <c r="O11" i="12" s="1"/>
  <c r="N10" i="12"/>
  <c r="O10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N2" i="12"/>
  <c r="O2" i="12" s="1"/>
  <c r="B14" i="20" l="1"/>
  <c r="L8" i="24"/>
  <c r="M8" i="24"/>
  <c r="K8" i="24"/>
  <c r="B15" i="23"/>
  <c r="F15" i="23" s="1"/>
  <c r="T8" i="24"/>
  <c r="W2" i="4"/>
  <c r="W5" i="4"/>
  <c r="W3" i="4"/>
  <c r="W6" i="4"/>
  <c r="C6" i="21" l="1"/>
  <c r="F6" i="21" s="1"/>
  <c r="C10" i="21"/>
  <c r="F10" i="21" s="1"/>
  <c r="Q8" i="24"/>
  <c r="F8" i="24"/>
  <c r="G8" i="24"/>
  <c r="E8" i="24"/>
  <c r="X8" i="24"/>
  <c r="P3" i="4"/>
  <c r="P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G3" i="19"/>
  <c r="G4" i="19"/>
  <c r="G5" i="19"/>
  <c r="G6" i="19"/>
  <c r="C7" i="7"/>
  <c r="B7" i="7"/>
  <c r="C6" i="7"/>
  <c r="J5" i="6" s="1"/>
  <c r="O5" i="6" s="1"/>
  <c r="U14" i="24" s="1"/>
  <c r="B6" i="7"/>
  <c r="I5" i="6" s="1"/>
  <c r="N5" i="6" s="1"/>
  <c r="T14" i="24" s="1"/>
  <c r="C5" i="7"/>
  <c r="B5" i="7"/>
  <c r="I34" i="13"/>
  <c r="I35" i="13"/>
  <c r="I33" i="13"/>
  <c r="H34" i="13"/>
  <c r="G34" i="13"/>
  <c r="H33" i="13"/>
  <c r="G33" i="13"/>
  <c r="H35" i="13"/>
  <c r="G35" i="13"/>
  <c r="F35" i="13"/>
  <c r="F34" i="13"/>
  <c r="E34" i="13"/>
  <c r="F33" i="13"/>
  <c r="E33" i="13"/>
  <c r="D35" i="13"/>
  <c r="D34" i="13"/>
  <c r="C34" i="13"/>
  <c r="D33" i="13"/>
  <c r="C33" i="13"/>
  <c r="K14" i="24" l="1"/>
  <c r="L14" i="24"/>
  <c r="M14" i="24"/>
  <c r="E14" i="24"/>
  <c r="G14" i="24"/>
  <c r="F14" i="24"/>
  <c r="X14" i="24"/>
  <c r="M4" i="4"/>
  <c r="L4" i="4"/>
  <c r="O4" i="4"/>
  <c r="N4" i="4"/>
  <c r="J4" i="4"/>
  <c r="K4" i="4"/>
  <c r="T4" i="4"/>
  <c r="R4" i="4"/>
  <c r="U4" i="4"/>
  <c r="S4" i="4"/>
  <c r="V4" i="4"/>
  <c r="Q4" i="4"/>
  <c r="P6" i="4"/>
  <c r="K4" i="19"/>
  <c r="P4" i="19" s="1"/>
  <c r="K6" i="19"/>
  <c r="P6" i="19" s="1"/>
  <c r="J4" i="19"/>
  <c r="J6" i="19"/>
  <c r="I4" i="19"/>
  <c r="I6" i="19"/>
  <c r="H4" i="19"/>
  <c r="H6" i="19"/>
  <c r="H2" i="1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M3" i="6"/>
  <c r="M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2" i="6"/>
  <c r="L3" i="6"/>
  <c r="Q3" i="6" s="1"/>
  <c r="L7" i="6"/>
  <c r="Q7" i="6" s="1"/>
  <c r="W5" i="24" s="1"/>
  <c r="L9" i="6"/>
  <c r="Q9" i="6" s="1"/>
  <c r="W27" i="24" s="1"/>
  <c r="L10" i="6"/>
  <c r="Q10" i="6" s="1"/>
  <c r="W10" i="24" s="1"/>
  <c r="L11" i="6"/>
  <c r="Q11" i="6" s="1"/>
  <c r="W9" i="24" s="1"/>
  <c r="L12" i="6"/>
  <c r="Q12" i="6" s="1"/>
  <c r="L13" i="6"/>
  <c r="Q13" i="6" s="1"/>
  <c r="W12" i="24" s="1"/>
  <c r="L14" i="6"/>
  <c r="Q14" i="6" s="1"/>
  <c r="L15" i="6"/>
  <c r="Q15" i="6" s="1"/>
  <c r="L16" i="6"/>
  <c r="Q16" i="6" s="1"/>
  <c r="L17" i="6"/>
  <c r="Q17" i="6" s="1"/>
  <c r="W25" i="24" s="1"/>
  <c r="L18" i="6"/>
  <c r="Q18" i="6" s="1"/>
  <c r="L19" i="6"/>
  <c r="Q19" i="6" s="1"/>
  <c r="W20" i="24" s="1"/>
  <c r="L20" i="6"/>
  <c r="Q20" i="6" s="1"/>
  <c r="L21" i="6"/>
  <c r="Q21" i="6" s="1"/>
  <c r="W29" i="24" s="1"/>
  <c r="L22" i="6"/>
  <c r="Q22" i="6" s="1"/>
  <c r="W28" i="24" s="1"/>
  <c r="L23" i="6"/>
  <c r="Q23" i="6" s="1"/>
  <c r="W26" i="24" s="1"/>
  <c r="L24" i="6"/>
  <c r="Q24" i="6" s="1"/>
  <c r="W30" i="24" s="1"/>
  <c r="L25" i="6"/>
  <c r="Q25" i="6" s="1"/>
  <c r="L26" i="6"/>
  <c r="Q26" i="6" s="1"/>
  <c r="L27" i="6"/>
  <c r="Q27" i="6" s="1"/>
  <c r="W36" i="24" s="1"/>
  <c r="L28" i="6"/>
  <c r="Q28" i="6" s="1"/>
  <c r="W31" i="24" s="1"/>
  <c r="L29" i="6"/>
  <c r="Q29" i="6" s="1"/>
  <c r="W35" i="24" s="1"/>
  <c r="L30" i="6"/>
  <c r="Q30" i="6" s="1"/>
  <c r="W37" i="24" s="1"/>
  <c r="L32" i="6"/>
  <c r="Q32" i="6" s="1"/>
  <c r="L33" i="6"/>
  <c r="Q33" i="6" s="1"/>
  <c r="L34" i="6"/>
  <c r="Q34" i="6" s="1"/>
  <c r="W2" i="24" s="1"/>
  <c r="L35" i="6"/>
  <c r="Q35" i="6" s="1"/>
  <c r="W13" i="24" s="1"/>
  <c r="L36" i="6"/>
  <c r="Q36" i="6" s="1"/>
  <c r="W4" i="24" s="1"/>
  <c r="L37" i="6"/>
  <c r="Q37" i="6" s="1"/>
  <c r="W16" i="24" s="1"/>
  <c r="L38" i="6"/>
  <c r="Q38" i="6" s="1"/>
  <c r="W24" i="24" s="1"/>
  <c r="L39" i="6"/>
  <c r="Q39" i="6" s="1"/>
  <c r="L40" i="6"/>
  <c r="Q40" i="6" s="1"/>
  <c r="W17" i="24" s="1"/>
  <c r="L41" i="6"/>
  <c r="Q41" i="6" s="1"/>
  <c r="W33" i="24" s="1"/>
  <c r="L42" i="6"/>
  <c r="Q42" i="6" s="1"/>
  <c r="W38" i="24" s="1"/>
  <c r="L43" i="6"/>
  <c r="Q43" i="6" s="1"/>
  <c r="L44" i="6"/>
  <c r="Q44" i="6" s="1"/>
  <c r="W22" i="24" s="1"/>
  <c r="L2" i="6"/>
  <c r="Q2" i="6" s="1"/>
  <c r="K3" i="6"/>
  <c r="P3" i="6" s="1"/>
  <c r="K7" i="6"/>
  <c r="P7" i="6" s="1"/>
  <c r="V5" i="24" s="1"/>
  <c r="K9" i="6"/>
  <c r="P9" i="6" s="1"/>
  <c r="V27" i="24" s="1"/>
  <c r="K10" i="6"/>
  <c r="P10" i="6" s="1"/>
  <c r="V10" i="24" s="1"/>
  <c r="K11" i="6"/>
  <c r="P11" i="6" s="1"/>
  <c r="K12" i="6"/>
  <c r="P12" i="6" s="1"/>
  <c r="K13" i="6"/>
  <c r="P13" i="6" s="1"/>
  <c r="V12" i="24" s="1"/>
  <c r="K14" i="6"/>
  <c r="P14" i="6" s="1"/>
  <c r="K15" i="6"/>
  <c r="P15" i="6" s="1"/>
  <c r="K16" i="6"/>
  <c r="P16" i="6" s="1"/>
  <c r="K17" i="6"/>
  <c r="P17" i="6" s="1"/>
  <c r="V25" i="24" s="1"/>
  <c r="K18" i="6"/>
  <c r="P18" i="6" s="1"/>
  <c r="K19" i="6"/>
  <c r="P19" i="6" s="1"/>
  <c r="V20" i="24" s="1"/>
  <c r="K20" i="6"/>
  <c r="P20" i="6" s="1"/>
  <c r="K21" i="6"/>
  <c r="P21" i="6" s="1"/>
  <c r="V29" i="24" s="1"/>
  <c r="K22" i="6"/>
  <c r="P22" i="6" s="1"/>
  <c r="V28" i="24" s="1"/>
  <c r="K23" i="6"/>
  <c r="P23" i="6" s="1"/>
  <c r="V26" i="24" s="1"/>
  <c r="K24" i="6"/>
  <c r="P24" i="6" s="1"/>
  <c r="V30" i="24" s="1"/>
  <c r="K25" i="6"/>
  <c r="P25" i="6" s="1"/>
  <c r="K26" i="6"/>
  <c r="P26" i="6" s="1"/>
  <c r="K27" i="6"/>
  <c r="P27" i="6" s="1"/>
  <c r="V36" i="24" s="1"/>
  <c r="K28" i="6"/>
  <c r="P28" i="6" s="1"/>
  <c r="V31" i="24" s="1"/>
  <c r="K29" i="6"/>
  <c r="P29" i="6" s="1"/>
  <c r="V35" i="24" s="1"/>
  <c r="K30" i="6"/>
  <c r="P30" i="6" s="1"/>
  <c r="V37" i="24" s="1"/>
  <c r="K32" i="6"/>
  <c r="P32" i="6" s="1"/>
  <c r="K33" i="6"/>
  <c r="P33" i="6" s="1"/>
  <c r="K34" i="6"/>
  <c r="P34" i="6" s="1"/>
  <c r="V2" i="24" s="1"/>
  <c r="K35" i="6"/>
  <c r="P35" i="6" s="1"/>
  <c r="V13" i="24" s="1"/>
  <c r="K36" i="6"/>
  <c r="P36" i="6" s="1"/>
  <c r="V4" i="24" s="1"/>
  <c r="K37" i="6"/>
  <c r="P37" i="6" s="1"/>
  <c r="V16" i="24" s="1"/>
  <c r="K38" i="6"/>
  <c r="P38" i="6" s="1"/>
  <c r="V24" i="24" s="1"/>
  <c r="K39" i="6"/>
  <c r="P39" i="6" s="1"/>
  <c r="K40" i="6"/>
  <c r="P40" i="6" s="1"/>
  <c r="K41" i="6"/>
  <c r="P41" i="6" s="1"/>
  <c r="V33" i="24" s="1"/>
  <c r="K42" i="6"/>
  <c r="P42" i="6" s="1"/>
  <c r="V38" i="24" s="1"/>
  <c r="K43" i="6"/>
  <c r="P43" i="6" s="1"/>
  <c r="K44" i="6"/>
  <c r="P44" i="6" s="1"/>
  <c r="V22" i="24" s="1"/>
  <c r="K2" i="6"/>
  <c r="P2" i="6" s="1"/>
  <c r="J3" i="6"/>
  <c r="O3" i="6" s="1"/>
  <c r="J7" i="6"/>
  <c r="O7" i="6" s="1"/>
  <c r="U5" i="24" s="1"/>
  <c r="J9" i="6"/>
  <c r="O9" i="6" s="1"/>
  <c r="U27" i="24" s="1"/>
  <c r="J10" i="6"/>
  <c r="O10" i="6" s="1"/>
  <c r="U10" i="24" s="1"/>
  <c r="J11" i="6"/>
  <c r="O11" i="6" s="1"/>
  <c r="J12" i="6"/>
  <c r="O12" i="6" s="1"/>
  <c r="J13" i="6"/>
  <c r="O13" i="6" s="1"/>
  <c r="U12" i="24" s="1"/>
  <c r="J14" i="6"/>
  <c r="O14" i="6" s="1"/>
  <c r="J15" i="6"/>
  <c r="O15" i="6" s="1"/>
  <c r="J16" i="6"/>
  <c r="O16" i="6" s="1"/>
  <c r="J17" i="6"/>
  <c r="O17" i="6" s="1"/>
  <c r="U25" i="24" s="1"/>
  <c r="J18" i="6"/>
  <c r="O18" i="6" s="1"/>
  <c r="J19" i="6"/>
  <c r="O19" i="6" s="1"/>
  <c r="U20" i="24" s="1"/>
  <c r="J20" i="6"/>
  <c r="O20" i="6" s="1"/>
  <c r="J21" i="6"/>
  <c r="O21" i="6" s="1"/>
  <c r="U29" i="24" s="1"/>
  <c r="J22" i="6"/>
  <c r="O22" i="6" s="1"/>
  <c r="U28" i="24" s="1"/>
  <c r="J23" i="6"/>
  <c r="O23" i="6" s="1"/>
  <c r="U26" i="24" s="1"/>
  <c r="J24" i="6"/>
  <c r="O24" i="6" s="1"/>
  <c r="U30" i="24" s="1"/>
  <c r="J25" i="6"/>
  <c r="O25" i="6" s="1"/>
  <c r="J26" i="6"/>
  <c r="O26" i="6" s="1"/>
  <c r="J27" i="6"/>
  <c r="O27" i="6" s="1"/>
  <c r="U36" i="24" s="1"/>
  <c r="J28" i="6"/>
  <c r="O28" i="6" s="1"/>
  <c r="U31" i="24" s="1"/>
  <c r="J29" i="6"/>
  <c r="O29" i="6" s="1"/>
  <c r="U35" i="24" s="1"/>
  <c r="J30" i="6"/>
  <c r="O30" i="6" s="1"/>
  <c r="U37" i="24" s="1"/>
  <c r="J32" i="6"/>
  <c r="O32" i="6" s="1"/>
  <c r="J33" i="6"/>
  <c r="O33" i="6" s="1"/>
  <c r="J34" i="6"/>
  <c r="O34" i="6" s="1"/>
  <c r="U2" i="24" s="1"/>
  <c r="J35" i="6"/>
  <c r="O35" i="6" s="1"/>
  <c r="U13" i="24" s="1"/>
  <c r="J36" i="6"/>
  <c r="O36" i="6" s="1"/>
  <c r="U4" i="24" s="1"/>
  <c r="J37" i="6"/>
  <c r="O37" i="6" s="1"/>
  <c r="U16" i="24" s="1"/>
  <c r="J38" i="6"/>
  <c r="O38" i="6" s="1"/>
  <c r="U24" i="24" s="1"/>
  <c r="J39" i="6"/>
  <c r="O39" i="6" s="1"/>
  <c r="J40" i="6"/>
  <c r="O40" i="6" s="1"/>
  <c r="J41" i="6"/>
  <c r="O41" i="6" s="1"/>
  <c r="U33" i="24" s="1"/>
  <c r="J42" i="6"/>
  <c r="O42" i="6" s="1"/>
  <c r="U38" i="24" s="1"/>
  <c r="J43" i="6"/>
  <c r="O43" i="6" s="1"/>
  <c r="J44" i="6"/>
  <c r="O44" i="6" s="1"/>
  <c r="U22" i="24" s="1"/>
  <c r="J2" i="6"/>
  <c r="O2" i="6" s="1"/>
  <c r="I2" i="6"/>
  <c r="I7" i="6"/>
  <c r="N7" i="6" s="1"/>
  <c r="T5" i="24" s="1"/>
  <c r="I9" i="6"/>
  <c r="N9" i="6" s="1"/>
  <c r="T27" i="24" s="1"/>
  <c r="I10" i="6"/>
  <c r="N10" i="6" s="1"/>
  <c r="T10" i="24" s="1"/>
  <c r="I11" i="6"/>
  <c r="N11" i="6" s="1"/>
  <c r="I12" i="6"/>
  <c r="N12" i="6" s="1"/>
  <c r="I13" i="6"/>
  <c r="N13" i="6" s="1"/>
  <c r="T12" i="24" s="1"/>
  <c r="I14" i="6"/>
  <c r="N14" i="6" s="1"/>
  <c r="I15" i="6"/>
  <c r="N15" i="6" s="1"/>
  <c r="I16" i="6"/>
  <c r="N16" i="6" s="1"/>
  <c r="I17" i="6"/>
  <c r="N17" i="6" s="1"/>
  <c r="T25" i="24" s="1"/>
  <c r="I18" i="6"/>
  <c r="N18" i="6" s="1"/>
  <c r="I19" i="6"/>
  <c r="N19" i="6" s="1"/>
  <c r="T20" i="24" s="1"/>
  <c r="I20" i="6"/>
  <c r="N20" i="6" s="1"/>
  <c r="I21" i="6"/>
  <c r="N21" i="6" s="1"/>
  <c r="T29" i="24" s="1"/>
  <c r="I22" i="6"/>
  <c r="N22" i="6" s="1"/>
  <c r="T28" i="24" s="1"/>
  <c r="I23" i="6"/>
  <c r="N23" i="6" s="1"/>
  <c r="T26" i="24" s="1"/>
  <c r="I24" i="6"/>
  <c r="N24" i="6" s="1"/>
  <c r="T30" i="24" s="1"/>
  <c r="I25" i="6"/>
  <c r="N25" i="6" s="1"/>
  <c r="I26" i="6"/>
  <c r="N26" i="6" s="1"/>
  <c r="I27" i="6"/>
  <c r="N27" i="6" s="1"/>
  <c r="T36" i="24" s="1"/>
  <c r="I28" i="6"/>
  <c r="N28" i="6" s="1"/>
  <c r="T31" i="24" s="1"/>
  <c r="I29" i="6"/>
  <c r="N29" i="6" s="1"/>
  <c r="T35" i="24" s="1"/>
  <c r="I30" i="6"/>
  <c r="N30" i="6" s="1"/>
  <c r="T37" i="24" s="1"/>
  <c r="I32" i="6"/>
  <c r="N32" i="6" s="1"/>
  <c r="I33" i="6"/>
  <c r="N33" i="6" s="1"/>
  <c r="I34" i="6"/>
  <c r="N34" i="6" s="1"/>
  <c r="T2" i="24" s="1"/>
  <c r="I35" i="6"/>
  <c r="N35" i="6" s="1"/>
  <c r="T13" i="24" s="1"/>
  <c r="I36" i="6"/>
  <c r="N36" i="6" s="1"/>
  <c r="T4" i="24" s="1"/>
  <c r="I37" i="6"/>
  <c r="N37" i="6" s="1"/>
  <c r="T16" i="24" s="1"/>
  <c r="I38" i="6"/>
  <c r="N38" i="6" s="1"/>
  <c r="T24" i="24" s="1"/>
  <c r="I39" i="6"/>
  <c r="N39" i="6" s="1"/>
  <c r="I40" i="6"/>
  <c r="N40" i="6" s="1"/>
  <c r="I41" i="6"/>
  <c r="N41" i="6" s="1"/>
  <c r="T33" i="24" s="1"/>
  <c r="I42" i="6"/>
  <c r="N42" i="6" s="1"/>
  <c r="T38" i="24" s="1"/>
  <c r="I43" i="6"/>
  <c r="N43" i="6" s="1"/>
  <c r="I44" i="6"/>
  <c r="N44" i="6" s="1"/>
  <c r="T22" i="24" s="1"/>
  <c r="I3" i="6"/>
  <c r="N3" i="6" s="1"/>
  <c r="H2" i="6"/>
  <c r="K33" i="24" l="1"/>
  <c r="L33" i="24"/>
  <c r="M33" i="24"/>
  <c r="K26" i="24"/>
  <c r="L26" i="24"/>
  <c r="M26" i="24"/>
  <c r="L35" i="24"/>
  <c r="M35" i="24"/>
  <c r="K35" i="24"/>
  <c r="M29" i="24"/>
  <c r="K29" i="24"/>
  <c r="L29" i="24"/>
  <c r="K12" i="24"/>
  <c r="L12" i="24"/>
  <c r="M12" i="24"/>
  <c r="K28" i="24"/>
  <c r="L28" i="24"/>
  <c r="M28" i="24"/>
  <c r="K31" i="24"/>
  <c r="L31" i="24"/>
  <c r="M31" i="24"/>
  <c r="K37" i="24"/>
  <c r="M37" i="24"/>
  <c r="L37" i="24"/>
  <c r="L24" i="24"/>
  <c r="M24" i="24"/>
  <c r="K24" i="24"/>
  <c r="K22" i="24"/>
  <c r="L22" i="24"/>
  <c r="M22" i="24"/>
  <c r="K4" i="24"/>
  <c r="L4" i="24"/>
  <c r="M4" i="24"/>
  <c r="K36" i="24"/>
  <c r="L36" i="24"/>
  <c r="M36" i="24"/>
  <c r="K20" i="24"/>
  <c r="L20" i="24"/>
  <c r="M20" i="24"/>
  <c r="M13" i="24"/>
  <c r="K13" i="24"/>
  <c r="L13" i="24"/>
  <c r="K10" i="24"/>
  <c r="L10" i="24"/>
  <c r="M10" i="24"/>
  <c r="L16" i="24"/>
  <c r="M16" i="24"/>
  <c r="K16" i="24"/>
  <c r="L2" i="24"/>
  <c r="M2" i="24"/>
  <c r="K2" i="24"/>
  <c r="K25" i="24"/>
  <c r="L25" i="24"/>
  <c r="M25" i="24"/>
  <c r="K27" i="24"/>
  <c r="L27" i="24"/>
  <c r="M27" i="24"/>
  <c r="K38" i="24"/>
  <c r="L38" i="24"/>
  <c r="M38" i="24"/>
  <c r="K30" i="24"/>
  <c r="L30" i="24"/>
  <c r="M30" i="24"/>
  <c r="M5" i="24"/>
  <c r="K5" i="24"/>
  <c r="L5" i="24"/>
  <c r="Q16" i="24"/>
  <c r="F16" i="24"/>
  <c r="E16" i="24"/>
  <c r="G16" i="24"/>
  <c r="Q4" i="24"/>
  <c r="G4" i="24"/>
  <c r="F4" i="24"/>
  <c r="E4" i="24"/>
  <c r="Q28" i="24"/>
  <c r="G28" i="24"/>
  <c r="F28" i="24"/>
  <c r="E28" i="24"/>
  <c r="Q26" i="24"/>
  <c r="G26" i="24"/>
  <c r="E26" i="24"/>
  <c r="F26" i="24"/>
  <c r="Q13" i="24"/>
  <c r="F13" i="24"/>
  <c r="G13" i="24"/>
  <c r="E13" i="24"/>
  <c r="Q10" i="24"/>
  <c r="F10" i="24"/>
  <c r="E10" i="24"/>
  <c r="G10" i="24"/>
  <c r="Q2" i="24"/>
  <c r="F2" i="24"/>
  <c r="G2" i="24"/>
  <c r="E2" i="24"/>
  <c r="Q29" i="24"/>
  <c r="F29" i="24"/>
  <c r="E29" i="24"/>
  <c r="G29" i="24"/>
  <c r="Q27" i="24"/>
  <c r="E27" i="24"/>
  <c r="F27" i="24"/>
  <c r="G27" i="24"/>
  <c r="Q30" i="24"/>
  <c r="E30" i="24"/>
  <c r="F30" i="24"/>
  <c r="G30" i="24"/>
  <c r="Q31" i="24"/>
  <c r="E31" i="24"/>
  <c r="F31" i="24"/>
  <c r="G31" i="24"/>
  <c r="Q22" i="24"/>
  <c r="E22" i="24"/>
  <c r="F22" i="24"/>
  <c r="G22" i="24"/>
  <c r="Q38" i="24"/>
  <c r="E38" i="24"/>
  <c r="F38" i="24"/>
  <c r="G38" i="24"/>
  <c r="Q5" i="24"/>
  <c r="E5" i="24"/>
  <c r="F5" i="24"/>
  <c r="G5" i="24"/>
  <c r="Q20" i="24"/>
  <c r="F20" i="24"/>
  <c r="G20" i="24"/>
  <c r="E20" i="24"/>
  <c r="Q25" i="24"/>
  <c r="E25" i="24"/>
  <c r="F25" i="24"/>
  <c r="G25" i="24"/>
  <c r="Q36" i="24"/>
  <c r="F36" i="24"/>
  <c r="G36" i="24"/>
  <c r="E36" i="24"/>
  <c r="Q37" i="24"/>
  <c r="G37" i="24"/>
  <c r="E37" i="24"/>
  <c r="F37" i="24"/>
  <c r="Q35" i="24"/>
  <c r="E35" i="24"/>
  <c r="F35" i="24"/>
  <c r="G35" i="24"/>
  <c r="Q33" i="24"/>
  <c r="E33" i="24"/>
  <c r="F33" i="24"/>
  <c r="G33" i="24"/>
  <c r="Q24" i="24"/>
  <c r="F24" i="24"/>
  <c r="G24" i="24"/>
  <c r="E24" i="24"/>
  <c r="Q12" i="24"/>
  <c r="G12" i="24"/>
  <c r="F12" i="24"/>
  <c r="E12" i="24"/>
  <c r="E5" i="23"/>
  <c r="T34" i="24"/>
  <c r="W15" i="24"/>
  <c r="E4" i="23"/>
  <c r="V34" i="24"/>
  <c r="B5" i="23"/>
  <c r="T15" i="24"/>
  <c r="B4" i="23"/>
  <c r="W34" i="24"/>
  <c r="W23" i="24"/>
  <c r="E7" i="23"/>
  <c r="V23" i="24"/>
  <c r="D7" i="23"/>
  <c r="E13" i="23"/>
  <c r="B13" i="23"/>
  <c r="U6" i="24"/>
  <c r="C13" i="23"/>
  <c r="C5" i="23"/>
  <c r="U15" i="24"/>
  <c r="C4" i="23"/>
  <c r="T9" i="24"/>
  <c r="T23" i="24"/>
  <c r="B7" i="23"/>
  <c r="U34" i="24"/>
  <c r="U23" i="24"/>
  <c r="C7" i="23"/>
  <c r="D13" i="23"/>
  <c r="D5" i="23"/>
  <c r="V15" i="24"/>
  <c r="D4" i="23"/>
  <c r="V32" i="24"/>
  <c r="V18" i="24"/>
  <c r="X33" i="24"/>
  <c r="X31" i="24"/>
  <c r="W6" i="24"/>
  <c r="X24" i="24"/>
  <c r="X12" i="24"/>
  <c r="V17" i="24"/>
  <c r="W32" i="24"/>
  <c r="W18" i="24"/>
  <c r="W11" i="24"/>
  <c r="U32" i="24"/>
  <c r="T11" i="24"/>
  <c r="T17" i="24"/>
  <c r="X36" i="24"/>
  <c r="X4" i="24"/>
  <c r="X13" i="24"/>
  <c r="X28" i="24"/>
  <c r="X10" i="24"/>
  <c r="X16" i="24"/>
  <c r="X30" i="24"/>
  <c r="T32" i="24"/>
  <c r="T6" i="24"/>
  <c r="X2" i="24"/>
  <c r="X29" i="24"/>
  <c r="X27" i="24"/>
  <c r="T18" i="24"/>
  <c r="X5" i="24"/>
  <c r="X26" i="24"/>
  <c r="X38" i="24"/>
  <c r="X35" i="24"/>
  <c r="X25" i="24"/>
  <c r="V11" i="24"/>
  <c r="V9" i="24"/>
  <c r="X22" i="24"/>
  <c r="X20" i="24"/>
  <c r="X37" i="24"/>
  <c r="V6" i="24"/>
  <c r="U17" i="24"/>
  <c r="U11" i="24"/>
  <c r="U9" i="24"/>
  <c r="U18" i="24"/>
  <c r="W4" i="4"/>
  <c r="C11" i="21" s="1"/>
  <c r="P4" i="4"/>
  <c r="L3" i="19"/>
  <c r="L2" i="19"/>
  <c r="K2" i="19"/>
  <c r="P2" i="19" s="1"/>
  <c r="J2" i="19"/>
  <c r="O2" i="19" s="1"/>
  <c r="N4" i="19"/>
  <c r="N6" i="19"/>
  <c r="I2" i="19"/>
  <c r="G2" i="19"/>
  <c r="M4" i="19"/>
  <c r="M6" i="19"/>
  <c r="K18" i="24" l="1"/>
  <c r="L18" i="24"/>
  <c r="M18" i="24"/>
  <c r="K11" i="24"/>
  <c r="L11" i="24"/>
  <c r="M11" i="24"/>
  <c r="L32" i="24"/>
  <c r="M32" i="24"/>
  <c r="K32" i="24"/>
  <c r="K17" i="24"/>
  <c r="L17" i="24"/>
  <c r="M17" i="24"/>
  <c r="K15" i="24"/>
  <c r="L15" i="24"/>
  <c r="M15" i="24"/>
  <c r="K34" i="24"/>
  <c r="L34" i="24"/>
  <c r="M34" i="24"/>
  <c r="K6" i="24"/>
  <c r="L6" i="24"/>
  <c r="M6" i="24"/>
  <c r="K23" i="24"/>
  <c r="L23" i="24"/>
  <c r="M23" i="24"/>
  <c r="K9" i="24"/>
  <c r="L9" i="24"/>
  <c r="M9" i="24"/>
  <c r="Q32" i="24"/>
  <c r="G32" i="24"/>
  <c r="F32" i="24"/>
  <c r="E32" i="24"/>
  <c r="Q17" i="24"/>
  <c r="E17" i="24"/>
  <c r="G17" i="24"/>
  <c r="F17" i="24"/>
  <c r="Q11" i="24"/>
  <c r="E11" i="24"/>
  <c r="F11" i="24"/>
  <c r="G11" i="24"/>
  <c r="Q15" i="24"/>
  <c r="E15" i="24"/>
  <c r="F15" i="24"/>
  <c r="G15" i="24"/>
  <c r="Q34" i="24"/>
  <c r="E34" i="24"/>
  <c r="F34" i="24"/>
  <c r="G34" i="24"/>
  <c r="Q23" i="24"/>
  <c r="E23" i="24"/>
  <c r="F23" i="24"/>
  <c r="G23" i="24"/>
  <c r="Q6" i="24"/>
  <c r="E6" i="24"/>
  <c r="F6" i="24"/>
  <c r="G6" i="24"/>
  <c r="Q18" i="24"/>
  <c r="F18" i="24"/>
  <c r="E18" i="24"/>
  <c r="G18" i="24"/>
  <c r="Q9" i="24"/>
  <c r="E9" i="24"/>
  <c r="F9" i="24"/>
  <c r="G9" i="24"/>
  <c r="X34" i="24"/>
  <c r="X15" i="24"/>
  <c r="X23" i="24"/>
  <c r="F7" i="23"/>
  <c r="F13" i="23"/>
  <c r="F4" i="23"/>
  <c r="F5" i="23"/>
  <c r="X11" i="24"/>
  <c r="X17" i="24"/>
  <c r="X32" i="24"/>
  <c r="X9" i="24"/>
  <c r="X18" i="24"/>
  <c r="X6" i="24"/>
  <c r="C5" i="21"/>
  <c r="M2" i="19"/>
  <c r="N2" i="19"/>
  <c r="G3" i="5" l="1"/>
  <c r="H3" i="5" s="1"/>
  <c r="G4" i="5"/>
  <c r="G5" i="5"/>
  <c r="G6" i="5"/>
  <c r="G7" i="5"/>
  <c r="H7" i="5" s="1"/>
  <c r="G8" i="5"/>
  <c r="G9" i="5"/>
  <c r="H9" i="5" s="1"/>
  <c r="M9" i="5" s="1"/>
  <c r="G10" i="5"/>
  <c r="H10" i="5" s="1"/>
  <c r="M10" i="5" s="1"/>
  <c r="G11" i="5"/>
  <c r="H11" i="5" s="1"/>
  <c r="M11" i="5" s="1"/>
  <c r="G12" i="5"/>
  <c r="G13" i="5"/>
  <c r="G14" i="5"/>
  <c r="G15" i="5"/>
  <c r="H15" i="5" s="1"/>
  <c r="M15" i="5" s="1"/>
  <c r="G16" i="5"/>
  <c r="G17" i="5"/>
  <c r="H17" i="5" s="1"/>
  <c r="M17" i="5" s="1"/>
  <c r="G18" i="5"/>
  <c r="H18" i="5" s="1"/>
  <c r="M18" i="5" s="1"/>
  <c r="G19" i="5"/>
  <c r="H19" i="5" s="1"/>
  <c r="M19" i="5" s="1"/>
  <c r="G20" i="5"/>
  <c r="G21" i="5"/>
  <c r="G22" i="5"/>
  <c r="G23" i="5"/>
  <c r="H23" i="5" s="1"/>
  <c r="G24" i="5"/>
  <c r="G25" i="5"/>
  <c r="H25" i="5" s="1"/>
  <c r="G26" i="5"/>
  <c r="H26" i="5" s="1"/>
  <c r="G27" i="5"/>
  <c r="H27" i="5" s="1"/>
  <c r="G28" i="5"/>
  <c r="G29" i="5"/>
  <c r="G30" i="5"/>
  <c r="G31" i="5"/>
  <c r="H31" i="5" s="1"/>
  <c r="M31" i="5" s="1"/>
  <c r="G32" i="5"/>
  <c r="G33" i="5"/>
  <c r="H33" i="5" s="1"/>
  <c r="M33" i="5" s="1"/>
  <c r="G34" i="5"/>
  <c r="H34" i="5" s="1"/>
  <c r="M34" i="5" s="1"/>
  <c r="G35" i="5"/>
  <c r="H35" i="5" s="1"/>
  <c r="M35" i="5" s="1"/>
  <c r="G36" i="5"/>
  <c r="G37" i="5"/>
  <c r="G38" i="5"/>
  <c r="G39" i="5"/>
  <c r="H39" i="5" s="1"/>
  <c r="G40" i="5"/>
  <c r="H40" i="5" s="1"/>
  <c r="G41" i="5"/>
  <c r="G42" i="5"/>
  <c r="G43" i="5"/>
  <c r="G44" i="5"/>
  <c r="H44" i="5" s="1"/>
  <c r="M44" i="5" s="1"/>
  <c r="G45" i="5"/>
  <c r="G46" i="5"/>
  <c r="H46" i="5" s="1"/>
  <c r="M46" i="5" s="1"/>
  <c r="G47" i="5"/>
  <c r="H47" i="5" s="1"/>
  <c r="M47" i="5" s="1"/>
  <c r="G48" i="5"/>
  <c r="H48" i="5" s="1"/>
  <c r="M48" i="5" s="1"/>
  <c r="G49" i="5"/>
  <c r="G50" i="5"/>
  <c r="G51" i="5"/>
  <c r="H51" i="5" s="1"/>
  <c r="M51" i="5" s="1"/>
  <c r="G52" i="5"/>
  <c r="H52" i="5" s="1"/>
  <c r="G53" i="5"/>
  <c r="H53" i="5" s="1"/>
  <c r="G54" i="5"/>
  <c r="H54" i="5" s="1"/>
  <c r="G55" i="5"/>
  <c r="G56" i="5"/>
  <c r="G57" i="5"/>
  <c r="G58" i="5"/>
  <c r="H58" i="5" s="1"/>
  <c r="M58" i="5" s="1"/>
  <c r="G59" i="5"/>
  <c r="G60" i="5"/>
  <c r="H60" i="5" s="1"/>
  <c r="M60" i="5" s="1"/>
  <c r="G61" i="5"/>
  <c r="H61" i="5" s="1"/>
  <c r="M61" i="5" s="1"/>
  <c r="G62" i="5"/>
  <c r="H62" i="5" s="1"/>
  <c r="M62" i="5" s="1"/>
  <c r="G63" i="5"/>
  <c r="G64" i="5"/>
  <c r="G65" i="5"/>
  <c r="H65" i="5" s="1"/>
  <c r="G66" i="5"/>
  <c r="H66" i="5" s="1"/>
  <c r="M66" i="5" s="1"/>
  <c r="G2" i="5"/>
  <c r="H2" i="5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N29" i="1" s="1"/>
  <c r="L30" i="1"/>
  <c r="N30" i="1" s="1"/>
  <c r="L2" i="1"/>
  <c r="K3" i="1"/>
  <c r="O3" i="1" s="1"/>
  <c r="K4" i="1"/>
  <c r="K5" i="1"/>
  <c r="O5" i="1" s="1"/>
  <c r="K6" i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K22" i="1"/>
  <c r="O22" i="1" s="1"/>
  <c r="K23" i="1"/>
  <c r="O23" i="1" s="1"/>
  <c r="K24" i="1"/>
  <c r="O24" i="1" s="1"/>
  <c r="K25" i="1"/>
  <c r="O25" i="1" s="1"/>
  <c r="K26" i="1"/>
  <c r="K27" i="1"/>
  <c r="O27" i="1" s="1"/>
  <c r="K29" i="1"/>
  <c r="O29" i="1" s="1"/>
  <c r="K30" i="1"/>
  <c r="O30" i="1" s="1"/>
  <c r="K2" i="1"/>
  <c r="O2" i="1" s="1"/>
  <c r="J3" i="1"/>
  <c r="J4" i="1"/>
  <c r="J5" i="1"/>
  <c r="J6" i="1"/>
  <c r="J7" i="1"/>
  <c r="J8" i="1"/>
  <c r="J9" i="1"/>
  <c r="J10" i="1"/>
  <c r="J11" i="1"/>
  <c r="J12" i="1"/>
  <c r="N12" i="1" s="1"/>
  <c r="J13" i="1"/>
  <c r="N13" i="1" s="1"/>
  <c r="J14" i="1"/>
  <c r="J15" i="1"/>
  <c r="J16" i="1"/>
  <c r="J17" i="1"/>
  <c r="J18" i="1"/>
  <c r="J19" i="1"/>
  <c r="J20" i="1"/>
  <c r="J21" i="1"/>
  <c r="J22" i="1"/>
  <c r="N22" i="1" s="1"/>
  <c r="J23" i="1"/>
  <c r="J24" i="1"/>
  <c r="J25" i="1"/>
  <c r="J26" i="1"/>
  <c r="J27" i="1"/>
  <c r="J2" i="1"/>
  <c r="O4" i="1"/>
  <c r="O6" i="1"/>
  <c r="O13" i="1"/>
  <c r="O21" i="1"/>
  <c r="O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E23" i="13"/>
  <c r="E20" i="13"/>
  <c r="D16" i="13"/>
  <c r="D15" i="13"/>
  <c r="B11" i="10"/>
  <c r="B10" i="10"/>
  <c r="B15" i="10" s="1"/>
  <c r="B8" i="10"/>
  <c r="B7" i="10"/>
  <c r="E19" i="7"/>
  <c r="D19" i="7"/>
  <c r="C19" i="7"/>
  <c r="B19" i="7"/>
  <c r="E16" i="7"/>
  <c r="D16" i="7"/>
  <c r="J3" i="19" s="1"/>
  <c r="O3" i="19" s="1"/>
  <c r="C16" i="7"/>
  <c r="B16" i="7"/>
  <c r="M52" i="5" l="1"/>
  <c r="N8" i="1"/>
  <c r="N6" i="1"/>
  <c r="M53" i="5"/>
  <c r="M39" i="5"/>
  <c r="N21" i="1"/>
  <c r="M40" i="5"/>
  <c r="M54" i="5"/>
  <c r="R30" i="1"/>
  <c r="U30" i="1" s="1"/>
  <c r="Q30" i="1"/>
  <c r="T30" i="1" s="1"/>
  <c r="S30" i="1"/>
  <c r="N14" i="1"/>
  <c r="R29" i="1"/>
  <c r="U29" i="1" s="1"/>
  <c r="S29" i="1"/>
  <c r="Q29" i="1"/>
  <c r="T29" i="1" s="1"/>
  <c r="R5" i="1"/>
  <c r="U5" i="1" s="1"/>
  <c r="R16" i="1"/>
  <c r="U16" i="1" s="1"/>
  <c r="R6" i="1"/>
  <c r="U6" i="1" s="1"/>
  <c r="R15" i="1"/>
  <c r="U15" i="1" s="1"/>
  <c r="R26" i="1"/>
  <c r="U26" i="1" s="1"/>
  <c r="R7" i="1"/>
  <c r="U7" i="1" s="1"/>
  <c r="R2" i="1"/>
  <c r="R18" i="1"/>
  <c r="U18" i="1" s="1"/>
  <c r="R17" i="1"/>
  <c r="U17" i="1" s="1"/>
  <c r="R19" i="1"/>
  <c r="U19" i="1" s="1"/>
  <c r="R3" i="1"/>
  <c r="U3" i="1" s="1"/>
  <c r="R4" i="1"/>
  <c r="U4" i="1" s="1"/>
  <c r="R14" i="1"/>
  <c r="U14" i="1" s="1"/>
  <c r="S23" i="1"/>
  <c r="S27" i="1"/>
  <c r="S10" i="1"/>
  <c r="S25" i="1"/>
  <c r="S20" i="1"/>
  <c r="S9" i="1"/>
  <c r="S13" i="1"/>
  <c r="S8" i="1"/>
  <c r="S22" i="1"/>
  <c r="S12" i="1"/>
  <c r="S21" i="1"/>
  <c r="S11" i="1"/>
  <c r="S24" i="1"/>
  <c r="Q14" i="1"/>
  <c r="T14" i="1" s="1"/>
  <c r="Q4" i="1"/>
  <c r="Q16" i="1"/>
  <c r="T16" i="1" s="1"/>
  <c r="Q15" i="1"/>
  <c r="Q26" i="1"/>
  <c r="Q17" i="1"/>
  <c r="Q2" i="1"/>
  <c r="Q6" i="1"/>
  <c r="T6" i="1" s="1"/>
  <c r="Q19" i="1"/>
  <c r="Q3" i="1"/>
  <c r="Q5" i="1"/>
  <c r="Q7" i="1"/>
  <c r="T7" i="1" s="1"/>
  <c r="Q18" i="1"/>
  <c r="K3" i="19"/>
  <c r="P3" i="19" s="1"/>
  <c r="S4" i="1"/>
  <c r="S14" i="1"/>
  <c r="S2" i="1"/>
  <c r="S6" i="1"/>
  <c r="S19" i="1"/>
  <c r="S3" i="1"/>
  <c r="S26" i="1"/>
  <c r="S17" i="1"/>
  <c r="S7" i="1"/>
  <c r="S18" i="1"/>
  <c r="S5" i="1"/>
  <c r="S16" i="1"/>
  <c r="S15" i="1"/>
  <c r="Q23" i="1"/>
  <c r="Q25" i="1"/>
  <c r="Q9" i="1"/>
  <c r="Q27" i="1"/>
  <c r="Q21" i="1"/>
  <c r="T21" i="1" s="1"/>
  <c r="Q20" i="1"/>
  <c r="Q13" i="1"/>
  <c r="T13" i="1" s="1"/>
  <c r="Q12" i="1"/>
  <c r="T12" i="1" s="1"/>
  <c r="Q22" i="1"/>
  <c r="T22" i="1" s="1"/>
  <c r="Q24" i="1"/>
  <c r="Q11" i="1"/>
  <c r="T11" i="1" s="1"/>
  <c r="Q8" i="1"/>
  <c r="Q10" i="1"/>
  <c r="R23" i="1"/>
  <c r="U23" i="1" s="1"/>
  <c r="R11" i="1"/>
  <c r="U11" i="1" s="1"/>
  <c r="R24" i="1"/>
  <c r="U24" i="1" s="1"/>
  <c r="R27" i="1"/>
  <c r="U27" i="1" s="1"/>
  <c r="R20" i="1"/>
  <c r="U20" i="1" s="1"/>
  <c r="R9" i="1"/>
  <c r="U9" i="1" s="1"/>
  <c r="R21" i="1"/>
  <c r="U21" i="1" s="1"/>
  <c r="R22" i="1"/>
  <c r="U22" i="1" s="1"/>
  <c r="R12" i="1"/>
  <c r="U12" i="1" s="1"/>
  <c r="R8" i="1"/>
  <c r="U8" i="1" s="1"/>
  <c r="R10" i="1"/>
  <c r="U10" i="1" s="1"/>
  <c r="R25" i="1"/>
  <c r="U25" i="1" s="1"/>
  <c r="R13" i="1"/>
  <c r="U13" i="1" s="1"/>
  <c r="N25" i="1"/>
  <c r="N5" i="1"/>
  <c r="N16" i="1"/>
  <c r="N24" i="1"/>
  <c r="N20" i="1"/>
  <c r="N4" i="1"/>
  <c r="N23" i="1"/>
  <c r="N15" i="1"/>
  <c r="R18" i="2"/>
  <c r="T18" i="2"/>
  <c r="S18" i="2"/>
  <c r="R17" i="2"/>
  <c r="S17" i="2"/>
  <c r="T17" i="2"/>
  <c r="R5" i="2"/>
  <c r="T5" i="2"/>
  <c r="S5" i="2"/>
  <c r="T6" i="2"/>
  <c r="R6" i="2"/>
  <c r="S6" i="2"/>
  <c r="S16" i="2"/>
  <c r="T16" i="2"/>
  <c r="R16" i="2"/>
  <c r="R4" i="2"/>
  <c r="S4" i="2"/>
  <c r="T4" i="2"/>
  <c r="S3" i="2"/>
  <c r="R3" i="2"/>
  <c r="U3" i="2" s="1"/>
  <c r="T3" i="2"/>
  <c r="S12" i="2"/>
  <c r="R12" i="2"/>
  <c r="T12" i="2"/>
  <c r="S13" i="2"/>
  <c r="T13" i="2"/>
  <c r="R13" i="2"/>
  <c r="R11" i="2"/>
  <c r="S11" i="2"/>
  <c r="T11" i="2"/>
  <c r="S8" i="2"/>
  <c r="R8" i="2"/>
  <c r="T8" i="2"/>
  <c r="S15" i="2"/>
  <c r="T15" i="2"/>
  <c r="R15" i="2"/>
  <c r="S14" i="2"/>
  <c r="T14" i="2"/>
  <c r="R14" i="2"/>
  <c r="R10" i="2"/>
  <c r="S10" i="2"/>
  <c r="T10" i="2"/>
  <c r="S9" i="2"/>
  <c r="R9" i="2"/>
  <c r="T9" i="2"/>
  <c r="R2" i="2"/>
  <c r="U2" i="2" s="1"/>
  <c r="T2" i="2"/>
  <c r="S2" i="2"/>
  <c r="T7" i="2"/>
  <c r="R7" i="2"/>
  <c r="S7" i="2"/>
  <c r="L4" i="6"/>
  <c r="Q4" i="6" s="1"/>
  <c r="K5" i="19"/>
  <c r="P5" i="19" s="1"/>
  <c r="H3" i="19"/>
  <c r="I3" i="19"/>
  <c r="N3" i="19" s="1"/>
  <c r="I4" i="6"/>
  <c r="N4" i="6" s="1"/>
  <c r="H5" i="19"/>
  <c r="M5" i="19" s="1"/>
  <c r="J4" i="6"/>
  <c r="O4" i="6" s="1"/>
  <c r="I5" i="19"/>
  <c r="N5" i="19" s="1"/>
  <c r="O4" i="19"/>
  <c r="K4" i="6"/>
  <c r="P4" i="6" s="1"/>
  <c r="J5" i="19"/>
  <c r="O5" i="19" s="1"/>
  <c r="M14" i="2"/>
  <c r="O14" i="2" s="1"/>
  <c r="P14" i="2" s="1"/>
  <c r="L14" i="2"/>
  <c r="M4" i="2"/>
  <c r="O4" i="2" s="1"/>
  <c r="P4" i="2" s="1"/>
  <c r="L4" i="2"/>
  <c r="M3" i="2"/>
  <c r="O3" i="2" s="1"/>
  <c r="P3" i="2" s="1"/>
  <c r="L3" i="2"/>
  <c r="M13" i="2"/>
  <c r="O13" i="2" s="1"/>
  <c r="L13" i="2"/>
  <c r="N13" i="2" s="1"/>
  <c r="P13" i="2" s="1"/>
  <c r="M12" i="2"/>
  <c r="O12" i="2" s="1"/>
  <c r="P12" i="2" s="1"/>
  <c r="L12" i="2"/>
  <c r="M10" i="2"/>
  <c r="O10" i="2" s="1"/>
  <c r="P10" i="2" s="1"/>
  <c r="L10" i="2"/>
  <c r="L15" i="2"/>
  <c r="M15" i="2"/>
  <c r="O15" i="2" s="1"/>
  <c r="P15" i="2" s="1"/>
  <c r="L9" i="2"/>
  <c r="M9" i="2"/>
  <c r="O9" i="2" s="1"/>
  <c r="P9" i="2" s="1"/>
  <c r="M2" i="2"/>
  <c r="O2" i="2" s="1"/>
  <c r="P2" i="2" s="1"/>
  <c r="L2" i="2"/>
  <c r="L7" i="2"/>
  <c r="M7" i="2"/>
  <c r="O7" i="2" s="1"/>
  <c r="P7" i="2" s="1"/>
  <c r="L8" i="2"/>
  <c r="N8" i="2" s="1"/>
  <c r="M8" i="2"/>
  <c r="O8" i="2" s="1"/>
  <c r="M18" i="2"/>
  <c r="O18" i="2" s="1"/>
  <c r="P18" i="2" s="1"/>
  <c r="L18" i="2"/>
  <c r="L6" i="2"/>
  <c r="M6" i="2"/>
  <c r="O6" i="2" s="1"/>
  <c r="P6" i="2" s="1"/>
  <c r="M16" i="2"/>
  <c r="O16" i="2" s="1"/>
  <c r="P16" i="2" s="1"/>
  <c r="L16" i="2"/>
  <c r="L11" i="2"/>
  <c r="M11" i="2"/>
  <c r="O11" i="2" s="1"/>
  <c r="P11" i="2" s="1"/>
  <c r="M17" i="2"/>
  <c r="O17" i="2" s="1"/>
  <c r="P17" i="2" s="1"/>
  <c r="L17" i="2"/>
  <c r="L5" i="2"/>
  <c r="M5" i="2"/>
  <c r="O5" i="2" s="1"/>
  <c r="P5" i="2" s="1"/>
  <c r="P5" i="4"/>
  <c r="B11" i="21" s="1"/>
  <c r="M7" i="5"/>
  <c r="M26" i="5"/>
  <c r="M25" i="5"/>
  <c r="M27" i="5"/>
  <c r="M3" i="5"/>
  <c r="N7" i="1"/>
  <c r="N17" i="1"/>
  <c r="M23" i="5"/>
  <c r="H57" i="5"/>
  <c r="M57" i="5" s="1"/>
  <c r="H43" i="5"/>
  <c r="M43" i="5" s="1"/>
  <c r="H38" i="5"/>
  <c r="M38" i="5" s="1"/>
  <c r="H30" i="5"/>
  <c r="M30" i="5" s="1"/>
  <c r="H22" i="5"/>
  <c r="H14" i="5"/>
  <c r="M14" i="5" s="1"/>
  <c r="H6" i="5"/>
  <c r="M6" i="5" s="1"/>
  <c r="H56" i="5"/>
  <c r="M56" i="5" s="1"/>
  <c r="H50" i="5"/>
  <c r="M50" i="5" s="1"/>
  <c r="H42" i="5"/>
  <c r="M42" i="5" s="1"/>
  <c r="H37" i="5"/>
  <c r="M37" i="5" s="1"/>
  <c r="H29" i="5"/>
  <c r="M29" i="5" s="1"/>
  <c r="H21" i="5"/>
  <c r="M21" i="5" s="1"/>
  <c r="H13" i="5"/>
  <c r="M13" i="5" s="1"/>
  <c r="H5" i="5"/>
  <c r="M5" i="5" s="1"/>
  <c r="H63" i="5"/>
  <c r="M63" i="5" s="1"/>
  <c r="H55" i="5"/>
  <c r="M55" i="5" s="1"/>
  <c r="H49" i="5"/>
  <c r="M49" i="5" s="1"/>
  <c r="H41" i="5"/>
  <c r="H36" i="5"/>
  <c r="M36" i="5" s="1"/>
  <c r="H28" i="5"/>
  <c r="M28" i="5" s="1"/>
  <c r="H20" i="5"/>
  <c r="M20" i="5" s="1"/>
  <c r="H12" i="5"/>
  <c r="M12" i="5" s="1"/>
  <c r="H4" i="5"/>
  <c r="M4" i="5" s="1"/>
  <c r="H64" i="5"/>
  <c r="M64" i="5" s="1"/>
  <c r="H59" i="5"/>
  <c r="M59" i="5" s="1"/>
  <c r="H45" i="5"/>
  <c r="M45" i="5" s="1"/>
  <c r="H32" i="5"/>
  <c r="M32" i="5" s="1"/>
  <c r="H24" i="5"/>
  <c r="M24" i="5" s="1"/>
  <c r="H16" i="5"/>
  <c r="M16" i="5" s="1"/>
  <c r="H8" i="5"/>
  <c r="M8" i="5" s="1"/>
  <c r="N27" i="1"/>
  <c r="N19" i="1"/>
  <c r="N11" i="1"/>
  <c r="N3" i="1"/>
  <c r="N26" i="1"/>
  <c r="N18" i="1"/>
  <c r="N10" i="1"/>
  <c r="N9" i="1"/>
  <c r="N2" i="1"/>
  <c r="B14" i="10"/>
  <c r="M3" i="19" l="1"/>
  <c r="W21" i="24"/>
  <c r="E6" i="23"/>
  <c r="U21" i="24"/>
  <c r="C6" i="23"/>
  <c r="T21" i="24"/>
  <c r="B6" i="23"/>
  <c r="V21" i="24"/>
  <c r="D12" i="23"/>
  <c r="D6" i="23"/>
  <c r="F11" i="21"/>
  <c r="U2" i="1"/>
  <c r="P7" i="19"/>
  <c r="E25" i="7" s="1"/>
  <c r="T5" i="1"/>
  <c r="M41" i="5"/>
  <c r="T3" i="1"/>
  <c r="T27" i="1"/>
  <c r="T2" i="1"/>
  <c r="T9" i="1"/>
  <c r="T17" i="1"/>
  <c r="T19" i="1"/>
  <c r="T10" i="1"/>
  <c r="T25" i="1"/>
  <c r="T26" i="1"/>
  <c r="T8" i="1"/>
  <c r="T23" i="1"/>
  <c r="T15" i="1"/>
  <c r="T4" i="1"/>
  <c r="T20" i="1"/>
  <c r="T24" i="1"/>
  <c r="T18" i="1"/>
  <c r="M22" i="5"/>
  <c r="S22" i="5"/>
  <c r="U6" i="2"/>
  <c r="U7" i="2"/>
  <c r="U15" i="2"/>
  <c r="U4" i="2"/>
  <c r="U9" i="2"/>
  <c r="U11" i="2"/>
  <c r="U17" i="2"/>
  <c r="U13" i="2"/>
  <c r="U18" i="2"/>
  <c r="U10" i="2"/>
  <c r="U14" i="2"/>
  <c r="U12" i="2"/>
  <c r="U16" i="2"/>
  <c r="U5" i="2"/>
  <c r="P8" i="2"/>
  <c r="U8" i="2" s="1"/>
  <c r="N7" i="19"/>
  <c r="J19" i="24" s="1"/>
  <c r="M7" i="19"/>
  <c r="D4" i="3"/>
  <c r="D3" i="3"/>
  <c r="D2" i="3"/>
  <c r="C4" i="21" s="1"/>
  <c r="H28" i="1"/>
  <c r="M21" i="24" l="1"/>
  <c r="K21" i="24"/>
  <c r="L21" i="24"/>
  <c r="Q21" i="24"/>
  <c r="G21" i="24"/>
  <c r="E21" i="24"/>
  <c r="F21" i="24"/>
  <c r="L8" i="6"/>
  <c r="Q8" i="6" s="1"/>
  <c r="W19" i="24" s="1"/>
  <c r="AC19" i="24"/>
  <c r="F6" i="23"/>
  <c r="X21" i="24"/>
  <c r="B25" i="7"/>
  <c r="B19" i="24"/>
  <c r="C19" i="24"/>
  <c r="D19" i="24"/>
  <c r="C25" i="7"/>
  <c r="H19" i="24"/>
  <c r="I19" i="24"/>
  <c r="B4" i="21"/>
  <c r="H4" i="3"/>
  <c r="C4" i="3"/>
  <c r="C2" i="3"/>
  <c r="D7" i="21" s="1"/>
  <c r="D23" i="7" s="1"/>
  <c r="E4" i="21"/>
  <c r="H3" i="3"/>
  <c r="C3" i="3"/>
  <c r="B5" i="21"/>
  <c r="F5" i="21" s="1"/>
  <c r="K28" i="1"/>
  <c r="O28" i="1" s="1"/>
  <c r="J28" i="1"/>
  <c r="L28" i="1"/>
  <c r="M28" i="1"/>
  <c r="O33" i="5"/>
  <c r="N33" i="5"/>
  <c r="R33" i="5"/>
  <c r="S33" i="5"/>
  <c r="Q33" i="5"/>
  <c r="O14" i="5"/>
  <c r="S14" i="5"/>
  <c r="V14" i="5" s="1"/>
  <c r="R14" i="5"/>
  <c r="Q14" i="5"/>
  <c r="N14" i="5"/>
  <c r="Q43" i="5"/>
  <c r="R43" i="5"/>
  <c r="O43" i="5"/>
  <c r="S43" i="5"/>
  <c r="V43" i="5" s="1"/>
  <c r="N43" i="5"/>
  <c r="N57" i="5"/>
  <c r="S57" i="5"/>
  <c r="O57" i="5"/>
  <c r="R57" i="5"/>
  <c r="Q57" i="5"/>
  <c r="N32" i="5"/>
  <c r="R32" i="5"/>
  <c r="S32" i="5"/>
  <c r="O32" i="5"/>
  <c r="Q32" i="5"/>
  <c r="S13" i="5"/>
  <c r="V13" i="5" s="1"/>
  <c r="R13" i="5"/>
  <c r="Q13" i="5"/>
  <c r="N13" i="5"/>
  <c r="O13" i="5"/>
  <c r="Q44" i="5"/>
  <c r="S44" i="5"/>
  <c r="R44" i="5"/>
  <c r="O44" i="5"/>
  <c r="N44" i="5"/>
  <c r="Q58" i="5"/>
  <c r="N58" i="5"/>
  <c r="S58" i="5"/>
  <c r="V58" i="5" s="1"/>
  <c r="O58" i="5"/>
  <c r="R58" i="5"/>
  <c r="S20" i="5"/>
  <c r="V20" i="5" s="1"/>
  <c r="R20" i="5"/>
  <c r="O20" i="5"/>
  <c r="N20" i="5"/>
  <c r="Q20" i="5"/>
  <c r="O4" i="5"/>
  <c r="Q4" i="5"/>
  <c r="S4" i="5"/>
  <c r="R4" i="5"/>
  <c r="N4" i="5"/>
  <c r="S64" i="5"/>
  <c r="N64" i="5"/>
  <c r="Q64" i="5"/>
  <c r="R64" i="5"/>
  <c r="O64" i="5"/>
  <c r="S30" i="5"/>
  <c r="V30" i="5" s="1"/>
  <c r="O30" i="5"/>
  <c r="Q30" i="5"/>
  <c r="N30" i="5"/>
  <c r="R30" i="5"/>
  <c r="S3" i="5"/>
  <c r="R3" i="5"/>
  <c r="Q3" i="5"/>
  <c r="N3" i="5"/>
  <c r="O3" i="5"/>
  <c r="O60" i="5"/>
  <c r="N60" i="5"/>
  <c r="S60" i="5"/>
  <c r="R60" i="5"/>
  <c r="Q60" i="5"/>
  <c r="Q37" i="5"/>
  <c r="S37" i="5"/>
  <c r="R37" i="5"/>
  <c r="O37" i="5"/>
  <c r="N37" i="5"/>
  <c r="R18" i="5"/>
  <c r="N18" i="5"/>
  <c r="O18" i="5"/>
  <c r="S18" i="5"/>
  <c r="V18" i="5" s="1"/>
  <c r="Q18" i="5"/>
  <c r="O25" i="5"/>
  <c r="N25" i="5"/>
  <c r="S25" i="5"/>
  <c r="R25" i="5"/>
  <c r="Q25" i="5"/>
  <c r="R53" i="5"/>
  <c r="O53" i="5"/>
  <c r="Q53" i="5"/>
  <c r="N53" i="5"/>
  <c r="S53" i="5"/>
  <c r="R66" i="5"/>
  <c r="S66" i="5"/>
  <c r="V66" i="5" s="1"/>
  <c r="Q66" i="5"/>
  <c r="N66" i="5"/>
  <c r="O66" i="5"/>
  <c r="Q41" i="5"/>
  <c r="N41" i="5"/>
  <c r="O41" i="5"/>
  <c r="S41" i="5"/>
  <c r="V41" i="5" s="1"/>
  <c r="R41" i="5"/>
  <c r="S36" i="5"/>
  <c r="V36" i="5" s="1"/>
  <c r="R36" i="5"/>
  <c r="O36" i="5"/>
  <c r="Q36" i="5"/>
  <c r="N36" i="5"/>
  <c r="Q28" i="5"/>
  <c r="O28" i="5"/>
  <c r="R28" i="5"/>
  <c r="N28" i="5"/>
  <c r="S28" i="5"/>
  <c r="V28" i="5" s="1"/>
  <c r="O17" i="5"/>
  <c r="N17" i="5"/>
  <c r="R17" i="5"/>
  <c r="S17" i="5"/>
  <c r="Q17" i="5"/>
  <c r="O9" i="5"/>
  <c r="N9" i="5"/>
  <c r="S9" i="5"/>
  <c r="V9" i="5" s="1"/>
  <c r="Q9" i="5"/>
  <c r="R9" i="5"/>
  <c r="R26" i="5"/>
  <c r="O26" i="5"/>
  <c r="S26" i="5"/>
  <c r="Q26" i="5"/>
  <c r="N26" i="5"/>
  <c r="S48" i="5"/>
  <c r="R48" i="5"/>
  <c r="N48" i="5"/>
  <c r="O48" i="5"/>
  <c r="Q48" i="5"/>
  <c r="S54" i="5"/>
  <c r="V54" i="5" s="1"/>
  <c r="R54" i="5"/>
  <c r="O54" i="5"/>
  <c r="Q54" i="5"/>
  <c r="N54" i="5"/>
  <c r="S62" i="5"/>
  <c r="R62" i="5"/>
  <c r="O62" i="5"/>
  <c r="Q62" i="5"/>
  <c r="N62" i="5"/>
  <c r="S40" i="5"/>
  <c r="N40" i="5"/>
  <c r="O40" i="5"/>
  <c r="R40" i="5"/>
  <c r="Q40" i="5"/>
  <c r="S35" i="5"/>
  <c r="R35" i="5"/>
  <c r="O35" i="5"/>
  <c r="Q35" i="5"/>
  <c r="N35" i="5"/>
  <c r="S24" i="5"/>
  <c r="R24" i="5"/>
  <c r="O24" i="5"/>
  <c r="Q24" i="5"/>
  <c r="N24" i="5"/>
  <c r="O16" i="5"/>
  <c r="Q16" i="5"/>
  <c r="R16" i="5"/>
  <c r="S16" i="5"/>
  <c r="N16" i="5"/>
  <c r="S8" i="5"/>
  <c r="Q8" i="5"/>
  <c r="R8" i="5"/>
  <c r="O8" i="5"/>
  <c r="N8" i="5"/>
  <c r="S27" i="5"/>
  <c r="R27" i="5"/>
  <c r="O27" i="5"/>
  <c r="Q27" i="5"/>
  <c r="N27" i="5"/>
  <c r="N49" i="5"/>
  <c r="S49" i="5"/>
  <c r="Q49" i="5"/>
  <c r="R49" i="5"/>
  <c r="O49" i="5"/>
  <c r="Q55" i="5"/>
  <c r="R55" i="5"/>
  <c r="N55" i="5"/>
  <c r="S55" i="5"/>
  <c r="O55" i="5"/>
  <c r="R63" i="5"/>
  <c r="O63" i="5"/>
  <c r="Q63" i="5"/>
  <c r="S63" i="5"/>
  <c r="N63" i="5"/>
  <c r="N22" i="5"/>
  <c r="Q22" i="5"/>
  <c r="R22" i="5"/>
  <c r="V22" i="5" s="1"/>
  <c r="O22" i="5"/>
  <c r="O6" i="5"/>
  <c r="Q6" i="5"/>
  <c r="N6" i="5"/>
  <c r="R6" i="5"/>
  <c r="S6" i="5"/>
  <c r="S21" i="5"/>
  <c r="R21" i="5"/>
  <c r="N21" i="5"/>
  <c r="Q21" i="5"/>
  <c r="O21" i="5"/>
  <c r="O5" i="5"/>
  <c r="Q5" i="5"/>
  <c r="N5" i="5"/>
  <c r="R5" i="5"/>
  <c r="S5" i="5"/>
  <c r="Q51" i="5"/>
  <c r="R51" i="5"/>
  <c r="O51" i="5"/>
  <c r="N51" i="5"/>
  <c r="S51" i="5"/>
  <c r="Q31" i="5"/>
  <c r="N31" i="5"/>
  <c r="S31" i="5"/>
  <c r="O31" i="5"/>
  <c r="R31" i="5"/>
  <c r="S12" i="5"/>
  <c r="V12" i="5" s="1"/>
  <c r="R12" i="5"/>
  <c r="N12" i="5"/>
  <c r="O12" i="5"/>
  <c r="Q12" i="5"/>
  <c r="S45" i="5"/>
  <c r="R45" i="5"/>
  <c r="O45" i="5"/>
  <c r="Q45" i="5"/>
  <c r="N45" i="5"/>
  <c r="N59" i="5"/>
  <c r="R59" i="5"/>
  <c r="O59" i="5"/>
  <c r="S59" i="5"/>
  <c r="Q59" i="5"/>
  <c r="S38" i="5"/>
  <c r="R38" i="5"/>
  <c r="O38" i="5"/>
  <c r="N38" i="5"/>
  <c r="Q38" i="5"/>
  <c r="S19" i="5"/>
  <c r="Q19" i="5"/>
  <c r="N19" i="5"/>
  <c r="R19" i="5"/>
  <c r="O19" i="5"/>
  <c r="S11" i="5"/>
  <c r="R11" i="5"/>
  <c r="O11" i="5"/>
  <c r="N11" i="5"/>
  <c r="Q11" i="5"/>
  <c r="O46" i="5"/>
  <c r="N46" i="5"/>
  <c r="S46" i="5"/>
  <c r="R46" i="5"/>
  <c r="Q46" i="5"/>
  <c r="O52" i="5"/>
  <c r="N52" i="5"/>
  <c r="S52" i="5"/>
  <c r="R52" i="5"/>
  <c r="Q52" i="5"/>
  <c r="R65" i="5"/>
  <c r="S2" i="5"/>
  <c r="R2" i="5"/>
  <c r="O2" i="5"/>
  <c r="M2" i="5"/>
  <c r="N2" i="5"/>
  <c r="Q2" i="5"/>
  <c r="S29" i="5"/>
  <c r="R29" i="5"/>
  <c r="O29" i="5"/>
  <c r="N29" i="5"/>
  <c r="Q29" i="5"/>
  <c r="R10" i="5"/>
  <c r="S10" i="5"/>
  <c r="Q10" i="5"/>
  <c r="N10" i="5"/>
  <c r="O10" i="5"/>
  <c r="R47" i="5"/>
  <c r="S47" i="5"/>
  <c r="V47" i="5" s="1"/>
  <c r="O47" i="5"/>
  <c r="N47" i="5"/>
  <c r="Q47" i="5"/>
  <c r="R61" i="5"/>
  <c r="O61" i="5"/>
  <c r="N61" i="5"/>
  <c r="S61" i="5"/>
  <c r="Q61" i="5"/>
  <c r="R39" i="5"/>
  <c r="N39" i="5"/>
  <c r="Q39" i="5"/>
  <c r="O39" i="5"/>
  <c r="S39" i="5"/>
  <c r="V39" i="5" s="1"/>
  <c r="R34" i="5"/>
  <c r="Q34" i="5"/>
  <c r="N34" i="5"/>
  <c r="S34" i="5"/>
  <c r="O34" i="5"/>
  <c r="Q23" i="5"/>
  <c r="N23" i="5"/>
  <c r="R23" i="5"/>
  <c r="S23" i="5"/>
  <c r="V23" i="5" s="1"/>
  <c r="O23" i="5"/>
  <c r="Q15" i="5"/>
  <c r="O15" i="5"/>
  <c r="S15" i="5"/>
  <c r="V15" i="5" s="1"/>
  <c r="R15" i="5"/>
  <c r="N15" i="5"/>
  <c r="Q7" i="5"/>
  <c r="N7" i="5"/>
  <c r="R7" i="5"/>
  <c r="O7" i="5"/>
  <c r="S7" i="5"/>
  <c r="R42" i="5"/>
  <c r="O42" i="5"/>
  <c r="Q42" i="5"/>
  <c r="N42" i="5"/>
  <c r="S42" i="5"/>
  <c r="V42" i="5" s="1"/>
  <c r="N50" i="5"/>
  <c r="S50" i="5"/>
  <c r="Q50" i="5"/>
  <c r="R50" i="5"/>
  <c r="O50" i="5"/>
  <c r="S56" i="5"/>
  <c r="O56" i="5"/>
  <c r="N56" i="5"/>
  <c r="Q56" i="5"/>
  <c r="R56" i="5"/>
  <c r="P28" i="1"/>
  <c r="K6" i="6" l="1"/>
  <c r="P6" i="6" s="1"/>
  <c r="V3" i="24" s="1"/>
  <c r="AB3" i="24"/>
  <c r="I8" i="6"/>
  <c r="N8" i="6" s="1"/>
  <c r="T19" i="24" s="1"/>
  <c r="G19" i="24" s="1"/>
  <c r="Z19" i="24"/>
  <c r="F4" i="21"/>
  <c r="V50" i="5"/>
  <c r="V3" i="5"/>
  <c r="V34" i="5"/>
  <c r="V40" i="5"/>
  <c r="V27" i="5"/>
  <c r="V48" i="5"/>
  <c r="V8" i="5"/>
  <c r="V29" i="5"/>
  <c r="V21" i="5"/>
  <c r="V16" i="5"/>
  <c r="V64" i="5"/>
  <c r="V52" i="5"/>
  <c r="V11" i="5"/>
  <c r="V59" i="5"/>
  <c r="V5" i="5"/>
  <c r="V37" i="5"/>
  <c r="V4" i="5"/>
  <c r="V55" i="5"/>
  <c r="V25" i="5"/>
  <c r="V32" i="5"/>
  <c r="V31" i="5"/>
  <c r="V60" i="5"/>
  <c r="V44" i="5"/>
  <c r="V46" i="5"/>
  <c r="V19" i="5"/>
  <c r="V24" i="5"/>
  <c r="V7" i="5"/>
  <c r="V17" i="5"/>
  <c r="V53" i="5"/>
  <c r="V56" i="5"/>
  <c r="V51" i="5"/>
  <c r="V57" i="5"/>
  <c r="V61" i="5"/>
  <c r="V10" i="5"/>
  <c r="V45" i="5"/>
  <c r="V63" i="5"/>
  <c r="V49" i="5"/>
  <c r="V62" i="5"/>
  <c r="V33" i="5"/>
  <c r="V26" i="5"/>
  <c r="V38" i="5"/>
  <c r="V6" i="5"/>
  <c r="V35" i="5"/>
  <c r="J8" i="6"/>
  <c r="O8" i="6" s="1"/>
  <c r="U19" i="24" s="1"/>
  <c r="M19" i="24" s="1"/>
  <c r="AA19" i="24"/>
  <c r="V2" i="5"/>
  <c r="U2" i="5"/>
  <c r="X2" i="5" s="1"/>
  <c r="S28" i="1"/>
  <c r="Q28" i="1"/>
  <c r="J2" i="21" s="1"/>
  <c r="R28" i="1"/>
  <c r="P32" i="5"/>
  <c r="N28" i="1"/>
  <c r="U32" i="5"/>
  <c r="X32" i="5" s="1"/>
  <c r="P64" i="5"/>
  <c r="P11" i="5"/>
  <c r="P62" i="5"/>
  <c r="U52" i="5"/>
  <c r="X52" i="5" s="1"/>
  <c r="U23" i="5"/>
  <c r="X23" i="5" s="1"/>
  <c r="U29" i="5"/>
  <c r="X29" i="5" s="1"/>
  <c r="U62" i="5"/>
  <c r="X62" i="5" s="1"/>
  <c r="U25" i="5"/>
  <c r="X25" i="5" s="1"/>
  <c r="U4" i="5"/>
  <c r="X4" i="5" s="1"/>
  <c r="U21" i="5"/>
  <c r="X21" i="5" s="1"/>
  <c r="U3" i="5"/>
  <c r="X3" i="5" s="1"/>
  <c r="U60" i="5"/>
  <c r="X60" i="5" s="1"/>
  <c r="U57" i="5"/>
  <c r="X57" i="5" s="1"/>
  <c r="U18" i="5"/>
  <c r="X18" i="5" s="1"/>
  <c r="U8" i="5"/>
  <c r="X8" i="5" s="1"/>
  <c r="P23" i="5"/>
  <c r="U38" i="5"/>
  <c r="X38" i="5" s="1"/>
  <c r="U36" i="5"/>
  <c r="X36" i="5" s="1"/>
  <c r="P50" i="5"/>
  <c r="U45" i="5"/>
  <c r="X45" i="5" s="1"/>
  <c r="U37" i="5"/>
  <c r="X37" i="5" s="1"/>
  <c r="U46" i="5"/>
  <c r="X46" i="5" s="1"/>
  <c r="T17" i="5"/>
  <c r="U17" i="5"/>
  <c r="X17" i="5" s="1"/>
  <c r="U49" i="5"/>
  <c r="X49" i="5" s="1"/>
  <c r="T7" i="5"/>
  <c r="U7" i="5"/>
  <c r="X7" i="5" s="1"/>
  <c r="P63" i="5"/>
  <c r="P55" i="5"/>
  <c r="P27" i="5"/>
  <c r="P16" i="5"/>
  <c r="T28" i="5"/>
  <c r="U28" i="5"/>
  <c r="X28" i="5" s="1"/>
  <c r="T53" i="5"/>
  <c r="U53" i="5"/>
  <c r="X53" i="5" s="1"/>
  <c r="T43" i="5"/>
  <c r="U43" i="5"/>
  <c r="X43" i="5" s="1"/>
  <c r="T14" i="5"/>
  <c r="U14" i="5"/>
  <c r="X14" i="5" s="1"/>
  <c r="T61" i="5"/>
  <c r="U61" i="5"/>
  <c r="X61" i="5" s="1"/>
  <c r="T16" i="5"/>
  <c r="U16" i="5"/>
  <c r="X16" i="5" s="1"/>
  <c r="T48" i="5"/>
  <c r="U48" i="5"/>
  <c r="X48" i="5" s="1"/>
  <c r="U24" i="5"/>
  <c r="X24" i="5" s="1"/>
  <c r="U56" i="5"/>
  <c r="X56" i="5" s="1"/>
  <c r="U42" i="5"/>
  <c r="X42" i="5" s="1"/>
  <c r="U34" i="5"/>
  <c r="X34" i="5" s="1"/>
  <c r="T2" i="5"/>
  <c r="T11" i="5"/>
  <c r="U11" i="5"/>
  <c r="X11" i="5" s="1"/>
  <c r="P38" i="5"/>
  <c r="T22" i="5"/>
  <c r="U22" i="5"/>
  <c r="X22" i="5" s="1"/>
  <c r="P48" i="5"/>
  <c r="T26" i="5"/>
  <c r="U26" i="5"/>
  <c r="X26" i="5" s="1"/>
  <c r="T30" i="5"/>
  <c r="U30" i="5"/>
  <c r="X30" i="5" s="1"/>
  <c r="U20" i="5"/>
  <c r="X20" i="5" s="1"/>
  <c r="U13" i="5"/>
  <c r="X13" i="5" s="1"/>
  <c r="T40" i="5"/>
  <c r="U40" i="5"/>
  <c r="X40" i="5" s="1"/>
  <c r="T27" i="5"/>
  <c r="U27" i="5"/>
  <c r="X27" i="5" s="1"/>
  <c r="T41" i="5"/>
  <c r="U41" i="5"/>
  <c r="X41" i="5" s="1"/>
  <c r="T39" i="5"/>
  <c r="U39" i="5"/>
  <c r="X39" i="5" s="1"/>
  <c r="T31" i="5"/>
  <c r="U31" i="5"/>
  <c r="X31" i="5" s="1"/>
  <c r="U5" i="5"/>
  <c r="X5" i="5" s="1"/>
  <c r="T6" i="5"/>
  <c r="U6" i="5"/>
  <c r="X6" i="5" s="1"/>
  <c r="P54" i="5"/>
  <c r="P26" i="5"/>
  <c r="P66" i="5"/>
  <c r="P37" i="5"/>
  <c r="U58" i="5"/>
  <c r="X58" i="5" s="1"/>
  <c r="U44" i="5"/>
  <c r="X44" i="5" s="1"/>
  <c r="T33" i="5"/>
  <c r="U33" i="5"/>
  <c r="X33" i="5" s="1"/>
  <c r="T10" i="5"/>
  <c r="U10" i="5"/>
  <c r="X10" i="5" s="1"/>
  <c r="P12" i="5"/>
  <c r="P51" i="5"/>
  <c r="P20" i="5"/>
  <c r="P13" i="5"/>
  <c r="T50" i="5"/>
  <c r="U50" i="5"/>
  <c r="X50" i="5" s="1"/>
  <c r="T51" i="5"/>
  <c r="U51" i="5"/>
  <c r="X51" i="5" s="1"/>
  <c r="T55" i="5"/>
  <c r="U55" i="5"/>
  <c r="X55" i="5" s="1"/>
  <c r="T35" i="5"/>
  <c r="U35" i="5"/>
  <c r="X35" i="5" s="1"/>
  <c r="T47" i="5"/>
  <c r="U47" i="5"/>
  <c r="X47" i="5" s="1"/>
  <c r="T66" i="5"/>
  <c r="U66" i="5"/>
  <c r="X66" i="5" s="1"/>
  <c r="U64" i="5"/>
  <c r="X64" i="5" s="1"/>
  <c r="U15" i="5"/>
  <c r="X15" i="5" s="1"/>
  <c r="P39" i="5"/>
  <c r="P29" i="5"/>
  <c r="U19" i="5"/>
  <c r="X19" i="5" s="1"/>
  <c r="T59" i="5"/>
  <c r="U59" i="5"/>
  <c r="X59" i="5" s="1"/>
  <c r="U12" i="5"/>
  <c r="X12" i="5" s="1"/>
  <c r="U63" i="5"/>
  <c r="X63" i="5" s="1"/>
  <c r="U54" i="5"/>
  <c r="X54" i="5" s="1"/>
  <c r="U9" i="5"/>
  <c r="X9" i="5" s="1"/>
  <c r="T38" i="5"/>
  <c r="T21" i="5"/>
  <c r="P35" i="5"/>
  <c r="T44" i="5"/>
  <c r="P56" i="5"/>
  <c r="P28" i="5"/>
  <c r="T36" i="5"/>
  <c r="P25" i="5"/>
  <c r="T60" i="5"/>
  <c r="T3" i="5"/>
  <c r="P58" i="5"/>
  <c r="T57" i="5"/>
  <c r="P42" i="5"/>
  <c r="P7" i="5"/>
  <c r="P34" i="5"/>
  <c r="P61" i="5"/>
  <c r="P10" i="5"/>
  <c r="P59" i="5"/>
  <c r="T45" i="5"/>
  <c r="P24" i="5"/>
  <c r="P53" i="5"/>
  <c r="T32" i="5"/>
  <c r="P57" i="5"/>
  <c r="P47" i="5"/>
  <c r="P40" i="5"/>
  <c r="P9" i="5"/>
  <c r="T13" i="5"/>
  <c r="T8" i="5"/>
  <c r="T58" i="5"/>
  <c r="T12" i="5"/>
  <c r="T34" i="5"/>
  <c r="T46" i="5"/>
  <c r="T49" i="5"/>
  <c r="T18" i="5"/>
  <c r="P60" i="5"/>
  <c r="P14" i="5"/>
  <c r="P15" i="5"/>
  <c r="P52" i="5"/>
  <c r="T25" i="5"/>
  <c r="T20" i="5"/>
  <c r="P2" i="5"/>
  <c r="T15" i="5"/>
  <c r="T19" i="5"/>
  <c r="T56" i="5"/>
  <c r="P6" i="5"/>
  <c r="T52" i="5"/>
  <c r="P19" i="5"/>
  <c r="T5" i="5"/>
  <c r="P21" i="5"/>
  <c r="P22" i="5"/>
  <c r="P49" i="5"/>
  <c r="T24" i="5"/>
  <c r="P36" i="5"/>
  <c r="T37" i="5"/>
  <c r="T64" i="5"/>
  <c r="P4" i="5"/>
  <c r="P44" i="5"/>
  <c r="T62" i="5"/>
  <c r="T4" i="5"/>
  <c r="P45" i="5"/>
  <c r="T42" i="5"/>
  <c r="T23" i="5"/>
  <c r="T29" i="5"/>
  <c r="P46" i="5"/>
  <c r="P31" i="5"/>
  <c r="P5" i="5"/>
  <c r="T63" i="5"/>
  <c r="P8" i="5"/>
  <c r="T54" i="5"/>
  <c r="T9" i="5"/>
  <c r="P17" i="5"/>
  <c r="P41" i="5"/>
  <c r="P18" i="5"/>
  <c r="P3" i="5"/>
  <c r="P30" i="5"/>
  <c r="P43" i="5"/>
  <c r="P33" i="5"/>
  <c r="K19" i="24" l="1"/>
  <c r="L19" i="24"/>
  <c r="F19" i="24"/>
  <c r="E19" i="24"/>
  <c r="K2" i="21"/>
  <c r="K6" i="21" s="1"/>
  <c r="J6" i="21"/>
  <c r="B12" i="21"/>
  <c r="W32" i="5"/>
  <c r="W2" i="5"/>
  <c r="E3" i="21"/>
  <c r="E7" i="21" s="1"/>
  <c r="E23" i="7" s="1"/>
  <c r="E12" i="21"/>
  <c r="E13" i="21" s="1"/>
  <c r="U28" i="1"/>
  <c r="C3" i="21" s="1"/>
  <c r="C7" i="21" s="1"/>
  <c r="C23" i="7" s="1"/>
  <c r="C12" i="21"/>
  <c r="W64" i="5"/>
  <c r="W34" i="5"/>
  <c r="M65" i="5"/>
  <c r="Q65" i="5"/>
  <c r="S65" i="5"/>
  <c r="V65" i="5" s="1"/>
  <c r="E8" i="23" s="1"/>
  <c r="E9" i="23" s="1"/>
  <c r="O65" i="5"/>
  <c r="S7" i="24" s="1"/>
  <c r="J5" i="23" s="1"/>
  <c r="K5" i="23" s="1"/>
  <c r="N65" i="5"/>
  <c r="R7" i="24" s="1"/>
  <c r="J3" i="23" s="1"/>
  <c r="K3" i="23" s="1"/>
  <c r="T28" i="1"/>
  <c r="W62" i="5"/>
  <c r="W11" i="5"/>
  <c r="W23" i="5"/>
  <c r="W25" i="5"/>
  <c r="W58" i="5"/>
  <c r="W38" i="5"/>
  <c r="W27" i="5"/>
  <c r="W56" i="5"/>
  <c r="W48" i="5"/>
  <c r="W21" i="5"/>
  <c r="W50" i="5"/>
  <c r="W60" i="5"/>
  <c r="W52" i="5"/>
  <c r="W37" i="5"/>
  <c r="W63" i="5"/>
  <c r="W4" i="5"/>
  <c r="W24" i="5"/>
  <c r="W12" i="5"/>
  <c r="W9" i="5"/>
  <c r="W66" i="5"/>
  <c r="W51" i="5"/>
  <c r="W29" i="5"/>
  <c r="W26" i="5"/>
  <c r="W54" i="5"/>
  <c r="W42" i="5"/>
  <c r="W20" i="5"/>
  <c r="W46" i="5"/>
  <c r="W3" i="5"/>
  <c r="W31" i="5"/>
  <c r="W16" i="5"/>
  <c r="W47" i="5"/>
  <c r="W10" i="5"/>
  <c r="W40" i="5"/>
  <c r="W53" i="5"/>
  <c r="W19" i="5"/>
  <c r="W8" i="5"/>
  <c r="W35" i="5"/>
  <c r="W22" i="5"/>
  <c r="W7" i="5"/>
  <c r="W43" i="5"/>
  <c r="W36" i="5"/>
  <c r="W13" i="5"/>
  <c r="W33" i="5"/>
  <c r="W39" i="5"/>
  <c r="W61" i="5"/>
  <c r="W28" i="5"/>
  <c r="W59" i="5"/>
  <c r="W5" i="5"/>
  <c r="W15" i="5"/>
  <c r="W18" i="5"/>
  <c r="W57" i="5"/>
  <c r="W44" i="5"/>
  <c r="W55" i="5"/>
  <c r="W6" i="5"/>
  <c r="W49" i="5"/>
  <c r="W45" i="5"/>
  <c r="W41" i="5"/>
  <c r="W30" i="5"/>
  <c r="W14" i="5"/>
  <c r="W17" i="5"/>
  <c r="O6" i="19"/>
  <c r="O7" i="19" s="1"/>
  <c r="D25" i="7" s="1"/>
  <c r="B13" i="21" l="1"/>
  <c r="D3" i="24" s="1"/>
  <c r="AC3" i="24"/>
  <c r="L6" i="6"/>
  <c r="Q6" i="6" s="1"/>
  <c r="E12" i="23"/>
  <c r="W7" i="24"/>
  <c r="K8" i="6"/>
  <c r="P8" i="6" s="1"/>
  <c r="D3" i="23" s="1"/>
  <c r="AB19" i="24"/>
  <c r="W3" i="24"/>
  <c r="E14" i="23"/>
  <c r="E3" i="23"/>
  <c r="V19" i="24"/>
  <c r="X19" i="24" s="1"/>
  <c r="D14" i="23"/>
  <c r="D16" i="23" s="1"/>
  <c r="J6" i="6"/>
  <c r="O6" i="6" s="1"/>
  <c r="C2" i="23" s="1"/>
  <c r="AA3" i="24"/>
  <c r="C13" i="21"/>
  <c r="J3" i="24" s="1"/>
  <c r="F12" i="21"/>
  <c r="F13" i="21" s="1"/>
  <c r="B3" i="24"/>
  <c r="C3" i="24"/>
  <c r="B3" i="21"/>
  <c r="T65" i="5"/>
  <c r="Q7" i="24" s="1"/>
  <c r="J2" i="23" s="1"/>
  <c r="U65" i="5"/>
  <c r="X65" i="5" s="1"/>
  <c r="P65" i="5"/>
  <c r="AC7" i="24" l="1"/>
  <c r="E21" i="23"/>
  <c r="E22" i="23" s="1"/>
  <c r="F2" i="23"/>
  <c r="K2" i="23"/>
  <c r="K6" i="23" s="1"/>
  <c r="J6" i="23"/>
  <c r="U7" i="24"/>
  <c r="C8" i="23"/>
  <c r="C12" i="23"/>
  <c r="E16" i="23"/>
  <c r="U3" i="24"/>
  <c r="M3" i="24" s="1"/>
  <c r="C14" i="23"/>
  <c r="C3" i="23"/>
  <c r="C9" i="23" s="1"/>
  <c r="B7" i="21"/>
  <c r="B23" i="7" s="1"/>
  <c r="F3" i="21"/>
  <c r="F7" i="21" s="1"/>
  <c r="H3" i="24"/>
  <c r="I3" i="24"/>
  <c r="W65" i="5"/>
  <c r="AA7" i="24" l="1"/>
  <c r="K7" i="24"/>
  <c r="M7" i="24"/>
  <c r="L7" i="24"/>
  <c r="C21" i="23"/>
  <c r="L3" i="24"/>
  <c r="C20" i="23" s="1"/>
  <c r="K3" i="24"/>
  <c r="C19" i="23" s="1"/>
  <c r="C16" i="23"/>
  <c r="Z3" i="24"/>
  <c r="I6" i="6"/>
  <c r="N6" i="6" s="1"/>
  <c r="B14" i="23" s="1"/>
  <c r="T7" i="24"/>
  <c r="B8" i="23"/>
  <c r="F8" i="23" s="1"/>
  <c r="B12" i="23"/>
  <c r="F12" i="23" s="1"/>
  <c r="C22" i="23" l="1"/>
  <c r="E7" i="24"/>
  <c r="F7" i="24"/>
  <c r="G7" i="24"/>
  <c r="X7" i="24"/>
  <c r="Z7" i="24"/>
  <c r="B3" i="23"/>
  <c r="B9" i="23" s="1"/>
  <c r="T3" i="24"/>
  <c r="X3" i="24" s="1"/>
  <c r="B16" i="23"/>
  <c r="F14" i="23"/>
  <c r="F16" i="23" s="1"/>
  <c r="F3" i="23" l="1"/>
  <c r="F9" i="23" s="1"/>
  <c r="AF24" i="24"/>
  <c r="AF16" i="24"/>
  <c r="F3" i="24"/>
  <c r="B20" i="23" s="1"/>
  <c r="F20" i="23" s="1"/>
  <c r="G3" i="24"/>
  <c r="B21" i="23" s="1"/>
  <c r="F21" i="23" s="1"/>
  <c r="E3" i="24"/>
  <c r="B19" i="23" s="1"/>
  <c r="AF13" i="24"/>
  <c r="AF9" i="24"/>
  <c r="AF14" i="24"/>
  <c r="AF12" i="24"/>
  <c r="AF2" i="24"/>
  <c r="AG2" i="24" s="1"/>
  <c r="AF35" i="24"/>
  <c r="AF26" i="24"/>
  <c r="AF30" i="24"/>
  <c r="AF3" i="24"/>
  <c r="AF38" i="24"/>
  <c r="AF5" i="24"/>
  <c r="AF37" i="24"/>
  <c r="AF15" i="24"/>
  <c r="AF29" i="24"/>
  <c r="AF32" i="24"/>
  <c r="AF27" i="24"/>
  <c r="AF23" i="24"/>
  <c r="AF7" i="24"/>
  <c r="AF11" i="24"/>
  <c r="AF34" i="24"/>
  <c r="AF20" i="24"/>
  <c r="AF8" i="24"/>
  <c r="AF4" i="24"/>
  <c r="AF25" i="24"/>
  <c r="AF10" i="24"/>
  <c r="AF31" i="24"/>
  <c r="AF21" i="24"/>
  <c r="AF18" i="24"/>
  <c r="AF6" i="24"/>
  <c r="AF22" i="24"/>
  <c r="AF36" i="24"/>
  <c r="AF19" i="24"/>
  <c r="AF28" i="24"/>
  <c r="AF17" i="24"/>
  <c r="AF33" i="24"/>
  <c r="B22" i="23" l="1"/>
  <c r="F19" i="23"/>
  <c r="F22" i="23" s="1"/>
  <c r="AG3" i="24"/>
  <c r="AG4" i="24" s="1"/>
  <c r="AG5" i="24" s="1"/>
  <c r="AG6" i="24" s="1"/>
  <c r="AG7" i="24" s="1"/>
  <c r="AG8" i="24" s="1"/>
  <c r="AG9" i="24" s="1"/>
  <c r="AG10" i="24" s="1"/>
  <c r="AG11" i="24" s="1"/>
  <c r="AG12" i="24" s="1"/>
  <c r="AG13" i="24" s="1"/>
  <c r="AG14" i="24" s="1"/>
  <c r="AG15" i="24" s="1"/>
  <c r="AG16" i="24" s="1"/>
  <c r="AG17" i="24" s="1"/>
  <c r="AG18" i="24" s="1"/>
  <c r="AG19" i="24" s="1"/>
  <c r="AG20" i="24" s="1"/>
  <c r="AG21" i="24" s="1"/>
  <c r="AG22" i="24" s="1"/>
  <c r="AG23" i="24" s="1"/>
  <c r="AG24" i="24" s="1"/>
  <c r="AG25" i="24" s="1"/>
  <c r="AG26" i="24" s="1"/>
  <c r="AG27" i="24" s="1"/>
  <c r="AG28" i="24" s="1"/>
  <c r="AG29" i="24" s="1"/>
  <c r="AG30" i="24" s="1"/>
  <c r="AG31" i="24" s="1"/>
  <c r="AG32" i="24" s="1"/>
  <c r="AG33" i="24" s="1"/>
  <c r="AG34" i="24" s="1"/>
  <c r="AG35" i="24" s="1"/>
  <c r="AG36" i="24" s="1"/>
  <c r="AG37" i="24" s="1"/>
  <c r="AG38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tc={AA2804F1-32FD-4AB9-B13D-91BEDEFF60DF}</author>
  </authors>
  <commentList>
    <comment ref="Q29" authorId="0" shapeId="0" xr:uid="{AA2804F1-32FD-4AB9-B13D-91BEDEFF60DF}">
      <text>
        <t>[Threaded comment]
Your version of Excel allows you to read this threaded comment; however, any edits to it will get removed if the file is opened in a newer version of Excel. Learn more: https://go.microsoft.com/fwlink/?linkid=870924
Comment:
    Fator de emissão acetileno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tc={9167B49B-0025-4CE0-8289-79825DC4646F}</author>
  </authors>
  <commentList>
    <comment ref="G5" authorId="0" shapeId="0" xr:uid="{9167B49B-0025-4CE0-8289-79825DC4646F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Entender depois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tc={C2C86F19-E022-4044-9A3A-19738039DF79}</author>
  </authors>
  <commentList>
    <comment ref="A12" authorId="0" shapeId="0" xr:uid="{C2C86F19-E022-4044-9A3A-19738039DF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Pesado (marítimo)</t>
      </text>
    </comment>
  </commentList>
</comments>
</file>

<file path=xl/sharedStrings.xml><?xml version="1.0" encoding="utf-8"?>
<sst xmlns="http://schemas.openxmlformats.org/spreadsheetml/2006/main" count="3025" uniqueCount="1010">
  <si>
    <t>Categoria Inv. GEE</t>
  </si>
  <si>
    <t>Área</t>
  </si>
  <si>
    <t>Combustível (Nomenclatura Inv. GEE)</t>
  </si>
  <si>
    <t>Combustível (Nomenclatura Pegada de Carbono)</t>
  </si>
  <si>
    <t>Consumo</t>
  </si>
  <si>
    <t>Unidade de medida</t>
  </si>
  <si>
    <t>Emissões CO2 (kgCO2)</t>
  </si>
  <si>
    <t>Emissões CO2 - biogênico (kgCO2)</t>
  </si>
  <si>
    <t>Emissões CH4 (kgCH4)</t>
  </si>
  <si>
    <t>Emissões N2O (kgN2O)</t>
  </si>
  <si>
    <t>Emissões Fósseis Combustão (tCO2e)</t>
  </si>
  <si>
    <t>Consumo (kg)</t>
  </si>
  <si>
    <t>Tipo Dado / Confiabilidade do Dado</t>
  </si>
  <si>
    <t>Incerteza na coleta de dados</t>
  </si>
  <si>
    <t>(Emissões calculadas * Incerteza)2</t>
  </si>
  <si>
    <t>(Emissões biogênicas calculadas * Incerteza)2</t>
  </si>
  <si>
    <t>Rastreabilidade</t>
  </si>
  <si>
    <t>Unidade</t>
  </si>
  <si>
    <t>BUR</t>
  </si>
  <si>
    <t>Móvel</t>
  </si>
  <si>
    <t>RMC</t>
  </si>
  <si>
    <t>INH</t>
  </si>
  <si>
    <t>APOIO/MANUT/ADM</t>
  </si>
  <si>
    <t>SILVICULTURA</t>
  </si>
  <si>
    <t>CARVOARIA</t>
  </si>
  <si>
    <t>TRANSP. LENHA</t>
  </si>
  <si>
    <t>MÁQUINAS FLOREST</t>
  </si>
  <si>
    <t>CAVACO</t>
  </si>
  <si>
    <t>PROD. CARVÃO TERCEIRIZADA</t>
  </si>
  <si>
    <t>Estacionária</t>
  </si>
  <si>
    <t>Acetileno para Soldas</t>
  </si>
  <si>
    <t>Gasolina Automotiva</t>
  </si>
  <si>
    <t>Óleo Diesel</t>
  </si>
  <si>
    <t>Acetileno</t>
  </si>
  <si>
    <t>kg</t>
  </si>
  <si>
    <t>Unidade Florestal</t>
  </si>
  <si>
    <t>Teor de CaO (%)</t>
  </si>
  <si>
    <t>Teor de MgO (%)</t>
  </si>
  <si>
    <t>Quantidade utilizada</t>
  </si>
  <si>
    <t>Quantidade de equivalência em carbonato de cálcio aplicada (kg)</t>
  </si>
  <si>
    <t>Quantidade de N aplicada (kg)</t>
  </si>
  <si>
    <t>Emissões kgCO2</t>
  </si>
  <si>
    <t>Emissões kgN2O</t>
  </si>
  <si>
    <t>Emissões Uso tCO2e</t>
  </si>
  <si>
    <t>Emissões totais tCO2e</t>
  </si>
  <si>
    <t>Fertilizante</t>
  </si>
  <si>
    <t>Fertilizante Nitrogenado ou Ureia</t>
  </si>
  <si>
    <t>Teor de Nitrogênio (%)</t>
  </si>
  <si>
    <t>Calcário Calcítico ou Dolomítico</t>
  </si>
  <si>
    <t>Quantidade</t>
  </si>
  <si>
    <t>Classificação</t>
  </si>
  <si>
    <t>Observação</t>
  </si>
  <si>
    <t>NPK 15-10-20</t>
  </si>
  <si>
    <t>Nitrogenado</t>
  </si>
  <si>
    <t>N/A</t>
  </si>
  <si>
    <t>ton</t>
  </si>
  <si>
    <t>Insumo ou matéria prima</t>
  </si>
  <si>
    <t>KCl</t>
  </si>
  <si>
    <t>NPK 07-19-19</t>
  </si>
  <si>
    <t>Sulfugran 90</t>
  </si>
  <si>
    <t xml:space="preserve">Ureia </t>
  </si>
  <si>
    <t>Ureia</t>
  </si>
  <si>
    <t>NPK 13-00-34</t>
  </si>
  <si>
    <t>Calcário</t>
  </si>
  <si>
    <t>Super Fosfato Simples</t>
  </si>
  <si>
    <t>Calcítico</t>
  </si>
  <si>
    <t>Microsilica</t>
  </si>
  <si>
    <t>NPK 15-00-30</t>
  </si>
  <si>
    <t>Quantidade para cálculo (kg)</t>
  </si>
  <si>
    <t>Florestal REV_240820_Coleta_de_dados_LCA_FeSiMg</t>
  </si>
  <si>
    <t>Consumo - Jan</t>
  </si>
  <si>
    <t>Consumo - Fev</t>
  </si>
  <si>
    <t>Consumo - Mar</t>
  </si>
  <si>
    <t>Consumo - Abr</t>
  </si>
  <si>
    <t>Consumo - Mai</t>
  </si>
  <si>
    <t>Consumo - Jun</t>
  </si>
  <si>
    <t>Emissões tCO2e - Jan</t>
  </si>
  <si>
    <t>Emissões tCO2e - Fev</t>
  </si>
  <si>
    <t>Emissões tCO2e - Mar</t>
  </si>
  <si>
    <t>Emissões tCO2e - Abr</t>
  </si>
  <si>
    <t>Emissões tCO2e - Mai</t>
  </si>
  <si>
    <t>Emissões tCO2e - Jun</t>
  </si>
  <si>
    <t>Emissões totais 
(tCO2e)</t>
  </si>
  <si>
    <t>Total</t>
  </si>
  <si>
    <t>Janeiro</t>
  </si>
  <si>
    <t>kWh</t>
  </si>
  <si>
    <t>Fevereiro</t>
  </si>
  <si>
    <t>Março</t>
  </si>
  <si>
    <t>Abril</t>
  </si>
  <si>
    <t>Maio</t>
  </si>
  <si>
    <t>Junho</t>
  </si>
  <si>
    <t>INH (100% Energia Solar)</t>
  </si>
  <si>
    <t>Rendimento Gravimétrico (%)</t>
  </si>
  <si>
    <t>Produção de Carvão Vegetal</t>
  </si>
  <si>
    <t>Produto Principal</t>
  </si>
  <si>
    <t>Unidade Operacional</t>
  </si>
  <si>
    <t>Emissões de uso - fóssil (tCO2e)</t>
  </si>
  <si>
    <t>Emissões de uso - biogênico (tCO2e)</t>
  </si>
  <si>
    <t>Emissões fósseis de produção (tCO2e)</t>
  </si>
  <si>
    <t>Emissões fósseis totais (tCO2e)</t>
  </si>
  <si>
    <r>
      <t>(Emissões calculadas * Incerteza)</t>
    </r>
    <r>
      <rPr>
        <b/>
        <vertAlign val="superscript"/>
        <sz val="11"/>
        <color theme="0"/>
        <rFont val="Aptos Narrow"/>
        <family val="2"/>
        <scheme val="minor"/>
      </rPr>
      <t>2</t>
    </r>
  </si>
  <si>
    <r>
      <t>(Emissões biogênicas calculadas * Incerteza)</t>
    </r>
    <r>
      <rPr>
        <b/>
        <vertAlign val="superscript"/>
        <sz val="11"/>
        <color theme="0"/>
        <rFont val="Aptos Narrow"/>
        <family val="2"/>
        <scheme val="minor"/>
      </rPr>
      <t>2</t>
    </r>
  </si>
  <si>
    <t>Tipo de transporte</t>
  </si>
  <si>
    <t>Resíduo</t>
  </si>
  <si>
    <t>Moinha BUR - Saída</t>
  </si>
  <si>
    <t>Moinha RMC - Saída</t>
  </si>
  <si>
    <t>Insumo</t>
  </si>
  <si>
    <t>Fornecedor</t>
  </si>
  <si>
    <t>litros</t>
  </si>
  <si>
    <t>Recicla - Itauna</t>
  </si>
  <si>
    <t>Quartzo</t>
  </si>
  <si>
    <t>Mineração Rima</t>
  </si>
  <si>
    <t>Mineração Fazenda Dos Borges</t>
  </si>
  <si>
    <t>Elkem</t>
  </si>
  <si>
    <t>TAKONO</t>
  </si>
  <si>
    <t>Ciafal</t>
  </si>
  <si>
    <t>Santa Clara</t>
  </si>
  <si>
    <t>BC Refratários</t>
  </si>
  <si>
    <t>Togni</t>
  </si>
  <si>
    <t>White Martins</t>
  </si>
  <si>
    <t xml:space="preserve">Multibag </t>
  </si>
  <si>
    <t>BIOSAN</t>
  </si>
  <si>
    <t>Ácido fluorídrico</t>
  </si>
  <si>
    <t>TE 302</t>
  </si>
  <si>
    <t>Sigma-Aldrich</t>
  </si>
  <si>
    <t>Consumo Mg metálico</t>
  </si>
  <si>
    <t>Rima Industrial S/A - Bocaiúva</t>
  </si>
  <si>
    <t>Consumo de Cálcio Metálico</t>
  </si>
  <si>
    <t>Shangai / China</t>
  </si>
  <si>
    <t>Consumo Mischmetal</t>
  </si>
  <si>
    <t>Consumo Lantânio</t>
  </si>
  <si>
    <t>Consumo Sucata de Aço</t>
  </si>
  <si>
    <t>Hipoclorito de sódio</t>
  </si>
  <si>
    <t>ADUBOS REAL S.A</t>
  </si>
  <si>
    <t>ICL AMERICA DO SUL S.A</t>
  </si>
  <si>
    <t>RIMA BCV</t>
  </si>
  <si>
    <t>RIMA CAP</t>
  </si>
  <si>
    <t>GASOLINA</t>
  </si>
  <si>
    <t>VIBRA</t>
  </si>
  <si>
    <t>DIESEL</t>
  </si>
  <si>
    <t>WHITE MCL</t>
  </si>
  <si>
    <t>Rodoviário</t>
  </si>
  <si>
    <t>Marítimo</t>
  </si>
  <si>
    <t>Porto - Rio de Janeiro</t>
  </si>
  <si>
    <t>-</t>
  </si>
  <si>
    <t>Coleta_de_dados_LCA_INO 2024.10v</t>
  </si>
  <si>
    <t>Fonte do Fator de Emissão</t>
  </si>
  <si>
    <t>Nome RIMA</t>
  </si>
  <si>
    <t>Energia hidroelétrica</t>
  </si>
  <si>
    <t>Fornos elétricos</t>
  </si>
  <si>
    <t>Serviço Auxiliar</t>
  </si>
  <si>
    <t>Máquinas para processamento e serviços</t>
  </si>
  <si>
    <t>Consumo de carvão</t>
  </si>
  <si>
    <t>Consumo de carepa</t>
  </si>
  <si>
    <t>Consumo de quartzo</t>
  </si>
  <si>
    <t>Consumo de calcário</t>
  </si>
  <si>
    <t>Consumo de pasta eletrodódica</t>
  </si>
  <si>
    <t>Consumo de aço</t>
  </si>
  <si>
    <t>Consumo de vergalhão</t>
  </si>
  <si>
    <t>Consumo de tubo trefilado</t>
  </si>
  <si>
    <t>Consumo de concreto refratário</t>
  </si>
  <si>
    <t>Consumo de placa refratária</t>
  </si>
  <si>
    <t>Consumo de pasta de revestimento a frio</t>
  </si>
  <si>
    <t>Consumo de argamassa</t>
  </si>
  <si>
    <t>Consumo de oxigênio</t>
  </si>
  <si>
    <t>Consumo de argônio</t>
  </si>
  <si>
    <t>Laboratório</t>
  </si>
  <si>
    <t>Consumo de ácido nítrico</t>
  </si>
  <si>
    <t>Consumo de ácido fluorídrico</t>
  </si>
  <si>
    <t>Consumo de ácido clorídrico</t>
  </si>
  <si>
    <t>Consumo de água industrial</t>
  </si>
  <si>
    <t>Etapa Industrial</t>
  </si>
  <si>
    <t>Finos de carvão do peneiramento</t>
  </si>
  <si>
    <t>Microssílica</t>
  </si>
  <si>
    <t>Escória</t>
  </si>
  <si>
    <t>Finos de quartzo</t>
  </si>
  <si>
    <t>Particulados</t>
  </si>
  <si>
    <t>FeSi 50</t>
  </si>
  <si>
    <t>Consumo FeSi 50</t>
  </si>
  <si>
    <t>Metalurgia de Panela</t>
  </si>
  <si>
    <t>Consumo Big-Bags</t>
  </si>
  <si>
    <t>FeSiMg</t>
  </si>
  <si>
    <t>Raspa de FeSiMg</t>
  </si>
  <si>
    <t>Coproduto</t>
  </si>
  <si>
    <t>Tratamento de Água</t>
  </si>
  <si>
    <t>t/t FeSiMg</t>
  </si>
  <si>
    <t>m³/t FeSiMg</t>
  </si>
  <si>
    <t>L/t FeSiMg</t>
  </si>
  <si>
    <t>Nome no Estudo (Ecoinvent)</t>
  </si>
  <si>
    <t>Fator de Emissão Fóssil</t>
  </si>
  <si>
    <t>Fator de Emissão Biogênico</t>
  </si>
  <si>
    <t>Fator de Remoção Biogênica</t>
  </si>
  <si>
    <t>Fator de Emissão LUC</t>
  </si>
  <si>
    <t>Remoções biogênicas (tCO2e)</t>
  </si>
  <si>
    <t>Emissões LUC (tCO2e)</t>
  </si>
  <si>
    <t>(Emissões fósseis calculadas * Incerteza)2</t>
  </si>
  <si>
    <t>(Remoções biogênicas calculadas * Incerteza)2</t>
  </si>
  <si>
    <t>(Emissões LUC calculadas * Incerteza)2</t>
  </si>
  <si>
    <t>Nome</t>
  </si>
  <si>
    <t>Abrangência Geográfica</t>
  </si>
  <si>
    <t>Abrangência Temporal</t>
  </si>
  <si>
    <t>Fonte</t>
  </si>
  <si>
    <t>Observações</t>
  </si>
  <si>
    <t>ethanol, without water, in 99.7% solution state, from fermentation//sugarcane processing, modern annexed plant</t>
  </si>
  <si>
    <t>kgCO2e/kg</t>
  </si>
  <si>
    <t>Brasil</t>
  </si>
  <si>
    <t>2012-2023</t>
  </si>
  <si>
    <t>petrol production, unleaded, petroleum refinery operation</t>
  </si>
  <si>
    <t>2014-2023</t>
  </si>
  <si>
    <t>Gasolina (27% de etanol)</t>
  </si>
  <si>
    <t>Calculado a partir de premissas</t>
  </si>
  <si>
    <t>Resto do Mundo</t>
  </si>
  <si>
    <t>diesel production, low-sulfur, petroleum refinery operation</t>
  </si>
  <si>
    <t>Biodiesel</t>
  </si>
  <si>
    <t>Global</t>
  </si>
  <si>
    <t>Szybist et al</t>
  </si>
  <si>
    <t>J.P. Szybist, J. Song, M. Alam, A.L. Boehman, Biodiesel combustion, emissions and emission control, Fuel Processing Technology 88 (2007) 679–691.</t>
  </si>
  <si>
    <t>Óleo Diesel (10% Biodiesel)</t>
  </si>
  <si>
    <t>2007-2023</t>
  </si>
  <si>
    <t>2011-2023</t>
  </si>
  <si>
    <t>1997-2023</t>
  </si>
  <si>
    <t>Energia Elétrica (SIN)</t>
  </si>
  <si>
    <t>kgCO2e/kWh</t>
  </si>
  <si>
    <t>MCTI</t>
  </si>
  <si>
    <t>MCTIC (2023): https://antigo.mctic.gov.br/mctic/opencms/ciencia/SEPED/clima/textogeral/emissao_corporativos.html</t>
  </si>
  <si>
    <t>Licor Negro</t>
  </si>
  <si>
    <t>Querosene de aviação</t>
  </si>
  <si>
    <t>Referência</t>
  </si>
  <si>
    <t>Tamanho do navio - Porta Container</t>
  </si>
  <si>
    <t>Tamanho do navio - Porta Container para cálculo</t>
  </si>
  <si>
    <t>Tipo de caminhão</t>
  </si>
  <si>
    <t>Fator de emissão - DEFRA
(kg CO2e / t.km)</t>
  </si>
  <si>
    <t>Fator de consumo
(litro / t.km)</t>
  </si>
  <si>
    <r>
      <t>DEFRA (2022): https://www.gov.uk/government/publications/greenhouse-gas-reporting-conversion-factors-2022
Os fatores em tCO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e foram convertidos utilizando o AR5.</t>
    </r>
  </si>
  <si>
    <t>acima de 8.000 TEU</t>
  </si>
  <si>
    <t>Fator de emissão</t>
  </si>
  <si>
    <t>5.000 a 7.999 TEU</t>
  </si>
  <si>
    <t>(kg CO2 / t.km)</t>
  </si>
  <si>
    <t>(kg CH4 / t.km)</t>
  </si>
  <si>
    <t>(kg N2O / t.km)</t>
  </si>
  <si>
    <t>3.000 a 4.999 TEU</t>
  </si>
  <si>
    <t>Van - classe I (até 1,305 toneladas)</t>
  </si>
  <si>
    <t>2.000 a 2.999 TEU</t>
  </si>
  <si>
    <t>Van - classe II (1,305 a 1,74 toneladas)</t>
  </si>
  <si>
    <t>1.000 a 1.999 TEU</t>
  </si>
  <si>
    <t>Van - classe III (1,74 a 3,5 toneladas)</t>
  </si>
  <si>
    <t>0 a 999 TEU</t>
  </si>
  <si>
    <t>Van - média (até 3,5 toneladas)</t>
  </si>
  <si>
    <t>10,000+ dwt</t>
  </si>
  <si>
    <t>Caminhão - rígido (3,5 a 7,5 toneladas)</t>
  </si>
  <si>
    <t>8000+ TEU</t>
  </si>
  <si>
    <t>Caminhão - rígido (7,5 a 17 toneladas)</t>
  </si>
  <si>
    <t>5000–7999 TEU</t>
  </si>
  <si>
    <t>Caminhão - rígido (acima de 17 toneladas)</t>
  </si>
  <si>
    <t>3000–4999 TEU</t>
  </si>
  <si>
    <t>Caminhão - rígido (média)</t>
  </si>
  <si>
    <t>11121 t DWT</t>
  </si>
  <si>
    <t>Caminhão - articulado (3,5 a 33 toneladas)</t>
  </si>
  <si>
    <t>11923 TEU</t>
  </si>
  <si>
    <t>Caminhão - articulado (acima de 33 toneladas)</t>
  </si>
  <si>
    <t>10500 TEU</t>
  </si>
  <si>
    <t>Caminhão - articulado (média)</t>
  </si>
  <si>
    <t>10589 TEU</t>
  </si>
  <si>
    <t>Caminhão - caminhão (média)</t>
  </si>
  <si>
    <t>9669 TEU</t>
  </si>
  <si>
    <t>Caminhão refrigerado - rígido (3,5 a 7,5 toneladas)</t>
  </si>
  <si>
    <t>11000 TEU</t>
  </si>
  <si>
    <t>Caminhão refrigerado - rígido (7,5 a 17 toneladas)</t>
  </si>
  <si>
    <t>62000 t DWT</t>
  </si>
  <si>
    <t>Caminhão refrigerado - rígido (acima de 17 toneladas)</t>
  </si>
  <si>
    <t>56738 TEU</t>
  </si>
  <si>
    <t>Caminhão refrigerado - rígido (média)</t>
  </si>
  <si>
    <t xml:space="preserve"> 56738 TEU</t>
  </si>
  <si>
    <t>Caminhão refrigerado - articulado (3,5 a 33 toneladas)</t>
  </si>
  <si>
    <t>9000 TEU</t>
  </si>
  <si>
    <t>Caminhão refrigerado - articulado (acima de 33 toneladas)</t>
  </si>
  <si>
    <t>6690 TEU</t>
  </si>
  <si>
    <t>Caminhão refrigerado - articulado (média)</t>
  </si>
  <si>
    <t>8800 TEU</t>
  </si>
  <si>
    <t>Caminhão refrigerado - caminhão (média)</t>
  </si>
  <si>
    <t>23500 TEU</t>
  </si>
  <si>
    <t>Container ship acima de 8.000 TEU</t>
  </si>
  <si>
    <t>6750 TEU</t>
  </si>
  <si>
    <t>Container ship 5.000 a 7.999 TEU</t>
  </si>
  <si>
    <t>3028 TEU</t>
  </si>
  <si>
    <t>Container ship 3.000 a 4.999 TEU</t>
  </si>
  <si>
    <t>6402 TEU</t>
  </si>
  <si>
    <t>Container ship 2.000 a 2.999 TEU</t>
  </si>
  <si>
    <t>8000 TEU</t>
  </si>
  <si>
    <t>Container ship 1.000 a 1.999 TEU</t>
  </si>
  <si>
    <t>8452 TEU</t>
  </si>
  <si>
    <t>Container ship 0 a 999 TEU</t>
  </si>
  <si>
    <t>Container ship Média</t>
  </si>
  <si>
    <t>General cargo 10,000+ dwt</t>
  </si>
  <si>
    <t>General cargo 5000–9999 dwt</t>
  </si>
  <si>
    <t>General cargo 0–4999 dwt</t>
  </si>
  <si>
    <t>General cargo 10,000+ dwt 100+ TEU</t>
  </si>
  <si>
    <t>General cargo 5000–9999 dwt 100+ TEU</t>
  </si>
  <si>
    <t>General cargo 0–4999 dwt 100+ TEU</t>
  </si>
  <si>
    <t>General cargo Average</t>
  </si>
  <si>
    <t>Trem de Carga</t>
  </si>
  <si>
    <t>Parâmetro</t>
  </si>
  <si>
    <t>Valor</t>
  </si>
  <si>
    <t>Fator de emissões diretas da aplicação</t>
  </si>
  <si>
    <t>kg N2 / kg N aplicado</t>
  </si>
  <si>
    <t>IPCC 2019, V.4, Ch.11, table 11.1</t>
  </si>
  <si>
    <t>2019 Refinement to the 2006 IPCC Guidelines for National Greenhouse Gas Inventories. Volume 4 Agriculture, Forestry and Other Land Use; Chapter 11 N2O Emissions from managed solils, and CO2 emissions from lime and urea application: https://www.ipcc-nggip.iges.or.jp/public/2019rf/index.html</t>
  </si>
  <si>
    <t>Fator de emissões indiretas por volatilização</t>
  </si>
  <si>
    <t>IPCC 2019, V.4, Ch.11, table 11.3</t>
  </si>
  <si>
    <t>Fração do fertilizante volatilizada</t>
  </si>
  <si>
    <t>adimensional</t>
  </si>
  <si>
    <t>Fator de emissão indireta por lixiviação</t>
  </si>
  <si>
    <t>Fração do fertilizante lixiviada</t>
  </si>
  <si>
    <t>Relação molecular N2O e N2</t>
  </si>
  <si>
    <t>Tabela periódica</t>
  </si>
  <si>
    <t>2006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</si>
  <si>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Fator de emissões N2O por N aplicado</t>
  </si>
  <si>
    <t>kg N2O / kg N aplicado</t>
  </si>
  <si>
    <t>calculado</t>
  </si>
  <si>
    <t>Fator de emissões C por aplicação de uréia</t>
  </si>
  <si>
    <t>kg C / kg aplicado</t>
  </si>
  <si>
    <t>IPCC (2006) - Page 11.32</t>
  </si>
  <si>
    <t>Relação molecular CO2 e C</t>
  </si>
  <si>
    <t>Fator de emissões CO2 por aplicação uréia</t>
  </si>
  <si>
    <t>kg CO2 / kg uréia aplicado</t>
  </si>
  <si>
    <t>Fator de emissões C por aplicação calcita</t>
  </si>
  <si>
    <t>kg C / kg carbonato aplicado</t>
  </si>
  <si>
    <t>IPCC (2006) - Page 11.29</t>
  </si>
  <si>
    <t>Fator de emissões C por aplicação dolomita</t>
  </si>
  <si>
    <t>Fator de emissões CO2 por aplicação calcita</t>
  </si>
  <si>
    <t>kg CO2 / kg calcita aplicado</t>
  </si>
  <si>
    <t>Fator de emissões CO2 por aplicação dolomita</t>
  </si>
  <si>
    <t>kg CO2 / kg dolomita aplicado</t>
  </si>
  <si>
    <t>Equivalência em carbonato
%E CaCO3 = % CaO x 1,79 + % MgO x 2,48</t>
  </si>
  <si>
    <t>Constante x %CaO</t>
  </si>
  <si>
    <t>Alcarde &amp; Rodella (1996)</t>
  </si>
  <si>
    <t>J.C. ALCARDE; A.A. RODELLA. O equivalente em carbonato de cálcio dos corretivos da acidez dos solos. Scientia Agricola, v. 53 n. 2-3. Piracicaba, Maio/Dez. 1996.</t>
  </si>
  <si>
    <t>Constante x %MgO</t>
  </si>
  <si>
    <t>Combustível</t>
  </si>
  <si>
    <t>Combustível correspondente no IPCC</t>
  </si>
  <si>
    <t>Renovável (R) ou Fóssil (F)</t>
  </si>
  <si>
    <r>
      <rPr>
        <b/>
        <sz val="11"/>
        <color rgb="FFFFFFFF"/>
        <rFont val="Aptos Narrow"/>
        <family val="2"/>
        <scheme val="minor"/>
      </rPr>
      <t>Conteúdo energético</t>
    </r>
    <r>
      <rPr>
        <b/>
        <vertAlign val="superscript"/>
        <sz val="11"/>
        <color rgb="FFFFFFFF"/>
        <rFont val="Aptos Narrow"/>
        <family val="2"/>
        <scheme val="minor"/>
      </rPr>
      <t xml:space="preserve">1
</t>
    </r>
    <r>
      <rPr>
        <b/>
        <sz val="11"/>
        <color rgb="FFFFFFFF"/>
        <rFont val="Aptos Narrow"/>
        <family val="2"/>
        <scheme val="minor"/>
      </rPr>
      <t>GJ/m</t>
    </r>
    <r>
      <rPr>
        <vertAlign val="superscript"/>
        <sz val="11"/>
        <color rgb="FFFFFFFF"/>
        <rFont val="Aptos Narrow"/>
        <family val="2"/>
        <scheme val="minor"/>
      </rPr>
      <t>3</t>
    </r>
  </si>
  <si>
    <r>
      <rPr>
        <b/>
        <sz val="11"/>
        <color rgb="FFFFFFFF"/>
        <rFont val="Aptos Narrow"/>
        <family val="2"/>
        <scheme val="minor"/>
      </rPr>
      <t>CO</t>
    </r>
    <r>
      <rPr>
        <b/>
        <vertAlign val="subscript"/>
        <sz val="11"/>
        <color rgb="FFFFFFFF"/>
        <rFont val="Aptos Narrow"/>
        <family val="2"/>
        <scheme val="minor"/>
      </rPr>
      <t xml:space="preserve">2
</t>
    </r>
    <r>
      <rPr>
        <b/>
        <sz val="11"/>
        <color rgb="FFFFFFFF"/>
        <rFont val="Aptos Narrow"/>
        <family val="2"/>
        <scheme val="minor"/>
      </rPr>
      <t>(t CO</t>
    </r>
    <r>
      <rPr>
        <b/>
        <vertAlign val="subscript"/>
        <sz val="11"/>
        <color rgb="FFFFFFFF"/>
        <rFont val="Aptos Narrow"/>
        <family val="2"/>
        <scheme val="minor"/>
      </rPr>
      <t>2</t>
    </r>
    <r>
      <rPr>
        <b/>
        <sz val="11"/>
        <color rgb="FFFFFFFF"/>
        <rFont val="Aptos Narrow"/>
        <family val="2"/>
        <scheme val="minor"/>
      </rPr>
      <t xml:space="preserve"> / GJ)</t>
    </r>
  </si>
  <si>
    <r>
      <t>CH</t>
    </r>
    <r>
      <rPr>
        <b/>
        <vertAlign val="subscript"/>
        <sz val="11"/>
        <color theme="0"/>
        <rFont val="Aptos Narrow"/>
        <family val="2"/>
        <scheme val="minor"/>
      </rPr>
      <t>4</t>
    </r>
    <r>
      <rPr>
        <b/>
        <sz val="11"/>
        <color theme="0"/>
        <rFont val="Aptos Narrow"/>
        <family val="2"/>
        <scheme val="minor"/>
      </rPr>
      <t xml:space="preserve">
(t CH</t>
    </r>
    <r>
      <rPr>
        <b/>
        <vertAlign val="subscript"/>
        <sz val="11"/>
        <color theme="0"/>
        <rFont val="Aptos Narrow"/>
        <family val="2"/>
        <scheme val="minor"/>
      </rPr>
      <t>4</t>
    </r>
    <r>
      <rPr>
        <b/>
        <sz val="11"/>
        <color theme="0"/>
        <rFont val="Aptos Narrow"/>
        <family val="2"/>
        <scheme val="minor"/>
      </rPr>
      <t xml:space="preserve"> / GJ)</t>
    </r>
  </si>
  <si>
    <r>
      <t>N</t>
    </r>
    <r>
      <rPr>
        <b/>
        <vertAlign val="sub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>O 
(t N</t>
    </r>
    <r>
      <rPr>
        <b/>
        <vertAlign val="sub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>O / GJ)</t>
    </r>
  </si>
  <si>
    <t>kg CO2/kg</t>
  </si>
  <si>
    <t>Fonte³</t>
  </si>
  <si>
    <t>IPCC 2019</t>
  </si>
  <si>
    <t>F</t>
  </si>
  <si>
    <t>Programa Brasileiro GHG Protocol²</t>
  </si>
  <si>
    <t>Antracito</t>
  </si>
  <si>
    <t>Anthracite</t>
  </si>
  <si>
    <t>IPCC (2006);V2;Ch 2; Table 2.3</t>
  </si>
  <si>
    <t>No refinement.</t>
  </si>
  <si>
    <t>Alcatrão</t>
  </si>
  <si>
    <t>Cool Tar</t>
  </si>
  <si>
    <t>Biodiesels</t>
  </si>
  <si>
    <t>R</t>
  </si>
  <si>
    <t>Biomassa</t>
  </si>
  <si>
    <t>Other Primary Solid Biomass</t>
  </si>
  <si>
    <t>Biomassa_casca_resíduo</t>
  </si>
  <si>
    <t>Biomassa_cavaco</t>
  </si>
  <si>
    <t>Biomassa_lodo</t>
  </si>
  <si>
    <t>Carvão Vegetal</t>
  </si>
  <si>
    <t>Charcoal</t>
  </si>
  <si>
    <r>
      <t>Balanço Energético Nacional 2022, table VIII.6</t>
    </r>
    <r>
      <rPr>
        <sz val="11"/>
        <color theme="1"/>
        <rFont val="Calibri"/>
        <family val="2"/>
      </rPr>
      <t>⁶</t>
    </r>
    <r>
      <rPr>
        <sz val="11"/>
        <color theme="1"/>
        <rFont val="Aptos Narrow"/>
        <family val="2"/>
        <scheme val="minor"/>
      </rPr>
      <t xml:space="preserve"> e IPCC (2006);V2;Ch 2; Table 2.3</t>
    </r>
  </si>
  <si>
    <t>Gas/Diesel Oil</t>
  </si>
  <si>
    <t>Álcool Etílico Anidro</t>
  </si>
  <si>
    <t>Other Liquid Biofuels</t>
  </si>
  <si>
    <t>Álcool Etílico Hidratado</t>
  </si>
  <si>
    <t>Gás Natural</t>
  </si>
  <si>
    <t>Natural Gas</t>
  </si>
  <si>
    <t>Gás Natural Úmido</t>
  </si>
  <si>
    <t>Balanço Energético Nacional 2022, table VIII.6 e IPCC (2006);V2;Ch 2; Table 2.3</t>
  </si>
  <si>
    <t>Gás Natural Seco</t>
  </si>
  <si>
    <t>Motor Gasoline</t>
  </si>
  <si>
    <t>Gasolina de aviação</t>
  </si>
  <si>
    <t>GLP</t>
  </si>
  <si>
    <t>Liquified Petroleum Gases</t>
  </si>
  <si>
    <t>Graxas</t>
  </si>
  <si>
    <t>Grease</t>
  </si>
  <si>
    <r>
      <t xml:space="preserve">IPCC (2006);V3;Ch 5 </t>
    </r>
    <r>
      <rPr>
        <vertAlign val="superscript"/>
        <sz val="11"/>
        <color theme="1"/>
        <rFont val="Aptos Narrow"/>
        <family val="2"/>
        <scheme val="minor"/>
      </rPr>
      <t>4</t>
    </r>
  </si>
  <si>
    <t>Lenha</t>
  </si>
  <si>
    <t>PickedFirewood</t>
  </si>
  <si>
    <r>
      <t xml:space="preserve">IPCC (2006);V2;Ch 2; Table 2.3 </t>
    </r>
    <r>
      <rPr>
        <vertAlign val="superscript"/>
        <sz val="11"/>
        <color theme="1"/>
        <rFont val="Aptos Narrow"/>
        <family val="2"/>
        <scheme val="minor"/>
      </rPr>
      <t>5</t>
    </r>
  </si>
  <si>
    <t>Lixívia</t>
  </si>
  <si>
    <t>Sulphite lyes (Black Liquor)</t>
  </si>
  <si>
    <t>Lubrificantes</t>
  </si>
  <si>
    <t>Lubricating oil</t>
  </si>
  <si>
    <t>Metanol - Fóssil</t>
  </si>
  <si>
    <t>Estimado pela estequiometria da reação de queima do metanol</t>
  </si>
  <si>
    <t>Metanol - Renovável</t>
  </si>
  <si>
    <t>Óleo Combustível</t>
  </si>
  <si>
    <t>Residual Fuel Oil</t>
  </si>
  <si>
    <t>Outros Energéticos de Petróleo</t>
  </si>
  <si>
    <t>Other Petroleum Products</t>
  </si>
  <si>
    <t>Querosene</t>
  </si>
  <si>
    <t>Other Kerosene</t>
  </si>
  <si>
    <t>Ano</t>
  </si>
  <si>
    <t>Julho</t>
  </si>
  <si>
    <t>Agosto</t>
  </si>
  <si>
    <t>Setembro</t>
  </si>
  <si>
    <t>Outubro</t>
  </si>
  <si>
    <t>Novembro</t>
  </si>
  <si>
    <t>Dezembro</t>
  </si>
  <si>
    <t>Outros</t>
  </si>
  <si>
    <t>CO2</t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</si>
  <si>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v2023.0.A1:H1981</t>
    </r>
  </si>
  <si>
    <t>CH4</t>
  </si>
  <si>
    <t>N2O</t>
  </si>
  <si>
    <t>HFC</t>
  </si>
  <si>
    <t>CHF3</t>
  </si>
  <si>
    <t>CH2F2</t>
  </si>
  <si>
    <t>CH3F2</t>
  </si>
  <si>
    <t>CHF2CF3</t>
  </si>
  <si>
    <t>CHF2CHF2</t>
  </si>
  <si>
    <t>CH2FCF3</t>
  </si>
  <si>
    <t>CH2FCHF2</t>
  </si>
  <si>
    <t>CH3CF3</t>
  </si>
  <si>
    <t>CH2FCH2F</t>
  </si>
  <si>
    <t>CH3CHF2</t>
  </si>
  <si>
    <t>CH3CH2F</t>
  </si>
  <si>
    <t>CF3CHFCF3</t>
  </si>
  <si>
    <t>CH2FCF2CF3</t>
  </si>
  <si>
    <t>CHF2CHFCF3</t>
  </si>
  <si>
    <t>CF3CH2CF3</t>
  </si>
  <si>
    <t>CH2FCF2CHF2</t>
  </si>
  <si>
    <t>CHF2CH2CF3</t>
  </si>
  <si>
    <t>CH3CF2CH2CF3</t>
  </si>
  <si>
    <t>CF3CHFCHFCF2CF3</t>
  </si>
  <si>
    <t>SF6</t>
  </si>
  <si>
    <t>NF3</t>
  </si>
  <si>
    <t>PFC</t>
  </si>
  <si>
    <t>CF4</t>
  </si>
  <si>
    <t>C2F6</t>
  </si>
  <si>
    <t>C3F8</t>
  </si>
  <si>
    <t>c-C4F8</t>
  </si>
  <si>
    <t>C4F10</t>
  </si>
  <si>
    <t>C5F12</t>
  </si>
  <si>
    <t>C6F14</t>
  </si>
  <si>
    <t>C10F18</t>
  </si>
  <si>
    <t>SF5CF3</t>
  </si>
  <si>
    <t>c-C3F6</t>
  </si>
  <si>
    <t>CHF2OCF3</t>
  </si>
  <si>
    <t>CHF2OCHF2</t>
  </si>
  <si>
    <t>CH3OCF3</t>
  </si>
  <si>
    <t>CHF2OCHClCF3</t>
  </si>
  <si>
    <t>CH3OCF2CF3</t>
  </si>
  <si>
    <t>CHF2OCH2CF3</t>
  </si>
  <si>
    <t>CH3OCF2CHF2</t>
  </si>
  <si>
    <t>CH3OCF2CF2CF3</t>
  </si>
  <si>
    <t>CHF2CF2OCH2CF3</t>
  </si>
  <si>
    <t>CH3OCF2CF2CHF2</t>
  </si>
  <si>
    <t>C4F9OCH3</t>
  </si>
  <si>
    <t>C4F9OC2H5</t>
  </si>
  <si>
    <t>CHF2OCF2OC2F4OCHF2</t>
  </si>
  <si>
    <t>CHF2OCF2OCHF2</t>
  </si>
  <si>
    <t>CHF2OCF2CF2OCHF2</t>
  </si>
  <si>
    <t>CF3CHFOCF3</t>
  </si>
  <si>
    <t>CHF2OCHFCF3</t>
  </si>
  <si>
    <t>CF3CH2OCF3</t>
  </si>
  <si>
    <t>CHF2CH2OCF3</t>
  </si>
  <si>
    <t>CF3CH2OCH3</t>
  </si>
  <si>
    <t>CHF2CF2OCF2CF3</t>
  </si>
  <si>
    <t>CF3CH2OCF2CF3</t>
  </si>
  <si>
    <t>CHF2CH2OCF2CF3</t>
  </si>
  <si>
    <t>CH3OCF2CHFCF3</t>
  </si>
  <si>
    <t>CHF2CH2OCF2CHF2</t>
  </si>
  <si>
    <t>CHF2OCH2CF2CHF2</t>
  </si>
  <si>
    <t>CF3CF2CH2OCH3</t>
  </si>
  <si>
    <t>CHF2CF2OCH2CH3</t>
  </si>
  <si>
    <t>CF3OCF(CF3)CF2OCF2OCF3</t>
  </si>
  <si>
    <t>CH3OCH3</t>
  </si>
  <si>
    <t>CHCl3</t>
  </si>
  <si>
    <t>CH2Cl2</t>
  </si>
  <si>
    <t>CH3Cl</t>
  </si>
  <si>
    <t>CHBrF2</t>
  </si>
  <si>
    <t>CF3I</t>
  </si>
  <si>
    <t>Compostos</t>
  </si>
  <si>
    <t/>
  </si>
  <si>
    <t>Densidade 
(kg/m³)</t>
  </si>
  <si>
    <t>PCS 
(kcal/kg)</t>
  </si>
  <si>
    <t>PCI 
(kcal/kg)</t>
  </si>
  <si>
    <t>Nomenclatura em Inglês</t>
  </si>
  <si>
    <t>Conteúdo energético
(GJ/m³)</t>
  </si>
  <si>
    <t>Conversão kcal - GJ</t>
  </si>
  <si>
    <t>Tar</t>
  </si>
  <si>
    <t>Balanço Energético Nacional 2022, table VIII.9
https://www.epe.gov.br/pt/publicacoes-dados-abertos/publicacoes/balanco-energetico-nacional-2022</t>
  </si>
  <si>
    <t>Anhydrous Alcohol</t>
  </si>
  <si>
    <t>Hydrated Alcohol</t>
  </si>
  <si>
    <t>Asfaltos</t>
  </si>
  <si>
    <t>Asphalt</t>
  </si>
  <si>
    <t>Biodiesel (B100)</t>
  </si>
  <si>
    <t>Caldo de Cana</t>
  </si>
  <si>
    <t>Sugar-cane Juice</t>
  </si>
  <si>
    <t>Carvão Metalúrgico Importado</t>
  </si>
  <si>
    <t>ImportedMetallurgicalCoal</t>
  </si>
  <si>
    <t>Carvão Metalúrgico Nacional</t>
  </si>
  <si>
    <t>NationalMetallurgicalCoal</t>
  </si>
  <si>
    <t>Carvão Vapor 3100 Kcal/kg</t>
  </si>
  <si>
    <t>Steamcoal3100kcal/kg</t>
  </si>
  <si>
    <t>Carvão Vapor 3300 Kcal/kg</t>
  </si>
  <si>
    <t>Steamcoal3300kcal/kg</t>
  </si>
  <si>
    <t>Carvão Vapor 3700 Kcal/kg</t>
  </si>
  <si>
    <t>Steamcoal3700kcal/kg</t>
  </si>
  <si>
    <t>Carvão Vapor 4200 Kcal/kg</t>
  </si>
  <si>
    <t>Steamcoal4200kcal/kg</t>
  </si>
  <si>
    <t>Carvão Vapor 4500 Kcal/kg</t>
  </si>
  <si>
    <t>Steamcoal4500kcal/kg</t>
  </si>
  <si>
    <t>Carvão Vapor 4700 Kcal/kg</t>
  </si>
  <si>
    <t>Steamcoal4700kcal/kg</t>
  </si>
  <si>
    <t>Carvão Vapor 5200 Kcal/kg</t>
  </si>
  <si>
    <t>Steamcoal5200kcal/kg</t>
  </si>
  <si>
    <t>Carvão Vapor 5900 Kcal/kg</t>
  </si>
  <si>
    <t>Steamcoal5900kcal/kg</t>
  </si>
  <si>
    <t>Carvão Vapor 6000 Kcal/kg</t>
  </si>
  <si>
    <t>Steamcoal6000kcal/kg</t>
  </si>
  <si>
    <t>Carvão Vapor sem Especificação</t>
  </si>
  <si>
    <t>Non-specifiedSteamCoal</t>
  </si>
  <si>
    <t>Coque de Carvão</t>
  </si>
  <si>
    <t>Coal Coke</t>
  </si>
  <si>
    <t>Coque de Petróleo</t>
  </si>
  <si>
    <t>Petroleum Coke</t>
  </si>
  <si>
    <t>Eletricidade</t>
  </si>
  <si>
    <t>Electricity</t>
  </si>
  <si>
    <t>Energia Hidráulica</t>
  </si>
  <si>
    <t>Hydraulic Energy</t>
  </si>
  <si>
    <t>Gás Canalizado - Rio de Janeiro</t>
  </si>
  <si>
    <t>Gasworks Gas - Rio de Janeiro</t>
  </si>
  <si>
    <t>Gás Canalizado - São Paulo</t>
  </si>
  <si>
    <t>Gasworks Gas - São Paulo</t>
  </si>
  <si>
    <t>Gás de Coqueria</t>
  </si>
  <si>
    <t>CokeOvenGas</t>
  </si>
  <si>
    <t>Gás de Refinaria</t>
  </si>
  <si>
    <t>RefineryGas</t>
  </si>
  <si>
    <t>LPG</t>
  </si>
  <si>
    <t>HumidNaturalGas</t>
  </si>
  <si>
    <t>DryNaturalGas</t>
  </si>
  <si>
    <t>MotorGasoline</t>
  </si>
  <si>
    <t>Gasolina de Aviação</t>
  </si>
  <si>
    <t>AviationGasoline</t>
  </si>
  <si>
    <t>Lenha Comercial</t>
  </si>
  <si>
    <t>CommercialFirewood</t>
  </si>
  <si>
    <t>BlackLiquor</t>
  </si>
  <si>
    <t>Lubrificants</t>
  </si>
  <si>
    <t>Melaço</t>
  </si>
  <si>
    <t>Molasses</t>
  </si>
  <si>
    <t>Nafta</t>
  </si>
  <si>
    <t>Naphtha</t>
  </si>
  <si>
    <t>Fuel Oil</t>
  </si>
  <si>
    <t>Diesel Oil</t>
  </si>
  <si>
    <t>OtherEnergyOilProducts</t>
  </si>
  <si>
    <t>Outros Não-energéticos de Petróleo</t>
  </si>
  <si>
    <t>OtherNon-EnergyOilProducts</t>
  </si>
  <si>
    <t>Petróleo</t>
  </si>
  <si>
    <t>Petroleum</t>
  </si>
  <si>
    <t>Querosene de Aviação</t>
  </si>
  <si>
    <t>Jet Fuel</t>
  </si>
  <si>
    <t>QueroseneI luminante</t>
  </si>
  <si>
    <t>Lighting Kerosene</t>
  </si>
  <si>
    <t>Solventes</t>
  </si>
  <si>
    <t>Solvents</t>
  </si>
  <si>
    <t>Metanol renovável</t>
  </si>
  <si>
    <t>Metanol fóssil</t>
  </si>
  <si>
    <t>Densidade Energetica de Resíduos Vegetais (Pinheiro et al. 2005)</t>
  </si>
  <si>
    <t>Madeira</t>
  </si>
  <si>
    <t>Densidade média - Madeira Bracell Bahia 2022</t>
  </si>
  <si>
    <t>Descrição</t>
  </si>
  <si>
    <t>RG (%)</t>
  </si>
  <si>
    <t xml:space="preserve">RG </t>
  </si>
  <si>
    <t>kg CH4/ t cv. Equação1</t>
  </si>
  <si>
    <t>kg CH4/ t cv. Equação2</t>
  </si>
  <si>
    <t>kg CH4/ t cv. Equação3</t>
  </si>
  <si>
    <t>kg CH4/ t cv. Equação4</t>
  </si>
  <si>
    <t>Média (kg ch4/ton cv)</t>
  </si>
  <si>
    <t>Média (ton co2e/ton cv)</t>
  </si>
  <si>
    <t>Regressão média</t>
  </si>
  <si>
    <t>a</t>
  </si>
  <si>
    <t>Cálculo para obter a regressão linear média</t>
  </si>
  <si>
    <t>X</t>
  </si>
  <si>
    <t>Y</t>
  </si>
  <si>
    <t>b</t>
  </si>
  <si>
    <t>kg CH4/t cv.</t>
  </si>
  <si>
    <t>RESUMO DOS RESULTADOS</t>
  </si>
  <si>
    <t>Project 1051: Mitigation of Methane Emissions in the Charcoal Production of Plantar, Brazil</t>
  </si>
  <si>
    <t>Estatística de regressão</t>
  </si>
  <si>
    <t>Project 4262 : Energia Verde Carbonization Project - Mitigation of Methane Emissions in the Charcoal Production of Grupo Queiroz Galvão, Maranhão, Brazil</t>
  </si>
  <si>
    <t>R múltiplo</t>
  </si>
  <si>
    <t>R-Quadrado</t>
  </si>
  <si>
    <t>Project 8609 : Carbonization Project - Mitigation of Methane Emissions in the Charcoal Production of V&amp;M Florestal, Minas Gerais, Brazil</t>
  </si>
  <si>
    <t>R-quadrado ajustado</t>
  </si>
  <si>
    <t>Erro padrão</t>
  </si>
  <si>
    <t>Média</t>
  </si>
  <si>
    <t>Regressão linear com média dos dados acima</t>
  </si>
  <si>
    <t>ANOVA</t>
  </si>
  <si>
    <t>gl</t>
  </si>
  <si>
    <t>SQ</t>
  </si>
  <si>
    <t>MQ</t>
  </si>
  <si>
    <t>F de significação</t>
  </si>
  <si>
    <t>Regressão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</si>
  <si>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</si>
  <si>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</si>
  <si>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</si>
  <si>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</si>
  <si>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</si>
  <si>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</si>
  <si>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</si>
  <si>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</t>
  </si>
  <si>
    <t>RESULTADOS DE RESÍDUOS</t>
  </si>
  <si>
    <t>RESULTADOS DE PROBABILIDADE</t>
  </si>
  <si>
    <t>Previsto(a) kg CH4/t cv.</t>
  </si>
  <si>
    <t>Resíduos</t>
  </si>
  <si>
    <t>Resíduos padrão</t>
  </si>
  <si>
    <t>Percentil</t>
  </si>
  <si>
    <r>
      <t>Coeficientes "a" e "b" da equação y=ax+b, que correlaciona as emissões de CH</t>
    </r>
    <r>
      <rPr>
        <vertAlign val="subscript"/>
        <sz val="11"/>
        <color theme="1"/>
        <rFont val="Aptos Display"/>
        <family val="2"/>
        <scheme val="major"/>
      </rPr>
      <t>4</t>
    </r>
    <r>
      <rPr>
        <sz val="11"/>
        <color theme="1"/>
        <rFont val="Aptos Display"/>
        <family val="2"/>
        <scheme val="major"/>
      </rPr>
      <t xml:space="preserve"> (kg) por ton de carvão vegetal em função do rendimento gravimétrico ("X" da equação)</t>
    </r>
  </si>
  <si>
    <t>Project 8238 : Use of Charcoal from Renewable Biomass Plantations as Reducing Agent in Pig Iron Mill of ArcelorMittal Juiz de Fora, Brazil
https://cdm.unfccc.int/Projects/DB/DNV-CUK1352981838.46/view</t>
  </si>
  <si>
    <t>Combustível - ROAD TRANSPORTATION</t>
  </si>
  <si>
    <r>
      <t>Conteúdo energético</t>
    </r>
    <r>
      <rPr>
        <b/>
        <vertAlign val="superscript"/>
        <sz val="11"/>
        <color theme="0"/>
        <rFont val="Aptos Narrow"/>
        <family val="2"/>
        <scheme val="minor"/>
      </rPr>
      <t>1</t>
    </r>
    <r>
      <rPr>
        <b/>
        <sz val="11"/>
        <color theme="0"/>
        <rFont val="Aptos Narrow"/>
        <family val="2"/>
        <scheme val="minor"/>
      </rPr>
      <t xml:space="preserve">
GJ/m</t>
    </r>
    <r>
      <rPr>
        <vertAlign val="superscript"/>
        <sz val="11"/>
        <color theme="0"/>
        <rFont val="Aptos Narrow"/>
        <family val="2"/>
        <scheme val="minor"/>
      </rPr>
      <t>3</t>
    </r>
  </si>
  <si>
    <r>
      <t>CO</t>
    </r>
    <r>
      <rPr>
        <b/>
        <vertAlign val="sub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 xml:space="preserve">
(t CO</t>
    </r>
    <r>
      <rPr>
        <b/>
        <vertAlign val="subscript"/>
        <sz val="11"/>
        <color theme="0"/>
        <rFont val="Aptos Narrow"/>
        <family val="2"/>
        <scheme val="minor"/>
      </rPr>
      <t>2</t>
    </r>
    <r>
      <rPr>
        <b/>
        <sz val="11"/>
        <color theme="0"/>
        <rFont val="Aptos Narrow"/>
        <family val="2"/>
        <scheme val="minor"/>
      </rPr>
      <t xml:space="preserve"> / GJ)</t>
    </r>
  </si>
  <si>
    <t>Motor Gasoline – Low Mileage Light Duty Vehicle Vintage 1995 or Later</t>
  </si>
  <si>
    <t>IPCC (2006);V2;Ch 3</t>
  </si>
  <si>
    <t>Combustivel</t>
  </si>
  <si>
    <t>L</t>
  </si>
  <si>
    <t>Other liquid biofuels - Ethanol, cars, Brazil</t>
  </si>
  <si>
    <t>IPCC (2006);V2;Ch 2 e Ch3</t>
  </si>
  <si>
    <t>m³</t>
  </si>
  <si>
    <t>GJ</t>
  </si>
  <si>
    <t>IPCC (2006);V2;Ch 2</t>
  </si>
  <si>
    <t>Liquefied Petroleum Gases</t>
  </si>
  <si>
    <t>Graxa</t>
  </si>
  <si>
    <t>IPCC (2006);V3;Ch 5</t>
  </si>
  <si>
    <t>NO2</t>
  </si>
  <si>
    <t>CO2e</t>
  </si>
  <si>
    <t>Aviation Gasoline</t>
  </si>
  <si>
    <t>Jet Kerosene</t>
  </si>
  <si>
    <t>Combustível - OFF-ROAD TRANSPORTATION</t>
  </si>
  <si>
    <t>Motor Gasoline 4-stroke - Agriculture</t>
  </si>
  <si>
    <t>Diesel - Forestry</t>
  </si>
  <si>
    <t>1 - Fonte dos dados: BEN (2023), Tabela VIII.7. Quando não disponível, foi estimado a partir do PCI e densidade do combustível, marcado em azul claro (Tabela de referência no BEN, VIII.9)</t>
  </si>
  <si>
    <t>Ferramenta de cálculo Programa Brasileiro GHG Protocol v.2024.0 (FGV-GVCES, 2024)</t>
  </si>
  <si>
    <t>Transporte ferroviário de cargas</t>
  </si>
  <si>
    <t>kg CO2 / tku</t>
  </si>
  <si>
    <t>kg CH4 / tku</t>
  </si>
  <si>
    <t>kg N2O / tku</t>
  </si>
  <si>
    <t>Média nacional</t>
  </si>
  <si>
    <t>Máquinas agrícolas</t>
  </si>
  <si>
    <t>Fator de consumo
(litro / h)</t>
  </si>
  <si>
    <t>Tratores 75 CV</t>
  </si>
  <si>
    <t>Dados de mercado de acordo com a operação/utilização</t>
  </si>
  <si>
    <t>Tratores 110 CV</t>
  </si>
  <si>
    <t>Motoniveladora 140 CV</t>
  </si>
  <si>
    <t>Subsolagem 180 CV</t>
  </si>
  <si>
    <t>Pa Carregadeira John Deere</t>
  </si>
  <si>
    <t>Feller</t>
  </si>
  <si>
    <t>Skidder</t>
  </si>
  <si>
    <t>Garra Traçadora</t>
  </si>
  <si>
    <t>Emissões CO2 Biogênico - Produção (tCO2)</t>
  </si>
  <si>
    <t>Emissões CO2 Fósseis - Produção (tCO2)</t>
  </si>
  <si>
    <t>Fração de Etanol</t>
  </si>
  <si>
    <t>Fração de  Biodiesel</t>
  </si>
  <si>
    <t>Emissões Biogênicas Combustão (tCO2e)</t>
  </si>
  <si>
    <t>Tipo de veículo</t>
  </si>
  <si>
    <t>Fator de consumo (litro/t.km)</t>
  </si>
  <si>
    <t>Emissões biogênicas de produção (tCO2e)</t>
  </si>
  <si>
    <t>Inonibrás</t>
  </si>
  <si>
    <t>MWh/t FeSiMg</t>
  </si>
  <si>
    <t>Quartzo Rima</t>
  </si>
  <si>
    <t>Tubo Trefilado</t>
  </si>
  <si>
    <t>hydrogen fluoride//[RoW] hydrogen fluoride production</t>
  </si>
  <si>
    <t>Finos de Carvão</t>
  </si>
  <si>
    <t>Água industrial</t>
  </si>
  <si>
    <t>Entrada/Saída</t>
  </si>
  <si>
    <t>Item</t>
  </si>
  <si>
    <t>Processo</t>
  </si>
  <si>
    <t>Nome no estudo</t>
  </si>
  <si>
    <t>Fator de Emissão Biogênica</t>
  </si>
  <si>
    <t>Emissão Fóssil (tCO2e)</t>
  </si>
  <si>
    <t>Emissão Biogênica (tCO2e)</t>
  </si>
  <si>
    <t>Remoção Biogênica (tCO2e)</t>
  </si>
  <si>
    <t>Entrada</t>
  </si>
  <si>
    <t>Energia Hidroelétrica</t>
  </si>
  <si>
    <t>Mineração de Quartzo</t>
  </si>
  <si>
    <t>Energia Hidrelétrica</t>
  </si>
  <si>
    <t>Consumo de Gasolina</t>
  </si>
  <si>
    <t>Combustão de Gasolina</t>
  </si>
  <si>
    <t>Consumo de Diesel</t>
  </si>
  <si>
    <t>Combustão de Diesel</t>
  </si>
  <si>
    <t>Saída</t>
  </si>
  <si>
    <t>IPCC</t>
  </si>
  <si>
    <t>Gasolina (27% de Etanol)</t>
  </si>
  <si>
    <t>Nome do insumo retirado da planilha REV_230929_Revisão Ferro Silício 75 v2</t>
  </si>
  <si>
    <t>Agregados</t>
  </si>
  <si>
    <t>2013-2023</t>
  </si>
  <si>
    <t>1999-2023</t>
  </si>
  <si>
    <t>1980-2024</t>
  </si>
  <si>
    <t>1979-2023</t>
  </si>
  <si>
    <t>2000-2023</t>
  </si>
  <si>
    <t>Água Industrial</t>
  </si>
  <si>
    <t>Finos de carvão</t>
  </si>
  <si>
    <t>Florestal REV_240820_Coleta_de_dados_LCA_FeSiMg V.2024.11.26</t>
  </si>
  <si>
    <t>Energia</t>
  </si>
  <si>
    <t>Matéria-Prima</t>
  </si>
  <si>
    <t>Produto Intermediário</t>
  </si>
  <si>
    <t>Energia Eólica</t>
  </si>
  <si>
    <t>Energia Solar</t>
  </si>
  <si>
    <t>Combustão de Biomassa</t>
  </si>
  <si>
    <t>mischmetal production, primary</t>
  </si>
  <si>
    <t>Cálcio Metálico</t>
  </si>
  <si>
    <t>Lantânio Metálico</t>
  </si>
  <si>
    <t>1968-2023</t>
  </si>
  <si>
    <t>Nuss P, Eckelman MJ (2014) Life Cycle Assessment of Metals: A Scientific Synthesis. PLoS ONE 9(7): e101298. doi:10.1371/journal.pone.0101298</t>
  </si>
  <si>
    <t>Nuss &amp; Eckelman</t>
  </si>
  <si>
    <t>Magnésio Primário</t>
  </si>
  <si>
    <t>Rima</t>
  </si>
  <si>
    <t>Ecoinvent 3.10.1</t>
  </si>
  <si>
    <t>market for scrap steel</t>
  </si>
  <si>
    <t>2010-2023</t>
  </si>
  <si>
    <t>sodium hydroxide, withou water, in 50% solution state // chlor-alkali electrolysis, membrane cell</t>
  </si>
  <si>
    <t>2020-2025</t>
  </si>
  <si>
    <t>Combustão de Óleo Diesel</t>
  </si>
  <si>
    <t>Emissão LUC (tCO2e)</t>
  </si>
  <si>
    <t>1 LITRO</t>
  </si>
  <si>
    <t>BIOMASSA</t>
  </si>
  <si>
    <t>1 KWH</t>
  </si>
  <si>
    <t>kg CO2</t>
  </si>
  <si>
    <t>kg CH4</t>
  </si>
  <si>
    <t>kg N2O</t>
  </si>
  <si>
    <t>kgCO2e</t>
  </si>
  <si>
    <t>GJ (Fóssil)</t>
  </si>
  <si>
    <t>GJ (Renovável)</t>
  </si>
  <si>
    <t>kg CO2 biog.</t>
  </si>
  <si>
    <t>kgCO2e/L</t>
  </si>
  <si>
    <t>BUR (Eólica)</t>
  </si>
  <si>
    <t>BUR (Solar)</t>
  </si>
  <si>
    <t>BUR (Biomassa)</t>
  </si>
  <si>
    <t>Premissa: considerar ⅓ para cada, sendo combustão estacionária para biomassa</t>
  </si>
  <si>
    <t>Emissões Biogênicas tCO2e - Jan</t>
  </si>
  <si>
    <t>Emissões Biogênicas tCO2e - Fev</t>
  </si>
  <si>
    <t>Emissões Biogênicas tCO2e - Mar</t>
  </si>
  <si>
    <t>Emissões Biogênicas tCO2e - Abr</t>
  </si>
  <si>
    <t>Emissões Biogênicas tCO2e - Mai</t>
  </si>
  <si>
    <t>Emissões Biogênicas tCO2e - Jun</t>
  </si>
  <si>
    <t>Emissões Biogênicas totais 
(tCO2e)</t>
  </si>
  <si>
    <t>Fonte de Energia</t>
  </si>
  <si>
    <t>Grid</t>
  </si>
  <si>
    <r>
      <t>Fator Médio Anual (tCO</t>
    </r>
    <r>
      <rPr>
        <b/>
        <i/>
        <vertAlign val="subscript"/>
        <sz val="11"/>
        <color theme="0"/>
        <rFont val="Aptos Narrow"/>
        <family val="2"/>
        <scheme val="minor"/>
      </rPr>
      <t>2</t>
    </r>
    <r>
      <rPr>
        <b/>
        <i/>
        <sz val="11"/>
        <color theme="0"/>
        <rFont val="Aptos Narrow"/>
        <family val="2"/>
        <scheme val="minor"/>
      </rPr>
      <t>/MWh)</t>
    </r>
  </si>
  <si>
    <r>
      <t>Fator Médio Anual (t CO</t>
    </r>
    <r>
      <rPr>
        <b/>
        <i/>
        <vertAlign val="subscript"/>
        <sz val="11"/>
        <color theme="0"/>
        <rFont val="Aptos Narrow"/>
        <family val="2"/>
        <scheme val="minor"/>
      </rPr>
      <t>2</t>
    </r>
    <r>
      <rPr>
        <b/>
        <i/>
        <sz val="11"/>
        <color theme="0"/>
        <rFont val="Aptos Narrow"/>
        <family val="2"/>
        <scheme val="minor"/>
      </rPr>
      <t>/GJ)</t>
    </r>
    <r>
      <rPr>
        <b/>
        <sz val="11"/>
        <color theme="0"/>
        <rFont val="Aptos Narrow"/>
        <family val="2"/>
        <scheme val="minor"/>
      </rPr>
      <t xml:space="preserve">
1 MWh = 3,6 GJ</t>
    </r>
  </si>
  <si>
    <t>MCTI: https://www.gov.br/mcti/pt-br/acompanhe-o-mcti/sirene/dados-e-ferramentas/fatores-de-emissao</t>
  </si>
  <si>
    <t>Composto</t>
  </si>
  <si>
    <t>Nitrogênio liquido</t>
  </si>
  <si>
    <t>kg/m3</t>
  </si>
  <si>
    <t>https://www.praxair.com.br/-/media/corporate/praxair-brazil/documents/sds/58nitrogenioliquidorefrigerado.pdf</t>
  </si>
  <si>
    <t>Nitrogênio gasoso</t>
  </si>
  <si>
    <t>http://www.practicegases.com.br/assets/uploads/fispq/fispq-1066-nitrogenio-comprimido-practice-gases-mqtL.pdf</t>
  </si>
  <si>
    <t>Oxigênio gasoso</t>
  </si>
  <si>
    <t>https://www.praxair.com.br/-/media/corporate/praxair-brazil/documents/sds/64-oxignio-comprimido.pdf</t>
  </si>
  <si>
    <t>Oxigênio líquido</t>
  </si>
  <si>
    <t>http://webapp.expressonepomuceno.com.br/qualidade/FISPQs/FISPQs%20por%20clientes/Air%20Liquide/oxigenio%20liquido.pdf</t>
  </si>
  <si>
    <t>Argônio liquido</t>
  </si>
  <si>
    <t>https://www.soldagases.com.br/assets/pdf/fispq/fispq-argonio-onu1006.pdf</t>
  </si>
  <si>
    <t>Argônio gasoso</t>
  </si>
  <si>
    <t>https://www.whitemartins.com.br/-/media/corporate/praxair-brazil/documents/sds/13argnioliquidorefrigeradop4564.pdf</t>
  </si>
  <si>
    <t>ÁCIDO CLORÍDRICO</t>
  </si>
  <si>
    <t>https://licenciamento.cetesb.sp.gov.br/produtos/ficha_completa1.asp?consulta=%C1CIDO%20CLOR%CDDRICO</t>
  </si>
  <si>
    <t>Ácido nítrico solução 50%</t>
  </si>
  <si>
    <t>https://www.quimlab.com.br/_sistema_quimicafina/sistema/uploads/Acido%20Nitrico%2050%20porcento%20%20--SQ30675--%20%20F21I0789J%20Rev.pdf</t>
  </si>
  <si>
    <t>https://gotaquimica.com.br/wp-content/uploads/2022/09/FISPQ-Acido-Fluoridrico-Rev.06.pdf</t>
  </si>
  <si>
    <t>https://www.ipcc.ch/report/renewable-energy-sources-and-climate-change-mitigation/</t>
  </si>
  <si>
    <t>Nome no Estudo</t>
  </si>
  <si>
    <t>potassium chloride production</t>
  </si>
  <si>
    <t>sulfur production, petroleum refinery operation</t>
  </si>
  <si>
    <t>urea production</t>
  </si>
  <si>
    <t>nutrient supply from ammonium nitrate phosphate // inorganic phosphorus fertiliser, as P2O5</t>
  </si>
  <si>
    <t>2016-2023</t>
  </si>
  <si>
    <t>limestone production, crushed, washed</t>
  </si>
  <si>
    <t>silica sand production</t>
  </si>
  <si>
    <t>1998-2023</t>
  </si>
  <si>
    <t>Emissões Fósseis Produção tCO2e</t>
  </si>
  <si>
    <t>Emissões Biogênicas Produção tCO2e</t>
  </si>
  <si>
    <t>Emissões LUC Produção tCO2e</t>
  </si>
  <si>
    <t>sodium hypochlorite, without water, in 15% solution state // chlor-alkali electrolysis, membrane cell</t>
  </si>
  <si>
    <t>kgCO2e/m3</t>
  </si>
  <si>
    <t>drawing of pipe, steel</t>
  </si>
  <si>
    <t>steel production, converter, unalloyed</t>
  </si>
  <si>
    <t>Etapa</t>
  </si>
  <si>
    <t>Combustíveis</t>
  </si>
  <si>
    <t>Fertilizantes</t>
  </si>
  <si>
    <t>Energia Elétrica</t>
  </si>
  <si>
    <t>Carbonização</t>
  </si>
  <si>
    <t>Emissões Fósseis</t>
  </si>
  <si>
    <t>Emissões Biogênicas</t>
  </si>
  <si>
    <t>Remoções Biogênicas</t>
  </si>
  <si>
    <t>Emissões LUC</t>
  </si>
  <si>
    <t>Equivalente em carbono</t>
  </si>
  <si>
    <t>Fração de Carbono Madeira</t>
  </si>
  <si>
    <t>tC/t.m.s</t>
  </si>
  <si>
    <t>IPCC (2006)</t>
  </si>
  <si>
    <t>Metano liberado</t>
  </si>
  <si>
    <t>CO2 liberado</t>
  </si>
  <si>
    <t>CO liberado</t>
  </si>
  <si>
    <t>Alcatrão residual</t>
  </si>
  <si>
    <t>Eteno</t>
  </si>
  <si>
    <t>Etano</t>
  </si>
  <si>
    <t>Insumo (I) / Produto (P)</t>
  </si>
  <si>
    <t>Nome do Insumo / Produto</t>
  </si>
  <si>
    <t>Biogênico / Fóssil</t>
  </si>
  <si>
    <t>Teor de Carbono (%)</t>
  </si>
  <si>
    <t>Quantidade C - Insumo (ton)</t>
  </si>
  <si>
    <t>Quantidade C biogênico - Insumo (ton)</t>
  </si>
  <si>
    <t>I</t>
  </si>
  <si>
    <t>B</t>
  </si>
  <si>
    <t>P</t>
  </si>
  <si>
    <t>Pasta Eletródica</t>
  </si>
  <si>
    <t>C total - Insumos (ton)</t>
  </si>
  <si>
    <t>C Biogênico total - Insumos (ton)</t>
  </si>
  <si>
    <t>C total - Produtos (ton)</t>
  </si>
  <si>
    <t>% de C biogênico - insumo</t>
  </si>
  <si>
    <t>C Biogênico total - Produtos (ton)</t>
  </si>
  <si>
    <t>C fóssil total - Produtos (ton)</t>
  </si>
  <si>
    <t xml:space="preserve"> C total - Emissão (ton)</t>
  </si>
  <si>
    <t xml:space="preserve"> C  Biogênico total - Emissão (ton)</t>
  </si>
  <si>
    <t>Emissões tCO2e</t>
  </si>
  <si>
    <t>Emissões tCO2e Biogênico</t>
  </si>
  <si>
    <t>Quantidade C - Produto (ton)</t>
  </si>
  <si>
    <t>CO2 Redução</t>
  </si>
  <si>
    <t>Emissões Fósseis (tCO2e)</t>
  </si>
  <si>
    <t>Emissões Biogênicas (tCO2e)</t>
  </si>
  <si>
    <t>http://www.grupohidromar.com.br/wp-content/themes/hidromar/download/FISPQ-Hipoclorito-de-sodio.pdf</t>
  </si>
  <si>
    <t>tCO2e/ton carvão vegetal</t>
  </si>
  <si>
    <t>Emissões CO2 LUC - Produção (tCO2)</t>
  </si>
  <si>
    <t>NPK (15-15-15) fertiliser production</t>
  </si>
  <si>
    <t>heavy fuel oil production, petroleum refinery operation</t>
  </si>
  <si>
    <t>market for mill scale</t>
  </si>
  <si>
    <t>coal tar // coke production</t>
  </si>
  <si>
    <t>refractory production, fireclay, packed</t>
  </si>
  <si>
    <t>cement mortar production</t>
  </si>
  <si>
    <t>1994-2023</t>
  </si>
  <si>
    <t>nitrogen liquid // industrial gases production, cryogenic air separation</t>
  </si>
  <si>
    <t>oxygen, liquid // industrial gases production, cryogenic air separation</t>
  </si>
  <si>
    <t>argon, crude, liquid // industrial gases production, cryogenic air separation</t>
  </si>
  <si>
    <t>nitric acid production, product in 50% solution state</t>
  </si>
  <si>
    <t>América Latina</t>
  </si>
  <si>
    <t>hydrochloric acid, without water, in 30% solution state // hydrochloric acid production, from the reaction of hydrogen with chlorine</t>
  </si>
  <si>
    <t>textile, non-woven polypropylene // textile production, nonwoven polypropylene, spunbond</t>
  </si>
  <si>
    <t>1991-2023</t>
  </si>
  <si>
    <t>acetylene production//acetylene</t>
  </si>
  <si>
    <t>Consumo de Nitrogênio</t>
  </si>
  <si>
    <t>Carga transporada (ton)/ton FeSiMg</t>
  </si>
  <si>
    <t>Emissões Fósseis Totais (tCO2e)</t>
  </si>
  <si>
    <t>Emissões Biogênicas Totais (tCO2e)</t>
  </si>
  <si>
    <t>tCO2e/ton FeSiMg</t>
  </si>
  <si>
    <t>tC/ton FeSiMg</t>
  </si>
  <si>
    <t>tCH4/ton FeSiMg</t>
  </si>
  <si>
    <t>tCO2/ton FeSiMg</t>
  </si>
  <si>
    <t>tCO/ton FeSiMg</t>
  </si>
  <si>
    <t>tC2H4/ton FeSiMg</t>
  </si>
  <si>
    <t>tC2H6/ton FeSiMg</t>
  </si>
  <si>
    <t>Composto contendo Carbono</t>
  </si>
  <si>
    <t>Silvicultura</t>
  </si>
  <si>
    <t>Redução</t>
  </si>
  <si>
    <t>Emissão Biogênica de CO2</t>
  </si>
  <si>
    <t>Carbono mantido nos insumos (finos)</t>
  </si>
  <si>
    <t>Carbono retido no FeSi 50</t>
  </si>
  <si>
    <t>Absorção de CO2 da atmosfera</t>
  </si>
  <si>
    <t>Gap de Carbono</t>
  </si>
  <si>
    <t>Gap de CO2</t>
  </si>
  <si>
    <t>Adição ao fator de emissão biogênica no carvão vegetal</t>
  </si>
  <si>
    <t>Le Blanc et al. Across-Phase Biomass Pyrolysis Stoichiometry, Energy Balance, and Product Formation Kinetics. 2016</t>
  </si>
  <si>
    <t>Escopo 1</t>
  </si>
  <si>
    <t>Escopo 3</t>
  </si>
  <si>
    <t xml:space="preserve"> kg N2O</t>
  </si>
  <si>
    <t>Emissões biogênicas</t>
  </si>
  <si>
    <t>Remoções biogênicas</t>
  </si>
  <si>
    <t>Emissões Mudança de Uso da Terra</t>
  </si>
  <si>
    <t>Emissões Balanço</t>
  </si>
  <si>
    <t>Índice</t>
  </si>
  <si>
    <t>Porcentagem</t>
  </si>
  <si>
    <t>Acumulado</t>
  </si>
  <si>
    <t>Transporte Upstream</t>
  </si>
  <si>
    <t>Emissões Biogênicas totais (tCO2e)</t>
  </si>
  <si>
    <t>Emissões LUC de produção (tCO2e)</t>
  </si>
  <si>
    <t>Escopo 2</t>
  </si>
  <si>
    <t>Escopo</t>
  </si>
  <si>
    <t>Balanço</t>
  </si>
  <si>
    <t>Gás de Efeito Estufa</t>
  </si>
  <si>
    <t>Emissões (tCO2e/ton Carvão Vegetal)</t>
  </si>
  <si>
    <t>Emissões (tGEE/ton Carvão Vegetal)</t>
  </si>
  <si>
    <t>Distância (km)</t>
  </si>
  <si>
    <t>t.km</t>
  </si>
  <si>
    <t>CH4 (biogênico)</t>
  </si>
  <si>
    <t>Emissões Fósseis Escopo 1</t>
  </si>
  <si>
    <t>Emissões Fósseis Escopo 2</t>
  </si>
  <si>
    <t>Emissões Fósseis Escopo 3</t>
  </si>
  <si>
    <t>Emissões Biogênicas Escopo 1</t>
  </si>
  <si>
    <t>Emissões Biogênicas Escopo 2</t>
  </si>
  <si>
    <t>Emissões Biogênicas Escopo 3</t>
  </si>
  <si>
    <t>% Fóssil Escopo 1</t>
  </si>
  <si>
    <t>% Fóssil Escopo 2</t>
  </si>
  <si>
    <t>% Fóssil Escopo 3</t>
  </si>
  <si>
    <t>% Biogênico Escopo 1</t>
  </si>
  <si>
    <t>% Biogênico Escopo 2</t>
  </si>
  <si>
    <t>% Biogênico Escopo 3</t>
  </si>
  <si>
    <t>Florestal</t>
  </si>
  <si>
    <t>Emissões (tGEE/ton FeSiMg)</t>
  </si>
  <si>
    <t>Emissões (tCO2e/ton FeSiMg)</t>
  </si>
  <si>
    <t>Mischmetal</t>
  </si>
  <si>
    <t>Carepa</t>
  </si>
  <si>
    <t>Aço/Vergalhões</t>
  </si>
  <si>
    <t>2020 Refinement to the 2006 IPCC Guidelines for National Greenhouse Gas Inventories. Volume 4 Agriculture, Forestry and Other Land Use; Chapter 11 N2O Emissions from managed solils, and CO2 emissions from lime and urea application: https://www.ipcc-nggip.iges.or.jp/public/2019rf/index.html</t>
  </si>
  <si>
    <t>2021 Refinement to the 2006 IPCC Guidelines for National Greenhouse Gas Inventories. Volume 4 Agriculture, Forestry and Other Land Use; Chapter 11 N2O Emissions from managed solils, and CO2 emissions from lime and urea application: https://www.ipcc-nggip.iges.or.jp/public/2019rf/index.html</t>
  </si>
  <si>
    <t>2022 Refinement to the 2006 IPCC Guidelines for National Greenhouse Gas Inventories. Volume 4 Agriculture, Forestry and Other Land Use; Chapter 11 N2O Emissions from managed solils, and CO2 emissions from lime and urea application: https://www.ipcc-nggip.iges.or.jp/public/2019rf/index.html</t>
  </si>
  <si>
    <t>2023 Refinement to the 2006 IPCC Guidelines for National Greenhouse Gas Inventories. Volume 4 Agriculture, Forestry and Other Land Use; Chapter 11 N2O Emissions from managed solils, and CO2 emissions from lime and urea application: https://www.ipcc-nggip.iges.or.jp/public/2019rf/index.html</t>
  </si>
  <si>
    <t>2007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</si>
  <si>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2008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</si>
  <si>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2009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</si>
  <si>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2010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</si>
  <si>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2011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</si>
  <si>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2012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</si>
  <si>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2013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</si>
  <si>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2014 IPCC Guidelines for National Greenhouse Gas Inventories; Volume 4 Agriculture, Forestry and Other Land Use; Chapter 11 N2O Emissions from managed solils, and CO2 emissions from lime and urea application:
https://www.ipcc-nggip.iges.or.jp/public/2006gl/vol4.html</t>
  </si>
  <si>
    <t>Balanço Energético Nacional 2022, table VIII.9
https://www.epe.gov.br/pt/publicacoes-dados-abertos/publicacoes/balanco-energetico-nacional-2023</t>
  </si>
  <si>
    <t>Balanço Energético Nacional 2022, table VIII.9
https://www.epe.gov.br/pt/publicacoes-dados-abertos/publicacoes/balanco-energetico-nacional-2024</t>
  </si>
  <si>
    <t>Balanço Energético Nacional 2022, table VIII.9
https://www.epe.gov.br/pt/publicacoes-dados-abertos/publicacoes/balanco-energetico-nacional-2025</t>
  </si>
  <si>
    <t>Balanço Energético Nacional 2022, table VIII.9
https://www.epe.gov.br/pt/publicacoes-dados-abertos/publicacoes/balanco-energetico-nacional-2026</t>
  </si>
  <si>
    <t>Balanço Energético Nacional 2022, table VIII.9
https://www.epe.gov.br/pt/publicacoes-dados-abertos/publicacoes/balanco-energetico-nacional-2027</t>
  </si>
  <si>
    <t>Balanço Energético Nacional 2022, table VIII.9
https://www.epe.gov.br/pt/publicacoes-dados-abertos/publicacoes/balanco-energetico-nacional-2028</t>
  </si>
  <si>
    <t>Balanço Energético Nacional 2022, table VIII.9
https://www.epe.gov.br/pt/publicacoes-dados-abertos/publicacoes/balanco-energetico-nacional-2029</t>
  </si>
  <si>
    <t>Balanço Energético Nacional 2022, table VIII.9
https://www.epe.gov.br/pt/publicacoes-dados-abertos/publicacoes/balanco-energetico-nacional-2030</t>
  </si>
  <si>
    <t>Balanço Energético Nacional 2022, table VIII.9
https://www.epe.gov.br/pt/publicacoes-dados-abertos/publicacoes/balanco-energetico-nacional-2031</t>
  </si>
  <si>
    <t>Balanço Energético Nacional 2022, table VIII.9
https://www.epe.gov.br/pt/publicacoes-dados-abertos/publicacoes/balanco-energetico-nacional-2032</t>
  </si>
  <si>
    <t>Balanço Energético Nacional 2022, table VIII.9
https://www.epe.gov.br/pt/publicacoes-dados-abertos/publicacoes/balanco-energetico-nacional-2033</t>
  </si>
  <si>
    <t>Balanço Energético Nacional 2022, table VIII.9
https://www.epe.gov.br/pt/publicacoes-dados-abertos/publicacoes/balanco-energetico-nacional-2034</t>
  </si>
  <si>
    <t>Balanço Energético Nacional 2022, table VIII.9
https://www.epe.gov.br/pt/publicacoes-dados-abertos/publicacoes/balanco-energetico-nacional-2035</t>
  </si>
  <si>
    <t>Balanço Energético Nacional 2022, table VIII.9
https://www.epe.gov.br/pt/publicacoes-dados-abertos/publicacoes/balanco-energetico-nacional-2036</t>
  </si>
  <si>
    <t>Balanço Energético Nacional 2022, table VIII.9
https://www.epe.gov.br/pt/publicacoes-dados-abertos/publicacoes/balanco-energetico-nacional-2037</t>
  </si>
  <si>
    <t>Balanço Energético Nacional 2022, table VIII.9
https://www.epe.gov.br/pt/publicacoes-dados-abertos/publicacoes/balanco-energetico-nacional-2038</t>
  </si>
  <si>
    <t>Balanço Energético Nacional 2022, table VIII.9
https://www.epe.gov.br/pt/publicacoes-dados-abertos/publicacoes/balanco-energetico-nacional-2039</t>
  </si>
  <si>
    <t>Balanço Energético Nacional 2022, table VIII.9
https://www.epe.gov.br/pt/publicacoes-dados-abertos/publicacoes/balanco-energetico-nacional-2040</t>
  </si>
  <si>
    <t>Balanço Energético Nacional 2022, table VIII.9
https://www.epe.gov.br/pt/publicacoes-dados-abertos/publicacoes/balanco-energetico-nacional-2041</t>
  </si>
  <si>
    <t>Balanço Energético Nacional 2022, table VIII.9
https://www.epe.gov.br/pt/publicacoes-dados-abertos/publicacoes/balanco-energetico-nacional-2042</t>
  </si>
  <si>
    <t>Balanço Energético Nacional 2022, table VIII.9
https://www.epe.gov.br/pt/publicacoes-dados-abertos/publicacoes/balanco-energetico-nacional-2043</t>
  </si>
  <si>
    <t>Balanço Energético Nacional 2022, table VIII.9
https://www.epe.gov.br/pt/publicacoes-dados-abertos/publicacoes/balanco-energetico-nacional-2044</t>
  </si>
  <si>
    <t>Balanço Energético Nacional 2022, table VIII.9
https://www.epe.gov.br/pt/publicacoes-dados-abertos/publicacoes/balanco-energetico-nacional-2045</t>
  </si>
  <si>
    <t>Balanço Energético Nacional 2022, table VIII.9
https://www.epe.gov.br/pt/publicacoes-dados-abertos/publicacoes/balanco-energetico-nacional-2046</t>
  </si>
  <si>
    <t>Balanço Energético Nacional 2022, table VIII.9
https://www.epe.gov.br/pt/publicacoes-dados-abertos/publicacoes/balanco-energetico-nacional-2047</t>
  </si>
  <si>
    <t>Balanço Energético Nacional 2022, table VIII.9
https://www.epe.gov.br/pt/publicacoes-dados-abertos/publicacoes/balanco-energetico-nacional-2048</t>
  </si>
  <si>
    <t>Balanço Energético Nacional 2022, table VIII.9
https://www.epe.gov.br/pt/publicacoes-dados-abertos/publicacoes/balanco-energetico-nacional-2049</t>
  </si>
  <si>
    <t>Balanço Energético Nacional 2022, table VIII.9
https://www.epe.gov.br/pt/publicacoes-dados-abertos/publicacoes/balanco-energetico-nacional-2050</t>
  </si>
  <si>
    <t>Balanço Energético Nacional 2022, table VIII.9
https://www.epe.gov.br/pt/publicacoes-dados-abertos/publicacoes/balanco-energetico-nacional-2051</t>
  </si>
  <si>
    <t>Balanço Energético Nacional 2022, table VIII.9
https://www.epe.gov.br/pt/publicacoes-dados-abertos/publicacoes/balanco-energetico-nacional-2052</t>
  </si>
  <si>
    <t>Balanço Energético Nacional 2022, table VIII.9
https://www.epe.gov.br/pt/publicacoes-dados-abertos/publicacoes/balanco-energetico-nacional-2053</t>
  </si>
  <si>
    <t>Balanço Energético Nacional 2022, table VIII.9
https://www.epe.gov.br/pt/publicacoes-dados-abertos/publicacoes/balanco-energetico-nacional-2054</t>
  </si>
  <si>
    <t>Balanço Energético Nacional 2022, table VIII.9
https://www.epe.gov.br/pt/publicacoes-dados-abertos/publicacoes/balanco-energetico-nacional-2055</t>
  </si>
  <si>
    <t>Balanço Energético Nacional 2022, table VIII.9
https://www.epe.gov.br/pt/publicacoes-dados-abertos/publicacoes/balanco-energetico-nacional-2056</t>
  </si>
  <si>
    <t>Balanço Energético Nacional 2022, table VIII.9
https://www.epe.gov.br/pt/publicacoes-dados-abertos/publicacoes/balanco-energetico-nacional-2057</t>
  </si>
  <si>
    <t>Balanço Energético Nacional 2022, table VIII.9
https://www.epe.gov.br/pt/publicacoes-dados-abertos/publicacoes/balanco-energetico-nacional-2058</t>
  </si>
  <si>
    <t>Balanço Energético Nacional 2022, table VIII.9
https://www.epe.gov.br/pt/publicacoes-dados-abertos/publicacoes/balanco-energetico-nacional-2059</t>
  </si>
  <si>
    <t>Balanço Energético Nacional 2022, table VIII.9
https://www.epe.gov.br/pt/publicacoes-dados-abertos/publicacoes/balanco-energetico-nacional-2060</t>
  </si>
  <si>
    <t>Balanço Energético Nacional 2022, table VIII.9
https://www.epe.gov.br/pt/publicacoes-dados-abertos/publicacoes/balanco-energetico-nacional-2061</t>
  </si>
  <si>
    <t>Balanço Energético Nacional 2022, table VIII.9
https://www.epe.gov.br/pt/publicacoes-dados-abertos/publicacoes/balanco-energetico-nacional-2062</t>
  </si>
  <si>
    <t>Balanço Energético Nacional 2022, table VIII.9
https://www.epe.gov.br/pt/publicacoes-dados-abertos/publicacoes/balanco-energetico-nacional-2063</t>
  </si>
  <si>
    <t>Balanço Energético Nacional 2022, table VIII.9
https://www.epe.gov.br/pt/publicacoes-dados-abertos/publicacoes/balanco-energetico-nacional-2064</t>
  </si>
  <si>
    <t>Balanço Energético Nacional 2022, table VIII.9
https://www.epe.gov.br/pt/publicacoes-dados-abertos/publicacoes/balanco-energetico-nacional-2065</t>
  </si>
  <si>
    <t>Balanço Energético Nacional 2022, table VIII.9
https://www.epe.gov.br/pt/publicacoes-dados-abertos/publicacoes/balanco-energetico-nacional-2066</t>
  </si>
  <si>
    <t>Balanço Energético Nacional 2022, table VIII.9
https://www.epe.gov.br/pt/publicacoes-dados-abertos/publicacoes/balanco-energetico-nacional-2067</t>
  </si>
  <si>
    <t>Balanço Energético Nacional 2022, table VIII.9
https://www.epe.gov.br/pt/publicacoes-dados-abertos/publicacoes/balanco-energetico-nacional-2068</t>
  </si>
  <si>
    <t>Balanço Energético Nacional 2022, table VIII.9
https://www.epe.gov.br/pt/publicacoes-dados-abertos/publicacoes/balanco-energetico-nacional-2069</t>
  </si>
  <si>
    <t>Balanço Energético Nacional 2022, table VIII.9
https://www.epe.gov.br/pt/publicacoes-dados-abertos/publicacoes/balanco-energetico-nacional-2070</t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</si>
  <si>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v2023.0.A1:H1982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</si>
  <si>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v2023.0.A1:H1983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</si>
  <si>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v2023.0.A1:H1984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</si>
  <si>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v2023.0.A1:H1985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</si>
  <si>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v2023.0.A1:H1986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</si>
  <si>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v2023.0.A1:H1987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</si>
  <si>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v2023.0.A1:H1988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</si>
  <si>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v2023.0.A1:H1989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</si>
  <si>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v2023.0.A1:H1990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</si>
  <si>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v2023.0.A1:H1991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</si>
  <si>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v2023.0.A1:H1992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</si>
  <si>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v2023.0.A1:H1993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</si>
  <si>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v2023.0.A1:H1994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</si>
  <si>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v2023.0.A1:H1995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</si>
  <si>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v2023.0.A1:H1996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</si>
  <si>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v2023.0.A1:H1997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</si>
  <si>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v2023.0.A1:H1998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</si>
  <si>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v2023.0.A1:H1999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</si>
  <si>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v2023.0.A1:H2000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</si>
  <si>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v2023.0.A1:H2001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</si>
  <si>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v2023.0.A1:H2002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</si>
  <si>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v2023.0.A1:H2003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</si>
  <si>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v2023.0.A1:H2004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</si>
  <si>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v2023.0.A1:H2005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</si>
  <si>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v2023.0.A1:H2006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</si>
  <si>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v2023.0.A1:H2007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</si>
  <si>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v2023.0.A1:H2008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</si>
  <si>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v2023.0.A1:H2009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</si>
  <si>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v2023.0.A1:H2010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</si>
  <si>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v2023.0.A1:H2011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</si>
  <si>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v2023.0.A1:H2012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</si>
  <si>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v2023.0.A1:H2013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</si>
  <si>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v2023.0.A1:H2014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</si>
  <si>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v2023.0.A1:H2015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</si>
  <si>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v2023.0.A1:H2016</t>
    </r>
  </si>
  <si>
    <r>
      <rPr>
        <b/>
        <sz val="12"/>
        <color theme="1"/>
        <rFont val="Aptos Narrow"/>
        <family val="2"/>
        <scheme val="minor"/>
      </rPr>
      <t xml:space="preserve">
REFERÊNCIAS AR4:
</t>
    </r>
    <r>
      <rPr>
        <sz val="12"/>
        <color theme="1"/>
        <rFont val="Aptos Narrow"/>
        <family val="2"/>
        <scheme val="minor"/>
      </rPr>
      <t xml:space="preserve">IPCC (2007), Ch.2, table 2.14
https://www.ipcc.ch/site/assets/uploads/2018/02/ar4-wg1-chapter2-1.pdf
Gases compostos: ferramenta GHG Protocol 
</t>
    </r>
    <r>
      <rPr>
        <b/>
        <sz val="12"/>
        <color theme="1"/>
        <rFont val="Aptos Narrow"/>
        <family val="2"/>
        <scheme val="minor"/>
      </rPr>
      <t xml:space="preserve">
REFERÊNCIAS AR5:
</t>
    </r>
    <r>
      <rPr>
        <sz val="12"/>
        <color theme="1"/>
        <rFont val="Aptos Narrow"/>
        <family val="2"/>
        <scheme val="minor"/>
      </rPr>
      <t xml:space="preserve">
IPCC (2013), Ch.8, Appendix 8.A 
https://www.ipcc.ch/site/assets/uploads/2018/02/WG1AR5_Chapter08_FINAL.pdf
Gases compostos: ferramenta GHG Protocol v2023.0.1
</t>
    </r>
    <r>
      <rPr>
        <b/>
        <sz val="12"/>
        <color theme="1"/>
        <rFont val="Aptos Narrow"/>
        <family val="2"/>
        <scheme val="minor"/>
      </rPr>
      <t>REFERÊNCIAS AR6:</t>
    </r>
    <r>
      <rPr>
        <sz val="12"/>
        <color theme="1"/>
        <rFont val="Aptos Narrow"/>
        <family val="2"/>
        <scheme val="minor"/>
      </rPr>
      <t xml:space="preserve">
IPCC (2021), Ch.7, table 7.15
https://www.ipcc.ch/report/ar6/wg1/downloads/report/IPCC_AR6_WGI_Chapter07.pdf
IPCC (2021), Ch.7 (Supplementary Material), table 7.SM.7 
https://www.ipcc.ch/report/ar6/wg1/downloads/report/IPCC_AR6_WGI_Chapter07_SM.pdf
Gases compostos: ferramenta GHG Protocol v2023.0.A1:H2017</t>
    </r>
  </si>
  <si>
    <t>ar4</t>
  </si>
  <si>
    <t>ar5</t>
  </si>
  <si>
    <t>ar6</t>
  </si>
  <si>
    <t>notes</t>
  </si>
  <si>
    <t>chemical_formula</t>
  </si>
  <si>
    <t>family_or_type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</si>
</sst>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#,##0_ ;[Red]\-#,##0\ "/>
    <numFmt numFmtId="165" formatCode="0.0000"/>
    <numFmt numFmtId="166" formatCode="0.00000"/>
    <numFmt numFmtId="167" formatCode="#,##0.0000"/>
    <numFmt numFmtId="168" formatCode="#,##0.000"/>
    <numFmt numFmtId="169" formatCode="#,##0.000000"/>
    <numFmt numFmtId="170" formatCode="#,##0.00000"/>
    <numFmt numFmtId="171" formatCode="0.0000000"/>
    <numFmt numFmtId="172" formatCode="_-* #,##0.00000_-;\-* #,##0.00000_-;_-* &quot;-&quot;??_-;_-@_-"/>
    <numFmt numFmtId="173" formatCode="0.000000"/>
    <numFmt numFmtId="174" formatCode="0.0"/>
    <numFmt numFmtId="175" formatCode="0.000000000"/>
    <numFmt numFmtId="176" formatCode="#,##0.0000000"/>
    <numFmt numFmtId="177" formatCode="#,##0.00000000"/>
    <numFmt numFmtId="178" formatCode="_-* #,##0.0000_-;\-* #,##0.0000_-;_-* &quot;-&quot;????_-;_-@_-"/>
    <numFmt numFmtId="179" formatCode="_-* #,##0.00000_-;\-* #,##0.00000_-;_-* &quot;-&quot;????_-;_-@_-"/>
  </numFmts>
  <fonts count="4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vertAlign val="superscript"/>
      <sz val="11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Calibri"/>
      <family val="2"/>
    </font>
    <font>
      <b/>
      <sz val="12"/>
      <name val="Calibri Light"/>
      <family val="2"/>
    </font>
    <font>
      <vertAlign val="subscript"/>
      <sz val="11"/>
      <color theme="1"/>
      <name val="Aptos Narrow"/>
      <family val="2"/>
      <scheme val="minor"/>
    </font>
    <font>
      <sz val="12"/>
      <name val="Calibri Light"/>
      <family val="2"/>
    </font>
    <font>
      <b/>
      <vertAlign val="superscript"/>
      <sz val="11"/>
      <color rgb="FFFFFFFF"/>
      <name val="Aptos Narrow"/>
      <family val="2"/>
      <scheme val="minor"/>
    </font>
    <font>
      <vertAlign val="superscript"/>
      <sz val="11"/>
      <color rgb="FFFFFFFF"/>
      <name val="Aptos Narrow"/>
      <family val="2"/>
      <scheme val="minor"/>
    </font>
    <font>
      <b/>
      <vertAlign val="subscript"/>
      <sz val="11"/>
      <color rgb="FFFFFFFF"/>
      <name val="Aptos Narrow"/>
      <family val="2"/>
      <scheme val="minor"/>
    </font>
    <font>
      <b/>
      <vertAlign val="subscript"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vertAlign val="superscript"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vertAlign val="subscript"/>
      <sz val="11"/>
      <color theme="1"/>
      <name val="Aptos Display"/>
      <family val="2"/>
      <scheme val="major"/>
    </font>
    <font>
      <sz val="14"/>
      <color theme="1"/>
      <name val="Garamond"/>
      <family val="2"/>
    </font>
    <font>
      <sz val="10"/>
      <color theme="1"/>
      <name val="Garamond"/>
      <family val="2"/>
    </font>
    <font>
      <b/>
      <sz val="11"/>
      <color theme="1"/>
      <name val="Aptos Narrow"/>
      <family val="2"/>
      <scheme val="minor"/>
    </font>
    <font>
      <sz val="11"/>
      <name val="Calibri"/>
      <family val="2"/>
      <charset val="1"/>
    </font>
    <font>
      <sz val="9"/>
      <name val="ArialNormal"/>
    </font>
    <font>
      <b/>
      <sz val="11"/>
      <name val="Calibri"/>
      <family val="2"/>
    </font>
    <font>
      <sz val="11"/>
      <name val="Calibri"/>
      <family val="2"/>
    </font>
    <font>
      <sz val="11"/>
      <color rgb="FF231F1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Segoe UI"/>
      <family val="2"/>
    </font>
    <font>
      <b/>
      <i/>
      <vertAlign val="subscript"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color rgb="FFFFFFFF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5623"/>
        <bgColor rgb="FF385623"/>
      </patternFill>
    </fill>
    <fill>
      <patternFill patternType="solid">
        <fgColor theme="9" tint="-0.499984740745262"/>
        <bgColor rgb="FF385623"/>
      </patternFill>
    </fill>
    <fill>
      <patternFill patternType="solid">
        <fgColor rgb="FF37562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F56C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7" fillId="0" borderId="0"/>
    <xf numFmtId="0" fontId="28" fillId="0" borderId="0"/>
    <xf numFmtId="9" fontId="28" fillId="0" borderId="0" applyFont="0" applyFill="0" applyBorder="0" applyAlignment="0" applyProtection="0"/>
    <xf numFmtId="0" fontId="29" fillId="0" borderId="0"/>
  </cellStyleXfs>
  <cellXfs count="27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/>
    <xf numFmtId="0" fontId="5" fillId="3" borderId="1" xfId="0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3" fillId="5" borderId="1" xfId="3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4" fontId="10" fillId="7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5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9" fontId="14" fillId="8" borderId="2" xfId="0" applyNumberFormat="1" applyFont="1" applyFill="1" applyBorder="1" applyAlignment="1">
      <alignment horizontal="center" vertical="center"/>
    </xf>
    <xf numFmtId="169" fontId="14" fillId="8" borderId="4" xfId="0" applyNumberFormat="1" applyFont="1" applyFill="1" applyBorder="1" applyAlignment="1">
      <alignment horizontal="center" vertical="center"/>
    </xf>
    <xf numFmtId="169" fontId="14" fillId="8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7" fontId="14" fillId="0" borderId="8" xfId="0" applyNumberFormat="1" applyFont="1" applyBorder="1" applyAlignment="1">
      <alignment horizontal="center" vertical="center"/>
    </xf>
    <xf numFmtId="168" fontId="14" fillId="0" borderId="4" xfId="0" applyNumberFormat="1" applyFont="1" applyBorder="1" applyAlignment="1">
      <alignment horizontal="center" vertical="center"/>
    </xf>
    <xf numFmtId="170" fontId="14" fillId="0" borderId="9" xfId="0" applyNumberFormat="1" applyFont="1" applyBorder="1" applyAlignment="1">
      <alignment horizontal="center" vertical="center"/>
    </xf>
    <xf numFmtId="169" fontId="14" fillId="0" borderId="10" xfId="0" applyNumberFormat="1" applyFont="1" applyBorder="1" applyAlignment="1">
      <alignment horizontal="center" vertical="center"/>
    </xf>
    <xf numFmtId="169" fontId="14" fillId="0" borderId="4" xfId="0" applyNumberFormat="1" applyFont="1" applyBorder="1" applyAlignment="1">
      <alignment horizontal="center" vertical="center"/>
    </xf>
    <xf numFmtId="168" fontId="14" fillId="0" borderId="9" xfId="0" applyNumberFormat="1" applyFont="1" applyBorder="1" applyAlignment="1">
      <alignment horizontal="center" vertical="center"/>
    </xf>
    <xf numFmtId="169" fontId="14" fillId="0" borderId="9" xfId="0" applyNumberFormat="1" applyFont="1" applyBorder="1" applyAlignment="1">
      <alignment horizontal="center" vertical="center"/>
    </xf>
    <xf numFmtId="168" fontId="14" fillId="0" borderId="8" xfId="0" applyNumberFormat="1" applyFont="1" applyBorder="1" applyAlignment="1">
      <alignment horizontal="center" vertical="center"/>
    </xf>
    <xf numFmtId="168" fontId="14" fillId="0" borderId="2" xfId="0" applyNumberFormat="1" applyFont="1" applyBorder="1" applyAlignment="1">
      <alignment horizontal="center" vertical="center"/>
    </xf>
    <xf numFmtId="168" fontId="14" fillId="0" borderId="11" xfId="0" applyNumberFormat="1" applyFont="1" applyBorder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169" fontId="14" fillId="0" borderId="2" xfId="0" applyNumberFormat="1" applyFont="1" applyBorder="1" applyAlignment="1">
      <alignment horizontal="center" vertical="center"/>
    </xf>
    <xf numFmtId="169" fontId="14" fillId="0" borderId="11" xfId="0" applyNumberFormat="1" applyFont="1" applyBorder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168" fontId="14" fillId="0" borderId="3" xfId="0" applyNumberFormat="1" applyFont="1" applyBorder="1" applyAlignment="1">
      <alignment horizontal="center" vertical="center"/>
    </xf>
    <xf numFmtId="168" fontId="14" fillId="0" borderId="12" xfId="0" applyNumberFormat="1" applyFont="1" applyBorder="1" applyAlignment="1">
      <alignment horizontal="center" vertical="center"/>
    </xf>
    <xf numFmtId="169" fontId="14" fillId="0" borderId="13" xfId="0" applyNumberFormat="1" applyFont="1" applyBorder="1" applyAlignment="1">
      <alignment horizontal="center" vertical="center"/>
    </xf>
    <xf numFmtId="169" fontId="14" fillId="0" borderId="3" xfId="0" applyNumberFormat="1" applyFont="1" applyBorder="1" applyAlignment="1">
      <alignment horizontal="center" vertical="center"/>
    </xf>
    <xf numFmtId="168" fontId="14" fillId="0" borderId="13" xfId="0" applyNumberFormat="1" applyFont="1" applyBorder="1" applyAlignment="1">
      <alignment horizontal="center" vertical="center"/>
    </xf>
    <xf numFmtId="168" fontId="14" fillId="9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/>
    <xf numFmtId="0" fontId="4" fillId="0" borderId="1" xfId="0" applyFont="1" applyBorder="1"/>
    <xf numFmtId="2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vertical="center"/>
    </xf>
    <xf numFmtId="171" fontId="0" fillId="11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17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2" fontId="5" fillId="4" borderId="1" xfId="0" applyNumberFormat="1" applyFont="1" applyFill="1" applyBorder="1" applyAlignment="1">
      <alignment vertical="center"/>
    </xf>
    <xf numFmtId="2" fontId="5" fillId="4" borderId="1" xfId="0" applyNumberFormat="1" applyFont="1" applyFill="1" applyBorder="1"/>
    <xf numFmtId="0" fontId="5" fillId="0" borderId="1" xfId="0" applyFont="1" applyBorder="1" applyAlignment="1">
      <alignment vertical="center"/>
    </xf>
    <xf numFmtId="171" fontId="0" fillId="0" borderId="1" xfId="0" applyNumberFormat="1" applyBorder="1"/>
    <xf numFmtId="2" fontId="5" fillId="12" borderId="1" xfId="0" applyNumberFormat="1" applyFont="1" applyFill="1" applyBorder="1" applyAlignment="1">
      <alignment vertical="center"/>
    </xf>
    <xf numFmtId="171" fontId="0" fillId="12" borderId="1" xfId="0" applyNumberFormat="1" applyFill="1" applyBorder="1"/>
    <xf numFmtId="172" fontId="3" fillId="10" borderId="1" xfId="1" applyNumberFormat="1" applyFont="1" applyFill="1" applyBorder="1" applyAlignment="1">
      <alignment horizontal="center" vertical="center" wrapText="1"/>
    </xf>
    <xf numFmtId="43" fontId="3" fillId="10" borderId="1" xfId="1" applyFont="1" applyFill="1" applyBorder="1" applyAlignment="1">
      <alignment horizontal="center" vertical="center" wrapText="1"/>
    </xf>
    <xf numFmtId="172" fontId="0" fillId="0" borderId="1" xfId="1" applyNumberFormat="1" applyFont="1" applyBorder="1" applyAlignment="1">
      <alignment horizontal="center"/>
    </xf>
    <xf numFmtId="172" fontId="5" fillId="0" borderId="1" xfId="0" applyNumberFormat="1" applyFont="1" applyBorder="1"/>
    <xf numFmtId="172" fontId="5" fillId="0" borderId="1" xfId="0" applyNumberFormat="1" applyFont="1" applyBorder="1" applyAlignment="1">
      <alignment horizontal="right"/>
    </xf>
    <xf numFmtId="172" fontId="0" fillId="0" borderId="1" xfId="1" applyNumberFormat="1" applyFont="1" applyBorder="1" applyAlignment="1">
      <alignment horizontal="right"/>
    </xf>
    <xf numFmtId="172" fontId="5" fillId="3" borderId="1" xfId="1" applyNumberFormat="1" applyFont="1" applyFill="1" applyBorder="1" applyAlignment="1">
      <alignment horizontal="center"/>
    </xf>
    <xf numFmtId="172" fontId="5" fillId="3" borderId="1" xfId="0" applyNumberFormat="1" applyFont="1" applyFill="1" applyBorder="1"/>
    <xf numFmtId="172" fontId="5" fillId="0" borderId="1" xfId="1" applyNumberFormat="1" applyFont="1" applyBorder="1" applyAlignment="1">
      <alignment horizontal="center"/>
    </xf>
    <xf numFmtId="172" fontId="0" fillId="0" borderId="1" xfId="1" applyNumberFormat="1" applyFont="1" applyBorder="1"/>
    <xf numFmtId="11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6" fillId="5" borderId="14" xfId="10" applyFont="1" applyFill="1" applyBorder="1" applyAlignment="1">
      <alignment horizontal="center" vertical="center"/>
    </xf>
    <xf numFmtId="0" fontId="25" fillId="15" borderId="1" xfId="10" applyFont="1" applyFill="1" applyBorder="1" applyAlignment="1">
      <alignment horizontal="center" vertical="center" wrapText="1"/>
    </xf>
    <xf numFmtId="0" fontId="26" fillId="2" borderId="1" xfId="10" applyFont="1" applyFill="1" applyBorder="1" applyAlignment="1">
      <alignment horizontal="center" wrapText="1"/>
    </xf>
    <xf numFmtId="0" fontId="26" fillId="16" borderId="1" xfId="10" applyFont="1" applyFill="1" applyBorder="1" applyAlignment="1">
      <alignment horizontal="center" wrapText="1"/>
    </xf>
    <xf numFmtId="0" fontId="24" fillId="3" borderId="1" xfId="10" applyFont="1" applyFill="1" applyBorder="1" applyAlignment="1">
      <alignment horizontal="center" vertical="center"/>
    </xf>
    <xf numFmtId="0" fontId="24" fillId="0" borderId="0" xfId="10" applyFont="1" applyAlignment="1">
      <alignment horizontal="left"/>
    </xf>
    <xf numFmtId="9" fontId="24" fillId="0" borderId="1" xfId="10" applyNumberFormat="1" applyFont="1" applyBorder="1"/>
    <xf numFmtId="0" fontId="24" fillId="0" borderId="1" xfId="10" applyFont="1" applyBorder="1"/>
    <xf numFmtId="168" fontId="24" fillId="0" borderId="1" xfId="10" applyNumberFormat="1" applyFont="1" applyBorder="1"/>
    <xf numFmtId="0" fontId="26" fillId="2" borderId="1" xfId="10" applyFont="1" applyFill="1" applyBorder="1" applyAlignment="1">
      <alignment horizontal="center" vertical="center" wrapText="1"/>
    </xf>
    <xf numFmtId="0" fontId="24" fillId="8" borderId="1" xfId="10" applyFont="1" applyFill="1" applyBorder="1" applyAlignment="1">
      <alignment horizontal="left"/>
    </xf>
    <xf numFmtId="168" fontId="24" fillId="0" borderId="1" xfId="10" applyNumberFormat="1" applyFont="1" applyBorder="1" applyAlignment="1">
      <alignment horizontal="right"/>
    </xf>
    <xf numFmtId="0" fontId="23" fillId="0" borderId="15" xfId="0" applyFont="1" applyBorder="1" applyAlignment="1">
      <alignment horizontal="centerContinuous"/>
    </xf>
    <xf numFmtId="0" fontId="24" fillId="14" borderId="1" xfId="10" applyFont="1" applyFill="1" applyBorder="1" applyAlignment="1">
      <alignment horizontal="center" vertical="center"/>
    </xf>
    <xf numFmtId="0" fontId="0" fillId="0" borderId="16" xfId="0" applyBorder="1"/>
    <xf numFmtId="0" fontId="24" fillId="0" borderId="0" xfId="10" applyFont="1" applyAlignment="1">
      <alignment horizontal="center" vertical="center"/>
    </xf>
    <xf numFmtId="0" fontId="24" fillId="0" borderId="0" xfId="10" applyFont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9" fontId="24" fillId="0" borderId="0" xfId="10" applyNumberFormat="1" applyFont="1"/>
    <xf numFmtId="0" fontId="24" fillId="3" borderId="0" xfId="10" applyFont="1" applyFill="1" applyAlignment="1">
      <alignment horizontal="center" vertical="center"/>
    </xf>
    <xf numFmtId="0" fontId="24" fillId="3" borderId="0" xfId="10" applyFont="1" applyFill="1"/>
    <xf numFmtId="0" fontId="0" fillId="16" borderId="0" xfId="0" applyFill="1"/>
    <xf numFmtId="0" fontId="0" fillId="16" borderId="16" xfId="0" applyFill="1" applyBorder="1"/>
    <xf numFmtId="0" fontId="0" fillId="0" borderId="1" xfId="0" applyBorder="1" applyAlignment="1">
      <alignment horizontal="right"/>
    </xf>
    <xf numFmtId="173" fontId="3" fillId="10" borderId="1" xfId="0" applyNumberFormat="1" applyFont="1" applyFill="1" applyBorder="1" applyAlignment="1">
      <alignment horizontal="center" vertical="center" wrapText="1"/>
    </xf>
    <xf numFmtId="173" fontId="0" fillId="0" borderId="1" xfId="0" applyNumberFormat="1" applyBorder="1"/>
    <xf numFmtId="173" fontId="0" fillId="0" borderId="0" xfId="0" applyNumberFormat="1"/>
    <xf numFmtId="175" fontId="0" fillId="0" borderId="1" xfId="0" applyNumberFormat="1" applyBorder="1"/>
    <xf numFmtId="0" fontId="0" fillId="0" borderId="0" xfId="0" applyAlignment="1">
      <alignment vertical="center"/>
    </xf>
    <xf numFmtId="175" fontId="0" fillId="0" borderId="1" xfId="0" applyNumberFormat="1" applyBorder="1" applyAlignment="1">
      <alignment vertical="center"/>
    </xf>
    <xf numFmtId="173" fontId="5" fillId="0" borderId="1" xfId="0" applyNumberFormat="1" applyFont="1" applyBorder="1"/>
    <xf numFmtId="0" fontId="0" fillId="0" borderId="0" xfId="0" applyAlignment="1">
      <alignment horizontal="left"/>
    </xf>
    <xf numFmtId="171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4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3" fontId="0" fillId="4" borderId="1" xfId="0" applyNumberFormat="1" applyFill="1" applyBorder="1"/>
    <xf numFmtId="0" fontId="0" fillId="4" borderId="1" xfId="0" applyFill="1" applyBorder="1" applyAlignment="1">
      <alignment vertical="center"/>
    </xf>
    <xf numFmtId="173" fontId="0" fillId="13" borderId="1" xfId="0" applyNumberFormat="1" applyFill="1" applyBorder="1"/>
    <xf numFmtId="175" fontId="0" fillId="4" borderId="1" xfId="0" applyNumberFormat="1" applyFill="1" applyBorder="1" applyAlignment="1">
      <alignment vertical="center"/>
    </xf>
    <xf numFmtId="171" fontId="0" fillId="4" borderId="1" xfId="0" applyNumberFormat="1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/>
    <xf numFmtId="166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4" xfId="0" applyBorder="1"/>
    <xf numFmtId="0" fontId="30" fillId="0" borderId="10" xfId="0" applyFont="1" applyBorder="1"/>
    <xf numFmtId="43" fontId="31" fillId="0" borderId="1" xfId="8" applyFont="1" applyBorder="1"/>
    <xf numFmtId="43" fontId="32" fillId="18" borderId="1" xfId="8" applyFont="1" applyFill="1" applyBorder="1"/>
    <xf numFmtId="4" fontId="33" fillId="18" borderId="1" xfId="3" applyNumberFormat="1" applyFont="1" applyFill="1" applyBorder="1"/>
    <xf numFmtId="167" fontId="0" fillId="0" borderId="1" xfId="0" applyNumberFormat="1" applyBorder="1"/>
    <xf numFmtId="0" fontId="0" fillId="0" borderId="10" xfId="0" applyBorder="1"/>
    <xf numFmtId="4" fontId="34" fillId="18" borderId="1" xfId="3" applyNumberFormat="1" applyFont="1" applyFill="1" applyBorder="1"/>
    <xf numFmtId="10" fontId="5" fillId="3" borderId="1" xfId="2" applyNumberFormat="1" applyFont="1" applyFill="1" applyBorder="1"/>
    <xf numFmtId="9" fontId="5" fillId="0" borderId="1" xfId="2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6" fillId="0" borderId="0" xfId="0" applyFont="1"/>
    <xf numFmtId="165" fontId="5" fillId="0" borderId="1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/>
    <xf numFmtId="2" fontId="0" fillId="0" borderId="0" xfId="0" applyNumberFormat="1"/>
    <xf numFmtId="171" fontId="0" fillId="0" borderId="0" xfId="0" applyNumberFormat="1"/>
    <xf numFmtId="0" fontId="37" fillId="0" borderId="1" xfId="0" applyFont="1" applyBorder="1"/>
    <xf numFmtId="0" fontId="3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4" fontId="5" fillId="0" borderId="1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70" fontId="0" fillId="0" borderId="1" xfId="0" applyNumberFormat="1" applyBorder="1"/>
    <xf numFmtId="169" fontId="0" fillId="21" borderId="1" xfId="0" applyNumberFormat="1" applyFill="1" applyBorder="1"/>
    <xf numFmtId="10" fontId="0" fillId="0" borderId="0" xfId="2" applyNumberFormat="1" applyFont="1"/>
    <xf numFmtId="169" fontId="0" fillId="0" borderId="0" xfId="0" applyNumberFormat="1"/>
    <xf numFmtId="11" fontId="0" fillId="0" borderId="0" xfId="0" applyNumberFormat="1"/>
    <xf numFmtId="4" fontId="3" fillId="2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Border="1"/>
    <xf numFmtId="0" fontId="5" fillId="19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5" fillId="19" borderId="1" xfId="0" applyFont="1" applyFill="1" applyBorder="1"/>
    <xf numFmtId="4" fontId="0" fillId="0" borderId="1" xfId="0" applyNumberFormat="1" applyBorder="1"/>
    <xf numFmtId="167" fontId="0" fillId="0" borderId="4" xfId="0" applyNumberFormat="1" applyBorder="1"/>
    <xf numFmtId="167" fontId="30" fillId="0" borderId="10" xfId="0" applyNumberFormat="1" applyFont="1" applyBorder="1"/>
    <xf numFmtId="10" fontId="0" fillId="4" borderId="1" xfId="0" applyNumberFormat="1" applyFill="1" applyBorder="1"/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167" fontId="0" fillId="4" borderId="1" xfId="0" applyNumberFormat="1" applyFill="1" applyBorder="1"/>
    <xf numFmtId="166" fontId="0" fillId="4" borderId="1" xfId="0" applyNumberFormat="1" applyFill="1" applyBorder="1"/>
    <xf numFmtId="0" fontId="0" fillId="0" borderId="1" xfId="4" applyFont="1" applyBorder="1"/>
    <xf numFmtId="167" fontId="5" fillId="0" borderId="1" xfId="0" applyNumberFormat="1" applyFont="1" applyBorder="1"/>
    <xf numFmtId="0" fontId="5" fillId="0" borderId="0" xfId="0" applyFont="1"/>
    <xf numFmtId="0" fontId="0" fillId="4" borderId="3" xfId="0" applyFill="1" applyBorder="1"/>
    <xf numFmtId="0" fontId="30" fillId="0" borderId="1" xfId="0" applyFont="1" applyBorder="1"/>
    <xf numFmtId="165" fontId="30" fillId="0" borderId="1" xfId="0" applyNumberFormat="1" applyFont="1" applyBorder="1"/>
    <xf numFmtId="0" fontId="40" fillId="5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166" fontId="5" fillId="4" borderId="1" xfId="0" applyNumberFormat="1" applyFont="1" applyFill="1" applyBorder="1"/>
    <xf numFmtId="167" fontId="3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30" fillId="0" borderId="10" xfId="0" applyFont="1" applyBorder="1" applyAlignment="1">
      <alignment horizontal="center" vertical="center"/>
    </xf>
    <xf numFmtId="10" fontId="0" fillId="0" borderId="1" xfId="2" applyNumberFormat="1" applyFont="1" applyFill="1" applyBorder="1"/>
    <xf numFmtId="0" fontId="30" fillId="0" borderId="1" xfId="0" applyFont="1" applyBorder="1" applyAlignment="1">
      <alignment horizontal="center" vertical="center"/>
    </xf>
    <xf numFmtId="10" fontId="0" fillId="0" borderId="1" xfId="0" applyNumberFormat="1" applyBorder="1"/>
    <xf numFmtId="0" fontId="30" fillId="0" borderId="0" xfId="0" applyFont="1"/>
    <xf numFmtId="0" fontId="30" fillId="0" borderId="0" xfId="0" applyFont="1" applyAlignment="1">
      <alignment horizontal="center" vertical="center"/>
    </xf>
    <xf numFmtId="167" fontId="30" fillId="0" borderId="0" xfId="0" applyNumberFormat="1" applyFont="1"/>
    <xf numFmtId="49" fontId="3" fillId="5" borderId="1" xfId="3" applyNumberFormat="1" applyFont="1" applyFill="1" applyBorder="1" applyAlignment="1">
      <alignment vertical="center"/>
    </xf>
    <xf numFmtId="167" fontId="30" fillId="0" borderId="1" xfId="0" applyNumberFormat="1" applyFont="1" applyBorder="1"/>
    <xf numFmtId="167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10" fontId="0" fillId="0" borderId="3" xfId="2" applyNumberFormat="1" applyFont="1" applyBorder="1"/>
    <xf numFmtId="0" fontId="0" fillId="0" borderId="3" xfId="0" applyBorder="1" applyAlignment="1">
      <alignment horizontal="center" vertical="center"/>
    </xf>
    <xf numFmtId="167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17" xfId="0" applyBorder="1" applyAlignment="1">
      <alignment horizontal="center"/>
    </xf>
    <xf numFmtId="10" fontId="0" fillId="0" borderId="17" xfId="2" applyNumberFormat="1" applyFont="1" applyBorder="1"/>
    <xf numFmtId="0" fontId="0" fillId="0" borderId="17" xfId="0" applyBorder="1" applyAlignment="1">
      <alignment horizontal="center" vertical="center"/>
    </xf>
    <xf numFmtId="167" fontId="0" fillId="0" borderId="17" xfId="0" applyNumberFormat="1" applyBorder="1"/>
    <xf numFmtId="0" fontId="0" fillId="0" borderId="17" xfId="0" applyBorder="1"/>
    <xf numFmtId="10" fontId="0" fillId="0" borderId="17" xfId="0" applyNumberFormat="1" applyBorder="1"/>
    <xf numFmtId="165" fontId="3" fillId="2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/>
    <xf numFmtId="165" fontId="0" fillId="0" borderId="17" xfId="2" applyNumberFormat="1" applyFont="1" applyFill="1" applyBorder="1"/>
    <xf numFmtId="165" fontId="0" fillId="0" borderId="3" xfId="2" applyNumberFormat="1" applyFont="1" applyFill="1" applyBorder="1"/>
    <xf numFmtId="165" fontId="0" fillId="0" borderId="0" xfId="0" applyNumberFormat="1"/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9" fontId="12" fillId="8" borderId="6" xfId="0" applyNumberFormat="1" applyFont="1" applyFill="1" applyBorder="1" applyAlignment="1">
      <alignment horizontal="center" vertical="center"/>
    </xf>
    <xf numFmtId="169" fontId="12" fillId="8" borderId="7" xfId="0" applyNumberFormat="1" applyFont="1" applyFill="1" applyBorder="1" applyAlignment="1">
      <alignment horizontal="center" vertical="center"/>
    </xf>
    <xf numFmtId="169" fontId="12" fillId="8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168" fontId="12" fillId="8" borderId="4" xfId="0" applyNumberFormat="1" applyFont="1" applyFill="1" applyBorder="1" applyAlignment="1">
      <alignment horizontal="center" vertical="center" wrapText="1"/>
    </xf>
    <xf numFmtId="168" fontId="12" fillId="8" borderId="2" xfId="0" applyNumberFormat="1" applyFont="1" applyFill="1" applyBorder="1" applyAlignment="1">
      <alignment horizontal="center" vertical="center" wrapText="1"/>
    </xf>
    <xf numFmtId="168" fontId="12" fillId="8" borderId="3" xfId="0" applyNumberFormat="1" applyFont="1" applyFill="1" applyBorder="1" applyAlignment="1">
      <alignment horizontal="center" vertical="center" wrapText="1"/>
    </xf>
    <xf numFmtId="0" fontId="24" fillId="14" borderId="4" xfId="10" applyFont="1" applyFill="1" applyBorder="1" applyAlignment="1">
      <alignment horizontal="center" vertical="center"/>
    </xf>
    <xf numFmtId="0" fontId="24" fillId="14" borderId="3" xfId="10" applyFont="1" applyFill="1" applyBorder="1" applyAlignment="1">
      <alignment horizontal="center" vertical="center"/>
    </xf>
    <xf numFmtId="0" fontId="24" fillId="0" borderId="4" xfId="10" applyFont="1" applyBorder="1" applyAlignment="1">
      <alignment horizontal="center" vertical="center"/>
    </xf>
    <xf numFmtId="0" fontId="24" fillId="0" borderId="3" xfId="10" applyFont="1" applyBorder="1" applyAlignment="1">
      <alignment horizontal="center" vertical="center"/>
    </xf>
    <xf numFmtId="0" fontId="25" fillId="0" borderId="12" xfId="10" applyFont="1" applyBorder="1" applyAlignment="1">
      <alignment horizontal="center" vertical="center"/>
    </xf>
    <xf numFmtId="0" fontId="24" fillId="0" borderId="4" xfId="10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4" fillId="0" borderId="3" xfId="10" applyFont="1" applyBorder="1" applyAlignment="1">
      <alignment horizontal="center" vertical="center" wrapText="1"/>
    </xf>
    <xf numFmtId="0" fontId="24" fillId="0" borderId="4" xfId="10" applyFont="1" applyBorder="1" applyAlignment="1">
      <alignment horizontal="left" vertical="center" wrapText="1"/>
    </xf>
    <xf numFmtId="0" fontId="24" fillId="0" borderId="3" xfId="10" applyFont="1" applyBorder="1" applyAlignment="1">
      <alignment horizontal="left" vertical="center"/>
    </xf>
    <xf numFmtId="0" fontId="25" fillId="0" borderId="1" xfId="1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1" fillId="0" borderId="4" xfId="0" applyNumberFormat="1" applyFont="1" applyBorder="1" applyAlignment="1">
      <alignment vertical="top" wrapText="1"/>
    </xf>
  </cellXfs>
  <cellStyles count="14">
    <cellStyle name="Comma" xfId="1" builtinId="3"/>
    <cellStyle name="Normal" xfId="0" builtinId="0"/>
    <cellStyle name="Normal 2" xfId="4" xr:uid="{2BE9F1CB-3ACC-4190-B3AA-92F427FA0BBC}"/>
    <cellStyle name="Normal 2 2" xfId="9" xr:uid="{521F36E3-D448-4B38-A127-A9F171B0A5C6}"/>
    <cellStyle name="Normal 2 3" xfId="13" xr:uid="{700DE610-30A4-4BB5-A565-DE0E20B130EB}"/>
    <cellStyle name="Normal 3" xfId="3" xr:uid="{42722B8E-5AAF-4798-88FD-EDD110527507}"/>
    <cellStyle name="Normal 3 2" xfId="11" xr:uid="{B8CB9F26-57BE-4E33-9098-9FCDFF433729}"/>
    <cellStyle name="Normal 3 2 2" xfId="10" xr:uid="{6251B2AD-3D0A-4A45-89ED-262AA24E626A}"/>
    <cellStyle name="Normal 4" xfId="6" xr:uid="{AA4FDA5F-6060-47F4-B764-DA93D39F3B7C}"/>
    <cellStyle name="Normal 8" xfId="7" xr:uid="{762087E3-6DF8-4A88-B285-B9C13435A73F}"/>
    <cellStyle name="Percent" xfId="2" builtinId="5"/>
    <cellStyle name="Porcentagem 2" xfId="12" xr:uid="{E04545A1-8847-4029-A1C3-DADE75FF55AD}"/>
    <cellStyle name="Porcentagem 4" xfId="5" xr:uid="{01FF9DBF-20B6-4829-9B50-D66938AC0710}"/>
    <cellStyle name="Vírgula 2" xfId="8" xr:uid="{C469D5EB-9E1A-4DBD-8F9F-6ADE2A98BF6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Consolidados'!$B$1:$F$1</c:f>
              <c:strCache>
                <c:ptCount val="5"/>
                <c:pt idx="0">
                  <c:v>Emissões Fósseis</c:v>
                </c:pt>
                <c:pt idx="1">
                  <c:v>Emissões Biogênicas</c:v>
                </c:pt>
                <c:pt idx="2">
                  <c:v>Remoções Biogênicas</c:v>
                </c:pt>
                <c:pt idx="3">
                  <c:v>Emissões LUC</c:v>
                </c:pt>
                <c:pt idx="4">
                  <c:v>Balanço</c:v>
                </c:pt>
              </c:strCache>
            </c:strRef>
          </c:cat>
          <c:val>
            <c:numRef>
              <c:f>'Resultados Consolidados'!$B$9:$F$9</c:f>
              <c:numCache>
                <c:formatCode>#,##0.0000</c:formatCode>
                <c:ptCount val="5"/>
                <c:pt idx="0">
                  <c:v>2.7642913077912485</c:v>
                </c:pt>
                <c:pt idx="1">
                  <c:v>4.7381344410157116</c:v>
                </c:pt>
                <c:pt idx="2">
                  <c:v>-5.9290168983924492</c:v>
                </c:pt>
                <c:pt idx="3">
                  <c:v>9.2765306840998283E-4</c:v>
                </c:pt>
                <c:pt idx="4">
                  <c:v>1.5743365034829213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B-46D5-829C-FCA508029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682144"/>
        <c:axId val="435679744"/>
      </c:barChart>
      <c:catAx>
        <c:axId val="4356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679744"/>
        <c:crosses val="autoZero"/>
        <c:auto val="1"/>
        <c:lblAlgn val="ctr"/>
        <c:lblOffset val="100"/>
        <c:noMultiLvlLbl val="0"/>
      </c:catAx>
      <c:valAx>
        <c:axId val="4356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tCO2e/ton</a:t>
                </a:r>
                <a:r>
                  <a:rPr lang="pt-BR" baseline="0"/>
                  <a:t> FeSiMg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6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Consolidados'!$B$18</c:f>
              <c:strCache>
                <c:ptCount val="1"/>
                <c:pt idx="0">
                  <c:v>Emissões Fósseis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'Resultados Consolidados'!$A$19:$A$22</c15:sqref>
                  </c15:fullRef>
                </c:ext>
              </c:extLst>
              <c:f>'Resultados Consolidados'!$A$19:$A$21</c:f>
              <c:strCache>
                <c:ptCount val="3"/>
                <c:pt idx="0">
                  <c:v>Escopo 1</c:v>
                </c:pt>
                <c:pt idx="1">
                  <c:v>Escopo 2</c:v>
                </c:pt>
                <c:pt idx="2">
                  <c:v>Escopo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'Resultados Consolidados'!$B$19:$B$22</c15:sqref>
                  </c15:fullRef>
                </c:ext>
              </c:extLst>
              <c:f>'Resultados Consolidados'!$B$19:$B$21</c:f>
              <c:numCache>
                <c:formatCode>#,##0.0000</c:formatCode>
                <c:ptCount val="3"/>
                <c:pt idx="0">
                  <c:v>1.0437370601279847</c:v>
                </c:pt>
                <c:pt idx="1">
                  <c:v>0.2000566764927304</c:v>
                </c:pt>
                <c:pt idx="2">
                  <c:v>1.520497571170534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E0C-BC7E-2FA79DEB35F2}"/>
            </c:ext>
          </c:extLst>
        </c:ser>
        <c:ser>
          <c:idx val="1"/>
          <c:order val="1"/>
          <c:tx>
            <c:strRef>
              <c:f>'Resultados Consolidados'!$C$18</c:f>
              <c:strCache>
                <c:ptCount val="1"/>
                <c:pt idx="0">
                  <c:v>Emissões Biogênicas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'Resultados Consolidados'!$A$19:$A$22</c15:sqref>
                  </c15:fullRef>
                </c:ext>
              </c:extLst>
              <c:f>'Resultados Consolidados'!$A$19:$A$21</c:f>
              <c:strCache>
                <c:ptCount val="3"/>
                <c:pt idx="0">
                  <c:v>Escopo 1</c:v>
                </c:pt>
                <c:pt idx="1">
                  <c:v>Escopo 2</c:v>
                </c:pt>
                <c:pt idx="2">
                  <c:v>Escopo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'Resultados Consolidados'!$C$19:$C$22</c15:sqref>
                  </c15:fullRef>
                </c:ext>
              </c:extLst>
              <c:f>'Resultados Consolidados'!$C$19:$C$21</c:f>
              <c:numCache>
                <c:formatCode>#,##0.0000</c:formatCode>
                <c:ptCount val="3"/>
                <c:pt idx="0">
                  <c:v>4.7283928820707661</c:v>
                </c:pt>
                <c:pt idx="1">
                  <c:v>2.345556714605455E-3</c:v>
                </c:pt>
                <c:pt idx="2">
                  <c:v>7.3960022303396645E-3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E0C-BC7E-2FA79DEB35F2}"/>
            </c:ext>
          </c:extLst>
        </c:ser>
        <c:ser>
          <c:idx val="2"/>
          <c:order val="2"/>
          <c:tx>
            <c:strRef>
              <c:f>'Resultados Consolidados'!$D$18</c:f>
              <c:strCache>
                <c:ptCount val="1"/>
                <c:pt idx="0">
                  <c:v>Remoções Biogênicas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'Resultados Consolidados'!$A$19:$A$22</c15:sqref>
                  </c15:fullRef>
                </c:ext>
              </c:extLst>
              <c:f>'Resultados Consolidados'!$A$19:$A$21</c:f>
              <c:strCache>
                <c:ptCount val="3"/>
                <c:pt idx="0">
                  <c:v>Escopo 1</c:v>
                </c:pt>
                <c:pt idx="1">
                  <c:v>Escopo 2</c:v>
                </c:pt>
                <c:pt idx="2">
                  <c:v>Escopo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'Resultados Consolidados'!$D$19:$D$22</c15:sqref>
                  </c15:fullRef>
                </c:ext>
              </c:extLst>
              <c:f>'Resultados Consolidados'!$D$19:$D$21</c:f>
              <c:numCache>
                <c:formatCode>#,##0.0000</c:formatCode>
                <c:ptCount val="3"/>
                <c:pt idx="0">
                  <c:v>-5.9290168983924492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7-4E0C-BC7E-2FA79DEB35F2}"/>
            </c:ext>
          </c:extLst>
        </c:ser>
        <c:ser>
          <c:idx val="3"/>
          <c:order val="3"/>
          <c:tx>
            <c:strRef>
              <c:f>'Resultados Consolidados'!$E$18</c:f>
              <c:strCache>
                <c:ptCount val="1"/>
                <c:pt idx="0">
                  <c:v>Emissões LUC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'Resultados Consolidados'!$A$19:$A$22</c15:sqref>
                  </c15:fullRef>
                </c:ext>
              </c:extLst>
              <c:f>'Resultados Consolidados'!$A$19:$A$21</c:f>
              <c:strCache>
                <c:ptCount val="3"/>
                <c:pt idx="0">
                  <c:v>Escopo 1</c:v>
                </c:pt>
                <c:pt idx="1">
                  <c:v>Escopo 2</c:v>
                </c:pt>
                <c:pt idx="2">
                  <c:v>Escopo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'Resultados Consolidados'!$E$19:$E$22</c15:sqref>
                  </c15:fullRef>
                </c:ext>
              </c:extLst>
              <c:f>'Resultados Consolidados'!$E$19:$E$21</c:f>
              <c:numCache>
                <c:formatCode>#,##0.0000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9.2765306840998261E-4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7-4E0C-BC7E-2FA79DEB35F2}"/>
            </c:ext>
          </c:extLst>
        </c:ser>
        <c:ser>
          <c:idx val="4"/>
          <c:order val="4"/>
          <c:tx>
            <c:strRef>
              <c:f>'Resultados Consolidados'!$F$18</c:f>
              <c:strCache>
                <c:ptCount val="1"/>
                <c:pt idx="0">
                  <c:v>Balanço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'Resultados Consolidados'!$A$19:$A$22</c15:sqref>
                  </c15:fullRef>
                </c:ext>
              </c:extLst>
              <c:f>'Resultados Consolidados'!$A$19:$A$21</c:f>
              <c:strCache>
                <c:ptCount val="3"/>
                <c:pt idx="0">
                  <c:v>Escopo 1</c:v>
                </c:pt>
                <c:pt idx="1">
                  <c:v>Escopo 2</c:v>
                </c:pt>
                <c:pt idx="2">
                  <c:v>Escopo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'Resultados Consolidados'!$F$19:$F$22</c15:sqref>
                  </c15:fullRef>
                </c:ext>
              </c:extLst>
              <c:f>'Resultados Consolidados'!$F$19:$F$21</c:f>
              <c:numCache>
                <c:formatCode>#,##0.0000</c:formatCode>
                <c:ptCount val="3"/>
                <c:pt idx="0">
                  <c:v>-0.15688695619369852</c:v>
                </c:pt>
                <c:pt idx="1">
                  <c:v>0.20240223320733586</c:v>
                </c:pt>
                <c:pt idx="2">
                  <c:v>1.5288212264692835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7-4E0C-BC7E-2FA79DEB3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682624"/>
        <c:axId val="46092448"/>
      </c:barChart>
      <c:catAx>
        <c:axId val="4356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92448"/>
        <c:crosses val="autoZero"/>
        <c:auto val="1"/>
        <c:lblAlgn val="ctr"/>
        <c:lblOffset val="100"/>
        <c:noMultiLvlLbl val="0"/>
      </c:catAx>
      <c:valAx>
        <c:axId val="46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tCO2e/ton FeSiMg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6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'Resultados Consolidados'!$B$1</c:f>
              <c:strCache>
                <c:ptCount val="1"/>
                <c:pt idx="0">
                  <c:v>Emissões Fósseis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Consolidados'!$A$2:$A$9</c:f>
              <c:strCache>
                <c:ptCount val="8"/>
                <c:pt idx="0">
                  <c:v>Florestal</c:v>
                </c:pt>
                <c:pt idx="1">
                  <c:v>Fornos elétricos</c:v>
                </c:pt>
                <c:pt idx="2">
                  <c:v>Laboratório</c:v>
                </c:pt>
                <c:pt idx="3">
                  <c:v>Metalurgia de Panela</c:v>
                </c:pt>
                <c:pt idx="4">
                  <c:v>Serviço Auxiliar</c:v>
                </c:pt>
                <c:pt idx="5">
                  <c:v>Tratamento de Água</c:v>
                </c:pt>
                <c:pt idx="6">
                  <c:v>Transporte Upstream</c:v>
                </c:pt>
                <c:pt idx="7">
                  <c:v>Total</c:v>
                </c:pt>
              </c:strCache>
            </c:strRef>
          </c:cat>
          <c:val>
            <c:numRef>
              <c:f>'Resultados Consolidados'!$B$2:$B$9</c:f>
              <c:numCache>
                <c:formatCode>#,##0.0000</c:formatCode>
                <c:ptCount val="8"/>
                <c:pt idx="0">
                  <c:v>0.86221386038926318</c:v>
                </c:pt>
                <c:pt idx="1">
                  <c:v>0.51745845145805214</c:v>
                </c:pt>
                <c:pt idx="2">
                  <c:v>1.1586171846636288E-2</c:v>
                </c:pt>
                <c:pt idx="3">
                  <c:v>1.2509407559949324</c:v>
                </c:pt>
                <c:pt idx="4">
                  <c:v>2.8771585208020131E-2</c:v>
                </c:pt>
                <c:pt idx="5">
                  <c:v>1.5784538528273166E-3</c:v>
                </c:pt>
                <c:pt idx="6">
                  <c:v>9.1742029041517181E-2</c:v>
                </c:pt>
                <c:pt idx="7">
                  <c:v>2.7642913077912485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1-431C-8EF5-6A2326FCDA5C}"/>
            </c:ext>
          </c:extLst>
        </c:ser>
        <c:ser>
          <c:idx val="1"/>
          <c:order val="1"/>
          <c:tx>
            <c:strRef>
              <c:f>'Resultados Consolidados'!$C$1</c:f>
              <c:strCache>
                <c:ptCount val="1"/>
                <c:pt idx="0">
                  <c:v>Emissões Biogênicas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Consolidados'!$A$2:$A$9</c:f>
              <c:strCache>
                <c:ptCount val="8"/>
                <c:pt idx="0">
                  <c:v>Florestal</c:v>
                </c:pt>
                <c:pt idx="1">
                  <c:v>Fornos elétricos</c:v>
                </c:pt>
                <c:pt idx="2">
                  <c:v>Laboratório</c:v>
                </c:pt>
                <c:pt idx="3">
                  <c:v>Metalurgia de Panela</c:v>
                </c:pt>
                <c:pt idx="4">
                  <c:v>Serviço Auxiliar</c:v>
                </c:pt>
                <c:pt idx="5">
                  <c:v>Tratamento de Água</c:v>
                </c:pt>
                <c:pt idx="6">
                  <c:v>Transporte Upstream</c:v>
                </c:pt>
                <c:pt idx="7">
                  <c:v>Total</c:v>
                </c:pt>
              </c:strCache>
            </c:strRef>
          </c:cat>
          <c:val>
            <c:numRef>
              <c:f>'Resultados Consolidados'!$C$2:$C$9</c:f>
              <c:numCache>
                <c:formatCode>#,##0.0000</c:formatCode>
                <c:ptCount val="8"/>
                <c:pt idx="0">
                  <c:v>1.7951006935411635</c:v>
                </c:pt>
                <c:pt idx="1">
                  <c:v>1.7491781049863926</c:v>
                </c:pt>
                <c:pt idx="2">
                  <c:v>1.6731295441685994E-5</c:v>
                </c:pt>
                <c:pt idx="3">
                  <c:v>1.186329916889699</c:v>
                </c:pt>
                <c:pt idx="4">
                  <c:v>1.2683500341942485E-3</c:v>
                </c:pt>
                <c:pt idx="5">
                  <c:v>2.4449476518404835E-6</c:v>
                </c:pt>
                <c:pt idx="6">
                  <c:v>6.238199321168863E-3</c:v>
                </c:pt>
                <c:pt idx="7">
                  <c:v>4.7381344410157116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1-431C-8EF5-6A2326FCDA5C}"/>
            </c:ext>
          </c:extLst>
        </c:ser>
        <c:ser>
          <c:idx val="2"/>
          <c:order val="2"/>
          <c:tx>
            <c:strRef>
              <c:f>'Resultados Consolidados'!$D$1</c:f>
              <c:strCache>
                <c:ptCount val="1"/>
                <c:pt idx="0">
                  <c:v>Remoções Biogênicas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'Resultados Consolidados'!$A$2:$A$9</c:f>
              <c:strCache>
                <c:ptCount val="8"/>
                <c:pt idx="0">
                  <c:v>Florestal</c:v>
                </c:pt>
                <c:pt idx="1">
                  <c:v>Fornos elétricos</c:v>
                </c:pt>
                <c:pt idx="2">
                  <c:v>Laboratório</c:v>
                </c:pt>
                <c:pt idx="3">
                  <c:v>Metalurgia de Panela</c:v>
                </c:pt>
                <c:pt idx="4">
                  <c:v>Serviço Auxiliar</c:v>
                </c:pt>
                <c:pt idx="5">
                  <c:v>Tratamento de Água</c:v>
                </c:pt>
                <c:pt idx="6">
                  <c:v>Transporte Upstream</c:v>
                </c:pt>
                <c:pt idx="7">
                  <c:v>Total</c:v>
                </c:pt>
              </c:strCache>
            </c:strRef>
          </c:cat>
          <c:val>
            <c:numRef>
              <c:f>'Resultados Consolidados'!$D$2:$D$9</c:f>
              <c:numCache>
                <c:formatCode>#,##0.0000</c:formatCode>
                <c:ptCount val="8"/>
                <c:pt idx="0">
                  <c:v>-4.3433055346436582</c:v>
                </c:pt>
                <c:pt idx="1">
                  <c:v>0</c:v>
                </c:pt>
                <c:pt idx="2">
                  <c:v>0</c:v>
                </c:pt>
                <c:pt idx="3">
                  <c:v>-1.5857113637487914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-5.9290168983924492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1-431C-8EF5-6A2326FCDA5C}"/>
            </c:ext>
          </c:extLst>
        </c:ser>
        <c:ser>
          <c:idx val="3"/>
          <c:order val="3"/>
          <c:tx>
            <c:strRef>
              <c:f>'Resultados Consolidados'!$E$1</c:f>
              <c:strCache>
                <c:ptCount val="1"/>
                <c:pt idx="0">
                  <c:v>Emissões LUC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'Resultados Consolidados'!$A$2:$A$9</c:f>
              <c:strCache>
                <c:ptCount val="8"/>
                <c:pt idx="0">
                  <c:v>Florestal</c:v>
                </c:pt>
                <c:pt idx="1">
                  <c:v>Fornos elétricos</c:v>
                </c:pt>
                <c:pt idx="2">
                  <c:v>Laboratório</c:v>
                </c:pt>
                <c:pt idx="3">
                  <c:v>Metalurgia de Panela</c:v>
                </c:pt>
                <c:pt idx="4">
                  <c:v>Serviço Auxiliar</c:v>
                </c:pt>
                <c:pt idx="5">
                  <c:v>Tratamento de Água</c:v>
                </c:pt>
                <c:pt idx="6">
                  <c:v>Transporte Upstream</c:v>
                </c:pt>
                <c:pt idx="7">
                  <c:v>Total</c:v>
                </c:pt>
              </c:strCache>
            </c:strRef>
          </c:cat>
          <c:val>
            <c:numRef>
              <c:f>'Resultados Consolidados'!$E$2:$E$9</c:f>
              <c:numCache>
                <c:formatCode>#,##0.0000</c:formatCode>
                <c:ptCount val="8"/>
                <c:pt idx="0">
                  <c:v>4.4088360658723269E-4</c:v>
                </c:pt>
                <c:pt idx="1">
                  <c:v>5.9808126883419848E-5</c:v>
                </c:pt>
                <c:pt idx="2">
                  <c:v>1.9456764895309591E-5</c:v>
                </c:pt>
                <c:pt idx="3">
                  <c:v>4.0093892222754443E-4</c:v>
                </c:pt>
                <c:pt idx="4">
                  <c:v>6.3542164974028833E-7</c:v>
                </c:pt>
                <c:pt idx="5">
                  <c:v>2.4006284091986699E-6</c:v>
                </c:pt>
                <c:pt idx="6">
                  <c:v>3.5295977575372898E-6</c:v>
                </c:pt>
                <c:pt idx="7">
                  <c:v>9.2765306840998283E-4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1-431C-8EF5-6A2326FC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346256"/>
        <c:axId val="1171346736"/>
      </c:barChart>
      <c:catAx>
        <c:axId val="11713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46736"/>
        <c:crosses val="autoZero"/>
        <c:auto val="1"/>
        <c:lblAlgn val="ctr"/>
        <c:lblOffset val="100"/>
        <c:noMultiLvlLbl val="0"/>
      </c:catAx>
      <c:valAx>
        <c:axId val="1171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tCO2e/ton FeSiMg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3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Consolidados'!$B$11</c:f>
              <c:strCache>
                <c:ptCount val="1"/>
                <c:pt idx="0">
                  <c:v>Emissões Fósseis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Consolidados'!$A$12:$A$15</c:f>
              <c:strCache>
                <c:ptCount val="4"/>
                <c:pt idx="0">
                  <c:v>Combustível</c:v>
                </c:pt>
                <c:pt idx="1">
                  <c:v>Energia</c:v>
                </c:pt>
                <c:pt idx="2">
                  <c:v>Matéria-Prima</c:v>
                </c:pt>
                <c:pt idx="3">
                  <c:v>Resíduo</c:v>
                </c:pt>
              </c:strCache>
            </c:strRef>
          </c:cat>
          <c:val>
            <c:numRef>
              <c:f>'Resultados Consolidados'!$B$12:$B$15</c:f>
              <c:numCache>
                <c:formatCode>#,##0.0000</c:formatCode>
                <c:ptCount val="4"/>
                <c:pt idx="0">
                  <c:v>0.10813079356537561</c:v>
                </c:pt>
                <c:pt idx="1">
                  <c:v>0.15022838054024973</c:v>
                </c:pt>
                <c:pt idx="2">
                  <c:v>2.4621301664458888</c:v>
                </c:pt>
                <c:pt idx="3">
                  <c:v>4.3801967239734396E-2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4468-9B79-8013D6A2729F}"/>
            </c:ext>
          </c:extLst>
        </c:ser>
        <c:ser>
          <c:idx val="1"/>
          <c:order val="1"/>
          <c:tx>
            <c:strRef>
              <c:f>'Resultados Consolidados'!$C$11</c:f>
              <c:strCache>
                <c:ptCount val="1"/>
                <c:pt idx="0">
                  <c:v>Emissões Biogênicas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Consolidados'!$A$12:$A$15</c:f>
              <c:strCache>
                <c:ptCount val="4"/>
                <c:pt idx="0">
                  <c:v>Combustível</c:v>
                </c:pt>
                <c:pt idx="1">
                  <c:v>Energia</c:v>
                </c:pt>
                <c:pt idx="2">
                  <c:v>Matéria-Prima</c:v>
                </c:pt>
                <c:pt idx="3">
                  <c:v>Resíduo</c:v>
                </c:pt>
              </c:strCache>
            </c:strRef>
          </c:cat>
          <c:val>
            <c:numRef>
              <c:f>'Resultados Consolidados'!$C$12:$C$15</c:f>
              <c:numCache>
                <c:formatCode>#,##0.0000</c:formatCode>
                <c:ptCount val="4"/>
                <c:pt idx="0">
                  <c:v>7.5065493553631117E-3</c:v>
                </c:pt>
                <c:pt idx="1">
                  <c:v>0</c:v>
                </c:pt>
                <c:pt idx="2">
                  <c:v>2.9823537968325859</c:v>
                </c:pt>
                <c:pt idx="3">
                  <c:v>1.7482740948277624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C-4468-9B79-8013D6A2729F}"/>
            </c:ext>
          </c:extLst>
        </c:ser>
        <c:ser>
          <c:idx val="2"/>
          <c:order val="2"/>
          <c:tx>
            <c:strRef>
              <c:f>'Resultados Consolidados'!$D$11</c:f>
              <c:strCache>
                <c:ptCount val="1"/>
                <c:pt idx="0">
                  <c:v>Remoções Biogênicas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Consolidados'!$A$12:$A$15</c:f>
              <c:strCache>
                <c:ptCount val="4"/>
                <c:pt idx="0">
                  <c:v>Combustível</c:v>
                </c:pt>
                <c:pt idx="1">
                  <c:v>Energia</c:v>
                </c:pt>
                <c:pt idx="2">
                  <c:v>Matéria-Prima</c:v>
                </c:pt>
                <c:pt idx="3">
                  <c:v>Resíduo</c:v>
                </c:pt>
              </c:strCache>
            </c:strRef>
          </c:cat>
          <c:val>
            <c:numRef>
              <c:f>'Resultados Consolidados'!$D$12:$D$15</c:f>
              <c:numCache>
                <c:formatCode>#,##0.0000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-5.9290168983924492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C-4468-9B79-8013D6A2729F}"/>
            </c:ext>
          </c:extLst>
        </c:ser>
        <c:ser>
          <c:idx val="3"/>
          <c:order val="3"/>
          <c:tx>
            <c:strRef>
              <c:f>'Resultados Consolidados'!$E$11</c:f>
              <c:strCache>
                <c:ptCount val="1"/>
                <c:pt idx="0">
                  <c:v>Emissões LUC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Consolidados'!$A$12:$A$15</c:f>
              <c:strCache>
                <c:ptCount val="4"/>
                <c:pt idx="0">
                  <c:v>Combustível</c:v>
                </c:pt>
                <c:pt idx="1">
                  <c:v>Energia</c:v>
                </c:pt>
                <c:pt idx="2">
                  <c:v>Matéria-Prima</c:v>
                </c:pt>
                <c:pt idx="3">
                  <c:v>Resíduo</c:v>
                </c:pt>
              </c:strCache>
            </c:strRef>
          </c:cat>
          <c:val>
            <c:numRef>
              <c:f>'Resultados Consolidados'!$E$12:$E$15</c:f>
              <c:numCache>
                <c:formatCode>#,##0.0000</c:formatCode>
                <c:ptCount val="4"/>
                <c:pt idx="0">
                  <c:v>4.1650194072775783E-6</c:v>
                </c:pt>
                <c:pt idx="1">
                  <c:v>0</c:v>
                </c:pt>
                <c:pt idx="2">
                  <c:v>9.2348804900270519E-4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C-4468-9B79-8013D6A2729F}"/>
            </c:ext>
          </c:extLst>
        </c:ser>
        <c:ser>
          <c:idx val="4"/>
          <c:order val="4"/>
          <c:tx>
            <c:strRef>
              <c:f>'Resultados Consolidados'!$F$11</c:f>
              <c:strCache>
                <c:ptCount val="1"/>
                <c:pt idx="0">
                  <c:v>Balanço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Consolidados'!$A$12:$A$15</c:f>
              <c:strCache>
                <c:ptCount val="4"/>
                <c:pt idx="0">
                  <c:v>Combustível</c:v>
                </c:pt>
                <c:pt idx="1">
                  <c:v>Energia</c:v>
                </c:pt>
                <c:pt idx="2">
                  <c:v>Matéria-Prima</c:v>
                </c:pt>
                <c:pt idx="3">
                  <c:v>Resíduo</c:v>
                </c:pt>
              </c:strCache>
            </c:strRef>
          </c:cat>
          <c:val>
            <c:numRef>
              <c:f>'Resultados Consolidados'!$F$12:$F$15</c:f>
              <c:numCache>
                <c:formatCode>#,##0.0000</c:formatCode>
                <c:ptCount val="4"/>
                <c:pt idx="0">
                  <c:v>0.11564150794014601</c:v>
                </c:pt>
                <c:pt idx="1">
                  <c:v>0.15022838054024973</c:v>
                </c:pt>
                <c:pt idx="2">
                  <c:v>-0.48360944706497172</c:v>
                </c:pt>
                <c:pt idx="3">
                  <c:v>1.7920760620674967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C-4468-9B79-8013D6A272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519856"/>
        <c:axId val="397519376"/>
      </c:barChart>
      <c:catAx>
        <c:axId val="397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519376"/>
        <c:crosses val="autoZero"/>
        <c:auto val="1"/>
        <c:lblAlgn val="ctr"/>
        <c:lblOffset val="100"/>
        <c:noMultiLvlLbl val="0"/>
      </c:catAx>
      <c:valAx>
        <c:axId val="3975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5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Por Item'!$AG$1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Por Item'!$AE$2:$AE$38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'Resultados Por Item'!$AG$2:$AG$38</c:f>
              <c:numCache>
                <c:formatCode>0.00%</c:formatCode>
                <c:ptCount val="37"/>
                <c:pt idx="0">
                  <c:v>0.32496752561108538</c:v>
                </c:pt>
                <c:pt idx="1">
                  <c:v>0.63687888529994463</c:v>
                </c:pt>
                <c:pt idx="2">
                  <c:v>0.74940975737232096</c:v>
                </c:pt>
                <c:pt idx="3">
                  <c:v>0.82260517924414644</c:v>
                </c:pt>
                <c:pt idx="4">
                  <c:v>0.87695125345015579</c:v>
                </c:pt>
                <c:pt idx="5">
                  <c:v>0.91013951721343544</c:v>
                </c:pt>
                <c:pt idx="6">
                  <c:v>0.92598515805319681</c:v>
                </c:pt>
                <c:pt idx="7">
                  <c:v>0.94210319934525022</c:v>
                </c:pt>
                <c:pt idx="8">
                  <c:v>0.95251269431942198</c:v>
                </c:pt>
                <c:pt idx="9">
                  <c:v>0.96231133389221435</c:v>
                </c:pt>
                <c:pt idx="10">
                  <c:v>0.96921601368925192</c:v>
                </c:pt>
                <c:pt idx="11">
                  <c:v>0.97419609872882262</c:v>
                </c:pt>
                <c:pt idx="12">
                  <c:v>0.97883899621985992</c:v>
                </c:pt>
                <c:pt idx="13">
                  <c:v>0.98300812287917139</c:v>
                </c:pt>
                <c:pt idx="14">
                  <c:v>0.98716990417113415</c:v>
                </c:pt>
                <c:pt idx="15">
                  <c:v>0.99015010400970926</c:v>
                </c:pt>
                <c:pt idx="16">
                  <c:v>0.99287734139009776</c:v>
                </c:pt>
                <c:pt idx="17">
                  <c:v>0.99543077074320307</c:v>
                </c:pt>
                <c:pt idx="18">
                  <c:v>0.99789593975977364</c:v>
                </c:pt>
                <c:pt idx="19">
                  <c:v>0.99918178229612287</c:v>
                </c:pt>
                <c:pt idx="20">
                  <c:v>0.99954557151147905</c:v>
                </c:pt>
                <c:pt idx="21">
                  <c:v>0.99975279803834161</c:v>
                </c:pt>
                <c:pt idx="22">
                  <c:v>0.99994088869762998</c:v>
                </c:pt>
                <c:pt idx="23">
                  <c:v>0.99996790112276412</c:v>
                </c:pt>
                <c:pt idx="24">
                  <c:v>0.99998122611817475</c:v>
                </c:pt>
                <c:pt idx="25">
                  <c:v>0.99999108013972315</c:v>
                </c:pt>
                <c:pt idx="26">
                  <c:v>0.99999589023362034</c:v>
                </c:pt>
                <c:pt idx="27">
                  <c:v>1.0000000000000002</c:v>
                </c:pt>
                <c:pt idx="28">
                  <c:v>1.0000000000000002</c:v>
                </c:pt>
                <c:pt idx="29">
                  <c:v>1.0000000000000002</c:v>
                </c:pt>
                <c:pt idx="30">
                  <c:v>1.0000000000000002</c:v>
                </c:pt>
                <c:pt idx="31">
                  <c:v>1.0000000000000002</c:v>
                </c:pt>
                <c:pt idx="32">
                  <c:v>1.0000000000000002</c:v>
                </c:pt>
                <c:pt idx="33">
                  <c:v>1.0000000000000002</c:v>
                </c:pt>
                <c:pt idx="34">
                  <c:v>1.0000000000000002</c:v>
                </c:pt>
                <c:pt idx="35">
                  <c:v>1.0000000000000002</c:v>
                </c:pt>
                <c:pt idx="36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5-4373-ABC9-0AD6EFF7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93967"/>
        <c:axId val="1204394927"/>
      </c:scatterChart>
      <c:valAx>
        <c:axId val="12043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394927"/>
        <c:crosses val="autoZero"/>
        <c:crossBetween val="midCat"/>
      </c:valAx>
      <c:valAx>
        <c:axId val="12043949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Acumulado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39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Por Item'!$AF$1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Por Item'!$N$2:$N$10</c:f>
              <c:strCache>
                <c:ptCount val="9"/>
                <c:pt idx="0">
                  <c:v>Magnésio Primário</c:v>
                </c:pt>
                <c:pt idx="1">
                  <c:v>Carvão Vegetal</c:v>
                </c:pt>
                <c:pt idx="2">
                  <c:v>mischmetal production, primary</c:v>
                </c:pt>
                <c:pt idx="3">
                  <c:v>market for mill scale</c:v>
                </c:pt>
                <c:pt idx="4">
                  <c:v>Energia Hidrelétrica</c:v>
                </c:pt>
                <c:pt idx="5">
                  <c:v>Transporte Upstream</c:v>
                </c:pt>
                <c:pt idx="6">
                  <c:v>CO2 Redução</c:v>
                </c:pt>
                <c:pt idx="7">
                  <c:v>steel production, converter, unalloyed</c:v>
                </c:pt>
                <c:pt idx="8">
                  <c:v>coal tar // coke production</c:v>
                </c:pt>
              </c:strCache>
            </c:strRef>
          </c:cat>
          <c:val>
            <c:numRef>
              <c:f>'Resultados Por Item'!$AF$2:$AF$10</c:f>
              <c:numCache>
                <c:formatCode>0.00%</c:formatCode>
                <c:ptCount val="9"/>
                <c:pt idx="0">
                  <c:v>0.32496752561108538</c:v>
                </c:pt>
                <c:pt idx="1">
                  <c:v>0.31191135968885925</c:v>
                </c:pt>
                <c:pt idx="2">
                  <c:v>0.11253087207237632</c:v>
                </c:pt>
                <c:pt idx="3">
                  <c:v>7.3195421871825428E-2</c:v>
                </c:pt>
                <c:pt idx="4">
                  <c:v>5.4346074206009322E-2</c:v>
                </c:pt>
                <c:pt idx="5">
                  <c:v>3.3188263763279643E-2</c:v>
                </c:pt>
                <c:pt idx="6">
                  <c:v>1.584564083976138E-2</c:v>
                </c:pt>
                <c:pt idx="7">
                  <c:v>1.6118041292053357E-2</c:v>
                </c:pt>
                <c:pt idx="8">
                  <c:v>1.0409494974171759E-2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D6F-A029-D497DEDC4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0511887"/>
        <c:axId val="1510514287"/>
      </c:barChart>
      <c:catAx>
        <c:axId val="1510511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4287"/>
        <c:crosses val="autoZero"/>
        <c:auto val="1"/>
        <c:lblAlgn val="ctr"/>
        <c:lblOffset val="100"/>
        <c:noMultiLvlLbl val="0"/>
      </c:catAx>
      <c:valAx>
        <c:axId val="1510514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Por Item'!$Z$1</c:f>
              <c:strCache>
                <c:ptCount val="1"/>
                <c:pt idx="0">
                  <c:v>Fator de Emissão Fóssil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Por Item'!$N$2:$N$10</c:f>
              <c:strCache>
                <c:ptCount val="9"/>
                <c:pt idx="0">
                  <c:v>Magnésio Primário</c:v>
                </c:pt>
                <c:pt idx="1">
                  <c:v>Carvão Vegetal</c:v>
                </c:pt>
                <c:pt idx="2">
                  <c:v>mischmetal production, primary</c:v>
                </c:pt>
                <c:pt idx="3">
                  <c:v>market for mill scale</c:v>
                </c:pt>
                <c:pt idx="4">
                  <c:v>Energia Hidrelétrica</c:v>
                </c:pt>
                <c:pt idx="5">
                  <c:v>Transporte Upstream</c:v>
                </c:pt>
                <c:pt idx="6">
                  <c:v>CO2 Redução</c:v>
                </c:pt>
                <c:pt idx="7">
                  <c:v>steel production, converter, unalloyed</c:v>
                </c:pt>
                <c:pt idx="8">
                  <c:v>coal tar // coke production</c:v>
                </c:pt>
              </c:strCache>
            </c:strRef>
          </c:cat>
          <c:val>
            <c:numRef>
              <c:f>'Resultados Por Item'!$Z$2:$Z$10</c:f>
              <c:numCache>
                <c:formatCode>#,##0.0000</c:formatCode>
                <c:ptCount val="9"/>
                <c:pt idx="0">
                  <c:v>10.355499999999999</c:v>
                </c:pt>
                <c:pt idx="1">
                  <c:v>1.080463081352691</c:v>
                </c:pt>
                <c:pt idx="2">
                  <c:v>23.7607422169859</c:v>
                </c:pt>
                <c:pt idx="3">
                  <c:v>0.37045385119525598</c:v>
                </c:pt>
                <c:pt idx="4">
                  <c:v>2.7E-2</c:v>
                </c:pt>
                <c:pt idx="5">
                  <c:v>3.7551839250570491E-2</c:v>
                </c:pt>
                <c:pt idx="6">
                  <c:v>1</c:v>
                </c:pt>
                <c:pt idx="7">
                  <c:v>1.9277137377960301</c:v>
                </c:pt>
                <c:pt idx="8">
                  <c:v>1.54862433712401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B8E-A20A-B0084F13F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0511887"/>
        <c:axId val="1510514287"/>
      </c:barChart>
      <c:catAx>
        <c:axId val="1510511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4287"/>
        <c:crosses val="autoZero"/>
        <c:auto val="1"/>
        <c:lblAlgn val="ctr"/>
        <c:lblOffset val="100"/>
        <c:noMultiLvlLbl val="0"/>
      </c:catAx>
      <c:valAx>
        <c:axId val="1510514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Por Item'!$AF$1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Por Item'!$AW$1:$AW$9</c:f>
              <c:strCache>
                <c:ptCount val="9"/>
                <c:pt idx="0">
                  <c:v>Magnésio Primário</c:v>
                </c:pt>
                <c:pt idx="1">
                  <c:v>Carvão Vegetal</c:v>
                </c:pt>
                <c:pt idx="2">
                  <c:v>Mischmetal</c:v>
                </c:pt>
                <c:pt idx="3">
                  <c:v>Carepa</c:v>
                </c:pt>
                <c:pt idx="4">
                  <c:v>Energia Hidrelétrica</c:v>
                </c:pt>
                <c:pt idx="5">
                  <c:v>Transporte Upstream</c:v>
                </c:pt>
                <c:pt idx="6">
                  <c:v>CO2 Redução</c:v>
                </c:pt>
                <c:pt idx="7">
                  <c:v>Aço/Vergalhões</c:v>
                </c:pt>
                <c:pt idx="8">
                  <c:v>Pasta Eletródica</c:v>
                </c:pt>
              </c:strCache>
            </c:strRef>
          </c:cat>
          <c:val>
            <c:numRef>
              <c:f>'Resultados Por Item'!$AF$2:$AF$10</c:f>
              <c:numCache>
                <c:formatCode>0.00%</c:formatCode>
                <c:ptCount val="9"/>
                <c:pt idx="0">
                  <c:v>0.32496752561108538</c:v>
                </c:pt>
                <c:pt idx="1">
                  <c:v>0.31191135968885925</c:v>
                </c:pt>
                <c:pt idx="2">
                  <c:v>0.11253087207237632</c:v>
                </c:pt>
                <c:pt idx="3">
                  <c:v>7.3195421871825428E-2</c:v>
                </c:pt>
                <c:pt idx="4">
                  <c:v>5.4346074206009322E-2</c:v>
                </c:pt>
                <c:pt idx="5">
                  <c:v>3.3188263763279643E-2</c:v>
                </c:pt>
                <c:pt idx="6">
                  <c:v>1.584564083976138E-2</c:v>
                </c:pt>
                <c:pt idx="7">
                  <c:v>1.6118041292053357E-2</c:v>
                </c:pt>
                <c:pt idx="8">
                  <c:v>1.0409494974171759E-2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AE6-8440-F4A0938F4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0511887"/>
        <c:axId val="1510514287"/>
      </c:barChart>
      <c:catAx>
        <c:axId val="1510511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4287"/>
        <c:crosses val="autoZero"/>
        <c:auto val="1"/>
        <c:lblAlgn val="ctr"/>
        <c:lblOffset val="100"/>
        <c:noMultiLvlLbl val="0"/>
      </c:catAx>
      <c:valAx>
        <c:axId val="1510514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'Resultados Por Item'!$Z$1</c:f>
              <c:strCache>
                <c:ptCount val="1"/>
                <c:pt idx="0">
                  <c:v>Fator de Emissão Fóssil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'Resultados Por Item'!$AW$1:$AW$9</c:f>
              <c:strCache>
                <c:ptCount val="9"/>
                <c:pt idx="0">
                  <c:v>Magnésio Primário</c:v>
                </c:pt>
                <c:pt idx="1">
                  <c:v>Carvão Vegetal</c:v>
                </c:pt>
                <c:pt idx="2">
                  <c:v>Mischmetal</c:v>
                </c:pt>
                <c:pt idx="3">
                  <c:v>Carepa</c:v>
                </c:pt>
                <c:pt idx="4">
                  <c:v>Energia Hidrelétrica</c:v>
                </c:pt>
                <c:pt idx="5">
                  <c:v>Transporte Upstream</c:v>
                </c:pt>
                <c:pt idx="6">
                  <c:v>CO2 Redução</c:v>
                </c:pt>
                <c:pt idx="7">
                  <c:v>Aço/Vergalhões</c:v>
                </c:pt>
                <c:pt idx="8">
                  <c:v>Pasta Eletródica</c:v>
                </c:pt>
              </c:strCache>
            </c:strRef>
          </c:cat>
          <c:val>
            <c:numRef>
              <c:f>'Resultados Por Item'!$Z$2:$Z$10</c:f>
              <c:numCache>
                <c:formatCode>#,##0.0000</c:formatCode>
                <c:ptCount val="9"/>
                <c:pt idx="0">
                  <c:v>10.355499999999999</c:v>
                </c:pt>
                <c:pt idx="1">
                  <c:v>1.080463081352691</c:v>
                </c:pt>
                <c:pt idx="2">
                  <c:v>23.7607422169859</c:v>
                </c:pt>
                <c:pt idx="3">
                  <c:v>0.37045385119525598</c:v>
                </c:pt>
                <c:pt idx="4">
                  <c:v>2.7E-2</c:v>
                </c:pt>
                <c:pt idx="5">
                  <c:v>3.7551839250570491E-2</c:v>
                </c:pt>
                <c:pt idx="6">
                  <c:v>1</c:v>
                </c:pt>
                <c:pt idx="7">
                  <c:v>1.9277137377960301</c:v>
                </c:pt>
                <c:pt idx="8">
                  <c:v>1.54862433712401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4D46-BB64-CE5BA2EEC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0511887"/>
        <c:axId val="1510514287"/>
      </c:barChart>
      <c:catAx>
        <c:axId val="1510511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4287"/>
        <c:crosses val="autoZero"/>
        <c:auto val="1"/>
        <c:lblAlgn val="ctr"/>
        <c:lblOffset val="100"/>
        <c:noMultiLvlLbl val="0"/>
      </c:catAx>
      <c:valAx>
        <c:axId val="1510514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5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28015</xdr:colOff>
      <xdr:row>22</xdr:row>
      <xdr:rowOff>141194</xdr:rowOff>
    </xdr:from>
    <xdr:to>
      <xdr:col>3</xdr:col>
      <xdr:colOff>778809</xdr:colOff>
      <xdr:row>37</xdr:row>
      <xdr:rowOff>26894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73A3A-FD7E-B27F-1693-5F6A24865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896471</xdr:colOff>
      <xdr:row>22</xdr:row>
      <xdr:rowOff>152400</xdr:rowOff>
    </xdr:from>
    <xdr:to>
      <xdr:col>8</xdr:col>
      <xdr:colOff>1042148</xdr:colOff>
      <xdr:row>37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1FEBDD-14D5-38C3-C235-D3C5784A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168087</xdr:colOff>
      <xdr:row>37</xdr:row>
      <xdr:rowOff>6725</xdr:rowOff>
    </xdr:from>
    <xdr:to>
      <xdr:col>3</xdr:col>
      <xdr:colOff>918881</xdr:colOff>
      <xdr:row>51</xdr:row>
      <xdr:rowOff>82925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1207985-462C-FACF-3F7C-8634EE2F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1042148</xdr:colOff>
      <xdr:row>36</xdr:row>
      <xdr:rowOff>174811</xdr:rowOff>
    </xdr:from>
    <xdr:to>
      <xdr:col>8</xdr:col>
      <xdr:colOff>1187825</xdr:colOff>
      <xdr:row>51</xdr:row>
      <xdr:rowOff>60511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341B7F-7BCE-C549-EAEE-F806BFFC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220806</xdr:colOff>
      <xdr:row>0</xdr:row>
      <xdr:rowOff>126423</xdr:rowOff>
    </xdr:from>
    <xdr:to>
      <xdr:col>40</xdr:col>
      <xdr:colOff>549852</xdr:colOff>
      <xdr:row>15</xdr:row>
      <xdr:rowOff>12123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E4ED-5625-FCD5-B2B4-C1825D9C0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168852</xdr:colOff>
      <xdr:row>14</xdr:row>
      <xdr:rowOff>109105</xdr:rowOff>
    </xdr:from>
    <xdr:to>
      <xdr:col>42</xdr:col>
      <xdr:colOff>285751</xdr:colOff>
      <xdr:row>28</xdr:row>
      <xdr:rowOff>185305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A5C0A-441C-13C7-1E50-EA9093D5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225135</xdr:colOff>
      <xdr:row>28</xdr:row>
      <xdr:rowOff>129886</xdr:rowOff>
    </xdr:from>
    <xdr:to>
      <xdr:col>42</xdr:col>
      <xdr:colOff>342034</xdr:colOff>
      <xdr:row>43</xdr:row>
      <xdr:rowOff>15586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154175-6980-4099-AA95-39F06AA36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15</xdr:row>
      <xdr:rowOff>0</xdr:rowOff>
    </xdr:from>
    <xdr:to>
      <xdr:col>54</xdr:col>
      <xdr:colOff>116899</xdr:colOff>
      <xdr:row>29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81D14F-2587-4A3E-BB75-672B8FC3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56283</xdr:colOff>
      <xdr:row>29</xdr:row>
      <xdr:rowOff>20781</xdr:rowOff>
    </xdr:from>
    <xdr:to>
      <xdr:col>54</xdr:col>
      <xdr:colOff>173182</xdr:colOff>
      <xdr:row>43</xdr:row>
      <xdr:rowOff>89361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9E7A95-2BEA-44DE-B0C7-EF2DAC35C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108146</xdr:colOff>
      <xdr:row>11</xdr:row>
      <xdr:rowOff>58616</xdr:rowOff>
    </xdr:from>
    <xdr:to>
      <xdr:col>6</xdr:col>
      <xdr:colOff>1800869</xdr:colOff>
      <xdr:row>18</xdr:row>
      <xdr:rowOff>94078</xdr:rowOff>
    </xdr:to>
    <xdr:pic>
      <xdr:nvPicPr>
        <xdr:cNvPr id="2" name="Imagem 1" descr="Texto, Carta&#10;&#10;Descrição gerada automaticamente">
          <a:extLst>
            <a:ext uri="{FF2B5EF4-FFF2-40B4-BE49-F238E27FC236}">
              <a16:creationId xmlns:a16="http://schemas.microsoft.com/office/drawing/2014/main" id="{C3BF819A-3807-40FE-8C1D-24B83EA71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434" y="2344616"/>
          <a:ext cx="4777358" cy="13689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uardo Alvarenga Torres" id="{A98B694D-1052-4E35-A664-4082C89BD4E5}" userId="S::eduardo.torres@onearth.com.br::ae29be75-ebb7-448e-baa8-18c84f2531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9" dT="2024-11-21T18:39:17.82" personId="{A98B694D-1052-4E35-A664-4082C89BD4E5}" id="{AA2804F1-32FD-4AB9-B13D-91BEDEFF60DF}">
    <text>Fator de emissão acetileno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8:04:29.67" personId="{A98B694D-1052-4E35-A664-4082C89BD4E5}" id="{9167B49B-0025-4CE0-8289-79825DC4646F}">
    <text>Entender depois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2" dT="2024-12-11T19:09:05.12" personId="{A98B694D-1052-4E35-A664-4082C89BD4E5}" id="{C2C86F19-E022-4044-9A3A-19738039DF79}">
    <text>Pesado (marítimo)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CEA3-42CE-4C2C-B6BB-6BDD76124264}">
  <sheetPr>
    <tabColor theme="1"/>
  </sheetPr>
  <dimension ref="A1:K22"/>
  <sheetViews>
    <sheetView showGridLines="0" topLeftCell="A16" zoomScale="110" zoomScaleNormal="110" workbookViewId="0">
      <selection activeCell="C3" sqref="C3"/>
    </sheetView>
  </sheetViews>
  <sheetFormatPr baseColWidth="10" defaultColWidth="8.83203125" defaultRowHeight="15"/>
  <cols>
    <col min="1" max="1" width="19.83203125" bestFit="1" customWidth="1"/>
    <col min="2" max="2" width="17.33203125" bestFit="1" customWidth="1"/>
    <col min="3" max="3" width="20.1640625" bestFit="1" customWidth="1"/>
    <col min="4" max="4" width="21" bestFit="1" customWidth="1"/>
    <col min="5" max="5" width="14" bestFit="1" customWidth="1"/>
    <col min="6" max="6" width="12.1640625" customWidth="1"/>
    <col min="7" max="7" width="16.5" bestFit="1" customWidth="1"/>
    <col min="8" max="8" width="2.6640625" customWidth="1"/>
    <col min="9" max="9" width="19.5" bestFit="1" customWidth="1"/>
    <col min="10" max="10" width="27.1640625" bestFit="1" customWidth="1"/>
    <col min="11" max="11" width="28.5" bestFit="1" customWidth="1"/>
  </cols>
  <sheetData>
    <row r="1" spans="1:11">
      <c r="A1" s="1" t="s">
        <v>784</v>
      </c>
      <c r="B1" s="1" t="s">
        <v>789</v>
      </c>
      <c r="C1" s="1" t="s">
        <v>790</v>
      </c>
      <c r="D1" s="1" t="s">
        <v>791</v>
      </c>
      <c r="E1" s="1" t="s">
        <v>792</v>
      </c>
      <c r="F1" s="1" t="s">
        <v>883</v>
      </c>
      <c r="G1" s="1" t="s">
        <v>17</v>
      </c>
      <c r="I1" s="1" t="s">
        <v>884</v>
      </c>
      <c r="J1" s="1" t="s">
        <v>903</v>
      </c>
      <c r="K1" s="1" t="s">
        <v>904</v>
      </c>
    </row>
    <row r="2" spans="1:11">
      <c r="A2" s="16" t="s">
        <v>902</v>
      </c>
      <c r="B2" s="153">
        <f>Industrial!N6</f>
        <v>0.86221386038926318</v>
      </c>
      <c r="C2" s="153">
        <f>Industrial!O6</f>
        <v>1.7951006935411635</v>
      </c>
      <c r="D2" s="153">
        <f>Industrial!P6</f>
        <v>-4.3433055346436582</v>
      </c>
      <c r="E2" s="153">
        <f>Industrial!Q6</f>
        <v>4.4088360658723269E-4</v>
      </c>
      <c r="F2" s="153">
        <f>SUM(B2:E2)</f>
        <v>-1.6855500971066442</v>
      </c>
      <c r="G2" s="6" t="s">
        <v>850</v>
      </c>
      <c r="I2" s="219" t="s">
        <v>406</v>
      </c>
      <c r="J2" s="153">
        <f>SUM('Resultados Por Item'!Q:Q)/1000</f>
        <v>2.6470042265870903</v>
      </c>
      <c r="K2" s="153">
        <f>J2</f>
        <v>2.6470042265870903</v>
      </c>
    </row>
    <row r="3" spans="1:11">
      <c r="A3" s="16" t="s">
        <v>149</v>
      </c>
      <c r="B3" s="153">
        <f>SUMIFS(Industrial!N:N,Industrial!$D:$D,$A3)</f>
        <v>0.51745845145805214</v>
      </c>
      <c r="C3" s="153">
        <f>SUMIFS(Industrial!O:O,Industrial!$D:$D,$A3)</f>
        <v>1.7491781049863926</v>
      </c>
      <c r="D3" s="153">
        <f>SUMIFS(Industrial!P:P,Industrial!$D:$D,$A3)</f>
        <v>0</v>
      </c>
      <c r="E3" s="153">
        <f>SUMIFS(Industrial!Q:Q,Industrial!$D:$D,$A3)</f>
        <v>5.9808126883419848E-5</v>
      </c>
      <c r="F3" s="153">
        <f>SUM(B3:E3)</f>
        <v>2.2666963645713283</v>
      </c>
      <c r="G3" s="6" t="s">
        <v>850</v>
      </c>
      <c r="I3" s="219" t="s">
        <v>408</v>
      </c>
      <c r="J3" s="91">
        <f>SUM('Resultados Por Item'!R:R)/1000</f>
        <v>3.1430624028058789E-5</v>
      </c>
      <c r="K3" s="153">
        <f>J3*GWP_Quioto!$E$3</f>
        <v>8.7691441038284014E-4</v>
      </c>
    </row>
    <row r="4" spans="1:11">
      <c r="A4" s="16" t="s">
        <v>166</v>
      </c>
      <c r="B4" s="153">
        <f>SUMIFS(Industrial!N:N,Industrial!$D:$D,$A4)</f>
        <v>1.1586171846636288E-2</v>
      </c>
      <c r="C4" s="153">
        <f>SUMIFS(Industrial!O:O,Industrial!$D:$D,$A4)</f>
        <v>1.6731295441685994E-5</v>
      </c>
      <c r="D4" s="153">
        <f>SUMIFS(Industrial!P:P,Industrial!$D:$D,$A4)</f>
        <v>0</v>
      </c>
      <c r="E4" s="153">
        <f>SUMIFS(Industrial!Q:Q,Industrial!$D:$D,$A4)</f>
        <v>1.9456764895309591E-5</v>
      </c>
      <c r="F4" s="153">
        <f t="shared" ref="F4:F7" si="0">SUM(B4:E4)</f>
        <v>1.1622359906973283E-2</v>
      </c>
      <c r="G4" s="6" t="s">
        <v>850</v>
      </c>
      <c r="I4" s="219" t="s">
        <v>889</v>
      </c>
      <c r="J4" s="153">
        <f>Industrial!$F$6*'Resultado - Carvão Vegetal'!$J$4</f>
        <v>3.917767782661908E-2</v>
      </c>
      <c r="K4" s="153">
        <f>J4*GWP_Quioto!$E$3</f>
        <v>1.0930572113626722</v>
      </c>
    </row>
    <row r="5" spans="1:11">
      <c r="A5" s="16" t="s">
        <v>179</v>
      </c>
      <c r="B5" s="153">
        <f>SUMIFS(Industrial!N:N,Industrial!$D:$D,$A5)</f>
        <v>1.2509407559949324</v>
      </c>
      <c r="C5" s="153">
        <f>SUMIFS(Industrial!O:O,Industrial!$D:$D,$A5)</f>
        <v>1.186329916889699</v>
      </c>
      <c r="D5" s="153">
        <f>SUMIFS(Industrial!P:P,Industrial!$D:$D,$A5)</f>
        <v>-1.5857113637487914</v>
      </c>
      <c r="E5" s="153">
        <f>SUMIFS(Industrial!Q:Q,Industrial!$D:$D,$A5)</f>
        <v>4.0093892222754443E-4</v>
      </c>
      <c r="F5" s="153">
        <f t="shared" si="0"/>
        <v>0.85196024805806758</v>
      </c>
      <c r="G5" s="6" t="s">
        <v>850</v>
      </c>
      <c r="I5" s="219" t="s">
        <v>409</v>
      </c>
      <c r="J5" s="153">
        <f>SUM('Resultados Por Item'!S:S)/1000</f>
        <v>4.2641086737646601E-4</v>
      </c>
      <c r="K5" s="153">
        <f>J5*GWP_Quioto!$E$6</f>
        <v>0.11641016679377522</v>
      </c>
    </row>
    <row r="6" spans="1:11">
      <c r="A6" s="16" t="s">
        <v>150</v>
      </c>
      <c r="B6" s="153">
        <f>SUMIFS(Industrial!N:N,Industrial!$D:$D,$A6)</f>
        <v>2.8771585208020131E-2</v>
      </c>
      <c r="C6" s="153">
        <f>SUMIFS(Industrial!O:O,Industrial!$D:$D,$A6)</f>
        <v>1.2683500341942485E-3</v>
      </c>
      <c r="D6" s="153">
        <f>SUMIFS(Industrial!P:P,Industrial!$D:$D,$A6)</f>
        <v>0</v>
      </c>
      <c r="E6" s="153">
        <f>SUMIFS(Industrial!Q:Q,Industrial!$D:$D,$A6)</f>
        <v>6.3542164974028833E-7</v>
      </c>
      <c r="F6" s="153">
        <f t="shared" si="0"/>
        <v>3.0040570663864122E-2</v>
      </c>
      <c r="G6" s="6" t="s">
        <v>850</v>
      </c>
      <c r="I6" s="219" t="s">
        <v>632</v>
      </c>
      <c r="J6" s="225">
        <f>J2+(J3*GWP_Quioto!$E$3)+(J5*GWP_Quioto!$E$6)</f>
        <v>2.7642913077912485</v>
      </c>
      <c r="K6" s="225">
        <f>SUM(K2:K3,K5)</f>
        <v>2.7642913077912485</v>
      </c>
    </row>
    <row r="7" spans="1:11">
      <c r="A7" s="16" t="s">
        <v>184</v>
      </c>
      <c r="B7" s="153">
        <f>SUMIFS(Industrial!N:N,Industrial!$D:$D,$A7)</f>
        <v>1.5784538528273166E-3</v>
      </c>
      <c r="C7" s="153">
        <f>SUMIFS(Industrial!O:O,Industrial!$D:$D,$A7)</f>
        <v>2.4449476518404835E-6</v>
      </c>
      <c r="D7" s="153">
        <f>SUMIFS(Industrial!P:P,Industrial!$D:$D,$A7)</f>
        <v>0</v>
      </c>
      <c r="E7" s="153">
        <f>SUMIFS(Industrial!Q:Q,Industrial!$D:$D,$A7)</f>
        <v>2.4006284091986699E-6</v>
      </c>
      <c r="F7" s="153">
        <f t="shared" si="0"/>
        <v>1.5832994288883559E-3</v>
      </c>
      <c r="G7" s="6" t="s">
        <v>850</v>
      </c>
    </row>
    <row r="8" spans="1:11">
      <c r="A8" s="16" t="s">
        <v>878</v>
      </c>
      <c r="B8" s="153">
        <f>SUM(Transporte!W:W)</f>
        <v>9.1742029041517181E-2</v>
      </c>
      <c r="C8" s="153">
        <f>SUM(Transporte!X:X)</f>
        <v>6.238199321168863E-3</v>
      </c>
      <c r="D8" s="153">
        <v>0</v>
      </c>
      <c r="E8" s="153">
        <f>SUM(Transporte!V:V)</f>
        <v>3.5295977575372898E-6</v>
      </c>
      <c r="F8" s="153">
        <f>SUM(B8:E8)</f>
        <v>9.798375796044359E-2</v>
      </c>
      <c r="G8" s="6" t="s">
        <v>850</v>
      </c>
    </row>
    <row r="9" spans="1:11">
      <c r="A9" s="222" t="s">
        <v>83</v>
      </c>
      <c r="B9" s="223">
        <f>SUM(B2:B8)</f>
        <v>2.7642913077912485</v>
      </c>
      <c r="C9" s="223">
        <f t="shared" ref="C9:F9" si="1">SUM(C2:C8)</f>
        <v>4.7381344410157116</v>
      </c>
      <c r="D9" s="223">
        <f t="shared" si="1"/>
        <v>-5.9290168983924492</v>
      </c>
      <c r="E9" s="223">
        <f t="shared" si="1"/>
        <v>9.2765306840998283E-4</v>
      </c>
      <c r="F9" s="223">
        <f t="shared" si="1"/>
        <v>1.5743365034829213</v>
      </c>
      <c r="G9" s="221" t="s">
        <v>850</v>
      </c>
    </row>
    <row r="11" spans="1:11">
      <c r="A11" s="1" t="s">
        <v>50</v>
      </c>
      <c r="B11" s="1" t="s">
        <v>789</v>
      </c>
      <c r="C11" s="1" t="s">
        <v>790</v>
      </c>
      <c r="D11" s="1" t="s">
        <v>791</v>
      </c>
      <c r="E11" s="1" t="s">
        <v>792</v>
      </c>
      <c r="F11" s="1" t="s">
        <v>883</v>
      </c>
      <c r="G11" s="1" t="s">
        <v>17</v>
      </c>
    </row>
    <row r="12" spans="1:11">
      <c r="A12" s="6" t="s">
        <v>338</v>
      </c>
      <c r="B12" s="153">
        <f>SUMIFS(Industrial!N:N,Industrial!$B:$B,$A12)+SUM(Transporte!W:W)</f>
        <v>0.10813079356537561</v>
      </c>
      <c r="C12" s="153">
        <f>SUMIFS(Industrial!O:O,Industrial!$B:$B,$A12)+SUM(Transporte!X:X)</f>
        <v>7.5065493553631117E-3</v>
      </c>
      <c r="D12" s="153">
        <f>SUMIFS(Industrial!P:P,Industrial!$B:$B,$A12)</f>
        <v>0</v>
      </c>
      <c r="E12" s="153">
        <f>SUMIFS(Industrial!Q:Q,Industrial!$B:$B,$A12)+SUM(Transporte!V:V)</f>
        <v>4.1650194072775783E-6</v>
      </c>
      <c r="F12" s="153">
        <f>SUM(B12:E12)</f>
        <v>0.11564150794014601</v>
      </c>
      <c r="G12" s="6" t="s">
        <v>850</v>
      </c>
    </row>
    <row r="13" spans="1:11">
      <c r="A13" s="6" t="s">
        <v>700</v>
      </c>
      <c r="B13" s="153">
        <f>SUMIFS(Industrial!N:N,Industrial!$B:$B,$A13)</f>
        <v>0.15022838054024973</v>
      </c>
      <c r="C13" s="153">
        <f>SUMIFS(Industrial!O:O,Industrial!$B:$B,$A13)</f>
        <v>0</v>
      </c>
      <c r="D13" s="153">
        <f>SUMIFS(Industrial!P:P,Industrial!$B:$B,$A13)</f>
        <v>0</v>
      </c>
      <c r="E13" s="153">
        <f>SUMIFS(Industrial!Q:Q,Industrial!$B:$B,$A13)</f>
        <v>0</v>
      </c>
      <c r="F13" s="153">
        <f t="shared" ref="F13:F15" si="2">SUM(B13:E13)</f>
        <v>0.15022838054024973</v>
      </c>
      <c r="G13" s="6" t="s">
        <v>850</v>
      </c>
    </row>
    <row r="14" spans="1:11">
      <c r="A14" s="6" t="s">
        <v>701</v>
      </c>
      <c r="B14" s="153">
        <f>SUMIFS(Industrial!N:N,Industrial!$B:$B,$A14)</f>
        <v>2.4621301664458888</v>
      </c>
      <c r="C14" s="153">
        <f>SUMIFS(Industrial!O:O,Industrial!$B:$B,$A14)</f>
        <v>2.9823537968325859</v>
      </c>
      <c r="D14" s="153">
        <f>SUMIFS(Industrial!P:P,Industrial!$B:$B,$A14)</f>
        <v>-5.9290168983924492</v>
      </c>
      <c r="E14" s="153">
        <f>SUMIFS(Industrial!Q:Q,Industrial!$B:$B,$A14)</f>
        <v>9.2348804900270519E-4</v>
      </c>
      <c r="F14" s="153">
        <f t="shared" si="2"/>
        <v>-0.48360944706497172</v>
      </c>
      <c r="G14" s="6" t="s">
        <v>850</v>
      </c>
    </row>
    <row r="15" spans="1:11">
      <c r="A15" s="6" t="s">
        <v>103</v>
      </c>
      <c r="B15" s="153">
        <f>SUMIFS(Industrial!N:N,Industrial!$B:$B,$A15)</f>
        <v>4.3801967239734396E-2</v>
      </c>
      <c r="C15" s="153">
        <f>SUMIFS(Industrial!O:O,Industrial!$B:$B,$A15)</f>
        <v>1.7482740948277624</v>
      </c>
      <c r="D15" s="153">
        <f>SUMIFS(Industrial!P:P,Industrial!$B:$B,$A15)</f>
        <v>0</v>
      </c>
      <c r="E15" s="153">
        <f>SUMIFS(Industrial!Q:Q,Industrial!$B:$B,$A15)</f>
        <v>0</v>
      </c>
      <c r="F15" s="153">
        <f t="shared" si="2"/>
        <v>1.7920760620674967</v>
      </c>
      <c r="G15" s="6" t="s">
        <v>850</v>
      </c>
    </row>
    <row r="16" spans="1:11">
      <c r="A16" s="222" t="s">
        <v>83</v>
      </c>
      <c r="B16" s="223">
        <f>SUM(B12:B15)</f>
        <v>2.7642913077912485</v>
      </c>
      <c r="C16" s="223">
        <f t="shared" ref="C16:E16" si="3">SUM(C12:C15)</f>
        <v>4.7381344410157116</v>
      </c>
      <c r="D16" s="223">
        <f t="shared" si="3"/>
        <v>-5.9290168983924492</v>
      </c>
      <c r="E16" s="223">
        <f t="shared" si="3"/>
        <v>9.2765306840998272E-4</v>
      </c>
      <c r="F16" s="223">
        <f>SUM(F12:F15)</f>
        <v>1.5743365034829206</v>
      </c>
      <c r="G16" s="221" t="s">
        <v>850</v>
      </c>
    </row>
    <row r="18" spans="1:7">
      <c r="A18" s="1" t="s">
        <v>882</v>
      </c>
      <c r="B18" s="1" t="s">
        <v>789</v>
      </c>
      <c r="C18" s="1" t="s">
        <v>790</v>
      </c>
      <c r="D18" s="1" t="s">
        <v>791</v>
      </c>
      <c r="E18" s="1" t="s">
        <v>792</v>
      </c>
      <c r="F18" s="1" t="s">
        <v>883</v>
      </c>
      <c r="G18" s="1" t="s">
        <v>17</v>
      </c>
    </row>
    <row r="19" spans="1:7">
      <c r="A19" s="16" t="s">
        <v>868</v>
      </c>
      <c r="B19" s="153">
        <f>SUM('Resultados Por Item'!E:E)</f>
        <v>1.0437370601279847</v>
      </c>
      <c r="C19" s="153">
        <f>SUM('Resultados Por Item'!K:K)</f>
        <v>4.7283928820707661</v>
      </c>
      <c r="D19" s="153">
        <f>SUM('Resultados Por Item'!V:V)</f>
        <v>-5.9290168983924492</v>
      </c>
      <c r="E19" s="153">
        <v>0</v>
      </c>
      <c r="F19" s="153">
        <f>SUM(B19:E19)</f>
        <v>-0.15688695619369852</v>
      </c>
      <c r="G19" s="6" t="s">
        <v>850</v>
      </c>
    </row>
    <row r="20" spans="1:7">
      <c r="A20" s="16" t="s">
        <v>881</v>
      </c>
      <c r="B20" s="153">
        <f>SUM('Resultados Por Item'!F:F)</f>
        <v>0.2000566764927304</v>
      </c>
      <c r="C20" s="153">
        <f>SUM('Resultados Por Item'!L:L)</f>
        <v>2.345556714605455E-3</v>
      </c>
      <c r="D20" s="153">
        <v>0</v>
      </c>
      <c r="E20" s="153">
        <v>0</v>
      </c>
      <c r="F20" s="153">
        <f t="shared" ref="F20:F21" si="4">SUM(B20:E20)</f>
        <v>0.20240223320733586</v>
      </c>
      <c r="G20" s="6" t="s">
        <v>850</v>
      </c>
    </row>
    <row r="21" spans="1:7">
      <c r="A21" s="16" t="s">
        <v>869</v>
      </c>
      <c r="B21" s="153">
        <f>SUM('Resultados Por Item'!G:G)</f>
        <v>1.520497571170534</v>
      </c>
      <c r="C21" s="153">
        <f>SUM('Resultados Por Item'!M:M)</f>
        <v>7.3960022303396645E-3</v>
      </c>
      <c r="D21" s="153">
        <v>0</v>
      </c>
      <c r="E21" s="153">
        <f>SUM('Resultados Por Item'!W:W)</f>
        <v>9.2765306840998261E-4</v>
      </c>
      <c r="F21" s="153">
        <f t="shared" si="4"/>
        <v>1.5288212264692835</v>
      </c>
      <c r="G21" s="6" t="s">
        <v>850</v>
      </c>
    </row>
    <row r="22" spans="1:7">
      <c r="A22" s="222" t="s">
        <v>83</v>
      </c>
      <c r="B22" s="223">
        <f>SUM(B19:B21)</f>
        <v>2.7642913077912494</v>
      </c>
      <c r="C22" s="223">
        <f t="shared" ref="C22:F22" si="5">SUM(C19:C21)</f>
        <v>4.7381344410157107</v>
      </c>
      <c r="D22" s="223">
        <f t="shared" si="5"/>
        <v>-5.9290168983924492</v>
      </c>
      <c r="E22" s="223">
        <f t="shared" si="5"/>
        <v>9.2765306840998261E-4</v>
      </c>
      <c r="F22" s="223">
        <f t="shared" si="5"/>
        <v>1.5743365034829209</v>
      </c>
      <c r="G22" s="221" t="s">
        <v>850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C4CC-EE62-477D-9A32-6565696FE2AA}">
  <sheetPr>
    <tabColor rgb="FF002060"/>
  </sheetPr>
  <dimension ref="A1:Y44"/>
  <sheetViews>
    <sheetView showGridLines="0" workbookViewId="0">
      <selection activeCell="N3" sqref="N3"/>
    </sheetView>
  </sheetViews>
  <sheetFormatPr baseColWidth="10" defaultColWidth="8.83203125" defaultRowHeight="15"/>
  <cols>
    <col min="1" max="1" width="13.6640625" style="92" bestFit="1" customWidth="1"/>
    <col min="2" max="2" width="20.6640625" style="92" bestFit="1" customWidth="1"/>
    <col min="3" max="3" width="38.6640625" bestFit="1" customWidth="1"/>
    <col min="4" max="4" width="23.33203125" bestFit="1" customWidth="1"/>
    <col min="5" max="5" width="123.5" bestFit="1" customWidth="1"/>
    <col min="6" max="6" width="12.5" customWidth="1"/>
    <col min="7" max="7" width="13.5" bestFit="1" customWidth="1"/>
    <col min="8" max="8" width="29.83203125" bestFit="1" customWidth="1"/>
    <col min="9" max="9" width="20.1640625" customWidth="1"/>
    <col min="10" max="10" width="18.33203125" customWidth="1"/>
    <col min="11" max="11" width="18.5" customWidth="1"/>
    <col min="12" max="12" width="15.33203125" customWidth="1"/>
    <col min="13" max="13" width="12.1640625" bestFit="1" customWidth="1"/>
    <col min="14" max="17" width="20.5" customWidth="1"/>
    <col min="18" max="18" width="24.5" customWidth="1"/>
    <col min="19" max="19" width="37.33203125" customWidth="1"/>
    <col min="20" max="20" width="27.83203125" customWidth="1"/>
    <col min="21" max="24" width="36.5" customWidth="1"/>
    <col min="25" max="25" width="16" customWidth="1"/>
  </cols>
  <sheetData>
    <row r="1" spans="1:25" ht="32">
      <c r="A1" s="25" t="s">
        <v>671</v>
      </c>
      <c r="B1" s="25" t="s">
        <v>50</v>
      </c>
      <c r="C1" s="25" t="s">
        <v>147</v>
      </c>
      <c r="D1" s="25" t="s">
        <v>171</v>
      </c>
      <c r="E1" s="25" t="s">
        <v>188</v>
      </c>
      <c r="F1" s="25" t="s">
        <v>49</v>
      </c>
      <c r="G1" s="25" t="s">
        <v>17</v>
      </c>
      <c r="H1" s="25" t="s">
        <v>146</v>
      </c>
      <c r="I1" s="27" t="s">
        <v>189</v>
      </c>
      <c r="J1" s="27" t="s">
        <v>190</v>
      </c>
      <c r="K1" s="27" t="s">
        <v>191</v>
      </c>
      <c r="L1" s="27" t="s">
        <v>192</v>
      </c>
      <c r="M1" s="25" t="s">
        <v>17</v>
      </c>
      <c r="N1" s="26" t="s">
        <v>825</v>
      </c>
      <c r="O1" s="26" t="s">
        <v>826</v>
      </c>
      <c r="P1" s="26" t="s">
        <v>193</v>
      </c>
      <c r="Q1" s="26" t="s">
        <v>194</v>
      </c>
      <c r="R1" s="25" t="s">
        <v>51</v>
      </c>
      <c r="S1" s="25" t="s">
        <v>12</v>
      </c>
      <c r="T1" s="25" t="s">
        <v>13</v>
      </c>
      <c r="U1" s="25" t="s">
        <v>195</v>
      </c>
      <c r="V1" s="25" t="s">
        <v>15</v>
      </c>
      <c r="W1" s="25" t="s">
        <v>196</v>
      </c>
      <c r="X1" s="25" t="s">
        <v>197</v>
      </c>
      <c r="Y1" s="27" t="s">
        <v>51</v>
      </c>
    </row>
    <row r="2" spans="1:25">
      <c r="A2" s="161" t="s">
        <v>679</v>
      </c>
      <c r="B2" s="161" t="s">
        <v>700</v>
      </c>
      <c r="C2" s="21" t="s">
        <v>148</v>
      </c>
      <c r="D2" s="21" t="s">
        <v>149</v>
      </c>
      <c r="E2" s="167" t="s">
        <v>682</v>
      </c>
      <c r="F2" s="61">
        <v>5.1053911057810391</v>
      </c>
      <c r="G2" s="21" t="s">
        <v>665</v>
      </c>
      <c r="H2" s="6" t="str">
        <f>_xlfn.XLOOKUP(E2,'Fatores de Emissão'!A:A,'Fatores de Emissão'!I:I)</f>
        <v>IPCC</v>
      </c>
      <c r="I2" s="153">
        <f>_xlfn.XLOOKUP(E2,'Fatores de Emissão'!A:A,'Fatores de Emissão'!B:B)</f>
        <v>2.7E-2</v>
      </c>
      <c r="J2" s="153">
        <f>_xlfn.XLOOKUP(E2,'Fatores de Emissão'!A:A,'Fatores de Emissão'!C:C)</f>
        <v>0</v>
      </c>
      <c r="K2" s="153">
        <f>_xlfn.XLOOKUP(E2,'Fatores de Emissão'!A:A,'Fatores de Emissão'!D:D)</f>
        <v>0</v>
      </c>
      <c r="L2" s="153">
        <f>_xlfn.XLOOKUP(E2,'Fatores de Emissão'!A:A,'Fatores de Emissão'!E:E)</f>
        <v>0</v>
      </c>
      <c r="M2" s="6" t="str">
        <f>_xlfn.XLOOKUP(E2,'Fatores de Emissão'!A:A,'Fatores de Emissão'!F:F)</f>
        <v>kgCO2e/kWh</v>
      </c>
      <c r="N2" s="6">
        <f>(I2*$F2)</f>
        <v>0.13784555985608804</v>
      </c>
      <c r="O2" s="6">
        <f t="shared" ref="O2:Q2" si="0">(J2*$F2)</f>
        <v>0</v>
      </c>
      <c r="P2" s="6">
        <f t="shared" si="0"/>
        <v>0</v>
      </c>
      <c r="Q2" s="6">
        <f t="shared" si="0"/>
        <v>0</v>
      </c>
      <c r="R2" s="6"/>
      <c r="S2" s="6"/>
      <c r="T2" s="6"/>
      <c r="U2" s="6"/>
      <c r="V2" s="6"/>
      <c r="W2" s="6"/>
      <c r="X2" s="6"/>
      <c r="Y2" s="6"/>
    </row>
    <row r="3" spans="1:25">
      <c r="A3" s="161" t="s">
        <v>679</v>
      </c>
      <c r="B3" s="161" t="s">
        <v>700</v>
      </c>
      <c r="C3" s="21" t="s">
        <v>148</v>
      </c>
      <c r="D3" s="21" t="s">
        <v>150</v>
      </c>
      <c r="E3" s="167" t="s">
        <v>682</v>
      </c>
      <c r="F3" s="61">
        <v>0.45862298830228521</v>
      </c>
      <c r="G3" s="21" t="s">
        <v>665</v>
      </c>
      <c r="H3" s="6" t="str">
        <f>_xlfn.XLOOKUP(E3,'Fatores de Emissão'!A:A,'Fatores de Emissão'!I:I)</f>
        <v>IPCC</v>
      </c>
      <c r="I3" s="153">
        <f>_xlfn.XLOOKUP(E3,'Fatores de Emissão'!A:A,'Fatores de Emissão'!B:B)</f>
        <v>2.7E-2</v>
      </c>
      <c r="J3" s="153">
        <f>_xlfn.XLOOKUP(E3,'Fatores de Emissão'!A:A,'Fatores de Emissão'!C:C)</f>
        <v>0</v>
      </c>
      <c r="K3" s="153">
        <f>_xlfn.XLOOKUP(E3,'Fatores de Emissão'!A:A,'Fatores de Emissão'!D:D)</f>
        <v>0</v>
      </c>
      <c r="L3" s="153">
        <f>_xlfn.XLOOKUP(E3,'Fatores de Emissão'!A:A,'Fatores de Emissão'!E:E)</f>
        <v>0</v>
      </c>
      <c r="M3" s="6" t="str">
        <f>_xlfn.XLOOKUP(E3,'Fatores de Emissão'!A:A,'Fatores de Emissão'!F:F)</f>
        <v>kgCO2e/kWh</v>
      </c>
      <c r="N3" s="6">
        <f t="shared" ref="N3:N4" si="1">(I3*$F3)</f>
        <v>1.23828206841617E-2</v>
      </c>
      <c r="O3" s="6">
        <f t="shared" ref="O3:O4" si="2">(J3*$F3)</f>
        <v>0</v>
      </c>
      <c r="P3" s="6">
        <f t="shared" ref="P3:P4" si="3">(K3*$F3)</f>
        <v>0</v>
      </c>
      <c r="Q3" s="6">
        <f t="shared" ref="Q3:Q4" si="4">(L3*$F3)</f>
        <v>0</v>
      </c>
      <c r="R3" s="6"/>
      <c r="S3" s="6"/>
      <c r="T3" s="6"/>
      <c r="U3" s="6"/>
      <c r="V3" s="6"/>
      <c r="W3" s="6"/>
      <c r="X3" s="6"/>
      <c r="Y3" s="6"/>
    </row>
    <row r="4" spans="1:25">
      <c r="A4" s="161" t="s">
        <v>679</v>
      </c>
      <c r="B4" s="161" t="s">
        <v>338</v>
      </c>
      <c r="C4" s="21" t="s">
        <v>151</v>
      </c>
      <c r="D4" s="21" t="s">
        <v>150</v>
      </c>
      <c r="E4" s="167" t="s">
        <v>217</v>
      </c>
      <c r="F4" s="205">
        <f>($F$5/1000)*Densidades!$B$44/1000</f>
        <v>4.5369608914616194E-3</v>
      </c>
      <c r="G4" s="21" t="s">
        <v>185</v>
      </c>
      <c r="H4" s="6" t="str">
        <f>_xlfn.XLOOKUP(E4,'Fatores de Emissão'!A:A,'Fatores de Emissão'!I:I)</f>
        <v>Calculado a partir de premissas</v>
      </c>
      <c r="I4" s="153">
        <f>_xlfn.XLOOKUP(E4,'Fatores de Emissão'!A:A,'Fatores de Emissão'!B:B)</f>
        <v>0.78344147799635844</v>
      </c>
      <c r="J4" s="153">
        <f>_xlfn.XLOOKUP(E4,'Fatores de Emissão'!A:A,'Fatores de Emissão'!C:C)</f>
        <v>2.5946186071891184E-4</v>
      </c>
      <c r="K4" s="153">
        <f>_xlfn.XLOOKUP(E4,'Fatores de Emissão'!A:A,'Fatores de Emissão'!D:D)</f>
        <v>0</v>
      </c>
      <c r="L4" s="153">
        <f>_xlfn.XLOOKUP(E4,'Fatores de Emissão'!A:A,'Fatores de Emissão'!E:E)</f>
        <v>1.4005446926732974E-4</v>
      </c>
      <c r="M4" s="6" t="str">
        <f>_xlfn.XLOOKUP(E4,'Fatores de Emissão'!A:A,'Fatores de Emissão'!F:F)</f>
        <v>kgCO2e/kg</v>
      </c>
      <c r="N4" s="6">
        <f t="shared" si="1"/>
        <v>3.5544433464183671E-3</v>
      </c>
      <c r="O4" s="6">
        <f t="shared" si="2"/>
        <v>1.1771683149075649E-6</v>
      </c>
      <c r="P4" s="6">
        <f t="shared" si="3"/>
        <v>0</v>
      </c>
      <c r="Q4" s="6">
        <f t="shared" si="4"/>
        <v>6.3542164974028833E-7</v>
      </c>
      <c r="R4" s="6"/>
      <c r="S4" s="6"/>
      <c r="T4" s="6"/>
      <c r="U4" s="6"/>
      <c r="V4" s="6"/>
      <c r="W4" s="6"/>
      <c r="X4" s="6"/>
      <c r="Y4" s="6"/>
    </row>
    <row r="5" spans="1:25" s="208" customFormat="1">
      <c r="A5" s="162" t="s">
        <v>679</v>
      </c>
      <c r="B5" s="162" t="s">
        <v>338</v>
      </c>
      <c r="C5" s="21" t="s">
        <v>151</v>
      </c>
      <c r="D5" s="21" t="s">
        <v>150</v>
      </c>
      <c r="E5" s="131" t="s">
        <v>719</v>
      </c>
      <c r="F5" s="214">
        <v>5.4011439184066896</v>
      </c>
      <c r="G5" s="21" t="s">
        <v>187</v>
      </c>
      <c r="H5" s="21" t="str">
        <f>_xlfn.XLOOKUP(E5,'Fatores de Emissão'!A:A,'Fatores de Emissão'!I:I)</f>
        <v>Calculado a partir de premissas</v>
      </c>
      <c r="I5" s="207">
        <f>_xlfn.XLOOKUP(E5,'Fatores de Emissão'!A:A,'Fatores de Emissão'!B:B)</f>
        <v>2.3762227726800007</v>
      </c>
      <c r="J5" s="207">
        <f>_xlfn.XLOOKUP(E5,'Fatores de Emissão'!A:A,'Fatores de Emissão'!C:C)</f>
        <v>0.23461194240000005</v>
      </c>
      <c r="K5" s="207">
        <f>_xlfn.XLOOKUP(E5,'Fatores de Emissão'!A:A,'Fatores de Emissão'!D:D)</f>
        <v>0</v>
      </c>
      <c r="L5" s="207">
        <f>_xlfn.XLOOKUP(E5,'Fatores de Emissão'!A:A,'Fatores de Emissão'!E:E)</f>
        <v>0</v>
      </c>
      <c r="M5" s="21" t="str">
        <f>_xlfn.XLOOKUP(E5,'Fatores de Emissão'!A:A,'Fatores de Emissão'!F:F)</f>
        <v>kgCO2e/L</v>
      </c>
      <c r="N5" s="21">
        <f>(I5*$F5)/1000</f>
        <v>1.2834321177440067E-2</v>
      </c>
      <c r="O5" s="21">
        <f t="shared" ref="O5:Q5" si="5">(J5*$F5)/1000</f>
        <v>1.2671728658793409E-3</v>
      </c>
      <c r="P5" s="21">
        <f t="shared" si="5"/>
        <v>0</v>
      </c>
      <c r="Q5" s="21">
        <f t="shared" si="5"/>
        <v>0</v>
      </c>
      <c r="R5" s="21"/>
      <c r="S5" s="21"/>
      <c r="T5" s="21"/>
      <c r="U5" s="21"/>
      <c r="V5" s="21"/>
      <c r="W5" s="21"/>
      <c r="X5" s="21"/>
      <c r="Y5" s="21"/>
    </row>
    <row r="6" spans="1:25">
      <c r="A6" s="161" t="s">
        <v>679</v>
      </c>
      <c r="B6" s="161" t="s">
        <v>701</v>
      </c>
      <c r="C6" s="21" t="s">
        <v>152</v>
      </c>
      <c r="D6" s="21" t="s">
        <v>902</v>
      </c>
      <c r="E6" s="29" t="s">
        <v>363</v>
      </c>
      <c r="F6" s="61">
        <v>0.79800399964597624</v>
      </c>
      <c r="G6" s="21" t="s">
        <v>185</v>
      </c>
      <c r="H6" s="6" t="str">
        <f>_xlfn.XLOOKUP(E6,'Fatores de Emissão'!A:A,'Fatores de Emissão'!I:I)</f>
        <v>Rima</v>
      </c>
      <c r="I6" s="153">
        <f>_xlfn.XLOOKUP(E6,'Fatores de Emissão'!A:A,'Fatores de Emissão'!B:B)</f>
        <v>1.080463081352691</v>
      </c>
      <c r="J6" s="153">
        <f>_xlfn.XLOOKUP(E6,'Fatores de Emissão'!A:A,'Fatores de Emissão'!C:C)</f>
        <v>2.2494883413335471</v>
      </c>
      <c r="K6" s="153">
        <f>_xlfn.XLOOKUP(E6,'Fatores de Emissão'!A:A,'Fatores de Emissão'!D:D)</f>
        <v>-5.4427114858703813</v>
      </c>
      <c r="L6" s="153">
        <f>_xlfn.XLOOKUP(E6,'Fatores de Emissão'!A:A,'Fatores de Emissão'!E:E)</f>
        <v>5.5248295344738222E-4</v>
      </c>
      <c r="M6" s="6" t="str">
        <f>_xlfn.XLOOKUP(E6,'Fatores de Emissão'!A:A,'Fatores de Emissão'!F:F)</f>
        <v>kgCO2e/kg</v>
      </c>
      <c r="N6" s="6">
        <f>(I6*$F6)</f>
        <v>0.86221386038926318</v>
      </c>
      <c r="O6" s="6">
        <f t="shared" ref="O6:Q6" si="6">(J6*$F6)</f>
        <v>1.7951006935411635</v>
      </c>
      <c r="P6" s="6">
        <f t="shared" si="6"/>
        <v>-4.3433055346436582</v>
      </c>
      <c r="Q6" s="6">
        <f t="shared" si="6"/>
        <v>4.4088360658723269E-4</v>
      </c>
      <c r="R6" s="6"/>
      <c r="S6" s="6"/>
      <c r="T6" s="6"/>
      <c r="U6" s="6"/>
      <c r="V6" s="6"/>
      <c r="W6" s="6"/>
      <c r="X6" s="6"/>
      <c r="Y6" s="6"/>
    </row>
    <row r="7" spans="1:25">
      <c r="A7" s="161" t="s">
        <v>679</v>
      </c>
      <c r="B7" s="161" t="s">
        <v>701</v>
      </c>
      <c r="C7" s="21" t="s">
        <v>153</v>
      </c>
      <c r="D7" s="21" t="s">
        <v>149</v>
      </c>
      <c r="E7" s="167" t="s">
        <v>832</v>
      </c>
      <c r="F7" s="61">
        <v>0.54617725743052425</v>
      </c>
      <c r="G7" s="21" t="s">
        <v>185</v>
      </c>
      <c r="H7" s="6" t="str">
        <f>_xlfn.XLOOKUP(E7,'Fatores de Emissão'!A:A,'Fatores de Emissão'!I:I)</f>
        <v>Ecoinvent 3.10.1</v>
      </c>
      <c r="I7" s="153">
        <f>_xlfn.XLOOKUP(E7,'Fatores de Emissão'!A:A,'Fatores de Emissão'!B:B)</f>
        <v>0.37045385119525598</v>
      </c>
      <c r="J7" s="153">
        <f>_xlfn.XLOOKUP(E7,'Fatores de Emissão'!A:A,'Fatores de Emissão'!C:C)</f>
        <v>2.8450257830977399E-4</v>
      </c>
      <c r="K7" s="153">
        <f>_xlfn.XLOOKUP(E7,'Fatores de Emissão'!A:A,'Fatores de Emissão'!D:D)</f>
        <v>0</v>
      </c>
      <c r="L7" s="153">
        <f>_xlfn.XLOOKUP(E7,'Fatores de Emissão'!A:A,'Fatores de Emissão'!E:E)</f>
        <v>1.8793769181859601E-4</v>
      </c>
      <c r="M7" s="6" t="str">
        <f>_xlfn.XLOOKUP(E7,'Fatores de Emissão'!A:A,'Fatores de Emissão'!F:F)</f>
        <v>kgCO2e/kg</v>
      </c>
      <c r="N7" s="6">
        <f t="shared" ref="N7:N30" si="7">(I7*$F7)</f>
        <v>0.20233346845040046</v>
      </c>
      <c r="O7" s="6">
        <f t="shared" ref="O7:O30" si="8">(J7*$F7)</f>
        <v>1.553888379531453E-4</v>
      </c>
      <c r="P7" s="6">
        <f t="shared" ref="P7:P30" si="9">(K7*$F7)</f>
        <v>0</v>
      </c>
      <c r="Q7" s="6">
        <f t="shared" ref="Q7:Q30" si="10">(L7*$F7)</f>
        <v>1.0264729308530384E-4</v>
      </c>
      <c r="R7" s="6"/>
      <c r="S7" s="6"/>
      <c r="T7" s="6"/>
      <c r="U7" s="6"/>
      <c r="V7" s="6"/>
      <c r="W7" s="6"/>
      <c r="X7" s="6"/>
      <c r="Y7" s="6"/>
    </row>
    <row r="8" spans="1:25">
      <c r="A8" s="161" t="s">
        <v>679</v>
      </c>
      <c r="B8" s="161" t="s">
        <v>701</v>
      </c>
      <c r="C8" s="21" t="s">
        <v>154</v>
      </c>
      <c r="D8" s="21" t="s">
        <v>149</v>
      </c>
      <c r="E8" s="29" t="s">
        <v>666</v>
      </c>
      <c r="F8" s="61">
        <v>0.9363257364706099</v>
      </c>
      <c r="G8" s="21" t="s">
        <v>185</v>
      </c>
      <c r="H8" s="6" t="str">
        <f>_xlfn.XLOOKUP(E8,'Fatores de Emissão'!A:A,'Fatores de Emissão'!I:I)</f>
        <v>Rima</v>
      </c>
      <c r="I8" s="153">
        <f>_xlfn.XLOOKUP(E8,'Fatores de Emissão'!A:A,'Fatores de Emissão'!B:B)</f>
        <v>7.5384263092607732E-3</v>
      </c>
      <c r="J8" s="153">
        <f>_xlfn.XLOOKUP(E8,'Fatores de Emissão'!A:A,'Fatores de Emissão'!C:C)</f>
        <v>6.0464759990074338E-4</v>
      </c>
      <c r="K8" s="153">
        <f>_xlfn.XLOOKUP(E8,'Fatores de Emissão'!A:A,'Fatores de Emissão'!D:D)</f>
        <v>0</v>
      </c>
      <c r="L8" s="153">
        <f>_xlfn.XLOOKUP(E8,'Fatores de Emissão'!A:A,'Fatores de Emissão'!E:E)</f>
        <v>-1.7296667307436191E-4</v>
      </c>
      <c r="M8" s="6" t="str">
        <f>_xlfn.XLOOKUP(E8,'Fatores de Emissão'!A:A,'Fatores de Emissão'!F:F)</f>
        <v>kgCO2e/kg</v>
      </c>
      <c r="N8" s="6">
        <f t="shared" si="7"/>
        <v>7.0584225658480151E-3</v>
      </c>
      <c r="O8" s="6">
        <f t="shared" si="8"/>
        <v>5.6614710928225027E-4</v>
      </c>
      <c r="P8" s="6">
        <f t="shared" si="9"/>
        <v>0</v>
      </c>
      <c r="Q8" s="6">
        <f t="shared" si="10"/>
        <v>-1.6195314755122314E-4</v>
      </c>
      <c r="R8" s="6"/>
      <c r="S8" s="6"/>
      <c r="T8" s="6"/>
      <c r="U8" s="6"/>
      <c r="V8" s="6"/>
      <c r="W8" s="6"/>
      <c r="X8" s="6"/>
      <c r="Y8" s="6"/>
    </row>
    <row r="9" spans="1:25">
      <c r="A9" s="161" t="s">
        <v>679</v>
      </c>
      <c r="B9" s="161" t="s">
        <v>701</v>
      </c>
      <c r="C9" s="21" t="s">
        <v>155</v>
      </c>
      <c r="D9" s="21" t="s">
        <v>149</v>
      </c>
      <c r="E9" s="167" t="s">
        <v>774</v>
      </c>
      <c r="F9" s="61">
        <v>8.532442351909416E-3</v>
      </c>
      <c r="G9" s="21" t="s">
        <v>185</v>
      </c>
      <c r="H9" s="6" t="str">
        <f>_xlfn.XLOOKUP(E9,'Fatores de Emissão'!A:A,'Fatores de Emissão'!I:I)</f>
        <v>Ecoinvent 3.10.1</v>
      </c>
      <c r="I9" s="153">
        <f>_xlfn.XLOOKUP(E9,'Fatores de Emissão'!A:A,'Fatores de Emissão'!B:B)</f>
        <v>3.1924488897272099E-3</v>
      </c>
      <c r="J9" s="153">
        <f>_xlfn.XLOOKUP(E9,'Fatores de Emissão'!A:A,'Fatores de Emissão'!C:C)</f>
        <v>1.8351632203071001E-6</v>
      </c>
      <c r="K9" s="153">
        <f>_xlfn.XLOOKUP(E9,'Fatores de Emissão'!A:A,'Fatores de Emissão'!D:D)</f>
        <v>0</v>
      </c>
      <c r="L9" s="153">
        <f>_xlfn.XLOOKUP(E9,'Fatores de Emissão'!A:A,'Fatores de Emissão'!E:E)</f>
        <v>1.3473156714858901E-6</v>
      </c>
      <c r="M9" s="6" t="str">
        <f>_xlfn.XLOOKUP(E9,'Fatores de Emissão'!A:A,'Fatores de Emissão'!F:F)</f>
        <v>kgCO2e/kg</v>
      </c>
      <c r="N9" s="6">
        <f t="shared" si="7"/>
        <v>2.723938611301464E-5</v>
      </c>
      <c r="O9" s="6">
        <f t="shared" si="8"/>
        <v>1.565842438361477E-8</v>
      </c>
      <c r="P9" s="6">
        <f t="shared" si="9"/>
        <v>0</v>
      </c>
      <c r="Q9" s="6">
        <f t="shared" si="10"/>
        <v>1.1495893296777481E-8</v>
      </c>
      <c r="R9" s="6"/>
      <c r="S9" s="6"/>
      <c r="T9" s="6"/>
      <c r="U9" s="6"/>
      <c r="V9" s="6"/>
      <c r="W9" s="6"/>
      <c r="X9" s="6"/>
      <c r="Y9" s="6"/>
    </row>
    <row r="10" spans="1:25">
      <c r="A10" s="161" t="s">
        <v>679</v>
      </c>
      <c r="B10" s="161" t="s">
        <v>701</v>
      </c>
      <c r="C10" s="21" t="s">
        <v>156</v>
      </c>
      <c r="D10" s="21" t="s">
        <v>149</v>
      </c>
      <c r="E10" s="167" t="s">
        <v>833</v>
      </c>
      <c r="F10" s="61">
        <v>1.8580927463040027E-2</v>
      </c>
      <c r="G10" s="21" t="s">
        <v>185</v>
      </c>
      <c r="H10" s="6" t="str">
        <f>_xlfn.XLOOKUP(E10,'Fatores de Emissão'!A:A,'Fatores de Emissão'!I:I)</f>
        <v>Ecoinvent 3.10.1</v>
      </c>
      <c r="I10" s="153">
        <f>_xlfn.XLOOKUP(E10,'Fatores de Emissão'!A:A,'Fatores de Emissão'!B:B)</f>
        <v>1.54862433712401</v>
      </c>
      <c r="J10" s="153">
        <f>_xlfn.XLOOKUP(E10,'Fatores de Emissão'!A:A,'Fatores de Emissão'!C:C)</f>
        <v>1.78606659447447E-4</v>
      </c>
      <c r="K10" s="153">
        <f>_xlfn.XLOOKUP(E10,'Fatores de Emissão'!A:A,'Fatores de Emissão'!D:D)</f>
        <v>0</v>
      </c>
      <c r="L10" s="153">
        <f>_xlfn.XLOOKUP(E10,'Fatores de Emissão'!A:A,'Fatores de Emissão'!E:E)</f>
        <v>3.0191732438030101E-4</v>
      </c>
      <c r="M10" s="6" t="str">
        <f>_xlfn.XLOOKUP(E10,'Fatores de Emissão'!A:A,'Fatores de Emissão'!F:F)</f>
        <v>kgCO2e/kg</v>
      </c>
      <c r="N10" s="6">
        <f t="shared" si="7"/>
        <v>2.8774876475599676E-2</v>
      </c>
      <c r="O10" s="6">
        <f t="shared" si="8"/>
        <v>3.3186773836089056E-6</v>
      </c>
      <c r="P10" s="6">
        <f t="shared" si="9"/>
        <v>0</v>
      </c>
      <c r="Q10" s="6">
        <f t="shared" si="10"/>
        <v>5.6099039041454991E-6</v>
      </c>
      <c r="R10" s="6"/>
      <c r="S10" s="6"/>
      <c r="T10" s="6"/>
      <c r="U10" s="6"/>
      <c r="V10" s="6"/>
      <c r="W10" s="6"/>
      <c r="X10" s="6"/>
      <c r="Y10" s="6"/>
    </row>
    <row r="11" spans="1:25" s="14" customFormat="1">
      <c r="A11" s="19" t="s">
        <v>679</v>
      </c>
      <c r="B11" s="19" t="s">
        <v>701</v>
      </c>
      <c r="C11" s="12" t="s">
        <v>157</v>
      </c>
      <c r="D11" s="12" t="s">
        <v>149</v>
      </c>
      <c r="E11" s="203" t="s">
        <v>783</v>
      </c>
      <c r="F11" s="205">
        <v>0</v>
      </c>
      <c r="G11" s="12" t="s">
        <v>185</v>
      </c>
      <c r="H11" s="13" t="str">
        <f>_xlfn.XLOOKUP(E11,'Fatores de Emissão'!A:A,'Fatores de Emissão'!I:I)</f>
        <v>Ecoinvent 3.10.1</v>
      </c>
      <c r="I11" s="204">
        <f>_xlfn.XLOOKUP(E11,'Fatores de Emissão'!A:A,'Fatores de Emissão'!B:B)</f>
        <v>1.9277137377960301</v>
      </c>
      <c r="J11" s="204">
        <f>_xlfn.XLOOKUP(E11,'Fatores de Emissão'!A:A,'Fatores de Emissão'!C:C)</f>
        <v>5.6949982236357297E-4</v>
      </c>
      <c r="K11" s="204">
        <f>_xlfn.XLOOKUP(E11,'Fatores de Emissão'!A:A,'Fatores de Emissão'!D:D)</f>
        <v>0</v>
      </c>
      <c r="L11" s="204">
        <f>_xlfn.XLOOKUP(E11,'Fatores de Emissão'!A:A,'Fatores de Emissão'!E:E)</f>
        <v>7.3200026125224901E-4</v>
      </c>
      <c r="M11" s="13" t="str">
        <f>_xlfn.XLOOKUP(E11,'Fatores de Emissão'!A:A,'Fatores de Emissão'!F:F)</f>
        <v>kgCO2e/kg</v>
      </c>
      <c r="N11" s="6">
        <f t="shared" si="7"/>
        <v>0</v>
      </c>
      <c r="O11" s="6">
        <f t="shared" si="8"/>
        <v>0</v>
      </c>
      <c r="P11" s="6">
        <f t="shared" si="9"/>
        <v>0</v>
      </c>
      <c r="Q11" s="6">
        <f t="shared" si="10"/>
        <v>0</v>
      </c>
      <c r="R11" s="13"/>
      <c r="S11" s="13"/>
      <c r="T11" s="13"/>
      <c r="U11" s="13"/>
      <c r="V11" s="13"/>
      <c r="W11" s="13"/>
      <c r="X11" s="13"/>
      <c r="Y11" s="13"/>
    </row>
    <row r="12" spans="1:25">
      <c r="A12" s="161" t="s">
        <v>679</v>
      </c>
      <c r="B12" s="161" t="s">
        <v>701</v>
      </c>
      <c r="C12" s="21" t="s">
        <v>158</v>
      </c>
      <c r="D12" s="21" t="s">
        <v>149</v>
      </c>
      <c r="E12" s="167" t="s">
        <v>783</v>
      </c>
      <c r="F12" s="61">
        <v>2.3112851544640409E-2</v>
      </c>
      <c r="G12" s="21" t="s">
        <v>185</v>
      </c>
      <c r="H12" s="6" t="str">
        <f>_xlfn.XLOOKUP(E12,'Fatores de Emissão'!A:A,'Fatores de Emissão'!I:I)</f>
        <v>Ecoinvent 3.10.1</v>
      </c>
      <c r="I12" s="153">
        <f>_xlfn.XLOOKUP(E12,'Fatores de Emissão'!A:A,'Fatores de Emissão'!B:B)</f>
        <v>1.9277137377960301</v>
      </c>
      <c r="J12" s="153">
        <f>_xlfn.XLOOKUP(E12,'Fatores de Emissão'!A:A,'Fatores de Emissão'!C:C)</f>
        <v>5.6949982236357297E-4</v>
      </c>
      <c r="K12" s="153">
        <f>_xlfn.XLOOKUP(E12,'Fatores de Emissão'!A:A,'Fatores de Emissão'!D:D)</f>
        <v>0</v>
      </c>
      <c r="L12" s="153">
        <f>_xlfn.XLOOKUP(E12,'Fatores de Emissão'!A:A,'Fatores de Emissão'!E:E)</f>
        <v>7.3200026125224901E-4</v>
      </c>
      <c r="M12" s="6" t="str">
        <f>_xlfn.XLOOKUP(E12,'Fatores de Emissão'!A:A,'Fatores de Emissão'!F:F)</f>
        <v>kgCO2e/kg</v>
      </c>
      <c r="N12" s="6">
        <f t="shared" si="7"/>
        <v>4.455496144224351E-2</v>
      </c>
      <c r="O12" s="6">
        <f t="shared" si="8"/>
        <v>1.3162764848988347E-5</v>
      </c>
      <c r="P12" s="6">
        <f t="shared" si="9"/>
        <v>0</v>
      </c>
      <c r="Q12" s="6">
        <f t="shared" si="10"/>
        <v>1.6918613368961226E-5</v>
      </c>
      <c r="R12" s="6"/>
      <c r="S12" s="6"/>
      <c r="T12" s="6"/>
      <c r="U12" s="6"/>
      <c r="V12" s="6"/>
      <c r="W12" s="6"/>
      <c r="X12" s="6"/>
      <c r="Y12" s="6"/>
    </row>
    <row r="13" spans="1:25">
      <c r="A13" s="161" t="s">
        <v>679</v>
      </c>
      <c r="B13" s="161" t="s">
        <v>701</v>
      </c>
      <c r="C13" s="21" t="s">
        <v>159</v>
      </c>
      <c r="D13" s="21" t="s">
        <v>149</v>
      </c>
      <c r="E13" s="29" t="s">
        <v>667</v>
      </c>
      <c r="F13" s="61">
        <v>8.1833644988853274E-3</v>
      </c>
      <c r="G13" s="21" t="s">
        <v>185</v>
      </c>
      <c r="H13" s="6" t="str">
        <f>_xlfn.XLOOKUP(E13,'Fatores de Emissão'!A:A,'Fatores de Emissão'!I:I)</f>
        <v>Ecoinvent 3.10.1</v>
      </c>
      <c r="I13" s="153">
        <f>_xlfn.XLOOKUP(E13,'Fatores de Emissão'!A:A,'Fatores de Emissão'!B:B)</f>
        <v>2.3323593063259822</v>
      </c>
      <c r="J13" s="153">
        <f>_xlfn.XLOOKUP(E13,'Fatores de Emissão'!A:A,'Fatores de Emissão'!C:C)</f>
        <v>1.3296363854086539E-3</v>
      </c>
      <c r="K13" s="153">
        <f>_xlfn.XLOOKUP(E13,'Fatores de Emissão'!A:A,'Fatores de Emissão'!D:D)</f>
        <v>0</v>
      </c>
      <c r="L13" s="153">
        <f>_xlfn.XLOOKUP(E13,'Fatores de Emissão'!A:A,'Fatores de Emissão'!E:E)</f>
        <v>8.6394042547101486E-3</v>
      </c>
      <c r="M13" s="6" t="str">
        <f>_xlfn.XLOOKUP(E13,'Fatores de Emissão'!A:A,'Fatores de Emissão'!F:F)</f>
        <v>kgCO2e/kg</v>
      </c>
      <c r="N13" s="6">
        <f t="shared" si="7"/>
        <v>1.9086546346032851E-2</v>
      </c>
      <c r="O13" s="6">
        <f t="shared" si="8"/>
        <v>1.0880899192779388E-5</v>
      </c>
      <c r="P13" s="6">
        <f t="shared" si="9"/>
        <v>0</v>
      </c>
      <c r="Q13" s="6">
        <f t="shared" si="10"/>
        <v>7.0699394069513886E-5</v>
      </c>
      <c r="R13" s="6"/>
      <c r="S13" s="6"/>
      <c r="T13" s="6"/>
      <c r="U13" s="6"/>
      <c r="V13" s="6"/>
      <c r="W13" s="6"/>
      <c r="X13" s="6"/>
      <c r="Y13" s="6"/>
    </row>
    <row r="14" spans="1:25">
      <c r="A14" s="161" t="s">
        <v>679</v>
      </c>
      <c r="B14" s="161" t="s">
        <v>701</v>
      </c>
      <c r="C14" s="21" t="s">
        <v>160</v>
      </c>
      <c r="D14" s="21" t="s">
        <v>149</v>
      </c>
      <c r="E14" s="167" t="s">
        <v>834</v>
      </c>
      <c r="F14" s="61">
        <v>2.6120908423909451E-2</v>
      </c>
      <c r="G14" s="21" t="s">
        <v>185</v>
      </c>
      <c r="H14" s="6" t="str">
        <f>_xlfn.XLOOKUP(E14,'Fatores de Emissão'!A:A,'Fatores de Emissão'!I:I)</f>
        <v>Ecoinvent 3.10.1</v>
      </c>
      <c r="I14" s="153">
        <f>_xlfn.XLOOKUP(E14,'Fatores de Emissão'!A:A,'Fatores de Emissão'!B:B)</f>
        <v>0.81205784189817998</v>
      </c>
      <c r="J14" s="153">
        <f>_xlfn.XLOOKUP(E14,'Fatores de Emissão'!A:A,'Fatores de Emissão'!C:C)</f>
        <v>4.3046212008608798E-3</v>
      </c>
      <c r="K14" s="153">
        <f>_xlfn.XLOOKUP(E14,'Fatores de Emissão'!A:A,'Fatores de Emissão'!D:D)</f>
        <v>0</v>
      </c>
      <c r="L14" s="153">
        <f>_xlfn.XLOOKUP(E14,'Fatores de Emissão'!A:A,'Fatores de Emissão'!E:E)</f>
        <v>4.3106837591290199E-4</v>
      </c>
      <c r="M14" s="6" t="str">
        <f>_xlfn.XLOOKUP(E14,'Fatores de Emissão'!A:A,'Fatores de Emissão'!F:F)</f>
        <v>kgCO2e/kg</v>
      </c>
      <c r="N14" s="6">
        <f t="shared" si="7"/>
        <v>2.1211688523139899E-2</v>
      </c>
      <c r="O14" s="6">
        <f t="shared" si="8"/>
        <v>1.1244061618730618E-4</v>
      </c>
      <c r="P14" s="6">
        <f t="shared" si="9"/>
        <v>0</v>
      </c>
      <c r="Q14" s="6">
        <f t="shared" si="10"/>
        <v>1.1259897571664287E-5</v>
      </c>
      <c r="R14" s="6"/>
      <c r="S14" s="6"/>
      <c r="T14" s="6"/>
      <c r="U14" s="6"/>
      <c r="V14" s="6"/>
      <c r="W14" s="6"/>
      <c r="X14" s="6"/>
      <c r="Y14" s="6"/>
    </row>
    <row r="15" spans="1:25">
      <c r="A15" s="161" t="s">
        <v>679</v>
      </c>
      <c r="B15" s="161" t="s">
        <v>701</v>
      </c>
      <c r="C15" s="21" t="s">
        <v>161</v>
      </c>
      <c r="D15" s="21" t="s">
        <v>149</v>
      </c>
      <c r="E15" s="167" t="s">
        <v>834</v>
      </c>
      <c r="F15" s="61">
        <v>2.6864515311130648E-4</v>
      </c>
      <c r="G15" s="21" t="s">
        <v>185</v>
      </c>
      <c r="H15" s="6" t="str">
        <f>_xlfn.XLOOKUP(E15,'Fatores de Emissão'!A:A,'Fatores de Emissão'!I:I)</f>
        <v>Ecoinvent 3.10.1</v>
      </c>
      <c r="I15" s="153">
        <f>_xlfn.XLOOKUP(E15,'Fatores de Emissão'!A:A,'Fatores de Emissão'!B:B)</f>
        <v>0.81205784189817998</v>
      </c>
      <c r="J15" s="153">
        <f>_xlfn.XLOOKUP(E15,'Fatores de Emissão'!A:A,'Fatores de Emissão'!C:C)</f>
        <v>4.3046212008608798E-3</v>
      </c>
      <c r="K15" s="153">
        <f>_xlfn.XLOOKUP(E15,'Fatores de Emissão'!A:A,'Fatores de Emissão'!D:D)</f>
        <v>0</v>
      </c>
      <c r="L15" s="153">
        <f>_xlfn.XLOOKUP(E15,'Fatores de Emissão'!A:A,'Fatores de Emissão'!E:E)</f>
        <v>4.3106837591290199E-4</v>
      </c>
      <c r="M15" s="6" t="str">
        <f>_xlfn.XLOOKUP(E15,'Fatores de Emissão'!A:A,'Fatores de Emissão'!F:F)</f>
        <v>kgCO2e/kg</v>
      </c>
      <c r="N15" s="6">
        <f t="shared" si="7"/>
        <v>2.1815540327197366E-4</v>
      </c>
      <c r="O15" s="6">
        <f t="shared" si="8"/>
        <v>1.156415621591447E-6</v>
      </c>
      <c r="P15" s="6">
        <f t="shared" si="9"/>
        <v>0</v>
      </c>
      <c r="Q15" s="6">
        <f t="shared" si="10"/>
        <v>1.1580442984856378E-7</v>
      </c>
      <c r="R15" s="6"/>
      <c r="S15" s="6"/>
      <c r="T15" s="6"/>
      <c r="U15" s="6"/>
      <c r="V15" s="6"/>
      <c r="W15" s="6"/>
      <c r="X15" s="6"/>
      <c r="Y15" s="6"/>
    </row>
    <row r="16" spans="1:25">
      <c r="A16" s="161" t="s">
        <v>679</v>
      </c>
      <c r="B16" s="161" t="s">
        <v>701</v>
      </c>
      <c r="C16" s="21" t="s">
        <v>162</v>
      </c>
      <c r="D16" s="21" t="s">
        <v>149</v>
      </c>
      <c r="E16" s="167" t="s">
        <v>834</v>
      </c>
      <c r="F16" s="61">
        <v>6.9655755797091929E-3</v>
      </c>
      <c r="G16" s="21" t="s">
        <v>185</v>
      </c>
      <c r="H16" s="6" t="str">
        <f>_xlfn.XLOOKUP(E16,'Fatores de Emissão'!A:A,'Fatores de Emissão'!I:I)</f>
        <v>Ecoinvent 3.10.1</v>
      </c>
      <c r="I16" s="153">
        <f>_xlfn.XLOOKUP(E16,'Fatores de Emissão'!A:A,'Fatores de Emissão'!B:B)</f>
        <v>0.81205784189817998</v>
      </c>
      <c r="J16" s="153">
        <f>_xlfn.XLOOKUP(E16,'Fatores de Emissão'!A:A,'Fatores de Emissão'!C:C)</f>
        <v>4.3046212008608798E-3</v>
      </c>
      <c r="K16" s="153">
        <f>_xlfn.XLOOKUP(E16,'Fatores de Emissão'!A:A,'Fatores de Emissão'!D:D)</f>
        <v>0</v>
      </c>
      <c r="L16" s="153">
        <f>_xlfn.XLOOKUP(E16,'Fatores de Emissão'!A:A,'Fatores de Emissão'!E:E)</f>
        <v>4.3106837591290199E-4</v>
      </c>
      <c r="M16" s="6" t="str">
        <f>_xlfn.XLOOKUP(E16,'Fatores de Emissão'!A:A,'Fatores de Emissão'!F:F)</f>
        <v>kgCO2e/kg</v>
      </c>
      <c r="N16" s="6">
        <f t="shared" si="7"/>
        <v>5.6564502728373113E-3</v>
      </c>
      <c r="O16" s="6">
        <f t="shared" si="8"/>
        <v>2.9984164316615005E-5</v>
      </c>
      <c r="P16" s="6">
        <f t="shared" si="9"/>
        <v>0</v>
      </c>
      <c r="Q16" s="6">
        <f t="shared" si="10"/>
        <v>3.0026393524438125E-6</v>
      </c>
      <c r="R16" s="6"/>
      <c r="S16" s="6"/>
      <c r="T16" s="6"/>
      <c r="U16" s="6"/>
      <c r="V16" s="6"/>
      <c r="W16" s="6"/>
      <c r="X16" s="6"/>
      <c r="Y16" s="6"/>
    </row>
    <row r="17" spans="1:25">
      <c r="A17" s="161" t="s">
        <v>679</v>
      </c>
      <c r="B17" s="161" t="s">
        <v>701</v>
      </c>
      <c r="C17" s="21" t="s">
        <v>163</v>
      </c>
      <c r="D17" s="21" t="s">
        <v>149</v>
      </c>
      <c r="E17" s="167" t="s">
        <v>835</v>
      </c>
      <c r="F17" s="61">
        <v>3.0474393161227707E-4</v>
      </c>
      <c r="G17" s="21" t="s">
        <v>185</v>
      </c>
      <c r="H17" s="6" t="str">
        <f>_xlfn.XLOOKUP(E17,'Fatores de Emissão'!A:A,'Fatores de Emissão'!I:I)</f>
        <v>Ecoinvent 3.10.1</v>
      </c>
      <c r="I17" s="153">
        <f>_xlfn.XLOOKUP(E17,'Fatores de Emissão'!A:A,'Fatores de Emissão'!B:B)</f>
        <v>0.245026083392441</v>
      </c>
      <c r="J17" s="153">
        <f>_xlfn.XLOOKUP(E17,'Fatores de Emissão'!A:A,'Fatores de Emissão'!C:C)</f>
        <v>5.474863624228E-3</v>
      </c>
      <c r="K17" s="153">
        <f>_xlfn.XLOOKUP(E17,'Fatores de Emissão'!A:A,'Fatores de Emissão'!D:D)</f>
        <v>0</v>
      </c>
      <c r="L17" s="153">
        <f>_xlfn.XLOOKUP(E17,'Fatores de Emissão'!A:A,'Fatores de Emissão'!E:E)</f>
        <v>1.08759240711505E-4</v>
      </c>
      <c r="M17" s="6" t="str">
        <f>_xlfn.XLOOKUP(E17,'Fatores de Emissão'!A:A,'Fatores de Emissão'!F:F)</f>
        <v>kgCO2e/kg</v>
      </c>
      <c r="N17" s="6">
        <f t="shared" si="7"/>
        <v>7.4670212000570136E-5</v>
      </c>
      <c r="O17" s="6">
        <f t="shared" si="8"/>
        <v>1.668431465888281E-6</v>
      </c>
      <c r="P17" s="6">
        <f t="shared" si="9"/>
        <v>0</v>
      </c>
      <c r="Q17" s="6">
        <f t="shared" si="10"/>
        <v>3.3143718613590063E-8</v>
      </c>
      <c r="R17" s="6"/>
      <c r="S17" s="6"/>
      <c r="T17" s="6"/>
      <c r="U17" s="6"/>
      <c r="V17" s="6"/>
      <c r="W17" s="6"/>
      <c r="X17" s="6"/>
      <c r="Y17" s="6"/>
    </row>
    <row r="18" spans="1:25" s="14" customFormat="1">
      <c r="A18" s="19" t="s">
        <v>679</v>
      </c>
      <c r="B18" s="19" t="s">
        <v>701</v>
      </c>
      <c r="C18" s="13" t="s">
        <v>846</v>
      </c>
      <c r="D18" s="12" t="s">
        <v>149</v>
      </c>
      <c r="E18" s="203" t="s">
        <v>837</v>
      </c>
      <c r="F18" s="205">
        <f>(0*'Fatores de Conversão'!$B$3)/1000</f>
        <v>0</v>
      </c>
      <c r="G18" s="12" t="s">
        <v>185</v>
      </c>
      <c r="H18" s="13" t="str">
        <f>_xlfn.XLOOKUP(E18,'Fatores de Emissão'!A:A,'Fatores de Emissão'!I:I)</f>
        <v>Ecoinvent 3.10.1</v>
      </c>
      <c r="I18" s="204">
        <f>_xlfn.XLOOKUP(E18,'Fatores de Emissão'!A:A,'Fatores de Emissão'!B:B)</f>
        <v>0.43540012308474901</v>
      </c>
      <c r="J18" s="204">
        <f>_xlfn.XLOOKUP(E18,'Fatores de Emissão'!A:A,'Fatores de Emissão'!C:C)</f>
        <v>6.2913468172605099E-4</v>
      </c>
      <c r="K18" s="204">
        <f>_xlfn.XLOOKUP(E18,'Fatores de Emissão'!A:A,'Fatores de Emissão'!D:D)</f>
        <v>0</v>
      </c>
      <c r="L18" s="204">
        <f>_xlfn.XLOOKUP(E18,'Fatores de Emissão'!A:A,'Fatores de Emissão'!E:E)</f>
        <v>7.3241917291390899E-4</v>
      </c>
      <c r="M18" s="13" t="str">
        <f>_xlfn.XLOOKUP(E18,'Fatores de Emissão'!A:A,'Fatores de Emissão'!F:F)</f>
        <v>kgCO2e/kg</v>
      </c>
      <c r="N18" s="6">
        <f t="shared" si="7"/>
        <v>0</v>
      </c>
      <c r="O18" s="6">
        <f t="shared" si="8"/>
        <v>0</v>
      </c>
      <c r="P18" s="6">
        <f t="shared" si="9"/>
        <v>0</v>
      </c>
      <c r="Q18" s="6">
        <f t="shared" si="10"/>
        <v>0</v>
      </c>
      <c r="R18" s="13"/>
      <c r="S18" s="13"/>
      <c r="T18" s="13"/>
      <c r="U18" s="13"/>
      <c r="V18" s="13"/>
      <c r="W18" s="13"/>
      <c r="X18" s="13"/>
      <c r="Y18" s="13"/>
    </row>
    <row r="19" spans="1:25">
      <c r="A19" s="161" t="s">
        <v>679</v>
      </c>
      <c r="B19" s="161" t="s">
        <v>701</v>
      </c>
      <c r="C19" s="21" t="s">
        <v>164</v>
      </c>
      <c r="D19" s="21" t="s">
        <v>149</v>
      </c>
      <c r="E19" s="71" t="s">
        <v>838</v>
      </c>
      <c r="F19" s="61">
        <f>(4.34593816410643*'Fatores de Conversão'!$B$4)/1000</f>
        <v>6.2099110426916786E-3</v>
      </c>
      <c r="G19" s="21" t="s">
        <v>185</v>
      </c>
      <c r="H19" s="6" t="str">
        <f>_xlfn.XLOOKUP(E19,'Fatores de Emissão'!A:A,'Fatores de Emissão'!I:I)</f>
        <v>Ecoinvent 3.10.1</v>
      </c>
      <c r="I19" s="153">
        <f>_xlfn.XLOOKUP(E19,'Fatores de Emissão'!A:A,'Fatores de Emissão'!B:B)</f>
        <v>1.09734990370953</v>
      </c>
      <c r="J19" s="153">
        <f>_xlfn.XLOOKUP(E19,'Fatores de Emissão'!A:A,'Fatores de Emissão'!C:C)</f>
        <v>1.58562399459411E-3</v>
      </c>
      <c r="K19" s="153">
        <f>_xlfn.XLOOKUP(E19,'Fatores de Emissão'!A:A,'Fatores de Emissão'!D:D)</f>
        <v>0</v>
      </c>
      <c r="L19" s="153">
        <f>_xlfn.XLOOKUP(E19,'Fatores de Emissão'!A:A,'Fatores de Emissão'!E:E)</f>
        <v>1.8459345008399401E-3</v>
      </c>
      <c r="M19" s="6" t="str">
        <f>_xlfn.XLOOKUP(E19,'Fatores de Emissão'!A:A,'Fatores de Emissão'!F:F)</f>
        <v>kgCO2e/kg</v>
      </c>
      <c r="N19" s="6">
        <f t="shared" si="7"/>
        <v>6.8144452847424602E-3</v>
      </c>
      <c r="O19" s="6">
        <f t="shared" si="8"/>
        <v>9.8465839535868545E-6</v>
      </c>
      <c r="P19" s="6">
        <f t="shared" si="9"/>
        <v>0</v>
      </c>
      <c r="Q19" s="6">
        <f t="shared" si="10"/>
        <v>1.1463089040851495E-5</v>
      </c>
      <c r="R19" s="6"/>
      <c r="S19" s="6"/>
      <c r="T19" s="6"/>
      <c r="U19" s="6"/>
      <c r="V19" s="6"/>
      <c r="W19" s="6"/>
      <c r="X19" s="6"/>
      <c r="Y19" s="6"/>
    </row>
    <row r="20" spans="1:25">
      <c r="A20" s="161" t="s">
        <v>679</v>
      </c>
      <c r="B20" s="161" t="s">
        <v>701</v>
      </c>
      <c r="C20" s="6" t="s">
        <v>165</v>
      </c>
      <c r="D20" s="6" t="s">
        <v>166</v>
      </c>
      <c r="E20" s="167" t="s">
        <v>839</v>
      </c>
      <c r="F20" s="61">
        <f>(2.65997917450144*'Fatores de Conversão'!$B$7)/1000</f>
        <v>4.3996055546253812E-3</v>
      </c>
      <c r="G20" s="21" t="s">
        <v>185</v>
      </c>
      <c r="H20" s="6" t="str">
        <f>_xlfn.XLOOKUP(E20,'Fatores de Emissão'!A:A,'Fatores de Emissão'!I:I)</f>
        <v>Ecoinvent 3.10.1</v>
      </c>
      <c r="I20" s="153">
        <f>_xlfn.XLOOKUP(E20,'Fatores de Emissão'!A:A,'Fatores de Emissão'!B:B)</f>
        <v>2.61948041530662</v>
      </c>
      <c r="J20" s="153">
        <f>_xlfn.XLOOKUP(E20,'Fatores de Emissão'!A:A,'Fatores de Emissão'!C:C)</f>
        <v>3.78503792257948E-3</v>
      </c>
      <c r="K20" s="153">
        <f>_xlfn.XLOOKUP(E20,'Fatores de Emissão'!A:A,'Fatores de Emissão'!D:D)</f>
        <v>0</v>
      </c>
      <c r="L20" s="153">
        <f>_xlfn.XLOOKUP(E20,'Fatores de Emissão'!A:A,'Fatores de Emissão'!E:E)</f>
        <v>4.4064242923274504E-3</v>
      </c>
      <c r="M20" s="6" t="str">
        <f>_xlfn.XLOOKUP(E20,'Fatores de Emissão'!A:A,'Fatores de Emissão'!F:F)</f>
        <v>kgCO2e/kg</v>
      </c>
      <c r="N20" s="6">
        <f t="shared" si="7"/>
        <v>1.1524680585415406E-2</v>
      </c>
      <c r="O20" s="6">
        <f t="shared" si="8"/>
        <v>1.6652673868648395E-5</v>
      </c>
      <c r="P20" s="6">
        <f t="shared" si="9"/>
        <v>0</v>
      </c>
      <c r="Q20" s="6">
        <f t="shared" si="10"/>
        <v>1.9386528792560067E-5</v>
      </c>
      <c r="R20" s="6"/>
      <c r="S20" s="6"/>
      <c r="T20" s="6"/>
      <c r="U20" s="6"/>
      <c r="V20" s="6"/>
      <c r="W20" s="6"/>
      <c r="X20" s="6"/>
      <c r="Y20" s="6"/>
    </row>
    <row r="21" spans="1:25">
      <c r="A21" s="161" t="s">
        <v>679</v>
      </c>
      <c r="B21" s="161" t="s">
        <v>701</v>
      </c>
      <c r="C21" s="6" t="s">
        <v>167</v>
      </c>
      <c r="D21" s="6" t="s">
        <v>166</v>
      </c>
      <c r="E21" s="167" t="s">
        <v>840</v>
      </c>
      <c r="F21" s="61">
        <f>((0.00435348473731825/1000)*'Fatores de Conversão'!$B$9)/1000</f>
        <v>5.3417257726894932E-6</v>
      </c>
      <c r="G21" s="6" t="s">
        <v>185</v>
      </c>
      <c r="H21" s="6" t="str">
        <f>_xlfn.XLOOKUP(E21,'Fatores de Emissão'!A:A,'Fatores de Emissão'!I:I)</f>
        <v>Ecoinvent 3.10.1</v>
      </c>
      <c r="I21" s="153">
        <f>_xlfn.XLOOKUP(E21,'Fatores de Emissão'!A:A,'Fatores de Emissão'!B:B)</f>
        <v>2.1267642639641302</v>
      </c>
      <c r="J21" s="153">
        <f>_xlfn.XLOOKUP(E21,'Fatores de Emissão'!A:A,'Fatores de Emissão'!C:C)</f>
        <v>4.9283397944625904E-4</v>
      </c>
      <c r="K21" s="153">
        <f>_xlfn.XLOOKUP(E21,'Fatores de Emissão'!A:A,'Fatores de Emissão'!D:D)</f>
        <v>0</v>
      </c>
      <c r="L21" s="153">
        <f>_xlfn.XLOOKUP(E21,'Fatores de Emissão'!A:A,'Fatores de Emissão'!E:E)</f>
        <v>4.3532549361042399E-4</v>
      </c>
      <c r="M21" s="6" t="str">
        <f>_xlfn.XLOOKUP(E21,'Fatores de Emissão'!A:A,'Fatores de Emissão'!F:F)</f>
        <v>kgCO2e/kg</v>
      </c>
      <c r="N21" s="6">
        <f t="shared" si="7"/>
        <v>1.1360591481252194E-5</v>
      </c>
      <c r="O21" s="6">
        <f t="shared" si="8"/>
        <v>2.6325839696652058E-9</v>
      </c>
      <c r="P21" s="6">
        <f t="shared" si="9"/>
        <v>0</v>
      </c>
      <c r="Q21" s="6">
        <f t="shared" si="10"/>
        <v>2.325389408727577E-9</v>
      </c>
      <c r="R21" s="6"/>
      <c r="S21" s="6"/>
      <c r="T21" s="6"/>
      <c r="U21" s="6"/>
      <c r="V21" s="6"/>
      <c r="W21" s="6"/>
      <c r="X21" s="6"/>
      <c r="Y21" s="6"/>
    </row>
    <row r="22" spans="1:25">
      <c r="A22" s="161" t="s">
        <v>679</v>
      </c>
      <c r="B22" s="161" t="s">
        <v>701</v>
      </c>
      <c r="C22" s="6" t="s">
        <v>168</v>
      </c>
      <c r="D22" s="6" t="s">
        <v>166</v>
      </c>
      <c r="E22" s="29" t="s">
        <v>668</v>
      </c>
      <c r="F22" s="61">
        <f>((0.00772743540873989/1000)*'Fatores de Conversão'!$B$10)/1000</f>
        <v>9.4661083757063639E-6</v>
      </c>
      <c r="G22" s="6" t="s">
        <v>185</v>
      </c>
      <c r="H22" s="6" t="str">
        <f>_xlfn.XLOOKUP(E22,'Fatores de Emissão'!A:A,'Fatores de Emissão'!I:I)</f>
        <v>Ecoinvent 3.10.1</v>
      </c>
      <c r="I22" s="153">
        <f>_xlfn.XLOOKUP(E22,'Fatores de Emissão'!A:A,'Fatores de Emissão'!B:B)</f>
        <v>1.40464277631224</v>
      </c>
      <c r="J22" s="153">
        <f>_xlfn.XLOOKUP(E22,'Fatores de Emissão'!A:A,'Fatores de Emissão'!C:C)</f>
        <v>2.8320908911455699E-3</v>
      </c>
      <c r="K22" s="153">
        <f>_xlfn.XLOOKUP(E22,'Fatores de Emissão'!A:A,'Fatores de Emissão'!D:D)</f>
        <v>0</v>
      </c>
      <c r="L22" s="153">
        <f>_xlfn.XLOOKUP(E22,'Fatores de Emissão'!A:A,'Fatores de Emissão'!E:E)</f>
        <v>1.86563713083595E-3</v>
      </c>
      <c r="M22" s="6" t="str">
        <f>_xlfn.XLOOKUP(E22,'Fatores de Emissão'!A:A,'Fatores de Emissão'!F:F)</f>
        <v>kgCO2e/kg</v>
      </c>
      <c r="N22" s="6">
        <f t="shared" si="7"/>
        <v>1.3296500749724736E-5</v>
      </c>
      <c r="O22" s="6">
        <f t="shared" si="8"/>
        <v>2.680887930543478E-8</v>
      </c>
      <c r="P22" s="6">
        <f t="shared" si="9"/>
        <v>0</v>
      </c>
      <c r="Q22" s="6">
        <f t="shared" si="10"/>
        <v>1.7660323270234977E-8</v>
      </c>
      <c r="R22" s="6"/>
      <c r="S22" s="6"/>
      <c r="T22" s="6"/>
      <c r="U22" s="6"/>
      <c r="V22" s="6"/>
      <c r="W22" s="6"/>
      <c r="X22" s="6"/>
      <c r="Y22" s="6"/>
    </row>
    <row r="23" spans="1:25">
      <c r="A23" s="161" t="s">
        <v>679</v>
      </c>
      <c r="B23" s="161" t="s">
        <v>701</v>
      </c>
      <c r="C23" s="6" t="s">
        <v>169</v>
      </c>
      <c r="D23" s="6" t="s">
        <v>166</v>
      </c>
      <c r="E23" s="167" t="s">
        <v>842</v>
      </c>
      <c r="F23" s="61">
        <f>((0.017413938949273/1000)*'Fatores de Conversão'!$B$8)/1000</f>
        <v>2.0722587349634873E-5</v>
      </c>
      <c r="G23" s="6" t="s">
        <v>185</v>
      </c>
      <c r="H23" s="6" t="str">
        <f>_xlfn.XLOOKUP(E23,'Fatores de Emissão'!A:A,'Fatores de Emissão'!I:I)</f>
        <v>Ecoinvent 3.10.1</v>
      </c>
      <c r="I23" s="153">
        <f>_xlfn.XLOOKUP(E23,'Fatores de Emissão'!A:A,'Fatores de Emissão'!B:B)</f>
        <v>1.7774888998382801</v>
      </c>
      <c r="J23" s="153">
        <f>_xlfn.XLOOKUP(E23,'Fatores de Emissão'!A:A,'Fatores de Emissão'!C:C)</f>
        <v>2.3732610669086802E-3</v>
      </c>
      <c r="K23" s="153">
        <f>_xlfn.XLOOKUP(E23,'Fatores de Emissão'!A:A,'Fatores de Emissão'!D:D)</f>
        <v>0</v>
      </c>
      <c r="L23" s="153">
        <f>_xlfn.XLOOKUP(E23,'Fatores de Emissão'!A:A,'Fatores de Emissão'!E:E)</f>
        <v>2.42490907253672E-3</v>
      </c>
      <c r="M23" s="6" t="str">
        <f>_xlfn.XLOOKUP(E23,'Fatores de Emissão'!A:A,'Fatores de Emissão'!F:F)</f>
        <v>kgCO2e/kg</v>
      </c>
      <c r="N23" s="6">
        <f t="shared" si="7"/>
        <v>3.6834168989905152E-5</v>
      </c>
      <c r="O23" s="6">
        <f t="shared" si="8"/>
        <v>4.9180109762502777E-8</v>
      </c>
      <c r="P23" s="6">
        <f t="shared" si="9"/>
        <v>0</v>
      </c>
      <c r="Q23" s="6">
        <f t="shared" si="10"/>
        <v>5.0250390070564265E-8</v>
      </c>
      <c r="R23" s="6"/>
      <c r="S23" s="6"/>
      <c r="T23" s="6"/>
      <c r="U23" s="6"/>
      <c r="V23" s="6"/>
      <c r="W23" s="6"/>
      <c r="X23" s="6"/>
      <c r="Y23" s="6"/>
    </row>
    <row r="24" spans="1:25">
      <c r="A24" s="161" t="s">
        <v>679</v>
      </c>
      <c r="B24" s="161" t="s">
        <v>701</v>
      </c>
      <c r="C24" s="21" t="s">
        <v>170</v>
      </c>
      <c r="D24" s="21" t="s">
        <v>150</v>
      </c>
      <c r="E24" s="179" t="s">
        <v>697</v>
      </c>
      <c r="F24" s="61">
        <v>6.2675686741111409</v>
      </c>
      <c r="G24" s="21" t="s">
        <v>186</v>
      </c>
      <c r="H24" s="6" t="str">
        <f>_xlfn.XLOOKUP(E24,'Fatores de Emissão'!A:A,'Fatores de Emissão'!I:I)</f>
        <v>Rima</v>
      </c>
      <c r="I24" s="153">
        <f>_xlfn.XLOOKUP(E24,'Fatores de Emissão'!A:A,'Fatores de Emissão'!B:B)</f>
        <v>0</v>
      </c>
      <c r="J24" s="153">
        <f>_xlfn.XLOOKUP(E24,'Fatores de Emissão'!A:A,'Fatores de Emissão'!C:C)</f>
        <v>0</v>
      </c>
      <c r="K24" s="153">
        <f>_xlfn.XLOOKUP(E24,'Fatores de Emissão'!A:A,'Fatores de Emissão'!D:D)</f>
        <v>0</v>
      </c>
      <c r="L24" s="153">
        <f>_xlfn.XLOOKUP(E24,'Fatores de Emissão'!A:A,'Fatores de Emissão'!E:E)</f>
        <v>0</v>
      </c>
      <c r="M24" s="6" t="str">
        <f>_xlfn.XLOOKUP(E24,'Fatores de Emissão'!A:A,'Fatores de Emissão'!F:F)</f>
        <v>kgCO2e/m3</v>
      </c>
      <c r="N24" s="6">
        <f t="shared" si="7"/>
        <v>0</v>
      </c>
      <c r="O24" s="6">
        <f t="shared" si="8"/>
        <v>0</v>
      </c>
      <c r="P24" s="6">
        <f t="shared" si="9"/>
        <v>0</v>
      </c>
      <c r="Q24" s="6">
        <f t="shared" si="10"/>
        <v>0</v>
      </c>
      <c r="R24" s="6"/>
      <c r="S24" s="6"/>
      <c r="T24" s="6"/>
      <c r="U24" s="6"/>
      <c r="V24" s="6"/>
      <c r="W24" s="6"/>
      <c r="X24" s="6"/>
      <c r="Y24" s="6"/>
    </row>
    <row r="25" spans="1:25" s="14" customFormat="1">
      <c r="A25" s="19" t="s">
        <v>679</v>
      </c>
      <c r="B25" s="19" t="s">
        <v>701</v>
      </c>
      <c r="C25" s="13" t="s">
        <v>180</v>
      </c>
      <c r="D25" s="12" t="s">
        <v>149</v>
      </c>
      <c r="E25" s="203" t="s">
        <v>843</v>
      </c>
      <c r="F25" s="205">
        <v>0</v>
      </c>
      <c r="G25" s="12" t="s">
        <v>185</v>
      </c>
      <c r="H25" s="13" t="str">
        <f>_xlfn.XLOOKUP(E25,'Fatores de Emissão'!A:A,'Fatores de Emissão'!I:I)</f>
        <v>Ecoinvent 3.10.1</v>
      </c>
      <c r="I25" s="204">
        <f>_xlfn.XLOOKUP(E25,'Fatores de Emissão'!A:A,'Fatores de Emissão'!B:B)</f>
        <v>4.1190702546270499</v>
      </c>
      <c r="J25" s="204">
        <f>_xlfn.XLOOKUP(E25,'Fatores de Emissão'!A:A,'Fatores de Emissão'!C:C)</f>
        <v>3.4399320047001302E-3</v>
      </c>
      <c r="K25" s="204">
        <f>_xlfn.XLOOKUP(E25,'Fatores de Emissão'!A:A,'Fatores de Emissão'!D:D)</f>
        <v>0</v>
      </c>
      <c r="L25" s="204">
        <f>_xlfn.XLOOKUP(E25,'Fatores de Emissão'!A:A,'Fatores de Emissão'!E:E)</f>
        <v>3.4544768298814602E-3</v>
      </c>
      <c r="M25" s="13" t="str">
        <f>_xlfn.XLOOKUP(E25,'Fatores de Emissão'!A:A,'Fatores de Emissão'!F:F)</f>
        <v>kgCO2e/kg</v>
      </c>
      <c r="N25" s="6">
        <f t="shared" si="7"/>
        <v>0</v>
      </c>
      <c r="O25" s="6">
        <f t="shared" si="8"/>
        <v>0</v>
      </c>
      <c r="P25" s="6">
        <f t="shared" si="9"/>
        <v>0</v>
      </c>
      <c r="Q25" s="6">
        <f t="shared" si="10"/>
        <v>0</v>
      </c>
      <c r="R25" s="13"/>
      <c r="S25" s="13"/>
      <c r="T25" s="13"/>
      <c r="U25" s="13"/>
      <c r="V25" s="13"/>
      <c r="W25" s="13"/>
      <c r="X25" s="13"/>
      <c r="Y25" s="13"/>
    </row>
    <row r="26" spans="1:25">
      <c r="A26" s="161" t="s">
        <v>687</v>
      </c>
      <c r="B26" s="161" t="s">
        <v>183</v>
      </c>
      <c r="C26" s="21" t="s">
        <v>172</v>
      </c>
      <c r="D26" s="21" t="s">
        <v>149</v>
      </c>
      <c r="E26" s="179" t="s">
        <v>698</v>
      </c>
      <c r="F26" s="61">
        <v>0.25339213156982415</v>
      </c>
      <c r="G26" s="21" t="s">
        <v>185</v>
      </c>
      <c r="H26" s="6" t="str">
        <f>_xlfn.XLOOKUP(E26,'Fatores de Emissão'!A:A,'Fatores de Emissão'!I:I)</f>
        <v>Rima</v>
      </c>
      <c r="I26" s="153">
        <f>_xlfn.XLOOKUP(E26,'Fatores de Emissão'!A:A,'Fatores de Emissão'!B:B)</f>
        <v>0</v>
      </c>
      <c r="J26" s="153">
        <f>_xlfn.XLOOKUP(E26,'Fatores de Emissão'!A:A,'Fatores de Emissão'!C:C)</f>
        <v>0</v>
      </c>
      <c r="K26" s="153">
        <f>_xlfn.XLOOKUP(E26,'Fatores de Emissão'!A:A,'Fatores de Emissão'!D:D)</f>
        <v>0</v>
      </c>
      <c r="L26" s="153">
        <f>_xlfn.XLOOKUP(E26,'Fatores de Emissão'!A:A,'Fatores de Emissão'!E:E)</f>
        <v>0</v>
      </c>
      <c r="M26" s="6" t="str">
        <f>_xlfn.XLOOKUP(E26,'Fatores de Emissão'!A:A,'Fatores de Emissão'!F:F)</f>
        <v>kgCO2e/kg</v>
      </c>
      <c r="N26" s="6">
        <f t="shared" si="7"/>
        <v>0</v>
      </c>
      <c r="O26" s="6">
        <f t="shared" si="8"/>
        <v>0</v>
      </c>
      <c r="P26" s="6">
        <f t="shared" si="9"/>
        <v>0</v>
      </c>
      <c r="Q26" s="6">
        <f t="shared" si="10"/>
        <v>0</v>
      </c>
      <c r="R26" s="6"/>
      <c r="S26" s="6"/>
      <c r="T26" s="6"/>
      <c r="U26" s="6"/>
      <c r="V26" s="6"/>
      <c r="W26" s="6"/>
      <c r="X26" s="6"/>
      <c r="Y26" s="6"/>
    </row>
    <row r="27" spans="1:25">
      <c r="A27" s="161" t="s">
        <v>687</v>
      </c>
      <c r="B27" s="161" t="s">
        <v>183</v>
      </c>
      <c r="C27" s="21" t="s">
        <v>173</v>
      </c>
      <c r="D27" s="21" t="s">
        <v>149</v>
      </c>
      <c r="E27" s="179" t="s">
        <v>173</v>
      </c>
      <c r="F27" s="61">
        <v>8.7069694746365126E-2</v>
      </c>
      <c r="G27" s="21" t="s">
        <v>185</v>
      </c>
      <c r="H27" s="6" t="str">
        <f>_xlfn.XLOOKUP(E27,'Fatores de Emissão'!A:A,'Fatores de Emissão'!I:I)</f>
        <v>Rima</v>
      </c>
      <c r="I27" s="153">
        <f>_xlfn.XLOOKUP(E27,'Fatores de Emissão'!A:A,'Fatores de Emissão'!B:B)</f>
        <v>0</v>
      </c>
      <c r="J27" s="153">
        <f>_xlfn.XLOOKUP(E27,'Fatores de Emissão'!A:A,'Fatores de Emissão'!C:C)</f>
        <v>0</v>
      </c>
      <c r="K27" s="153">
        <f>_xlfn.XLOOKUP(E27,'Fatores de Emissão'!A:A,'Fatores de Emissão'!D:D)</f>
        <v>0</v>
      </c>
      <c r="L27" s="153">
        <f>_xlfn.XLOOKUP(E27,'Fatores de Emissão'!A:A,'Fatores de Emissão'!E:E)</f>
        <v>0</v>
      </c>
      <c r="M27" s="6" t="str">
        <f>_xlfn.XLOOKUP(E27,'Fatores de Emissão'!A:A,'Fatores de Emissão'!F:F)</f>
        <v>kgCO2e/kg</v>
      </c>
      <c r="N27" s="6">
        <f t="shared" si="7"/>
        <v>0</v>
      </c>
      <c r="O27" s="6">
        <f t="shared" si="8"/>
        <v>0</v>
      </c>
      <c r="P27" s="6">
        <f t="shared" si="9"/>
        <v>0</v>
      </c>
      <c r="Q27" s="6">
        <f t="shared" si="10"/>
        <v>0</v>
      </c>
      <c r="R27" s="6"/>
      <c r="S27" s="6"/>
      <c r="T27" s="6"/>
      <c r="U27" s="6"/>
      <c r="V27" s="6"/>
      <c r="W27" s="6"/>
      <c r="X27" s="6"/>
      <c r="Y27" s="6"/>
    </row>
    <row r="28" spans="1:25">
      <c r="A28" s="161" t="s">
        <v>687</v>
      </c>
      <c r="B28" s="161" t="s">
        <v>183</v>
      </c>
      <c r="C28" s="21" t="s">
        <v>174</v>
      </c>
      <c r="D28" s="21" t="s">
        <v>149</v>
      </c>
      <c r="E28" s="179" t="s">
        <v>174</v>
      </c>
      <c r="F28" s="61">
        <v>6.0396982132000357E-2</v>
      </c>
      <c r="G28" s="21" t="s">
        <v>185</v>
      </c>
      <c r="H28" s="6" t="str">
        <f>_xlfn.XLOOKUP(E28,'Fatores de Emissão'!A:A,'Fatores de Emissão'!I:I)</f>
        <v>Rima</v>
      </c>
      <c r="I28" s="153">
        <f>_xlfn.XLOOKUP(E28,'Fatores de Emissão'!A:A,'Fatores de Emissão'!B:B)</f>
        <v>0</v>
      </c>
      <c r="J28" s="153">
        <f>_xlfn.XLOOKUP(E28,'Fatores de Emissão'!A:A,'Fatores de Emissão'!C:C)</f>
        <v>0</v>
      </c>
      <c r="K28" s="153">
        <f>_xlfn.XLOOKUP(E28,'Fatores de Emissão'!A:A,'Fatores de Emissão'!D:D)</f>
        <v>0</v>
      </c>
      <c r="L28" s="153">
        <f>_xlfn.XLOOKUP(E28,'Fatores de Emissão'!A:A,'Fatores de Emissão'!E:E)</f>
        <v>0</v>
      </c>
      <c r="M28" s="6" t="str">
        <f>_xlfn.XLOOKUP(E28,'Fatores de Emissão'!A:A,'Fatores de Emissão'!F:F)</f>
        <v>kgCO2e/kg</v>
      </c>
      <c r="N28" s="6">
        <f t="shared" si="7"/>
        <v>0</v>
      </c>
      <c r="O28" s="6">
        <f t="shared" si="8"/>
        <v>0</v>
      </c>
      <c r="P28" s="6">
        <f t="shared" si="9"/>
        <v>0</v>
      </c>
      <c r="Q28" s="6">
        <f t="shared" si="10"/>
        <v>0</v>
      </c>
      <c r="R28" s="6"/>
      <c r="S28" s="6"/>
      <c r="T28" s="6"/>
      <c r="U28" s="6"/>
      <c r="V28" s="6"/>
      <c r="W28" s="6"/>
      <c r="X28" s="6"/>
      <c r="Y28" s="6"/>
    </row>
    <row r="29" spans="1:25">
      <c r="A29" s="161" t="s">
        <v>687</v>
      </c>
      <c r="B29" s="161" t="s">
        <v>183</v>
      </c>
      <c r="C29" s="21" t="s">
        <v>175</v>
      </c>
      <c r="D29" s="21" t="s">
        <v>149</v>
      </c>
      <c r="E29" s="179" t="s">
        <v>175</v>
      </c>
      <c r="F29" s="61">
        <v>0.10403619294117883</v>
      </c>
      <c r="G29" s="21" t="s">
        <v>185</v>
      </c>
      <c r="H29" s="6" t="str">
        <f>_xlfn.XLOOKUP(E29,'Fatores de Emissão'!A:A,'Fatores de Emissão'!I:I)</f>
        <v>Rima</v>
      </c>
      <c r="I29" s="153">
        <f>_xlfn.XLOOKUP(E29,'Fatores de Emissão'!A:A,'Fatores de Emissão'!B:B)</f>
        <v>0</v>
      </c>
      <c r="J29" s="153">
        <f>_xlfn.XLOOKUP(E29,'Fatores de Emissão'!A:A,'Fatores de Emissão'!C:C)</f>
        <v>0</v>
      </c>
      <c r="K29" s="153">
        <f>_xlfn.XLOOKUP(E29,'Fatores de Emissão'!A:A,'Fatores de Emissão'!D:D)</f>
        <v>0</v>
      </c>
      <c r="L29" s="153">
        <f>_xlfn.XLOOKUP(E29,'Fatores de Emissão'!A:A,'Fatores de Emissão'!E:E)</f>
        <v>0</v>
      </c>
      <c r="M29" s="6" t="str">
        <f>_xlfn.XLOOKUP(E29,'Fatores de Emissão'!A:A,'Fatores de Emissão'!F:F)</f>
        <v>kgCO2e/kg</v>
      </c>
      <c r="N29" s="6">
        <f t="shared" si="7"/>
        <v>0</v>
      </c>
      <c r="O29" s="6">
        <f t="shared" si="8"/>
        <v>0</v>
      </c>
      <c r="P29" s="6">
        <f t="shared" si="9"/>
        <v>0</v>
      </c>
      <c r="Q29" s="6">
        <f t="shared" si="10"/>
        <v>0</v>
      </c>
      <c r="R29" s="6"/>
      <c r="S29" s="6"/>
      <c r="T29" s="6"/>
      <c r="U29" s="6"/>
      <c r="V29" s="6"/>
      <c r="W29" s="6"/>
      <c r="X29" s="6"/>
      <c r="Y29" s="6"/>
    </row>
    <row r="30" spans="1:25">
      <c r="A30" s="161" t="s">
        <v>687</v>
      </c>
      <c r="B30" s="161" t="s">
        <v>183</v>
      </c>
      <c r="C30" s="21" t="s">
        <v>176</v>
      </c>
      <c r="D30" s="21" t="s">
        <v>149</v>
      </c>
      <c r="E30" s="179" t="s">
        <v>176</v>
      </c>
      <c r="F30" s="61">
        <v>4.3534847373182473E-2</v>
      </c>
      <c r="G30" s="21" t="s">
        <v>185</v>
      </c>
      <c r="H30" s="6" t="str">
        <f>_xlfn.XLOOKUP(E30,'Fatores de Emissão'!A:A,'Fatores de Emissão'!I:I)</f>
        <v>Rima</v>
      </c>
      <c r="I30" s="153">
        <f>_xlfn.XLOOKUP(E30,'Fatores de Emissão'!A:A,'Fatores de Emissão'!B:B)</f>
        <v>0</v>
      </c>
      <c r="J30" s="153">
        <f>_xlfn.XLOOKUP(E30,'Fatores de Emissão'!A:A,'Fatores de Emissão'!C:C)</f>
        <v>0</v>
      </c>
      <c r="K30" s="153">
        <f>_xlfn.XLOOKUP(E30,'Fatores de Emissão'!A:A,'Fatores de Emissão'!D:D)</f>
        <v>0</v>
      </c>
      <c r="L30" s="153">
        <f>_xlfn.XLOOKUP(E30,'Fatores de Emissão'!A:A,'Fatores de Emissão'!E:E)</f>
        <v>0</v>
      </c>
      <c r="M30" s="6" t="str">
        <f>_xlfn.XLOOKUP(E30,'Fatores de Emissão'!A:A,'Fatores de Emissão'!F:F)</f>
        <v>kgCO2e/kg</v>
      </c>
      <c r="N30" s="6">
        <f t="shared" si="7"/>
        <v>0</v>
      </c>
      <c r="O30" s="6">
        <f t="shared" si="8"/>
        <v>0</v>
      </c>
      <c r="P30" s="6">
        <f t="shared" si="9"/>
        <v>0</v>
      </c>
      <c r="Q30" s="6">
        <f t="shared" si="10"/>
        <v>0</v>
      </c>
      <c r="R30" s="6"/>
      <c r="S30" s="6"/>
      <c r="T30" s="6"/>
      <c r="U30" s="6"/>
      <c r="V30" s="6"/>
      <c r="W30" s="6"/>
      <c r="X30" s="6"/>
      <c r="Y30" s="6"/>
    </row>
    <row r="31" spans="1:25">
      <c r="A31" s="161" t="s">
        <v>687</v>
      </c>
      <c r="B31" s="161" t="s">
        <v>103</v>
      </c>
      <c r="C31" s="21" t="s">
        <v>824</v>
      </c>
      <c r="D31" s="21" t="s">
        <v>149</v>
      </c>
      <c r="E31" s="21" t="s">
        <v>824</v>
      </c>
      <c r="F31" s="61">
        <f>Redução!$I$10</f>
        <v>4.3801967239734396E-2</v>
      </c>
      <c r="G31" s="21" t="s">
        <v>185</v>
      </c>
      <c r="H31" s="6" t="s">
        <v>210</v>
      </c>
      <c r="I31" s="153">
        <v>1</v>
      </c>
      <c r="J31" s="153">
        <v>1</v>
      </c>
      <c r="K31" s="153">
        <v>0</v>
      </c>
      <c r="L31" s="153">
        <v>0</v>
      </c>
      <c r="M31" s="6" t="s">
        <v>204</v>
      </c>
      <c r="N31" s="6">
        <f>Redução!$I$10</f>
        <v>4.3801967239734396E-2</v>
      </c>
      <c r="O31" s="6">
        <f>Redução!$J$10</f>
        <v>1.7482740948277624</v>
      </c>
      <c r="P31" s="6">
        <v>0</v>
      </c>
      <c r="Q31" s="6">
        <v>0</v>
      </c>
      <c r="R31" s="6"/>
      <c r="S31" s="6"/>
      <c r="T31" s="6"/>
      <c r="U31" s="6"/>
      <c r="V31" s="6"/>
      <c r="W31" s="6"/>
      <c r="X31" s="6"/>
      <c r="Y31" s="6"/>
    </row>
    <row r="32" spans="1:25">
      <c r="A32" s="161" t="s">
        <v>687</v>
      </c>
      <c r="B32" s="161" t="s">
        <v>702</v>
      </c>
      <c r="C32" s="21" t="s">
        <v>177</v>
      </c>
      <c r="D32" s="21" t="s">
        <v>149</v>
      </c>
      <c r="E32" s="179" t="s">
        <v>177</v>
      </c>
      <c r="F32" s="61">
        <v>0.91724597660456997</v>
      </c>
      <c r="G32" s="21" t="s">
        <v>185</v>
      </c>
      <c r="H32" s="6" t="str">
        <f>_xlfn.XLOOKUP(E32,'Fatores de Emissão'!A:A,'Fatores de Emissão'!I:I)</f>
        <v>Rima</v>
      </c>
      <c r="I32" s="153">
        <f>_xlfn.XLOOKUP(E32,'Fatores de Emissão'!A:A,'Fatores de Emissão'!B:B)</f>
        <v>0</v>
      </c>
      <c r="J32" s="153">
        <f>_xlfn.XLOOKUP(E32,'Fatores de Emissão'!A:A,'Fatores de Emissão'!C:C)</f>
        <v>0</v>
      </c>
      <c r="K32" s="153">
        <f>_xlfn.XLOOKUP(E32,'Fatores de Emissão'!A:A,'Fatores de Emissão'!D:D)</f>
        <v>0</v>
      </c>
      <c r="L32" s="153">
        <f>_xlfn.XLOOKUP(E32,'Fatores de Emissão'!A:A,'Fatores de Emissão'!E:E)</f>
        <v>0</v>
      </c>
      <c r="M32" s="6" t="str">
        <f>_xlfn.XLOOKUP(E32,'Fatores de Emissão'!A:A,'Fatores de Emissão'!F:F)</f>
        <v>kgCO2e/kg</v>
      </c>
      <c r="N32" s="6">
        <f>(I32*$F32)</f>
        <v>0</v>
      </c>
      <c r="O32" s="6">
        <f t="shared" ref="O32:Q32" si="11">(J32*$F32)</f>
        <v>0</v>
      </c>
      <c r="P32" s="6">
        <f t="shared" si="11"/>
        <v>0</v>
      </c>
      <c r="Q32" s="6">
        <f t="shared" si="11"/>
        <v>0</v>
      </c>
      <c r="R32" s="6"/>
      <c r="S32" s="6"/>
      <c r="T32" s="6"/>
      <c r="U32" s="6"/>
      <c r="V32" s="6"/>
      <c r="W32" s="6"/>
      <c r="X32" s="6"/>
      <c r="Y32" s="6"/>
    </row>
    <row r="33" spans="1:25">
      <c r="A33" s="161" t="s">
        <v>679</v>
      </c>
      <c r="B33" s="162" t="s">
        <v>701</v>
      </c>
      <c r="C33" s="21" t="s">
        <v>178</v>
      </c>
      <c r="D33" s="21" t="s">
        <v>179</v>
      </c>
      <c r="E33" s="179" t="s">
        <v>177</v>
      </c>
      <c r="F33" s="61">
        <v>0.91724597660457041</v>
      </c>
      <c r="G33" s="21" t="s">
        <v>185</v>
      </c>
      <c r="H33" s="6" t="str">
        <f>_xlfn.XLOOKUP(E33,'Fatores de Emissão'!A:A,'Fatores de Emissão'!I:I)</f>
        <v>Rima</v>
      </c>
      <c r="I33" s="153">
        <f>_xlfn.XLOOKUP(E33,'Fatores de Emissão'!A:A,'Fatores de Emissão'!B:B)</f>
        <v>0</v>
      </c>
      <c r="J33" s="153">
        <f>_xlfn.XLOOKUP(E33,'Fatores de Emissão'!A:A,'Fatores de Emissão'!C:C)</f>
        <v>0</v>
      </c>
      <c r="K33" s="153">
        <f>_xlfn.XLOOKUP(E33,'Fatores de Emissão'!A:A,'Fatores de Emissão'!D:D)</f>
        <v>0</v>
      </c>
      <c r="L33" s="153">
        <f>_xlfn.XLOOKUP(E33,'Fatores de Emissão'!A:A,'Fatores de Emissão'!E:E)</f>
        <v>0</v>
      </c>
      <c r="M33" s="6" t="str">
        <f>_xlfn.XLOOKUP(E33,'Fatores de Emissão'!A:A,'Fatores de Emissão'!F:F)</f>
        <v>kgCO2e/kg</v>
      </c>
      <c r="N33" s="6">
        <f t="shared" ref="N33:N44" si="12">(I33*$F33)</f>
        <v>0</v>
      </c>
      <c r="O33" s="6">
        <f t="shared" ref="O33:O44" si="13">(J33*$F33)</f>
        <v>0</v>
      </c>
      <c r="P33" s="6">
        <f t="shared" ref="P33:P44" si="14">(K33*$F33)</f>
        <v>0</v>
      </c>
      <c r="Q33" s="6">
        <f t="shared" ref="Q33:Q44" si="15">(L33*$F33)</f>
        <v>0</v>
      </c>
      <c r="R33" s="6"/>
      <c r="S33" s="6"/>
      <c r="T33" s="6"/>
      <c r="U33" s="6"/>
      <c r="V33" s="6"/>
      <c r="W33" s="6"/>
      <c r="X33" s="6"/>
      <c r="Y33" s="6"/>
    </row>
    <row r="34" spans="1:25">
      <c r="A34" s="161" t="s">
        <v>679</v>
      </c>
      <c r="B34" s="162" t="s">
        <v>701</v>
      </c>
      <c r="C34" s="21" t="s">
        <v>125</v>
      </c>
      <c r="D34" s="21" t="s">
        <v>179</v>
      </c>
      <c r="E34" s="167" t="s">
        <v>712</v>
      </c>
      <c r="F34" s="61">
        <v>8.6746647323755796E-2</v>
      </c>
      <c r="G34" s="21" t="s">
        <v>185</v>
      </c>
      <c r="H34" s="6" t="str">
        <f>_xlfn.XLOOKUP(E34,'Fatores de Emissão'!A:A,'Fatores de Emissão'!I:I)</f>
        <v>Rima</v>
      </c>
      <c r="I34" s="153">
        <f>_xlfn.XLOOKUP(E34,'Fatores de Emissão'!A:A,'Fatores de Emissão'!B:B)</f>
        <v>10.355499999999999</v>
      </c>
      <c r="J34" s="153">
        <f>_xlfn.XLOOKUP(E34,'Fatores de Emissão'!A:A,'Fatores de Emissão'!C:C)</f>
        <v>13.6707</v>
      </c>
      <c r="K34" s="153">
        <f>_xlfn.XLOOKUP(E34,'Fatores de Emissão'!A:A,'Fatores de Emissão'!D:D)</f>
        <v>-18.279800000000002</v>
      </c>
      <c r="L34" s="153">
        <f>_xlfn.XLOOKUP(E34,'Fatores de Emissão'!A:A,'Fatores de Emissão'!E:E)</f>
        <v>0</v>
      </c>
      <c r="M34" s="6" t="str">
        <f>_xlfn.XLOOKUP(E34,'Fatores de Emissão'!A:A,'Fatores de Emissão'!F:F)</f>
        <v>kgCO2e/kg</v>
      </c>
      <c r="N34" s="6">
        <f t="shared" si="12"/>
        <v>0.89830490636115312</v>
      </c>
      <c r="O34" s="6">
        <f t="shared" si="13"/>
        <v>1.1858873915688684</v>
      </c>
      <c r="P34" s="6">
        <f t="shared" si="14"/>
        <v>-1.5857113637487914</v>
      </c>
      <c r="Q34" s="6">
        <f t="shared" si="15"/>
        <v>0</v>
      </c>
      <c r="R34" s="6"/>
      <c r="S34" s="6"/>
      <c r="T34" s="6"/>
      <c r="U34" s="6"/>
      <c r="V34" s="6"/>
      <c r="W34" s="6"/>
      <c r="X34" s="6"/>
      <c r="Y34" s="6"/>
    </row>
    <row r="35" spans="1:25">
      <c r="A35" s="161" t="s">
        <v>679</v>
      </c>
      <c r="B35" s="162" t="s">
        <v>701</v>
      </c>
      <c r="C35" s="21" t="s">
        <v>127</v>
      </c>
      <c r="D35" s="21" t="s">
        <v>179</v>
      </c>
      <c r="E35" s="167" t="s">
        <v>707</v>
      </c>
      <c r="F35" s="61">
        <v>1.3766405786946521E-2</v>
      </c>
      <c r="G35" s="21" t="s">
        <v>185</v>
      </c>
      <c r="H35" s="6" t="str">
        <f>_xlfn.XLOOKUP(E35,'Fatores de Emissão'!A:A,'Fatores de Emissão'!I:I)</f>
        <v>Nuss &amp; Eckelman</v>
      </c>
      <c r="I35" s="153">
        <f>_xlfn.XLOOKUP(E35,'Fatores de Emissão'!A:A,'Fatores de Emissão'!B:B)</f>
        <v>1</v>
      </c>
      <c r="J35" s="153">
        <f>_xlfn.XLOOKUP(E35,'Fatores de Emissão'!A:A,'Fatores de Emissão'!C:C)</f>
        <v>0</v>
      </c>
      <c r="K35" s="153">
        <f>_xlfn.XLOOKUP(E35,'Fatores de Emissão'!A:A,'Fatores de Emissão'!D:D)</f>
        <v>0</v>
      </c>
      <c r="L35" s="153">
        <f>_xlfn.XLOOKUP(E35,'Fatores de Emissão'!A:A,'Fatores de Emissão'!E:E)</f>
        <v>0</v>
      </c>
      <c r="M35" s="6" t="str">
        <f>_xlfn.XLOOKUP(E35,'Fatores de Emissão'!A:A,'Fatores de Emissão'!F:F)</f>
        <v>kgCO2e/kg</v>
      </c>
      <c r="N35" s="6">
        <f t="shared" si="12"/>
        <v>1.3766405786946521E-2</v>
      </c>
      <c r="O35" s="6">
        <f t="shared" si="13"/>
        <v>0</v>
      </c>
      <c r="P35" s="6">
        <f t="shared" si="14"/>
        <v>0</v>
      </c>
      <c r="Q35" s="6">
        <f t="shared" si="15"/>
        <v>0</v>
      </c>
      <c r="R35" s="6"/>
      <c r="S35" s="6"/>
      <c r="T35" s="6"/>
      <c r="U35" s="6"/>
      <c r="V35" s="6"/>
      <c r="W35" s="6"/>
      <c r="X35" s="6"/>
      <c r="Y35" s="6"/>
    </row>
    <row r="36" spans="1:25">
      <c r="A36" s="161" t="s">
        <v>679</v>
      </c>
      <c r="B36" s="162" t="s">
        <v>701</v>
      </c>
      <c r="C36" s="21" t="s">
        <v>129</v>
      </c>
      <c r="D36" s="21" t="s">
        <v>179</v>
      </c>
      <c r="E36" s="167" t="s">
        <v>706</v>
      </c>
      <c r="F36" s="61">
        <v>1.3091683276857603E-2</v>
      </c>
      <c r="G36" s="21" t="s">
        <v>185</v>
      </c>
      <c r="H36" s="6" t="str">
        <f>_xlfn.XLOOKUP(E36,'Fatores de Emissão'!A:A,'Fatores de Emissão'!I:I)</f>
        <v>Ecoinvent 3.10.1</v>
      </c>
      <c r="I36" s="153">
        <f>_xlfn.XLOOKUP(E36,'Fatores de Emissão'!A:A,'Fatores de Emissão'!B:B)</f>
        <v>23.7607422169859</v>
      </c>
      <c r="J36" s="153">
        <f>_xlfn.XLOOKUP(E36,'Fatores de Emissão'!A:A,'Fatores de Emissão'!C:C)</f>
        <v>3.2433360793503403E-2</v>
      </c>
      <c r="K36" s="153">
        <f>_xlfn.XLOOKUP(E36,'Fatores de Emissão'!A:A,'Fatores de Emissão'!D:D)</f>
        <v>0</v>
      </c>
      <c r="L36" s="153">
        <f>_xlfn.XLOOKUP(E36,'Fatores de Emissão'!A:A,'Fatores de Emissão'!E:E)</f>
        <v>2.9025697410004599E-2</v>
      </c>
      <c r="M36" s="6" t="str">
        <f>_xlfn.XLOOKUP(E36,'Fatores de Emissão'!A:A,'Fatores de Emissão'!F:F)</f>
        <v>kgCO2e/kg</v>
      </c>
      <c r="N36" s="6">
        <f t="shared" si="12"/>
        <v>0.31106811152783875</v>
      </c>
      <c r="O36" s="6">
        <f t="shared" si="13"/>
        <v>4.2460728711259755E-4</v>
      </c>
      <c r="P36" s="6">
        <f t="shared" si="14"/>
        <v>0</v>
      </c>
      <c r="Q36" s="6">
        <f t="shared" si="15"/>
        <v>3.7999523738168624E-4</v>
      </c>
      <c r="R36" s="6"/>
      <c r="S36" s="6"/>
      <c r="T36" s="6"/>
      <c r="U36" s="6"/>
      <c r="V36" s="6"/>
      <c r="W36" s="6"/>
      <c r="X36" s="6"/>
      <c r="Y36" s="6"/>
    </row>
    <row r="37" spans="1:25">
      <c r="A37" s="161" t="s">
        <v>679</v>
      </c>
      <c r="B37" s="162" t="s">
        <v>701</v>
      </c>
      <c r="C37" s="10" t="s">
        <v>130</v>
      </c>
      <c r="D37" s="21" t="s">
        <v>179</v>
      </c>
      <c r="E37" s="167" t="s">
        <v>708</v>
      </c>
      <c r="F37" s="61">
        <v>1.0458523500273416E-3</v>
      </c>
      <c r="G37" s="21" t="s">
        <v>185</v>
      </c>
      <c r="H37" s="6" t="str">
        <f>_xlfn.XLOOKUP(E37,'Fatores de Emissão'!A:A,'Fatores de Emissão'!I:I)</f>
        <v>Nuss &amp; Eckelman</v>
      </c>
      <c r="I37" s="153">
        <f>_xlfn.XLOOKUP(E37,'Fatores de Emissão'!A:A,'Fatores de Emissão'!B:B)</f>
        <v>11</v>
      </c>
      <c r="J37" s="153">
        <f>_xlfn.XLOOKUP(E37,'Fatores de Emissão'!A:A,'Fatores de Emissão'!C:C)</f>
        <v>0</v>
      </c>
      <c r="K37" s="153">
        <f>_xlfn.XLOOKUP(E37,'Fatores de Emissão'!A:A,'Fatores de Emissão'!D:D)</f>
        <v>0</v>
      </c>
      <c r="L37" s="153">
        <f>_xlfn.XLOOKUP(E37,'Fatores de Emissão'!A:A,'Fatores de Emissão'!E:E)</f>
        <v>0</v>
      </c>
      <c r="M37" s="6" t="str">
        <f>_xlfn.XLOOKUP(E37,'Fatores de Emissão'!A:A,'Fatores de Emissão'!F:F)</f>
        <v>kgCO2e/kg</v>
      </c>
      <c r="N37" s="6">
        <f t="shared" si="12"/>
        <v>1.1504375850300758E-2</v>
      </c>
      <c r="O37" s="6">
        <f t="shared" si="13"/>
        <v>0</v>
      </c>
      <c r="P37" s="6">
        <f t="shared" si="14"/>
        <v>0</v>
      </c>
      <c r="Q37" s="6">
        <f t="shared" si="15"/>
        <v>0</v>
      </c>
      <c r="R37" s="6"/>
      <c r="S37" s="6"/>
      <c r="T37" s="6"/>
      <c r="U37" s="6"/>
      <c r="V37" s="6"/>
      <c r="W37" s="6"/>
      <c r="X37" s="6"/>
      <c r="Y37" s="6"/>
    </row>
    <row r="38" spans="1:25">
      <c r="A38" s="161" t="s">
        <v>679</v>
      </c>
      <c r="B38" s="162" t="s">
        <v>701</v>
      </c>
      <c r="C38" s="10" t="s">
        <v>131</v>
      </c>
      <c r="D38" s="21" t="s">
        <v>179</v>
      </c>
      <c r="E38" s="167" t="s">
        <v>715</v>
      </c>
      <c r="F38" s="61">
        <v>2.8975415041984056E-2</v>
      </c>
      <c r="G38" s="21" t="s">
        <v>185</v>
      </c>
      <c r="H38" s="6" t="str">
        <f>_xlfn.XLOOKUP(E38,'Fatores de Emissão'!A:A,'Fatores de Emissão'!I:I)</f>
        <v>Ecoinvent 3.10.1</v>
      </c>
      <c r="I38" s="153">
        <f>_xlfn.XLOOKUP(E38,'Fatores de Emissão'!A:A,'Fatores de Emissão'!B:B)</f>
        <v>1.7944087213044701E-2</v>
      </c>
      <c r="J38" s="153">
        <f>_xlfn.XLOOKUP(E38,'Fatores de Emissão'!A:A,'Fatores de Emissão'!C:C)</f>
        <v>4.9976992813984001E-6</v>
      </c>
      <c r="K38" s="153">
        <f>_xlfn.XLOOKUP(E38,'Fatores de Emissão'!A:A,'Fatores de Emissão'!D:D)</f>
        <v>0</v>
      </c>
      <c r="L38" s="153">
        <f>_xlfn.XLOOKUP(E38,'Fatores de Emissão'!A:A,'Fatores de Emissão'!E:E)</f>
        <v>4.6695400396623598E-5</v>
      </c>
      <c r="M38" s="6" t="str">
        <f>_xlfn.XLOOKUP(E38,'Fatores de Emissão'!A:A,'Fatores de Emissão'!F:F)</f>
        <v>kgCO2e/kg</v>
      </c>
      <c r="N38" s="6">
        <f t="shared" si="12"/>
        <v>5.1993737454752921E-4</v>
      </c>
      <c r="O38" s="6">
        <f t="shared" si="13"/>
        <v>1.4481041093354412E-7</v>
      </c>
      <c r="P38" s="6">
        <f t="shared" si="14"/>
        <v>0</v>
      </c>
      <c r="Q38" s="6">
        <f t="shared" si="15"/>
        <v>1.3530186070437957E-6</v>
      </c>
      <c r="R38" s="6"/>
      <c r="S38" s="6"/>
      <c r="T38" s="6"/>
      <c r="U38" s="6"/>
      <c r="V38" s="6"/>
      <c r="W38" s="6"/>
      <c r="X38" s="6"/>
      <c r="Y38" s="6"/>
    </row>
    <row r="39" spans="1:25">
      <c r="A39" s="161" t="s">
        <v>679</v>
      </c>
      <c r="B39" s="162" t="s">
        <v>701</v>
      </c>
      <c r="C39" s="6" t="s">
        <v>846</v>
      </c>
      <c r="D39" s="21" t="s">
        <v>179</v>
      </c>
      <c r="E39" s="167" t="s">
        <v>837</v>
      </c>
      <c r="F39" s="61">
        <f>(14.9265765402006*'Fatores de Conversão'!$B$3)/1000</f>
        <v>1.7314828786632694E-2</v>
      </c>
      <c r="G39" s="21" t="s">
        <v>185</v>
      </c>
      <c r="H39" s="6" t="str">
        <f>_xlfn.XLOOKUP(E39,'Fatores de Emissão'!A:A,'Fatores de Emissão'!I:I)</f>
        <v>Ecoinvent 3.10.1</v>
      </c>
      <c r="I39" s="153">
        <f>_xlfn.XLOOKUP(E39,'Fatores de Emissão'!A:A,'Fatores de Emissão'!B:B)</f>
        <v>0.43540012308474901</v>
      </c>
      <c r="J39" s="153">
        <f>_xlfn.XLOOKUP(E39,'Fatores de Emissão'!A:A,'Fatores de Emissão'!C:C)</f>
        <v>6.2913468172605099E-4</v>
      </c>
      <c r="K39" s="153">
        <f>_xlfn.XLOOKUP(E39,'Fatores de Emissão'!A:A,'Fatores de Emissão'!D:D)</f>
        <v>0</v>
      </c>
      <c r="L39" s="153">
        <f>_xlfn.XLOOKUP(E39,'Fatores de Emissão'!A:A,'Fatores de Emissão'!E:E)</f>
        <v>7.3241917291390899E-4</v>
      </c>
      <c r="M39" s="6" t="str">
        <f>_xlfn.XLOOKUP(E39,'Fatores de Emissão'!A:A,'Fatores de Emissão'!F:F)</f>
        <v>kgCO2e/kg</v>
      </c>
      <c r="N39" s="6">
        <f t="shared" si="12"/>
        <v>7.5388785848912307E-3</v>
      </c>
      <c r="O39" s="6">
        <f t="shared" si="13"/>
        <v>1.0893359297819225E-5</v>
      </c>
      <c r="P39" s="6">
        <f t="shared" si="14"/>
        <v>0</v>
      </c>
      <c r="Q39" s="6">
        <f t="shared" si="15"/>
        <v>1.2681712579051461E-5</v>
      </c>
      <c r="R39" s="6"/>
      <c r="S39" s="6"/>
      <c r="T39" s="6"/>
      <c r="U39" s="6"/>
      <c r="V39" s="6"/>
      <c r="W39" s="6"/>
      <c r="X39" s="6"/>
      <c r="Y39" s="6"/>
    </row>
    <row r="40" spans="1:25">
      <c r="A40" s="161" t="s">
        <v>679</v>
      </c>
      <c r="B40" s="162" t="s">
        <v>701</v>
      </c>
      <c r="C40" s="6" t="s">
        <v>180</v>
      </c>
      <c r="D40" s="21" t="s">
        <v>179</v>
      </c>
      <c r="E40" s="167" t="s">
        <v>843</v>
      </c>
      <c r="F40" s="61">
        <v>2E-3</v>
      </c>
      <c r="G40" s="21" t="s">
        <v>185</v>
      </c>
      <c r="H40" s="6" t="str">
        <f>_xlfn.XLOOKUP(E40,'Fatores de Emissão'!A:A,'Fatores de Emissão'!I:I)</f>
        <v>Ecoinvent 3.10.1</v>
      </c>
      <c r="I40" s="153">
        <f>_xlfn.XLOOKUP(E40,'Fatores de Emissão'!A:A,'Fatores de Emissão'!B:B)</f>
        <v>4.1190702546270499</v>
      </c>
      <c r="J40" s="153">
        <f>_xlfn.XLOOKUP(E40,'Fatores de Emissão'!A:A,'Fatores de Emissão'!C:C)</f>
        <v>3.4399320047001302E-3</v>
      </c>
      <c r="K40" s="153">
        <f>_xlfn.XLOOKUP(E40,'Fatores de Emissão'!A:A,'Fatores de Emissão'!D:D)</f>
        <v>0</v>
      </c>
      <c r="L40" s="153">
        <f>_xlfn.XLOOKUP(E40,'Fatores de Emissão'!A:A,'Fatores de Emissão'!E:E)</f>
        <v>3.4544768298814602E-3</v>
      </c>
      <c r="M40" s="6" t="str">
        <f>_xlfn.XLOOKUP(E40,'Fatores de Emissão'!A:A,'Fatores de Emissão'!F:F)</f>
        <v>kgCO2e/kg</v>
      </c>
      <c r="N40" s="6">
        <f t="shared" si="12"/>
        <v>8.2381405092541004E-3</v>
      </c>
      <c r="O40" s="6">
        <f t="shared" si="13"/>
        <v>6.8798640094002605E-6</v>
      </c>
      <c r="P40" s="6">
        <f t="shared" si="14"/>
        <v>0</v>
      </c>
      <c r="Q40" s="6">
        <f t="shared" si="15"/>
        <v>6.9089536597629209E-6</v>
      </c>
      <c r="R40" s="6"/>
      <c r="S40" s="6"/>
      <c r="T40" s="6"/>
      <c r="U40" s="6"/>
      <c r="V40" s="6"/>
      <c r="W40" s="6"/>
      <c r="X40" s="6"/>
      <c r="Y40" s="6"/>
    </row>
    <row r="41" spans="1:25">
      <c r="A41" s="161" t="s">
        <v>687</v>
      </c>
      <c r="B41" s="162" t="s">
        <v>94</v>
      </c>
      <c r="C41" s="21" t="s">
        <v>181</v>
      </c>
      <c r="D41" s="21" t="s">
        <v>179</v>
      </c>
      <c r="E41" s="179" t="s">
        <v>181</v>
      </c>
      <c r="F41" s="61">
        <v>1</v>
      </c>
      <c r="G41" s="21" t="s">
        <v>185</v>
      </c>
      <c r="H41" s="6" t="str">
        <f>_xlfn.XLOOKUP(E41,'Fatores de Emissão'!A:A,'Fatores de Emissão'!I:I)</f>
        <v>Rima</v>
      </c>
      <c r="I41" s="153">
        <f>_xlfn.XLOOKUP(E41,'Fatores de Emissão'!A:A,'Fatores de Emissão'!B:B)</f>
        <v>0</v>
      </c>
      <c r="J41" s="153">
        <f>_xlfn.XLOOKUP(E41,'Fatores de Emissão'!A:A,'Fatores de Emissão'!C:C)</f>
        <v>0</v>
      </c>
      <c r="K41" s="153">
        <f>_xlfn.XLOOKUP(E41,'Fatores de Emissão'!A:A,'Fatores de Emissão'!D:D)</f>
        <v>0</v>
      </c>
      <c r="L41" s="153">
        <f>_xlfn.XLOOKUP(E41,'Fatores de Emissão'!A:A,'Fatores de Emissão'!E:E)</f>
        <v>0</v>
      </c>
      <c r="M41" s="6" t="str">
        <f>_xlfn.XLOOKUP(E41,'Fatores de Emissão'!A:A,'Fatores de Emissão'!F:F)</f>
        <v>kgCO2e/kg</v>
      </c>
      <c r="N41" s="6">
        <f t="shared" si="12"/>
        <v>0</v>
      </c>
      <c r="O41" s="6">
        <f t="shared" si="13"/>
        <v>0</v>
      </c>
      <c r="P41" s="6">
        <f t="shared" si="14"/>
        <v>0</v>
      </c>
      <c r="Q41" s="6">
        <f t="shared" si="15"/>
        <v>0</v>
      </c>
      <c r="R41" s="6"/>
      <c r="S41" s="6"/>
      <c r="T41" s="6"/>
      <c r="U41" s="6"/>
      <c r="V41" s="6"/>
      <c r="W41" s="6"/>
      <c r="X41" s="6"/>
      <c r="Y41" s="6"/>
    </row>
    <row r="42" spans="1:25">
      <c r="A42" s="161" t="s">
        <v>687</v>
      </c>
      <c r="B42" s="162" t="s">
        <v>183</v>
      </c>
      <c r="C42" s="21" t="s">
        <v>182</v>
      </c>
      <c r="D42" s="21" t="s">
        <v>179</v>
      </c>
      <c r="E42" s="179" t="s">
        <v>182</v>
      </c>
      <c r="F42" s="61">
        <v>8.6956521739130349E-2</v>
      </c>
      <c r="G42" s="21" t="s">
        <v>185</v>
      </c>
      <c r="H42" s="6" t="str">
        <f>_xlfn.XLOOKUP(E42,'Fatores de Emissão'!A:A,'Fatores de Emissão'!I:I)</f>
        <v>Rima</v>
      </c>
      <c r="I42" s="153">
        <f>_xlfn.XLOOKUP(E42,'Fatores de Emissão'!A:A,'Fatores de Emissão'!B:B)</f>
        <v>0</v>
      </c>
      <c r="J42" s="153">
        <f>_xlfn.XLOOKUP(E42,'Fatores de Emissão'!A:A,'Fatores de Emissão'!C:C)</f>
        <v>0</v>
      </c>
      <c r="K42" s="153">
        <f>_xlfn.XLOOKUP(E42,'Fatores de Emissão'!A:A,'Fatores de Emissão'!D:D)</f>
        <v>0</v>
      </c>
      <c r="L42" s="153">
        <f>_xlfn.XLOOKUP(E42,'Fatores de Emissão'!A:A,'Fatores de Emissão'!E:E)</f>
        <v>0</v>
      </c>
      <c r="M42" s="6" t="str">
        <f>_xlfn.XLOOKUP(E42,'Fatores de Emissão'!A:A,'Fatores de Emissão'!F:F)</f>
        <v>kgCO2e/kg</v>
      </c>
      <c r="N42" s="6">
        <f t="shared" si="12"/>
        <v>0</v>
      </c>
      <c r="O42" s="6">
        <f t="shared" si="13"/>
        <v>0</v>
      </c>
      <c r="P42" s="6">
        <f t="shared" si="14"/>
        <v>0</v>
      </c>
      <c r="Q42" s="6">
        <f t="shared" si="15"/>
        <v>0</v>
      </c>
      <c r="R42" s="6"/>
      <c r="S42" s="6"/>
      <c r="T42" s="6"/>
      <c r="U42" s="6"/>
      <c r="V42" s="6"/>
      <c r="W42" s="6"/>
      <c r="X42" s="6"/>
      <c r="Y42" s="6"/>
    </row>
    <row r="43" spans="1:25">
      <c r="A43" s="161" t="s">
        <v>679</v>
      </c>
      <c r="B43" s="162" t="s">
        <v>701</v>
      </c>
      <c r="C43" s="6" t="s">
        <v>132</v>
      </c>
      <c r="D43" s="21" t="s">
        <v>184</v>
      </c>
      <c r="E43" s="167" t="s">
        <v>780</v>
      </c>
      <c r="F43" s="61">
        <f>((0.191743290233327/1000)*'Fatores de Conversão'!$B$12)/1000</f>
        <v>2.300919482799924E-4</v>
      </c>
      <c r="G43" s="6" t="s">
        <v>185</v>
      </c>
      <c r="H43" s="6" t="str">
        <f>_xlfn.XLOOKUP(E43,'Fatores de Emissão'!A:A,'Fatores de Emissão'!I:I)</f>
        <v>Rima</v>
      </c>
      <c r="I43" s="153">
        <f>_xlfn.XLOOKUP(E43,'Fatores de Emissão'!A:A,'Fatores de Emissão'!B:B)</f>
        <v>2.4895894499226099</v>
      </c>
      <c r="J43" s="153">
        <f>_xlfn.XLOOKUP(E43,'Fatores de Emissão'!A:A,'Fatores de Emissão'!C:C)</f>
        <v>3.8562520334264301E-3</v>
      </c>
      <c r="K43" s="153">
        <f>_xlfn.XLOOKUP(E43,'Fatores de Emissão'!A:A,'Fatores de Emissão'!D:D)</f>
        <v>0</v>
      </c>
      <c r="L43" s="153">
        <f>_xlfn.XLOOKUP(E43,'Fatores de Emissão'!A:A,'Fatores de Emissão'!E:E)</f>
        <v>3.7863502629616099E-3</v>
      </c>
      <c r="M43" s="6" t="str">
        <f>_xlfn.XLOOKUP(E43,'Fatores de Emissão'!A:A,'Fatores de Emissão'!F:F)</f>
        <v>kgCO2e/kg</v>
      </c>
      <c r="N43" s="6">
        <f t="shared" si="12"/>
        <v>5.7283448695000792E-4</v>
      </c>
      <c r="O43" s="6">
        <f t="shared" si="13"/>
        <v>8.8729254342976971E-7</v>
      </c>
      <c r="P43" s="6">
        <f t="shared" si="14"/>
        <v>0</v>
      </c>
      <c r="Q43" s="6">
        <f t="shared" si="15"/>
        <v>8.7120870887529839E-7</v>
      </c>
      <c r="R43" s="6"/>
      <c r="S43" s="6"/>
      <c r="T43" s="6"/>
      <c r="U43" s="6"/>
      <c r="V43" s="6"/>
      <c r="W43" s="6"/>
      <c r="X43" s="6"/>
      <c r="Y43" s="6"/>
    </row>
    <row r="44" spans="1:25">
      <c r="A44" s="161" t="s">
        <v>679</v>
      </c>
      <c r="B44" s="162" t="s">
        <v>701</v>
      </c>
      <c r="C44" s="6" t="s">
        <v>123</v>
      </c>
      <c r="D44" s="21" t="s">
        <v>184</v>
      </c>
      <c r="E44" s="167" t="s">
        <v>717</v>
      </c>
      <c r="F44" s="61">
        <v>7.19037338374976E-4</v>
      </c>
      <c r="G44" s="21" t="s">
        <v>185</v>
      </c>
      <c r="H44" s="6" t="str">
        <f>_xlfn.XLOOKUP(E44,'Fatores de Emissão'!A:A,'Fatores de Emissão'!I:I)</f>
        <v>Ecoinvent 3.10.1</v>
      </c>
      <c r="I44" s="153">
        <f>_xlfn.XLOOKUP(E44,'Fatores de Emissão'!A:A,'Fatores de Emissão'!B:B)</f>
        <v>1.39856348510358</v>
      </c>
      <c r="J44" s="153">
        <f>_xlfn.XLOOKUP(E44,'Fatores de Emissão'!A:A,'Fatores de Emissão'!C:C)</f>
        <v>2.1663062893660201E-3</v>
      </c>
      <c r="K44" s="153">
        <f>_xlfn.XLOOKUP(E44,'Fatores de Emissão'!A:A,'Fatores de Emissão'!D:D)</f>
        <v>0</v>
      </c>
      <c r="L44" s="153">
        <f>_xlfn.XLOOKUP(E44,'Fatores de Emissão'!A:A,'Fatores de Emissão'!E:E)</f>
        <v>2.12703794184021E-3</v>
      </c>
      <c r="M44" s="6" t="str">
        <f>_xlfn.XLOOKUP(E44,'Fatores de Emissão'!A:A,'Fatores de Emissão'!F:F)</f>
        <v>kgCO2e/kg</v>
      </c>
      <c r="N44" s="6">
        <f t="shared" si="12"/>
        <v>1.0056193658773086E-3</v>
      </c>
      <c r="O44" s="6">
        <f t="shared" si="13"/>
        <v>1.5576551084107137E-6</v>
      </c>
      <c r="P44" s="6">
        <f t="shared" si="14"/>
        <v>0</v>
      </c>
      <c r="Q44" s="6">
        <f t="shared" si="15"/>
        <v>1.5294197003233716E-6</v>
      </c>
      <c r="R44" s="6"/>
      <c r="S44" s="6"/>
      <c r="T44" s="6"/>
      <c r="U44" s="6"/>
      <c r="V44" s="6"/>
      <c r="W44" s="6"/>
      <c r="X44" s="6"/>
      <c r="Y44" s="6"/>
    </row>
  </sheetData>
  <autoFilter ref="A1:Y44" xr:uid="{B570C4CC-EE62-477D-9A32-6565696FE2AA}"/>
  <dataValidations count="2">
    <dataValidation type="list" allowBlank="1" showInputMessage="1" showErrorMessage="1" sqref="B2:B44" xr:uid="{9105FA4D-A7F6-418D-B30F-867972DF0560}">
      <formula1>"Matéria-Prima, Energia, Combustível, Produto Intermediário, Produto Principal, Coproduto, Resíduo"</formula1>
    </dataValidation>
    <dataValidation type="list" allowBlank="1" showInputMessage="1" showErrorMessage="1" sqref="A2:A44" xr:uid="{C280A259-FEF0-40F9-B53E-095740535EF5}">
      <formula1>"Entrada,Saída"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6D05-0267-4560-97DF-ACC7888C8F60}">
  <sheetPr>
    <tabColor rgb="FF002060"/>
  </sheetPr>
  <dimension ref="A1:Q12"/>
  <sheetViews>
    <sheetView showGridLines="0" topLeftCell="F1" workbookViewId="0">
      <selection activeCell="N25" sqref="N25"/>
    </sheetView>
  </sheetViews>
  <sheetFormatPr baseColWidth="10" defaultColWidth="8.83203125" defaultRowHeight="15"/>
  <cols>
    <col min="1" max="1" width="13.5" bestFit="1" customWidth="1"/>
    <col min="2" max="2" width="22.5" bestFit="1" customWidth="1"/>
    <col min="3" max="3" width="20.6640625" bestFit="1" customWidth="1"/>
    <col min="4" max="4" width="11.5" bestFit="1" customWidth="1"/>
    <col min="5" max="5" width="8.5" bestFit="1" customWidth="1"/>
    <col min="6" max="6" width="25.5" bestFit="1" customWidth="1"/>
    <col min="7" max="7" width="29.83203125" bestFit="1" customWidth="1"/>
    <col min="8" max="8" width="22.5" bestFit="1" customWidth="1"/>
    <col min="9" max="9" width="26" bestFit="1" customWidth="1"/>
    <col min="10" max="10" width="26.83203125" bestFit="1" customWidth="1"/>
    <col min="11" max="11" width="20.6640625" bestFit="1" customWidth="1"/>
    <col min="12" max="12" width="12.1640625" bestFit="1" customWidth="1"/>
    <col min="13" max="13" width="22.33203125" bestFit="1" customWidth="1"/>
    <col min="14" max="14" width="25.83203125" bestFit="1" customWidth="1"/>
    <col min="15" max="15" width="26.6640625" bestFit="1" customWidth="1"/>
    <col min="16" max="16" width="26.6640625" customWidth="1"/>
    <col min="17" max="17" width="11.5" bestFit="1" customWidth="1"/>
  </cols>
  <sheetData>
    <row r="1" spans="1:17">
      <c r="A1" s="1" t="s">
        <v>671</v>
      </c>
      <c r="B1" s="1" t="s">
        <v>672</v>
      </c>
      <c r="C1" s="1" t="s">
        <v>673</v>
      </c>
      <c r="D1" s="1" t="s">
        <v>49</v>
      </c>
      <c r="E1" s="1" t="s">
        <v>17</v>
      </c>
      <c r="F1" s="1" t="s">
        <v>674</v>
      </c>
      <c r="G1" s="1" t="s">
        <v>146</v>
      </c>
      <c r="H1" s="1" t="s">
        <v>189</v>
      </c>
      <c r="I1" s="1" t="s">
        <v>675</v>
      </c>
      <c r="J1" s="1" t="s">
        <v>191</v>
      </c>
      <c r="K1" s="1" t="s">
        <v>192</v>
      </c>
      <c r="L1" s="1" t="s">
        <v>17</v>
      </c>
      <c r="M1" s="1" t="s">
        <v>676</v>
      </c>
      <c r="N1" s="1" t="s">
        <v>677</v>
      </c>
      <c r="O1" s="1" t="s">
        <v>678</v>
      </c>
      <c r="P1" s="1" t="s">
        <v>720</v>
      </c>
      <c r="Q1" s="1" t="s">
        <v>51</v>
      </c>
    </row>
    <row r="2" spans="1:17">
      <c r="A2" s="6" t="s">
        <v>679</v>
      </c>
      <c r="B2" s="6" t="s">
        <v>680</v>
      </c>
      <c r="C2" s="6" t="s">
        <v>681</v>
      </c>
      <c r="D2" s="150">
        <v>4.79</v>
      </c>
      <c r="E2" s="6" t="s">
        <v>85</v>
      </c>
      <c r="F2" s="6" t="s">
        <v>682</v>
      </c>
      <c r="G2" s="6" t="str">
        <f>_xlfn.XLOOKUP(F2,'Fatores de Emissão'!A:A,'Fatores de Emissão'!I:I)</f>
        <v>IPCC</v>
      </c>
      <c r="H2" s="6">
        <f>_xlfn.XLOOKUP(F2,'Fatores de Emissão'!A:A,'Fatores de Emissão'!B:B)</f>
        <v>2.7E-2</v>
      </c>
      <c r="I2" s="6">
        <f>_xlfn.XLOOKUP(F2,'Fatores de Emissão'!A:A,'Fatores de Emissão'!C:C)</f>
        <v>0</v>
      </c>
      <c r="J2" s="6">
        <f>_xlfn.XLOOKUP(F2,'Fatores de Emissão'!A:A,'Fatores de Emissão'!D:D)</f>
        <v>0</v>
      </c>
      <c r="K2" s="6">
        <f>_xlfn.XLOOKUP(F2,'Fatores de Emissão'!A:A,'Fatores de Emissão'!E:E)</f>
        <v>0</v>
      </c>
      <c r="L2" s="6" t="str">
        <f>_xlfn.XLOOKUP(F2,'Fatores de Emissão'!A:A,'Fatores de Emissão'!F:F)</f>
        <v>kgCO2e/kWh</v>
      </c>
      <c r="M2" s="6">
        <f t="shared" ref="M2:N6" si="0">$D2*H2/1000</f>
        <v>1.2933000000000001E-4</v>
      </c>
      <c r="N2" s="6">
        <f t="shared" si="0"/>
        <v>0</v>
      </c>
      <c r="O2" s="6">
        <f t="shared" ref="O2:P6" si="1">$D2*J2/1000</f>
        <v>0</v>
      </c>
      <c r="P2" s="6">
        <f t="shared" si="1"/>
        <v>0</v>
      </c>
      <c r="Q2" s="6"/>
    </row>
    <row r="3" spans="1:17">
      <c r="A3" s="6" t="s">
        <v>679</v>
      </c>
      <c r="B3" s="6" t="s">
        <v>683</v>
      </c>
      <c r="C3" s="6" t="s">
        <v>681</v>
      </c>
      <c r="D3" s="150">
        <v>0.06</v>
      </c>
      <c r="E3" s="6" t="s">
        <v>622</v>
      </c>
      <c r="F3" s="6" t="s">
        <v>689</v>
      </c>
      <c r="G3" s="6" t="str">
        <f>_xlfn.XLOOKUP(F3,'Fatores de Emissão'!A:A,'Fatores de Emissão'!I:I)</f>
        <v>Calculado a partir de premissas</v>
      </c>
      <c r="H3" s="6">
        <f>_xlfn.XLOOKUP(F3,'Fatores de Emissão'!A:A,'Fatores de Emissão'!B:B)</f>
        <v>0.63892909811573562</v>
      </c>
      <c r="I3" s="6">
        <f>_xlfn.XLOOKUP(F3,'Fatores de Emissão'!A:A,'Fatores de Emissão'!C:C)</f>
        <v>6.0625971376656656E-3</v>
      </c>
      <c r="J3" s="6">
        <f>_xlfn.XLOOKUP(F3,'Fatores de Emissão'!A:A,'Fatores de Emissão'!D:D)</f>
        <v>0</v>
      </c>
      <c r="K3" s="6">
        <f>_xlfn.XLOOKUP(F3,'Fatores de Emissão'!A:A,'Fatores de Emissão'!E:E)</f>
        <v>-8.5937015319645246E-2</v>
      </c>
      <c r="L3" s="6" t="str">
        <f>_xlfn.XLOOKUP(F3,'Fatores de Emissão'!A:A,'Fatores de Emissão'!F:F)</f>
        <v>kgCO2e/kg</v>
      </c>
      <c r="M3" s="6">
        <f>(($D3/1000)*Densidades!$B$33)*H3/1000</f>
        <v>2.8445123448112548E-5</v>
      </c>
      <c r="N3" s="6">
        <f>(($D5/1000)*Densidades!$B$44)*I3/1000</f>
        <v>1.2222195829533981E-5</v>
      </c>
      <c r="O3" s="6">
        <f>(($D5/1000)*Densidades!$B$44)*J3/1000</f>
        <v>0</v>
      </c>
      <c r="P3" s="6">
        <f>(($D5/1000)*Densidades!$B$44)*K3/1000</f>
        <v>-1.7324902288440484E-4</v>
      </c>
      <c r="Q3" s="6"/>
    </row>
    <row r="4" spans="1:17">
      <c r="A4" s="6" t="s">
        <v>679</v>
      </c>
      <c r="B4" s="6" t="s">
        <v>684</v>
      </c>
      <c r="C4" s="6" t="s">
        <v>681</v>
      </c>
      <c r="D4" s="150">
        <v>0.06</v>
      </c>
      <c r="E4" s="6" t="s">
        <v>622</v>
      </c>
      <c r="F4" s="6" t="s">
        <v>684</v>
      </c>
      <c r="G4" s="6" t="str">
        <f>_xlfn.XLOOKUP(F4,'Fatores de Emissão'!A:A,'Fatores de Emissão'!I:I)</f>
        <v>Calculado a partir de premissas</v>
      </c>
      <c r="H4" s="6">
        <f>_xlfn.XLOOKUP(F4,'Fatores de Emissão'!A:A,'Fatores de Emissão'!B:B)</f>
        <v>1.6383085290000003</v>
      </c>
      <c r="I4" s="6">
        <f>_xlfn.XLOOKUP(F4,'Fatores de Emissão'!A:A,'Fatores de Emissão'!C:C)</f>
        <v>0.48056112000000006</v>
      </c>
      <c r="J4" s="6">
        <f>_xlfn.XLOOKUP(F4,'Fatores de Emissão'!A:A,'Fatores de Emissão'!D:D)</f>
        <v>0</v>
      </c>
      <c r="K4" s="6">
        <f>_xlfn.XLOOKUP(F4,'Fatores de Emissão'!A:A,'Fatores de Emissão'!E:E)</f>
        <v>0</v>
      </c>
      <c r="L4" s="6" t="str">
        <f>_xlfn.XLOOKUP(F4,'Fatores de Emissão'!A:A,'Fatores de Emissão'!F:F)</f>
        <v>kgCO2e/L</v>
      </c>
      <c r="M4" s="6">
        <f t="shared" si="0"/>
        <v>9.8298511740000012E-5</v>
      </c>
      <c r="N4" s="6">
        <f t="shared" si="0"/>
        <v>2.8833667200000004E-5</v>
      </c>
      <c r="O4" s="6">
        <f t="shared" si="1"/>
        <v>0</v>
      </c>
      <c r="P4" s="6">
        <f t="shared" si="1"/>
        <v>0</v>
      </c>
      <c r="Q4" s="6"/>
    </row>
    <row r="5" spans="1:17">
      <c r="A5" s="6" t="s">
        <v>679</v>
      </c>
      <c r="B5" s="6" t="s">
        <v>685</v>
      </c>
      <c r="C5" s="6" t="s">
        <v>681</v>
      </c>
      <c r="D5" s="151">
        <v>2.4</v>
      </c>
      <c r="E5" s="6" t="s">
        <v>622</v>
      </c>
      <c r="F5" s="29" t="s">
        <v>217</v>
      </c>
      <c r="G5" s="6" t="str">
        <f>_xlfn.XLOOKUP(F5,'Fatores de Emissão'!A:A,'Fatores de Emissão'!I:I)</f>
        <v>Calculado a partir de premissas</v>
      </c>
      <c r="H5" s="6">
        <f>_xlfn.XLOOKUP(F5,'Fatores de Emissão'!A:A,'Fatores de Emissão'!B:B)</f>
        <v>0.78344147799635844</v>
      </c>
      <c r="I5" s="6">
        <f>_xlfn.XLOOKUP(F5,'Fatores de Emissão'!A:A,'Fatores de Emissão'!C:C)</f>
        <v>2.5946186071891184E-4</v>
      </c>
      <c r="J5" s="6">
        <f>_xlfn.XLOOKUP(F5,'Fatores de Emissão'!A:A,'Fatores de Emissão'!D:D)</f>
        <v>0</v>
      </c>
      <c r="K5" s="6">
        <f>_xlfn.XLOOKUP(F5,'Fatores de Emissão'!A:A,'Fatores de Emissão'!E:E)</f>
        <v>1.4005446926732974E-4</v>
      </c>
      <c r="L5" s="6" t="str">
        <f>_xlfn.XLOOKUP(F5,'Fatores de Emissão'!A:A,'Fatores de Emissão'!F:F)</f>
        <v>kgCO2e/kg</v>
      </c>
      <c r="M5" s="6">
        <f>(($D5/1000)*Densidades!$B$44)*H5/1000</f>
        <v>1.5794180196406586E-3</v>
      </c>
      <c r="N5" s="6">
        <f>(($D5/1000)*Densidades!$B$44)*I5/1000</f>
        <v>5.2307511120932624E-7</v>
      </c>
      <c r="O5" s="6">
        <f>(($D5/1000)*Densidades!$B$44)*J5/1000</f>
        <v>0</v>
      </c>
      <c r="P5" s="6">
        <f>(($D5/1000)*Densidades!$B$44)*K5/1000</f>
        <v>2.8234981004293672E-7</v>
      </c>
      <c r="Q5" s="6"/>
    </row>
    <row r="6" spans="1:17">
      <c r="A6" s="148" t="s">
        <v>679</v>
      </c>
      <c r="B6" s="148" t="s">
        <v>686</v>
      </c>
      <c r="C6" s="148" t="s">
        <v>681</v>
      </c>
      <c r="D6" s="151">
        <v>2.4</v>
      </c>
      <c r="E6" s="148" t="s">
        <v>622</v>
      </c>
      <c r="F6" s="148" t="s">
        <v>719</v>
      </c>
      <c r="G6" s="6" t="str">
        <f>_xlfn.XLOOKUP(F6,'Fatores de Emissão'!A:A,'Fatores de Emissão'!I:I)</f>
        <v>Calculado a partir de premissas</v>
      </c>
      <c r="H6" s="6">
        <f>_xlfn.XLOOKUP(F6,'Fatores de Emissão'!A:A,'Fatores de Emissão'!B:B)</f>
        <v>2.3762227726800007</v>
      </c>
      <c r="I6" s="6">
        <f>_xlfn.XLOOKUP(F6,'Fatores de Emissão'!A:A,'Fatores de Emissão'!C:C)</f>
        <v>0.23461194240000005</v>
      </c>
      <c r="J6" s="6">
        <f>_xlfn.XLOOKUP(F6,'Fatores de Emissão'!A:A,'Fatores de Emissão'!D:D)</f>
        <v>0</v>
      </c>
      <c r="K6" s="6">
        <f>_xlfn.XLOOKUP(F6,'Fatores de Emissão'!A:A,'Fatores de Emissão'!E:E)</f>
        <v>0</v>
      </c>
      <c r="L6" s="6" t="str">
        <f>_xlfn.XLOOKUP(F6,'Fatores de Emissão'!A:A,'Fatores de Emissão'!F:F)</f>
        <v>kgCO2e/L</v>
      </c>
      <c r="M6" s="148">
        <f t="shared" si="0"/>
        <v>5.7029346544320023E-3</v>
      </c>
      <c r="N6" s="148">
        <f t="shared" si="0"/>
        <v>5.6306866176000011E-4</v>
      </c>
      <c r="O6" s="148">
        <f t="shared" si="1"/>
        <v>0</v>
      </c>
      <c r="P6" s="6">
        <f t="shared" si="1"/>
        <v>0</v>
      </c>
      <c r="Q6" s="148"/>
    </row>
    <row r="7" spans="1:17">
      <c r="A7" s="149" t="s">
        <v>687</v>
      </c>
      <c r="B7" s="149" t="s">
        <v>110</v>
      </c>
      <c r="C7" s="149" t="s">
        <v>681</v>
      </c>
      <c r="D7" s="152">
        <v>1</v>
      </c>
      <c r="E7" s="149" t="s">
        <v>55</v>
      </c>
      <c r="F7" s="149" t="s">
        <v>666</v>
      </c>
      <c r="G7" s="149"/>
      <c r="H7" s="149"/>
      <c r="I7" s="149"/>
      <c r="J7" s="149"/>
      <c r="K7" s="149"/>
      <c r="L7" s="149"/>
      <c r="M7" s="149">
        <f>SUM(M2:M6)</f>
        <v>7.5384263092607732E-3</v>
      </c>
      <c r="N7" s="149">
        <f t="shared" ref="N7:P7" si="2">SUM(N2:N6)</f>
        <v>6.0464759990074338E-4</v>
      </c>
      <c r="O7" s="149">
        <f t="shared" si="2"/>
        <v>0</v>
      </c>
      <c r="P7" s="149">
        <f t="shared" si="2"/>
        <v>-1.7296667307436191E-4</v>
      </c>
      <c r="Q7" s="149"/>
    </row>
    <row r="8" spans="1:17">
      <c r="A8" s="154" t="s">
        <v>687</v>
      </c>
      <c r="B8" t="s">
        <v>691</v>
      </c>
      <c r="C8" s="154" t="s">
        <v>681</v>
      </c>
      <c r="D8" s="155">
        <v>0.22683080612039624</v>
      </c>
      <c r="E8" s="154" t="s">
        <v>55</v>
      </c>
    </row>
    <row r="10" spans="1:17">
      <c r="M10" s="190"/>
      <c r="N10" s="190"/>
      <c r="O10" s="190"/>
    </row>
    <row r="11" spans="1:17">
      <c r="M11" s="190"/>
      <c r="N11" s="190"/>
      <c r="O11" s="190"/>
    </row>
    <row r="12" spans="1:17">
      <c r="M12" s="190"/>
      <c r="N12" s="190"/>
      <c r="O12" s="190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AF64-55CC-4F44-903B-57B977F442D5}">
  <sheetPr>
    <tabColor rgb="FF002060"/>
  </sheetPr>
  <dimension ref="A1:J18"/>
  <sheetViews>
    <sheetView showGridLines="0" workbookViewId="0">
      <selection activeCell="B3" sqref="B3"/>
    </sheetView>
  </sheetViews>
  <sheetFormatPr baseColWidth="10" defaultColWidth="8.83203125" defaultRowHeight="15"/>
  <cols>
    <col min="1" max="1" width="15.5" customWidth="1"/>
    <col min="2" max="2" width="39.5" customWidth="1"/>
    <col min="3" max="3" width="14" customWidth="1"/>
    <col min="4" max="4" width="20.83203125" customWidth="1"/>
    <col min="5" max="5" width="19.1640625" customWidth="1"/>
    <col min="6" max="6" width="16.1640625" customWidth="1"/>
    <col min="7" max="7" width="22.6640625" customWidth="1"/>
    <col min="8" max="8" width="26.83203125" customWidth="1"/>
    <col min="9" max="9" width="23.6640625" customWidth="1"/>
    <col min="10" max="10" width="35.83203125" bestFit="1" customWidth="1"/>
    <col min="11" max="11" width="78.33203125" customWidth="1"/>
  </cols>
  <sheetData>
    <row r="1" spans="1:10" s="185" customFormat="1" ht="32">
      <c r="A1" s="181" t="s">
        <v>803</v>
      </c>
      <c r="B1" s="181" t="s">
        <v>804</v>
      </c>
      <c r="C1" s="182" t="s">
        <v>805</v>
      </c>
      <c r="D1" s="182" t="s">
        <v>806</v>
      </c>
      <c r="E1" s="183" t="s">
        <v>49</v>
      </c>
      <c r="F1" s="182" t="s">
        <v>17</v>
      </c>
      <c r="G1" s="184" t="s">
        <v>807</v>
      </c>
      <c r="H1" s="184" t="s">
        <v>808</v>
      </c>
      <c r="I1" s="184" t="s">
        <v>823</v>
      </c>
      <c r="J1" s="182" t="s">
        <v>202</v>
      </c>
    </row>
    <row r="2" spans="1:10">
      <c r="A2" s="162" t="s">
        <v>809</v>
      </c>
      <c r="B2" s="6" t="s">
        <v>363</v>
      </c>
      <c r="C2" s="161" t="s">
        <v>810</v>
      </c>
      <c r="D2" s="199">
        <v>0.79</v>
      </c>
      <c r="E2" s="186">
        <f>Industrial!F6</f>
        <v>0.79800399964597624</v>
      </c>
      <c r="F2" s="186" t="str">
        <f>Industrial!G6</f>
        <v>t/t FeSiMg</v>
      </c>
      <c r="G2" s="187">
        <f>IF(A2="I",IF(C2="B",0,IF(C2="F",D2*E2,"")),0)</f>
        <v>0</v>
      </c>
      <c r="H2" s="187">
        <f t="shared" ref="H2" si="0">IF(A2="I",IF(C2="F",0,IF(C2="B",D2*E2,"")),0)</f>
        <v>0.63042315972032126</v>
      </c>
      <c r="I2" s="187">
        <f>IF(A2="P",D2*E2,0)</f>
        <v>0</v>
      </c>
      <c r="J2" s="5"/>
    </row>
    <row r="3" spans="1:10">
      <c r="A3" s="162" t="s">
        <v>809</v>
      </c>
      <c r="B3" s="6" t="s">
        <v>63</v>
      </c>
      <c r="C3" s="161" t="s">
        <v>348</v>
      </c>
      <c r="D3" s="199">
        <v>0.11990000000000001</v>
      </c>
      <c r="E3" s="153">
        <f>Industrial!F9</f>
        <v>8.532442351909416E-3</v>
      </c>
      <c r="F3" s="153" t="str">
        <f>Industrial!G9</f>
        <v>t/t FeSiMg</v>
      </c>
      <c r="G3" s="187">
        <f t="shared" ref="G3:G6" si="1">IF(A3="I",IF(C3="B",0,IF(C3="F",D3*E3,"")),0)</f>
        <v>1.0230398379939391E-3</v>
      </c>
      <c r="H3" s="187">
        <f>IF(A3="I",IF(C3="F",0,IF(C3="B",D3*E3,"")),0)</f>
        <v>0</v>
      </c>
      <c r="I3" s="187">
        <f t="shared" ref="I3:I6" si="2">IF(A3="P",D3*E3,0)</f>
        <v>0</v>
      </c>
      <c r="J3" s="5"/>
    </row>
    <row r="4" spans="1:10">
      <c r="A4" s="162" t="s">
        <v>809</v>
      </c>
      <c r="B4" s="6" t="s">
        <v>812</v>
      </c>
      <c r="C4" s="161" t="s">
        <v>348</v>
      </c>
      <c r="D4" s="199">
        <v>0.79500000000000004</v>
      </c>
      <c r="E4" s="153">
        <f>Industrial!F10</f>
        <v>1.8580927463040027E-2</v>
      </c>
      <c r="F4" s="153" t="str">
        <f>Industrial!G10</f>
        <v>t/t FeSiMg</v>
      </c>
      <c r="G4" s="187">
        <f t="shared" si="1"/>
        <v>1.4771837333116822E-2</v>
      </c>
      <c r="H4" s="187">
        <f>IF(A4="I",IF(C4="F",0,IF(C4="B",D4*E4,"")),0)</f>
        <v>0</v>
      </c>
      <c r="I4" s="187">
        <f t="shared" si="2"/>
        <v>0</v>
      </c>
      <c r="J4" s="5"/>
    </row>
    <row r="5" spans="1:10">
      <c r="A5" s="162" t="s">
        <v>811</v>
      </c>
      <c r="B5" s="6" t="s">
        <v>177</v>
      </c>
      <c r="C5" s="161" t="s">
        <v>348</v>
      </c>
      <c r="D5" s="199">
        <v>4.0000000000000002E-4</v>
      </c>
      <c r="E5" s="153">
        <f>Industrial!F32</f>
        <v>0.91724597660456997</v>
      </c>
      <c r="F5" s="153" t="str">
        <f>Industrial!G32</f>
        <v>t/t FeSiMg</v>
      </c>
      <c r="G5" s="187">
        <f t="shared" si="1"/>
        <v>0</v>
      </c>
      <c r="H5" s="187">
        <f t="shared" ref="H5:H6" si="3">IF(A5="I",IF(C5="F",0,IF(C5="B",D5*E5,"")),0)</f>
        <v>0</v>
      </c>
      <c r="I5" s="187">
        <f t="shared" si="2"/>
        <v>3.6689839064182802E-4</v>
      </c>
      <c r="J5" s="5"/>
    </row>
    <row r="6" spans="1:10">
      <c r="A6" s="162" t="s">
        <v>811</v>
      </c>
      <c r="B6" s="21" t="s">
        <v>172</v>
      </c>
      <c r="C6" s="161" t="s">
        <v>810</v>
      </c>
      <c r="D6" s="199">
        <v>0.62</v>
      </c>
      <c r="E6" s="153">
        <f>Industrial!F26</f>
        <v>0.25339213156982415</v>
      </c>
      <c r="F6" s="153" t="str">
        <f>Industrial!G26</f>
        <v>t/t FeSiMg</v>
      </c>
      <c r="G6" s="187">
        <f t="shared" si="1"/>
        <v>0</v>
      </c>
      <c r="H6" s="187">
        <f t="shared" si="3"/>
        <v>0</v>
      </c>
      <c r="I6" s="187">
        <f t="shared" si="2"/>
        <v>0.15710312157329098</v>
      </c>
      <c r="J6" s="5"/>
    </row>
    <row r="9" spans="1:10" ht="32">
      <c r="A9" s="191" t="s">
        <v>813</v>
      </c>
      <c r="B9" s="191" t="s">
        <v>814</v>
      </c>
      <c r="C9" s="191" t="s">
        <v>815</v>
      </c>
      <c r="D9" s="191" t="s">
        <v>816</v>
      </c>
      <c r="E9" s="191" t="s">
        <v>817</v>
      </c>
      <c r="F9" s="191" t="s">
        <v>818</v>
      </c>
      <c r="G9" s="191" t="s">
        <v>819</v>
      </c>
      <c r="H9" s="191" t="s">
        <v>820</v>
      </c>
      <c r="I9" s="191" t="s">
        <v>821</v>
      </c>
      <c r="J9" s="191" t="s">
        <v>822</v>
      </c>
    </row>
    <row r="10" spans="1:10">
      <c r="A10" s="186">
        <f>SUM(G1:G6)</f>
        <v>1.579487717111076E-2</v>
      </c>
      <c r="B10" s="186">
        <f>SUM(H1:H6)</f>
        <v>0.63042315972032126</v>
      </c>
      <c r="C10" s="186">
        <f>SUM(I2:I6)</f>
        <v>0.15747001996393281</v>
      </c>
      <c r="D10" s="192">
        <f>B10/(B10+A10)</f>
        <v>0.97555797537454936</v>
      </c>
      <c r="E10" s="186">
        <f>D10*C10</f>
        <v>0.15362113385820417</v>
      </c>
      <c r="F10" s="186">
        <f>(1-D10)*C10</f>
        <v>3.8488861057286499E-3</v>
      </c>
      <c r="G10" s="186">
        <f>A10-F10</f>
        <v>1.1945991065382109E-2</v>
      </c>
      <c r="H10" s="186">
        <f>B10-E10</f>
        <v>0.47680202586211706</v>
      </c>
      <c r="I10" s="186">
        <f>G10*(44/12)</f>
        <v>4.3801967239734396E-2</v>
      </c>
      <c r="J10" s="186">
        <f>H10*(44/12)</f>
        <v>1.7482740948277624</v>
      </c>
    </row>
    <row r="11" spans="1:10">
      <c r="G11" s="160"/>
      <c r="H11" s="160"/>
      <c r="I11" s="160"/>
      <c r="J11" s="160"/>
    </row>
    <row r="12" spans="1:10">
      <c r="G12" s="189"/>
      <c r="H12" s="189"/>
      <c r="I12" s="190"/>
      <c r="J12" s="190"/>
    </row>
    <row r="13" spans="1:10">
      <c r="G13" s="188"/>
      <c r="H13" s="188"/>
    </row>
    <row r="14" spans="1:10">
      <c r="H14" s="190"/>
    </row>
    <row r="15" spans="1:10">
      <c r="G15" s="160"/>
      <c r="H15" s="160"/>
    </row>
    <row r="16" spans="1:10">
      <c r="G16" s="190"/>
      <c r="H16" s="190"/>
    </row>
    <row r="18" spans="7:7">
      <c r="G18" s="174"/>
    </row>
  </sheetData>
  <dataValidations count="2">
    <dataValidation type="list" allowBlank="1" showInputMessage="1" showErrorMessage="1" sqref="A2:A6" xr:uid="{DB2FE244-1392-4266-B37A-DF1390A57CA4}">
      <formula1>"I,P"</formula1>
    </dataValidation>
    <dataValidation type="list" allowBlank="1" showInputMessage="1" showErrorMessage="1" sqref="C2:C6" xr:uid="{83788B7C-1B49-433B-AE3B-8369E7D5668B}">
      <formula1>"B,F"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D48E-47B9-4349-B4D8-22FB17B04221}">
  <sheetPr>
    <tabColor theme="5" tint="0.59999389629810485"/>
  </sheetPr>
  <dimension ref="A1:J55"/>
  <sheetViews>
    <sheetView showGridLines="0" workbookViewId="0">
      <selection sqref="A1:J1"/>
    </sheetView>
  </sheetViews>
  <sheetFormatPr baseColWidth="10" defaultColWidth="8.83203125" defaultRowHeight="15"/>
  <cols>
    <col min="1" max="1" width="123.5" style="160" bestFit="1" customWidth="1"/>
    <col min="2" max="2" width="13.1640625" style="166" customWidth="1"/>
    <col min="3" max="3" width="14.5" style="166" bestFit="1" customWidth="1"/>
    <col min="4" max="4" width="14.33203125" style="166" bestFit="1" customWidth="1"/>
    <col min="5" max="5" width="13.1640625" style="166" bestFit="1" customWidth="1"/>
    <col min="6" max="6" width="13" style="160" bestFit="1" customWidth="1"/>
    <col min="7" max="7" width="27.1640625" style="160" bestFit="1" customWidth="1"/>
    <col min="8" max="8" width="25.6640625" style="160" bestFit="1" customWidth="1"/>
    <col min="9" max="9" width="29.83203125" style="160" bestFit="1" customWidth="1"/>
    <col min="10" max="10" width="133.6640625" style="160" bestFit="1" customWidth="1"/>
  </cols>
  <sheetData>
    <row r="1" spans="1:10" ht="48">
      <c r="A1" s="28" t="s">
        <v>198</v>
      </c>
      <c r="B1" s="27" t="s">
        <v>189</v>
      </c>
      <c r="C1" s="27" t="s">
        <v>190</v>
      </c>
      <c r="D1" s="27" t="s">
        <v>191</v>
      </c>
      <c r="E1" s="27" t="s">
        <v>192</v>
      </c>
      <c r="F1" s="28" t="s">
        <v>17</v>
      </c>
      <c r="G1" s="28" t="s">
        <v>199</v>
      </c>
      <c r="H1" s="28" t="s">
        <v>200</v>
      </c>
      <c r="I1" s="28" t="s">
        <v>201</v>
      </c>
      <c r="J1" s="28" t="s">
        <v>202</v>
      </c>
    </row>
    <row r="2" spans="1:10">
      <c r="A2" s="16" t="s">
        <v>682</v>
      </c>
      <c r="B2" s="163">
        <v>2.7E-2</v>
      </c>
      <c r="C2" s="163">
        <v>0</v>
      </c>
      <c r="D2" s="163">
        <v>0</v>
      </c>
      <c r="E2" s="163">
        <v>0</v>
      </c>
      <c r="F2" s="16" t="s">
        <v>222</v>
      </c>
      <c r="G2" s="16" t="s">
        <v>214</v>
      </c>
      <c r="H2" s="16">
        <v>2011</v>
      </c>
      <c r="I2" s="16" t="s">
        <v>688</v>
      </c>
      <c r="J2" s="16" t="s">
        <v>767</v>
      </c>
    </row>
    <row r="3" spans="1:10">
      <c r="A3" s="16" t="s">
        <v>703</v>
      </c>
      <c r="B3" s="163">
        <v>0.126</v>
      </c>
      <c r="C3" s="163">
        <v>0</v>
      </c>
      <c r="D3" s="163">
        <v>0</v>
      </c>
      <c r="E3" s="163">
        <v>0</v>
      </c>
      <c r="F3" s="16" t="s">
        <v>222</v>
      </c>
      <c r="G3" s="16" t="s">
        <v>214</v>
      </c>
      <c r="H3" s="16">
        <v>2011</v>
      </c>
      <c r="I3" s="16" t="s">
        <v>688</v>
      </c>
      <c r="J3" s="16" t="s">
        <v>767</v>
      </c>
    </row>
    <row r="4" spans="1:10">
      <c r="A4" s="16" t="s">
        <v>704</v>
      </c>
      <c r="B4" s="163">
        <v>0.124</v>
      </c>
      <c r="C4" s="163">
        <v>0</v>
      </c>
      <c r="D4" s="163">
        <v>0</v>
      </c>
      <c r="E4" s="163">
        <v>0</v>
      </c>
      <c r="F4" s="16" t="s">
        <v>222</v>
      </c>
      <c r="G4" s="16" t="s">
        <v>214</v>
      </c>
      <c r="H4" s="16">
        <v>2011</v>
      </c>
      <c r="I4" s="16" t="s">
        <v>688</v>
      </c>
      <c r="J4" s="16" t="s">
        <v>767</v>
      </c>
    </row>
    <row r="5" spans="1:10">
      <c r="A5" s="16" t="s">
        <v>684</v>
      </c>
      <c r="B5" s="163">
        <f>Combustão_Estacionária!$I$33</f>
        <v>1.6383085290000003</v>
      </c>
      <c r="C5" s="163">
        <f>Combustão_Estacionária!$F$33</f>
        <v>0.48056112000000006</v>
      </c>
      <c r="D5" s="163">
        <v>0</v>
      </c>
      <c r="E5" s="163">
        <v>0</v>
      </c>
      <c r="F5" s="16" t="s">
        <v>731</v>
      </c>
      <c r="G5" s="16" t="s">
        <v>214</v>
      </c>
      <c r="H5" s="16">
        <v>2024</v>
      </c>
      <c r="I5" s="16" t="s">
        <v>210</v>
      </c>
      <c r="J5" s="16"/>
    </row>
    <row r="6" spans="1:10">
      <c r="A6" s="165" t="s">
        <v>719</v>
      </c>
      <c r="B6" s="163">
        <f>Combustão_Estacionária!$I$34</f>
        <v>2.3762227726800007</v>
      </c>
      <c r="C6" s="163">
        <f>Combustão_Estacionária!$F$34</f>
        <v>0.23461194240000005</v>
      </c>
      <c r="D6" s="163">
        <v>0</v>
      </c>
      <c r="E6" s="163">
        <v>0</v>
      </c>
      <c r="F6" s="16" t="s">
        <v>731</v>
      </c>
      <c r="G6" s="16" t="s">
        <v>214</v>
      </c>
      <c r="H6" s="16">
        <v>2024</v>
      </c>
      <c r="I6" s="16" t="s">
        <v>210</v>
      </c>
      <c r="J6" s="16"/>
    </row>
    <row r="7" spans="1:10">
      <c r="A7" s="16" t="s">
        <v>705</v>
      </c>
      <c r="B7" s="163">
        <f>Combustão_Estacionária!$I$35</f>
        <v>6.9443999999999999E-3</v>
      </c>
      <c r="C7" s="163">
        <f>Combustão_Estacionária!$F$35</f>
        <v>0.3600000000000001</v>
      </c>
      <c r="D7" s="163">
        <v>0</v>
      </c>
      <c r="E7" s="163">
        <v>0</v>
      </c>
      <c r="F7" s="16" t="s">
        <v>222</v>
      </c>
      <c r="G7" s="16" t="s">
        <v>214</v>
      </c>
      <c r="H7" s="16">
        <v>2024</v>
      </c>
      <c r="I7" s="16" t="s">
        <v>210</v>
      </c>
      <c r="J7" s="16"/>
    </row>
    <row r="8" spans="1:10">
      <c r="A8" s="16" t="s">
        <v>706</v>
      </c>
      <c r="B8" s="163">
        <v>23.7607422169859</v>
      </c>
      <c r="C8" s="163">
        <v>3.2433360793503403E-2</v>
      </c>
      <c r="D8" s="163">
        <v>0</v>
      </c>
      <c r="E8" s="163">
        <v>2.9025697410004599E-2</v>
      </c>
      <c r="F8" s="16" t="s">
        <v>204</v>
      </c>
      <c r="G8" s="16" t="s">
        <v>214</v>
      </c>
      <c r="H8" s="16" t="s">
        <v>709</v>
      </c>
      <c r="I8" s="16" t="s">
        <v>714</v>
      </c>
      <c r="J8" s="16"/>
    </row>
    <row r="9" spans="1:10">
      <c r="A9" s="16" t="s">
        <v>707</v>
      </c>
      <c r="B9" s="163">
        <v>1</v>
      </c>
      <c r="C9" s="163">
        <v>0</v>
      </c>
      <c r="D9" s="163">
        <v>0</v>
      </c>
      <c r="E9" s="163">
        <v>0</v>
      </c>
      <c r="F9" s="16" t="s">
        <v>204</v>
      </c>
      <c r="G9" s="16" t="s">
        <v>214</v>
      </c>
      <c r="H9" s="16">
        <v>2008</v>
      </c>
      <c r="I9" s="16" t="s">
        <v>711</v>
      </c>
      <c r="J9" s="16" t="s">
        <v>710</v>
      </c>
    </row>
    <row r="10" spans="1:10">
      <c r="A10" s="16" t="s">
        <v>708</v>
      </c>
      <c r="B10" s="163">
        <v>11</v>
      </c>
      <c r="C10" s="163">
        <v>0</v>
      </c>
      <c r="D10" s="163">
        <v>0</v>
      </c>
      <c r="E10" s="163">
        <v>0</v>
      </c>
      <c r="F10" s="16" t="s">
        <v>204</v>
      </c>
      <c r="G10" s="16" t="s">
        <v>214</v>
      </c>
      <c r="H10" s="16">
        <v>2008</v>
      </c>
      <c r="I10" s="16" t="s">
        <v>711</v>
      </c>
      <c r="J10" s="16" t="s">
        <v>710</v>
      </c>
    </row>
    <row r="11" spans="1:10">
      <c r="A11" s="16" t="s">
        <v>712</v>
      </c>
      <c r="B11" s="163">
        <v>10.355499999999999</v>
      </c>
      <c r="C11" s="163">
        <v>13.6707</v>
      </c>
      <c r="D11" s="163">
        <v>-18.279800000000002</v>
      </c>
      <c r="E11" s="163">
        <v>0</v>
      </c>
      <c r="F11" s="16" t="s">
        <v>204</v>
      </c>
      <c r="G11" s="16" t="s">
        <v>205</v>
      </c>
      <c r="H11" s="16">
        <v>2022</v>
      </c>
      <c r="I11" s="16" t="s">
        <v>713</v>
      </c>
      <c r="J11" s="16"/>
    </row>
    <row r="12" spans="1:10">
      <c r="A12" s="16" t="s">
        <v>717</v>
      </c>
      <c r="B12" s="163">
        <v>1.39856348510358</v>
      </c>
      <c r="C12" s="163">
        <v>2.1663062893660201E-3</v>
      </c>
      <c r="D12" s="163">
        <v>0</v>
      </c>
      <c r="E12" s="163">
        <v>2.12703794184021E-3</v>
      </c>
      <c r="F12" s="16" t="s">
        <v>204</v>
      </c>
      <c r="G12" s="16" t="s">
        <v>211</v>
      </c>
      <c r="H12" s="16" t="s">
        <v>718</v>
      </c>
      <c r="I12" s="16" t="s">
        <v>714</v>
      </c>
      <c r="J12" s="16"/>
    </row>
    <row r="13" spans="1:10">
      <c r="A13" s="16" t="s">
        <v>715</v>
      </c>
      <c r="B13" s="163">
        <v>1.7944087213044701E-2</v>
      </c>
      <c r="C13" s="163">
        <v>4.9976992813984001E-6</v>
      </c>
      <c r="D13" s="163">
        <v>0</v>
      </c>
      <c r="E13" s="163">
        <v>4.6695400396623598E-5</v>
      </c>
      <c r="F13" s="16" t="s">
        <v>204</v>
      </c>
      <c r="G13" s="16" t="s">
        <v>211</v>
      </c>
      <c r="H13" s="16" t="s">
        <v>716</v>
      </c>
      <c r="I13" s="16" t="s">
        <v>714</v>
      </c>
      <c r="J13" s="16"/>
    </row>
    <row r="14" spans="1:10">
      <c r="A14" s="16" t="s">
        <v>203</v>
      </c>
      <c r="B14" s="164">
        <v>0.368225593108646</v>
      </c>
      <c r="C14" s="164">
        <v>2.16449264458205E-2</v>
      </c>
      <c r="D14" s="164">
        <v>0</v>
      </c>
      <c r="E14" s="164">
        <v>-0.31873326882608299</v>
      </c>
      <c r="F14" s="16" t="s">
        <v>204</v>
      </c>
      <c r="G14" s="16" t="s">
        <v>205</v>
      </c>
      <c r="H14" s="16" t="s">
        <v>206</v>
      </c>
      <c r="I14" s="16" t="s">
        <v>714</v>
      </c>
      <c r="J14" s="16"/>
    </row>
    <row r="15" spans="1:10">
      <c r="A15" s="16" t="s">
        <v>207</v>
      </c>
      <c r="B15" s="164">
        <v>0.73905231229643997</v>
      </c>
      <c r="C15" s="164">
        <v>2.9926985930702702E-4</v>
      </c>
      <c r="D15" s="164">
        <v>0</v>
      </c>
      <c r="E15" s="164">
        <v>1.65708579996115E-4</v>
      </c>
      <c r="F15" s="16" t="s">
        <v>204</v>
      </c>
      <c r="G15" s="16" t="s">
        <v>205</v>
      </c>
      <c r="H15" s="16" t="s">
        <v>208</v>
      </c>
      <c r="I15" s="16" t="s">
        <v>714</v>
      </c>
      <c r="J15" s="16"/>
    </row>
    <row r="16" spans="1:10">
      <c r="A16" s="16" t="s">
        <v>209</v>
      </c>
      <c r="B16" s="164">
        <f>(B14*0.27)+((1-0.27)*B15)</f>
        <v>0.63892909811573562</v>
      </c>
      <c r="C16" s="164">
        <f>(C14*0.27)+((1-0.27)*C15)</f>
        <v>6.0625971376656656E-3</v>
      </c>
      <c r="D16" s="164">
        <f>(D14*0.27)+((1-0.27)*D15)</f>
        <v>0</v>
      </c>
      <c r="E16" s="164">
        <f>(E14*0.27)+((1-0.27)*E15)</f>
        <v>-8.5937015319645246E-2</v>
      </c>
      <c r="F16" s="16" t="s">
        <v>204</v>
      </c>
      <c r="G16" s="16" t="s">
        <v>205</v>
      </c>
      <c r="H16" s="16" t="s">
        <v>206</v>
      </c>
      <c r="I16" s="16" t="s">
        <v>210</v>
      </c>
      <c r="J16" s="16"/>
    </row>
    <row r="17" spans="1:10">
      <c r="A17" s="16" t="s">
        <v>212</v>
      </c>
      <c r="B17" s="164">
        <v>0.62927491884057096</v>
      </c>
      <c r="C17" s="164">
        <v>2.9484302354421799E-4</v>
      </c>
      <c r="D17" s="164">
        <v>0</v>
      </c>
      <c r="E17" s="164">
        <v>1.5915280598560199E-4</v>
      </c>
      <c r="F17" s="16" t="s">
        <v>204</v>
      </c>
      <c r="G17" s="16" t="s">
        <v>205</v>
      </c>
      <c r="H17" s="16" t="s">
        <v>208</v>
      </c>
      <c r="I17" s="16" t="s">
        <v>714</v>
      </c>
      <c r="J17" s="16"/>
    </row>
    <row r="18" spans="1:10">
      <c r="A18" s="16" t="s">
        <v>213</v>
      </c>
      <c r="B18" s="164">
        <v>1.9139962451388</v>
      </c>
      <c r="C18" s="164">
        <v>0</v>
      </c>
      <c r="D18" s="164">
        <v>0</v>
      </c>
      <c r="E18" s="164">
        <v>0</v>
      </c>
      <c r="F18" s="16" t="s">
        <v>204</v>
      </c>
      <c r="G18" s="16" t="s">
        <v>214</v>
      </c>
      <c r="H18" s="16">
        <v>2007</v>
      </c>
      <c r="I18" s="16" t="s">
        <v>215</v>
      </c>
      <c r="J18" s="16" t="s">
        <v>216</v>
      </c>
    </row>
    <row r="19" spans="1:10">
      <c r="A19" s="16" t="s">
        <v>217</v>
      </c>
      <c r="B19" s="164">
        <f>(B18*0.12)+((1-0.12)*B17)</f>
        <v>0.78344147799635844</v>
      </c>
      <c r="C19" s="164">
        <f>(C18*0.12)+((1-0.12)*C17)</f>
        <v>2.5946186071891184E-4</v>
      </c>
      <c r="D19" s="164">
        <f>(D18*0.12)+((1-0.12)*D17)</f>
        <v>0</v>
      </c>
      <c r="E19" s="164">
        <f>(E18*0.12)+((1-0.12)*E17)</f>
        <v>1.4005446926732974E-4</v>
      </c>
      <c r="F19" s="16" t="s">
        <v>204</v>
      </c>
      <c r="G19" s="16" t="s">
        <v>205</v>
      </c>
      <c r="H19" s="16" t="s">
        <v>218</v>
      </c>
      <c r="I19" s="16" t="s">
        <v>210</v>
      </c>
      <c r="J19" s="16"/>
    </row>
    <row r="20" spans="1:10">
      <c r="A20" s="16" t="s">
        <v>830</v>
      </c>
      <c r="B20" s="164">
        <v>1.41966515122807</v>
      </c>
      <c r="C20" s="164">
        <v>1.0336552462624001E-3</v>
      </c>
      <c r="D20" s="164">
        <v>0</v>
      </c>
      <c r="E20" s="164">
        <v>2.4417538892293898E-3</v>
      </c>
      <c r="F20" s="16" t="s">
        <v>204</v>
      </c>
      <c r="G20" s="16" t="s">
        <v>211</v>
      </c>
      <c r="H20" s="16" t="s">
        <v>219</v>
      </c>
      <c r="I20" s="16" t="s">
        <v>714</v>
      </c>
      <c r="J20" s="16"/>
    </row>
    <row r="21" spans="1:10">
      <c r="A21" s="16" t="s">
        <v>221</v>
      </c>
      <c r="B21" s="164">
        <f>AVERAGE(Fatores_GRID!$B$20:$G$20)</f>
        <v>3.1955119419419156E-2</v>
      </c>
      <c r="C21" s="164">
        <v>0</v>
      </c>
      <c r="D21" s="164">
        <v>0</v>
      </c>
      <c r="E21" s="164">
        <v>0</v>
      </c>
      <c r="F21" s="16" t="s">
        <v>222</v>
      </c>
      <c r="G21" s="16" t="s">
        <v>205</v>
      </c>
      <c r="H21" s="16">
        <v>2024</v>
      </c>
      <c r="I21" s="16" t="s">
        <v>223</v>
      </c>
      <c r="J21" s="16" t="s">
        <v>224</v>
      </c>
    </row>
    <row r="22" spans="1:10" ht="16">
      <c r="A22" s="16" t="s">
        <v>831</v>
      </c>
      <c r="B22" s="164">
        <v>0.40563154397929502</v>
      </c>
      <c r="C22" s="164">
        <v>2.4603263202918998E-4</v>
      </c>
      <c r="D22" s="164">
        <v>0</v>
      </c>
      <c r="E22" s="164">
        <v>1.3391747545756001E-4</v>
      </c>
      <c r="F22" s="164" t="s">
        <v>204</v>
      </c>
      <c r="G22" s="164" t="s">
        <v>205</v>
      </c>
      <c r="H22" s="164" t="s">
        <v>208</v>
      </c>
      <c r="I22" s="16" t="s">
        <v>714</v>
      </c>
      <c r="J22" s="16"/>
    </row>
    <row r="23" spans="1:10">
      <c r="A23" s="4" t="s">
        <v>363</v>
      </c>
      <c r="B23" s="163">
        <f>'Resultado - Carvão Vegetal'!$B$7</f>
        <v>1.080463081352691</v>
      </c>
      <c r="C23" s="163">
        <f>'Resultado - Carvão Vegetal'!$C$7</f>
        <v>2.2494883413335471</v>
      </c>
      <c r="D23" s="163">
        <f>'Resultado - Carvão Vegetal'!$D$7</f>
        <v>-5.4427114858703813</v>
      </c>
      <c r="E23" s="163">
        <f>'Resultado - Carvão Vegetal'!$E$7</f>
        <v>5.5248295344738222E-4</v>
      </c>
      <c r="F23" s="30" t="s">
        <v>204</v>
      </c>
      <c r="G23" s="16" t="s">
        <v>205</v>
      </c>
      <c r="H23" s="16">
        <v>2024</v>
      </c>
      <c r="I23" s="16" t="s">
        <v>713</v>
      </c>
      <c r="J23" s="16"/>
    </row>
    <row r="24" spans="1:10">
      <c r="A24" s="16" t="s">
        <v>832</v>
      </c>
      <c r="B24" s="163">
        <v>0.37045385119525598</v>
      </c>
      <c r="C24" s="163">
        <v>2.8450257830977399E-4</v>
      </c>
      <c r="D24" s="163">
        <v>0</v>
      </c>
      <c r="E24" s="163">
        <v>1.8793769181859601E-4</v>
      </c>
      <c r="F24" s="30" t="s">
        <v>204</v>
      </c>
      <c r="G24" s="16" t="s">
        <v>211</v>
      </c>
      <c r="H24" s="16" t="s">
        <v>716</v>
      </c>
      <c r="I24" s="16" t="s">
        <v>714</v>
      </c>
      <c r="J24" s="16" t="s">
        <v>690</v>
      </c>
    </row>
    <row r="25" spans="1:10">
      <c r="A25" s="16" t="s">
        <v>666</v>
      </c>
      <c r="B25" s="163">
        <f>'Mineração de Quartzo Rima'!M7</f>
        <v>7.5384263092607732E-3</v>
      </c>
      <c r="C25" s="163">
        <f>'Mineração de Quartzo Rima'!N7</f>
        <v>6.0464759990074338E-4</v>
      </c>
      <c r="D25" s="163">
        <f>'Mineração de Quartzo Rima'!O7</f>
        <v>0</v>
      </c>
      <c r="E25" s="163">
        <f>'Mineração de Quartzo Rima'!P7</f>
        <v>-1.7296667307436191E-4</v>
      </c>
      <c r="F25" s="30" t="s">
        <v>204</v>
      </c>
      <c r="G25" s="16" t="s">
        <v>205</v>
      </c>
      <c r="H25" s="16">
        <v>2024</v>
      </c>
      <c r="I25" s="16" t="s">
        <v>713</v>
      </c>
      <c r="J25" s="16" t="s">
        <v>690</v>
      </c>
    </row>
    <row r="26" spans="1:10">
      <c r="A26" s="16" t="s">
        <v>833</v>
      </c>
      <c r="B26" s="163">
        <v>1.54862433712401</v>
      </c>
      <c r="C26" s="163">
        <v>1.78606659447447E-4</v>
      </c>
      <c r="D26" s="163">
        <v>0</v>
      </c>
      <c r="E26" s="163">
        <v>3.0191732438030101E-4</v>
      </c>
      <c r="F26" s="30" t="s">
        <v>204</v>
      </c>
      <c r="G26" s="16" t="s">
        <v>211</v>
      </c>
      <c r="H26" s="200" t="s">
        <v>694</v>
      </c>
      <c r="I26" s="16" t="s">
        <v>714</v>
      </c>
      <c r="J26" s="16" t="s">
        <v>690</v>
      </c>
    </row>
    <row r="27" spans="1:10">
      <c r="A27" s="16" t="s">
        <v>667</v>
      </c>
      <c r="B27" s="163">
        <f>B53+B54</f>
        <v>2.3323593063259822</v>
      </c>
      <c r="C27" s="163">
        <f t="shared" ref="C27:E27" si="0">C53+C54</f>
        <v>1.3296363854086539E-3</v>
      </c>
      <c r="D27" s="163">
        <f t="shared" si="0"/>
        <v>0</v>
      </c>
      <c r="E27" s="163">
        <f t="shared" si="0"/>
        <v>8.6394042547101486E-3</v>
      </c>
      <c r="F27" s="16" t="s">
        <v>204</v>
      </c>
      <c r="G27" s="16" t="s">
        <v>211</v>
      </c>
      <c r="H27" s="160" t="s">
        <v>220</v>
      </c>
      <c r="I27" s="16" t="s">
        <v>714</v>
      </c>
      <c r="J27" s="16" t="s">
        <v>690</v>
      </c>
    </row>
    <row r="28" spans="1:10">
      <c r="A28" s="16" t="s">
        <v>834</v>
      </c>
      <c r="B28" s="163">
        <v>0.81205784189817998</v>
      </c>
      <c r="C28" s="163">
        <v>4.3046212008608798E-3</v>
      </c>
      <c r="D28" s="163">
        <v>0</v>
      </c>
      <c r="E28" s="163">
        <v>4.3106837591290199E-4</v>
      </c>
      <c r="F28" s="16" t="s">
        <v>204</v>
      </c>
      <c r="G28" s="16" t="s">
        <v>211</v>
      </c>
      <c r="H28" s="16" t="s">
        <v>693</v>
      </c>
      <c r="I28" s="16" t="s">
        <v>714</v>
      </c>
      <c r="J28" s="16" t="s">
        <v>690</v>
      </c>
    </row>
    <row r="29" spans="1:10">
      <c r="A29" s="16" t="s">
        <v>835</v>
      </c>
      <c r="B29" s="163">
        <v>0.245026083392441</v>
      </c>
      <c r="C29" s="163">
        <v>5.474863624228E-3</v>
      </c>
      <c r="D29" s="163">
        <v>0</v>
      </c>
      <c r="E29" s="163">
        <v>1.08759240711505E-4</v>
      </c>
      <c r="F29" s="30" t="s">
        <v>204</v>
      </c>
      <c r="G29" s="16" t="s">
        <v>211</v>
      </c>
      <c r="H29" s="16" t="s">
        <v>836</v>
      </c>
      <c r="I29" s="16" t="s">
        <v>714</v>
      </c>
      <c r="J29" s="16" t="s">
        <v>690</v>
      </c>
    </row>
    <row r="30" spans="1:10">
      <c r="A30" s="16" t="s">
        <v>837</v>
      </c>
      <c r="B30" s="163">
        <v>0.43540012308474901</v>
      </c>
      <c r="C30" s="163">
        <v>6.2913468172605099E-4</v>
      </c>
      <c r="D30" s="163">
        <v>0</v>
      </c>
      <c r="E30" s="163">
        <v>7.3241917291390899E-4</v>
      </c>
      <c r="F30" s="30" t="s">
        <v>204</v>
      </c>
      <c r="G30" s="16" t="s">
        <v>211</v>
      </c>
      <c r="H30" s="16" t="s">
        <v>220</v>
      </c>
      <c r="I30" s="16" t="s">
        <v>714</v>
      </c>
      <c r="J30" s="16" t="s">
        <v>690</v>
      </c>
    </row>
    <row r="31" spans="1:10">
      <c r="A31" s="16" t="s">
        <v>838</v>
      </c>
      <c r="B31" s="163">
        <v>1.09734990370953</v>
      </c>
      <c r="C31" s="163">
        <v>1.58562399459411E-3</v>
      </c>
      <c r="D31" s="163">
        <v>0</v>
      </c>
      <c r="E31" s="163">
        <v>1.8459345008399401E-3</v>
      </c>
      <c r="F31" s="30" t="s">
        <v>204</v>
      </c>
      <c r="G31" s="16" t="s">
        <v>211</v>
      </c>
      <c r="H31" s="16" t="s">
        <v>220</v>
      </c>
      <c r="I31" s="16" t="s">
        <v>714</v>
      </c>
      <c r="J31" s="16" t="s">
        <v>690</v>
      </c>
    </row>
    <row r="32" spans="1:10">
      <c r="A32" s="16" t="s">
        <v>839</v>
      </c>
      <c r="B32" s="163">
        <v>2.61948041530662</v>
      </c>
      <c r="C32" s="163">
        <v>3.78503792257948E-3</v>
      </c>
      <c r="D32" s="163">
        <v>0</v>
      </c>
      <c r="E32" s="163">
        <v>4.4064242923274504E-3</v>
      </c>
      <c r="F32" s="30" t="s">
        <v>204</v>
      </c>
      <c r="G32" s="16" t="s">
        <v>211</v>
      </c>
      <c r="H32" s="16" t="s">
        <v>220</v>
      </c>
      <c r="I32" s="16" t="s">
        <v>714</v>
      </c>
      <c r="J32" s="16" t="s">
        <v>690</v>
      </c>
    </row>
    <row r="33" spans="1:10">
      <c r="A33" s="16" t="s">
        <v>840</v>
      </c>
      <c r="B33" s="163">
        <v>2.1267642639641302</v>
      </c>
      <c r="C33" s="163">
        <v>4.9283397944625904E-4</v>
      </c>
      <c r="D33" s="163">
        <v>0</v>
      </c>
      <c r="E33" s="163">
        <v>4.3532549361042399E-4</v>
      </c>
      <c r="F33" s="30" t="s">
        <v>204</v>
      </c>
      <c r="G33" s="16" t="s">
        <v>841</v>
      </c>
      <c r="H33" s="16" t="s">
        <v>219</v>
      </c>
      <c r="I33" s="16" t="s">
        <v>714</v>
      </c>
      <c r="J33" s="16" t="s">
        <v>690</v>
      </c>
    </row>
    <row r="34" spans="1:10">
      <c r="A34" s="16" t="s">
        <v>668</v>
      </c>
      <c r="B34" s="163">
        <v>1.40464277631224</v>
      </c>
      <c r="C34" s="163">
        <v>2.8320908911455699E-3</v>
      </c>
      <c r="D34" s="163">
        <v>0</v>
      </c>
      <c r="E34" s="163">
        <v>1.86563713083595E-3</v>
      </c>
      <c r="F34" s="30" t="s">
        <v>204</v>
      </c>
      <c r="G34" s="16" t="s">
        <v>211</v>
      </c>
      <c r="H34" s="16" t="s">
        <v>695</v>
      </c>
      <c r="I34" s="16" t="s">
        <v>714</v>
      </c>
      <c r="J34" s="16" t="s">
        <v>690</v>
      </c>
    </row>
    <row r="35" spans="1:10">
      <c r="A35" s="16" t="s">
        <v>842</v>
      </c>
      <c r="B35" s="163">
        <v>1.7774888998382801</v>
      </c>
      <c r="C35" s="163">
        <v>2.3732610669086802E-3</v>
      </c>
      <c r="D35" s="163">
        <v>0</v>
      </c>
      <c r="E35" s="163">
        <v>2.42490907253672E-3</v>
      </c>
      <c r="F35" s="16" t="s">
        <v>204</v>
      </c>
      <c r="G35" s="16" t="s">
        <v>211</v>
      </c>
      <c r="H35" s="16" t="s">
        <v>220</v>
      </c>
      <c r="I35" s="16" t="s">
        <v>714</v>
      </c>
      <c r="J35" s="16" t="s">
        <v>690</v>
      </c>
    </row>
    <row r="36" spans="1:10">
      <c r="A36" s="16" t="s">
        <v>843</v>
      </c>
      <c r="B36" s="163">
        <v>4.1190702546270499</v>
      </c>
      <c r="C36" s="163">
        <v>3.4399320047001302E-3</v>
      </c>
      <c r="D36" s="163">
        <v>0</v>
      </c>
      <c r="E36" s="163">
        <v>3.4544768298814602E-3</v>
      </c>
      <c r="F36" s="30" t="s">
        <v>204</v>
      </c>
      <c r="G36" s="16" t="s">
        <v>211</v>
      </c>
      <c r="H36" s="16" t="s">
        <v>692</v>
      </c>
      <c r="I36" s="16" t="s">
        <v>714</v>
      </c>
      <c r="J36" s="16" t="s">
        <v>690</v>
      </c>
    </row>
    <row r="37" spans="1:10">
      <c r="A37" s="4" t="s">
        <v>670</v>
      </c>
      <c r="B37" s="163">
        <v>0</v>
      </c>
      <c r="C37" s="163">
        <v>0</v>
      </c>
      <c r="D37" s="163">
        <v>0</v>
      </c>
      <c r="E37" s="163">
        <v>0</v>
      </c>
      <c r="F37" s="30" t="s">
        <v>781</v>
      </c>
      <c r="G37" s="16" t="s">
        <v>205</v>
      </c>
      <c r="H37" s="16">
        <v>2024</v>
      </c>
      <c r="I37" s="16" t="s">
        <v>713</v>
      </c>
      <c r="J37" s="16"/>
    </row>
    <row r="38" spans="1:10">
      <c r="A38" s="16" t="s">
        <v>669</v>
      </c>
      <c r="B38" s="163">
        <v>0</v>
      </c>
      <c r="C38" s="163">
        <v>0</v>
      </c>
      <c r="D38" s="163">
        <v>0</v>
      </c>
      <c r="E38" s="163">
        <v>0</v>
      </c>
      <c r="F38" s="30" t="s">
        <v>204</v>
      </c>
      <c r="G38" s="16" t="s">
        <v>205</v>
      </c>
      <c r="H38" s="16">
        <v>2024</v>
      </c>
      <c r="I38" s="16" t="s">
        <v>713</v>
      </c>
      <c r="J38" s="16"/>
    </row>
    <row r="39" spans="1:10">
      <c r="A39" s="4" t="s">
        <v>173</v>
      </c>
      <c r="B39" s="163">
        <v>0</v>
      </c>
      <c r="C39" s="163">
        <v>0</v>
      </c>
      <c r="D39" s="163">
        <v>0</v>
      </c>
      <c r="E39" s="163">
        <v>0</v>
      </c>
      <c r="F39" s="30" t="s">
        <v>204</v>
      </c>
      <c r="G39" s="16" t="s">
        <v>205</v>
      </c>
      <c r="H39" s="16">
        <v>2024</v>
      </c>
      <c r="I39" s="16" t="s">
        <v>713</v>
      </c>
      <c r="J39" s="16"/>
    </row>
    <row r="40" spans="1:10">
      <c r="A40" s="4" t="s">
        <v>174</v>
      </c>
      <c r="B40" s="163">
        <v>0</v>
      </c>
      <c r="C40" s="163">
        <v>0</v>
      </c>
      <c r="D40" s="163">
        <v>0</v>
      </c>
      <c r="E40" s="163">
        <v>0</v>
      </c>
      <c r="F40" s="30" t="s">
        <v>204</v>
      </c>
      <c r="G40" s="16" t="s">
        <v>205</v>
      </c>
      <c r="H40" s="16">
        <v>2024</v>
      </c>
      <c r="I40" s="16" t="s">
        <v>713</v>
      </c>
      <c r="J40" s="16"/>
    </row>
    <row r="41" spans="1:10">
      <c r="A41" s="4" t="s">
        <v>175</v>
      </c>
      <c r="B41" s="163">
        <v>0</v>
      </c>
      <c r="C41" s="163">
        <v>0</v>
      </c>
      <c r="D41" s="163">
        <v>0</v>
      </c>
      <c r="E41" s="163">
        <v>0</v>
      </c>
      <c r="F41" s="30" t="s">
        <v>204</v>
      </c>
      <c r="G41" s="16" t="s">
        <v>205</v>
      </c>
      <c r="H41" s="16">
        <v>2024</v>
      </c>
      <c r="I41" s="16" t="s">
        <v>713</v>
      </c>
      <c r="J41" s="16"/>
    </row>
    <row r="42" spans="1:10">
      <c r="A42" s="4" t="s">
        <v>176</v>
      </c>
      <c r="B42" s="163">
        <v>0</v>
      </c>
      <c r="C42" s="163">
        <v>0</v>
      </c>
      <c r="D42" s="163">
        <v>0</v>
      </c>
      <c r="E42" s="163">
        <v>0</v>
      </c>
      <c r="F42" s="30" t="s">
        <v>204</v>
      </c>
      <c r="G42" s="16" t="s">
        <v>205</v>
      </c>
      <c r="H42" s="16">
        <v>2024</v>
      </c>
      <c r="I42" s="16" t="s">
        <v>713</v>
      </c>
      <c r="J42" s="16"/>
    </row>
    <row r="43" spans="1:10">
      <c r="A43" s="4" t="s">
        <v>177</v>
      </c>
      <c r="B43" s="163">
        <v>0</v>
      </c>
      <c r="C43" s="163">
        <v>0</v>
      </c>
      <c r="D43" s="163">
        <v>0</v>
      </c>
      <c r="E43" s="163">
        <v>0</v>
      </c>
      <c r="F43" s="30" t="s">
        <v>204</v>
      </c>
      <c r="G43" s="16" t="s">
        <v>205</v>
      </c>
      <c r="H43" s="16">
        <v>2024</v>
      </c>
      <c r="I43" s="16" t="s">
        <v>713</v>
      </c>
      <c r="J43" s="16"/>
    </row>
    <row r="44" spans="1:10">
      <c r="A44" s="4" t="s">
        <v>181</v>
      </c>
      <c r="B44" s="163">
        <v>0</v>
      </c>
      <c r="C44" s="163">
        <v>0</v>
      </c>
      <c r="D44" s="163">
        <v>0</v>
      </c>
      <c r="E44" s="163">
        <v>0</v>
      </c>
      <c r="F44" s="30" t="s">
        <v>204</v>
      </c>
      <c r="G44" s="16" t="s">
        <v>205</v>
      </c>
      <c r="H44" s="16">
        <v>2024</v>
      </c>
      <c r="I44" s="16" t="s">
        <v>713</v>
      </c>
      <c r="J44" s="16"/>
    </row>
    <row r="45" spans="1:10">
      <c r="A45" s="4" t="s">
        <v>182</v>
      </c>
      <c r="B45" s="163">
        <v>0</v>
      </c>
      <c r="C45" s="163">
        <v>0</v>
      </c>
      <c r="D45" s="163">
        <v>0</v>
      </c>
      <c r="E45" s="163">
        <v>0</v>
      </c>
      <c r="F45" s="30" t="s">
        <v>204</v>
      </c>
      <c r="G45" s="16" t="s">
        <v>205</v>
      </c>
      <c r="H45" s="16">
        <v>2024</v>
      </c>
      <c r="I45" s="16" t="s">
        <v>713</v>
      </c>
      <c r="J45" s="16"/>
    </row>
    <row r="46" spans="1:10">
      <c r="A46" s="16" t="s">
        <v>780</v>
      </c>
      <c r="B46" s="163">
        <v>2.4895894499226099</v>
      </c>
      <c r="C46" s="163">
        <v>3.8562520334264301E-3</v>
      </c>
      <c r="D46" s="163">
        <v>0</v>
      </c>
      <c r="E46" s="163">
        <v>3.7863502629616099E-3</v>
      </c>
      <c r="F46" s="30" t="s">
        <v>204</v>
      </c>
      <c r="G46" s="16" t="s">
        <v>211</v>
      </c>
      <c r="H46" s="16">
        <v>2024</v>
      </c>
      <c r="I46" s="16" t="s">
        <v>713</v>
      </c>
      <c r="J46" s="16"/>
    </row>
    <row r="47" spans="1:10">
      <c r="A47" s="16" t="s">
        <v>769</v>
      </c>
      <c r="B47" s="163">
        <v>0.50070434783871398</v>
      </c>
      <c r="C47" s="163">
        <v>1.0073924371089701E-3</v>
      </c>
      <c r="D47" s="163">
        <v>0</v>
      </c>
      <c r="E47" s="163">
        <v>7.5779844496104204E-4</v>
      </c>
      <c r="F47" s="30" t="s">
        <v>204</v>
      </c>
      <c r="G47" s="16" t="s">
        <v>211</v>
      </c>
      <c r="H47" s="16" t="s">
        <v>696</v>
      </c>
      <c r="I47" s="16" t="s">
        <v>714</v>
      </c>
      <c r="J47" s="16"/>
    </row>
    <row r="48" spans="1:10">
      <c r="A48" s="16" t="s">
        <v>770</v>
      </c>
      <c r="B48" s="163">
        <v>0.13461908320998001</v>
      </c>
      <c r="C48" s="163">
        <v>1.75018713509608E-5</v>
      </c>
      <c r="D48" s="163">
        <v>0</v>
      </c>
      <c r="E48" s="163">
        <v>5.5246753742732897E-6</v>
      </c>
      <c r="F48" s="30" t="s">
        <v>204</v>
      </c>
      <c r="G48" s="16" t="s">
        <v>205</v>
      </c>
      <c r="H48" s="16" t="s">
        <v>208</v>
      </c>
      <c r="I48" s="16" t="s">
        <v>714</v>
      </c>
      <c r="J48" s="16"/>
    </row>
    <row r="49" spans="1:10">
      <c r="A49" s="16" t="s">
        <v>771</v>
      </c>
      <c r="B49" s="163">
        <v>1.6838969113118301</v>
      </c>
      <c r="C49" s="163">
        <v>8.3338927178425496E-4</v>
      </c>
      <c r="D49" s="163">
        <v>0</v>
      </c>
      <c r="E49" s="163">
        <v>5.93093879852739E-4</v>
      </c>
      <c r="F49" s="30" t="s">
        <v>204</v>
      </c>
      <c r="G49" s="16" t="s">
        <v>211</v>
      </c>
      <c r="H49" s="16" t="s">
        <v>219</v>
      </c>
      <c r="I49" s="16" t="s">
        <v>714</v>
      </c>
      <c r="J49" s="16"/>
    </row>
    <row r="50" spans="1:10">
      <c r="A50" s="16" t="s">
        <v>772</v>
      </c>
      <c r="B50" s="163">
        <v>9.5711406541782598</v>
      </c>
      <c r="C50" s="163">
        <v>7.0680671742455103E-3</v>
      </c>
      <c r="D50" s="163">
        <v>0</v>
      </c>
      <c r="E50" s="163">
        <v>3.0581780940193998E-2</v>
      </c>
      <c r="F50" s="30" t="s">
        <v>204</v>
      </c>
      <c r="G50" s="16" t="s">
        <v>211</v>
      </c>
      <c r="H50" s="16" t="s">
        <v>773</v>
      </c>
      <c r="I50" s="16" t="s">
        <v>714</v>
      </c>
      <c r="J50" s="16"/>
    </row>
    <row r="51" spans="1:10">
      <c r="A51" s="16" t="s">
        <v>774</v>
      </c>
      <c r="B51" s="163">
        <v>3.1924488897272099E-3</v>
      </c>
      <c r="C51" s="163">
        <v>1.8351632203071001E-6</v>
      </c>
      <c r="D51" s="163">
        <v>0</v>
      </c>
      <c r="E51" s="163">
        <v>1.3473156714858901E-6</v>
      </c>
      <c r="F51" s="30" t="s">
        <v>204</v>
      </c>
      <c r="G51" s="16" t="s">
        <v>211</v>
      </c>
      <c r="H51" s="16" t="s">
        <v>696</v>
      </c>
      <c r="I51" s="16" t="s">
        <v>714</v>
      </c>
      <c r="J51" s="16"/>
    </row>
    <row r="52" spans="1:10">
      <c r="A52" s="16" t="s">
        <v>775</v>
      </c>
      <c r="B52" s="163">
        <v>3.5357474517120402E-2</v>
      </c>
      <c r="C52" s="163">
        <v>1.48503525819976E-5</v>
      </c>
      <c r="D52" s="163">
        <v>0</v>
      </c>
      <c r="E52" s="163">
        <v>1.9832012286412501E-5</v>
      </c>
      <c r="F52" s="30" t="s">
        <v>204</v>
      </c>
      <c r="G52" s="16" t="s">
        <v>211</v>
      </c>
      <c r="H52" s="16" t="s">
        <v>776</v>
      </c>
      <c r="I52" s="16" t="s">
        <v>714</v>
      </c>
      <c r="J52" s="16"/>
    </row>
    <row r="53" spans="1:10">
      <c r="A53" s="16" t="s">
        <v>782</v>
      </c>
      <c r="B53" s="163">
        <v>0.40464556852995198</v>
      </c>
      <c r="C53" s="163">
        <v>7.6013656304508095E-4</v>
      </c>
      <c r="D53" s="163">
        <v>0</v>
      </c>
      <c r="E53" s="163">
        <v>7.9074039934578996E-3</v>
      </c>
      <c r="F53" s="30" t="s">
        <v>204</v>
      </c>
      <c r="G53" s="16" t="s">
        <v>211</v>
      </c>
      <c r="H53" s="16" t="s">
        <v>220</v>
      </c>
      <c r="I53" s="16" t="s">
        <v>714</v>
      </c>
      <c r="J53" s="16"/>
    </row>
    <row r="54" spans="1:10">
      <c r="A54" s="16" t="s">
        <v>783</v>
      </c>
      <c r="B54" s="163">
        <v>1.9277137377960301</v>
      </c>
      <c r="C54" s="163">
        <v>5.6949982236357297E-4</v>
      </c>
      <c r="D54" s="163">
        <v>0</v>
      </c>
      <c r="E54" s="163">
        <v>7.3200026125224901E-4</v>
      </c>
      <c r="F54" s="30" t="s">
        <v>204</v>
      </c>
      <c r="G54" s="16" t="s">
        <v>211</v>
      </c>
      <c r="H54" s="16" t="s">
        <v>692</v>
      </c>
      <c r="I54" s="16" t="s">
        <v>714</v>
      </c>
      <c r="J54" s="16"/>
    </row>
    <row r="55" spans="1:10">
      <c r="A55" s="16" t="s">
        <v>33</v>
      </c>
      <c r="B55" s="163">
        <v>2.5249089293587099</v>
      </c>
      <c r="C55" s="163">
        <v>5.6727902157091099E-3</v>
      </c>
      <c r="D55" s="163">
        <v>0</v>
      </c>
      <c r="E55" s="163">
        <v>7.6697638545418501E-3</v>
      </c>
      <c r="F55" s="30" t="s">
        <v>204</v>
      </c>
      <c r="G55" s="16" t="s">
        <v>211</v>
      </c>
      <c r="H55" s="201" t="s">
        <v>844</v>
      </c>
      <c r="I55" s="16" t="s">
        <v>714</v>
      </c>
      <c r="J55" s="16" t="s">
        <v>845</v>
      </c>
    </row>
  </sheetData>
  <autoFilter ref="A1:J55" xr:uid="{35D8D48E-47B9-4349-B4D8-22FB17B04221}"/>
  <phoneticPr fontId="8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504-4A80-4FFA-B053-E1EEEDF7DEE9}">
  <dimension ref="A1:E17"/>
  <sheetViews>
    <sheetView workbookViewId="0">
      <selection activeCell="B2" sqref="B2:B17"/>
    </sheetView>
  </sheetViews>
  <sheetFormatPr baseColWidth="10" defaultColWidth="8.83203125" defaultRowHeight="15"/>
  <cols>
    <col min="1" max="1" width="43.33203125" bestFit="1" customWidth="1"/>
    <col min="2" max="2" width="7.6640625" bestFit="1" customWidth="1"/>
    <col min="3" max="3" width="23.33203125" bestFit="1" customWidth="1"/>
    <col min="4" max="4" width="27" bestFit="1" customWidth="1"/>
    <col min="5" max="5" width="63" bestFit="1" customWidth="1"/>
  </cols>
  <sheetData>
    <row r="1" spans="1:5">
      <c r="A1" s="20" t="s">
        <v>301</v>
      </c>
      <c r="B1" s="20" t="s">
        <v>302</v>
      </c>
      <c r="C1" s="20" t="s">
        <v>17</v>
      </c>
      <c r="D1" s="20" t="s">
        <v>201</v>
      </c>
      <c r="E1" s="20" t="s">
        <v>227</v>
      </c>
    </row>
    <row r="2" spans="1:5" ht="15" customHeight="1">
      <c r="A2" s="6" t="s">
        <v>303</v>
      </c>
      <c r="B2" s="58">
        <v>0.01</v>
      </c>
      <c r="C2" s="59" t="s">
        <v>304</v>
      </c>
      <c r="D2" s="59" t="s">
        <v>305</v>
      </c>
      <c r="E2" s="269" t="s">
        <v>306</v>
      </c>
    </row>
    <row r="3" spans="1:5" ht="64">
      <c r="A3" s="6" t="s">
        <v>307</v>
      </c>
      <c r="B3" s="58">
        <v>0.01</v>
      </c>
      <c r="C3" s="59" t="s">
        <v>304</v>
      </c>
      <c r="D3" s="59" t="s">
        <v>308</v>
      </c>
      <c r="E3" s="269" t="s">
        <v>908</v>
      </c>
    </row>
    <row r="4" spans="1:5" ht="64">
      <c r="A4" s="6" t="s">
        <v>309</v>
      </c>
      <c r="B4" s="58">
        <v>0.11</v>
      </c>
      <c r="C4" s="59" t="s">
        <v>310</v>
      </c>
      <c r="D4" s="59" t="s">
        <v>308</v>
      </c>
      <c r="E4" s="269" t="s">
        <v>909</v>
      </c>
    </row>
    <row r="5" spans="1:5" ht="64">
      <c r="A5" s="6" t="s">
        <v>311</v>
      </c>
      <c r="B5" s="58">
        <v>1.0999999999999999E-2</v>
      </c>
      <c r="C5" s="59" t="s">
        <v>304</v>
      </c>
      <c r="D5" s="59" t="s">
        <v>308</v>
      </c>
      <c r="E5" s="269" t="s">
        <v>910</v>
      </c>
    </row>
    <row r="6" spans="1:5" ht="64">
      <c r="A6" s="6" t="s">
        <v>312</v>
      </c>
      <c r="B6" s="58">
        <v>0.24</v>
      </c>
      <c r="C6" s="59" t="s">
        <v>310</v>
      </c>
      <c r="D6" s="59" t="s">
        <v>308</v>
      </c>
      <c r="E6" s="269" t="s">
        <v>911</v>
      </c>
    </row>
    <row r="7" spans="1:5" ht="15" customHeight="1">
      <c r="A7" s="6" t="s">
        <v>313</v>
      </c>
      <c r="B7" s="60">
        <f>44/28</f>
        <v>1.5714285714285714</v>
      </c>
      <c r="C7" s="6" t="s">
        <v>310</v>
      </c>
      <c r="D7" s="6" t="s">
        <v>314</v>
      </c>
      <c r="E7" s="269" t="s">
        <v>315</v>
      </c>
    </row>
    <row r="8" spans="1:5" ht="64">
      <c r="A8" s="6" t="s">
        <v>316</v>
      </c>
      <c r="B8" s="61">
        <f>(B2+(B3*B4)+(B5*B6))*B7</f>
        <v>2.159142857142857E-2</v>
      </c>
      <c r="C8" s="6" t="s">
        <v>317</v>
      </c>
      <c r="D8" s="6" t="s">
        <v>318</v>
      </c>
      <c r="E8" s="269" t="s">
        <v>912</v>
      </c>
    </row>
    <row r="9" spans="1:5" ht="64">
      <c r="A9" s="6" t="s">
        <v>319</v>
      </c>
      <c r="B9" s="60">
        <v>0.2</v>
      </c>
      <c r="C9" s="6" t="s">
        <v>320</v>
      </c>
      <c r="D9" s="6" t="s">
        <v>321</v>
      </c>
      <c r="E9" s="269" t="s">
        <v>913</v>
      </c>
    </row>
    <row r="10" spans="1:5" ht="64">
      <c r="A10" s="6" t="s">
        <v>322</v>
      </c>
      <c r="B10" s="60">
        <f>44/12</f>
        <v>3.6666666666666665</v>
      </c>
      <c r="C10" s="6" t="s">
        <v>310</v>
      </c>
      <c r="D10" s="6" t="s">
        <v>314</v>
      </c>
      <c r="E10" s="269" t="s">
        <v>914</v>
      </c>
    </row>
    <row r="11" spans="1:5" ht="64">
      <c r="A11" s="6" t="s">
        <v>323</v>
      </c>
      <c r="B11" s="60">
        <f>B10*B9</f>
        <v>0.73333333333333339</v>
      </c>
      <c r="C11" s="6" t="s">
        <v>324</v>
      </c>
      <c r="D11" s="6" t="s">
        <v>318</v>
      </c>
      <c r="E11" s="269" t="s">
        <v>915</v>
      </c>
    </row>
    <row r="12" spans="1:5" ht="64">
      <c r="A12" s="6" t="s">
        <v>325</v>
      </c>
      <c r="B12" s="60">
        <v>0.12</v>
      </c>
      <c r="C12" s="6" t="s">
        <v>326</v>
      </c>
      <c r="D12" s="6" t="s">
        <v>327</v>
      </c>
      <c r="E12" s="269" t="s">
        <v>916</v>
      </c>
    </row>
    <row r="13" spans="1:5" ht="64">
      <c r="A13" s="6" t="s">
        <v>328</v>
      </c>
      <c r="B13" s="60">
        <v>0.13</v>
      </c>
      <c r="C13" s="6" t="s">
        <v>326</v>
      </c>
      <c r="D13" s="6" t="s">
        <v>327</v>
      </c>
      <c r="E13" s="269" t="s">
        <v>917</v>
      </c>
    </row>
    <row r="14" spans="1:5" ht="64">
      <c r="A14" s="6" t="s">
        <v>329</v>
      </c>
      <c r="B14" s="60">
        <f>B12*B10</f>
        <v>0.43999999999999995</v>
      </c>
      <c r="C14" s="6" t="s">
        <v>330</v>
      </c>
      <c r="D14" s="6" t="s">
        <v>318</v>
      </c>
      <c r="E14" s="269" t="s">
        <v>918</v>
      </c>
    </row>
    <row r="15" spans="1:5" ht="64">
      <c r="A15" s="6" t="s">
        <v>331</v>
      </c>
      <c r="B15" s="60">
        <f>B13*B10</f>
        <v>0.47666666666666668</v>
      </c>
      <c r="C15" s="6" t="s">
        <v>332</v>
      </c>
      <c r="D15" s="6" t="s">
        <v>318</v>
      </c>
      <c r="E15" s="269" t="s">
        <v>919</v>
      </c>
    </row>
    <row r="16" spans="1:5" ht="32">
      <c r="A16" s="62" t="s">
        <v>333</v>
      </c>
      <c r="B16" s="60">
        <v>1.79</v>
      </c>
      <c r="C16" s="6" t="s">
        <v>334</v>
      </c>
      <c r="D16" s="6" t="s">
        <v>335</v>
      </c>
      <c r="E16" s="74" t="s">
        <v>336</v>
      </c>
    </row>
    <row r="17" spans="1:5" ht="32">
      <c r="A17" s="62" t="s">
        <v>333</v>
      </c>
      <c r="B17" s="60">
        <v>2.48</v>
      </c>
      <c r="C17" s="6" t="s">
        <v>337</v>
      </c>
      <c r="D17" s="6" t="s">
        <v>335</v>
      </c>
      <c r="E17" s="74" t="s">
        <v>336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D869-EFED-440B-84A1-89069B61DA75}">
  <dimension ref="A1:N38"/>
  <sheetViews>
    <sheetView workbookViewId="0">
      <selection activeCell="D1" sqref="D1:N38"/>
    </sheetView>
  </sheetViews>
  <sheetFormatPr baseColWidth="10" defaultColWidth="8.83203125" defaultRowHeight="15"/>
  <cols>
    <col min="1" max="1" width="9.83203125" bestFit="1" customWidth="1"/>
    <col min="3" max="3" width="5.83203125" customWidth="1"/>
    <col min="4" max="5" width="16.6640625" bestFit="1" customWidth="1"/>
    <col min="6" max="6" width="53.6640625" bestFit="1" customWidth="1"/>
    <col min="7" max="7" width="10" bestFit="1" customWidth="1"/>
    <col min="8" max="8" width="9.33203125" bestFit="1" customWidth="1"/>
    <col min="9" max="14" width="16.33203125" bestFit="1" customWidth="1"/>
  </cols>
  <sheetData>
    <row r="1" spans="1:14" ht="48">
      <c r="A1" s="1" t="s">
        <v>227</v>
      </c>
      <c r="D1" s="32" t="s">
        <v>228</v>
      </c>
      <c r="E1" s="32" t="s">
        <v>229</v>
      </c>
      <c r="F1" s="252" t="s">
        <v>230</v>
      </c>
      <c r="G1" s="255" t="s">
        <v>231</v>
      </c>
      <c r="H1" s="255" t="s">
        <v>232</v>
      </c>
      <c r="I1" s="247" t="s">
        <v>32</v>
      </c>
      <c r="J1" s="248"/>
      <c r="K1" s="249"/>
      <c r="L1" s="247" t="s">
        <v>213</v>
      </c>
      <c r="M1" s="248"/>
      <c r="N1" s="249"/>
    </row>
    <row r="2" spans="1:14" ht="16">
      <c r="A2" s="250" t="s">
        <v>233</v>
      </c>
      <c r="D2" s="6" t="s">
        <v>234</v>
      </c>
      <c r="E2" s="6" t="s">
        <v>234</v>
      </c>
      <c r="F2" s="253"/>
      <c r="G2" s="256"/>
      <c r="H2" s="256"/>
      <c r="I2" s="34" t="s">
        <v>235</v>
      </c>
      <c r="J2" s="34" t="s">
        <v>235</v>
      </c>
      <c r="K2" s="34" t="s">
        <v>235</v>
      </c>
      <c r="L2" s="34" t="s">
        <v>235</v>
      </c>
      <c r="M2" s="34" t="s">
        <v>235</v>
      </c>
      <c r="N2" s="35" t="s">
        <v>235</v>
      </c>
    </row>
    <row r="3" spans="1:14" ht="16">
      <c r="A3" s="251"/>
      <c r="D3" s="6" t="s">
        <v>236</v>
      </c>
      <c r="E3" s="6" t="s">
        <v>236</v>
      </c>
      <c r="F3" s="254"/>
      <c r="G3" s="257"/>
      <c r="H3" s="257"/>
      <c r="I3" s="34" t="s">
        <v>237</v>
      </c>
      <c r="J3" s="36" t="s">
        <v>238</v>
      </c>
      <c r="K3" s="34" t="s">
        <v>239</v>
      </c>
      <c r="L3" s="36" t="s">
        <v>237</v>
      </c>
      <c r="M3" s="36" t="s">
        <v>238</v>
      </c>
      <c r="N3" s="36" t="s">
        <v>239</v>
      </c>
    </row>
    <row r="4" spans="1:14" ht="16">
      <c r="A4" s="251"/>
      <c r="D4" s="6" t="s">
        <v>240</v>
      </c>
      <c r="E4" s="6" t="s">
        <v>240</v>
      </c>
      <c r="F4" s="37" t="s">
        <v>241</v>
      </c>
      <c r="G4" s="38">
        <v>0.81484999999999996</v>
      </c>
      <c r="H4" s="39">
        <v>0.3243403533771439</v>
      </c>
      <c r="I4" s="40">
        <v>0.84425793984070563</v>
      </c>
      <c r="J4" s="41">
        <v>4.4931246581718166E-5</v>
      </c>
      <c r="K4" s="42">
        <v>4.4931246581718166E-5</v>
      </c>
      <c r="L4" s="43">
        <v>0.78847139905983687</v>
      </c>
      <c r="M4" s="44">
        <v>1.0754949676833852E-4</v>
      </c>
      <c r="N4" s="42">
        <v>6.4529698061003122E-6</v>
      </c>
    </row>
    <row r="5" spans="1:14" ht="16">
      <c r="A5" s="251"/>
      <c r="D5" s="6" t="s">
        <v>242</v>
      </c>
      <c r="E5" s="6" t="s">
        <v>242</v>
      </c>
      <c r="F5" s="37" t="s">
        <v>243</v>
      </c>
      <c r="G5" s="45">
        <v>0.62919999999999998</v>
      </c>
      <c r="H5" s="46">
        <v>0.25044480621574394</v>
      </c>
      <c r="I5" s="47">
        <v>0.65190783057958157</v>
      </c>
      <c r="J5" s="48">
        <v>3.4694410442679108E-5</v>
      </c>
      <c r="K5" s="49">
        <v>3.4694410442679108E-5</v>
      </c>
      <c r="L5" s="47">
        <v>0.60883132391047357</v>
      </c>
      <c r="M5" s="50">
        <v>8.3046135321394854E-5</v>
      </c>
      <c r="N5" s="49">
        <v>4.9827681192836926E-6</v>
      </c>
    </row>
    <row r="6" spans="1:14" ht="16">
      <c r="A6" s="251"/>
      <c r="D6" s="6" t="s">
        <v>244</v>
      </c>
      <c r="E6" s="6" t="s">
        <v>244</v>
      </c>
      <c r="F6" s="37" t="s">
        <v>245</v>
      </c>
      <c r="G6" s="46">
        <v>0.59231999999999996</v>
      </c>
      <c r="H6" s="51">
        <v>0.23576520600398831</v>
      </c>
      <c r="I6" s="46">
        <v>0.61369683122838159</v>
      </c>
      <c r="J6" s="48">
        <v>3.2660828342987426E-5</v>
      </c>
      <c r="K6" s="49">
        <v>3.2660828342987426E-5</v>
      </c>
      <c r="L6" s="47">
        <v>0.57314521579569555</v>
      </c>
      <c r="M6" s="50">
        <v>7.8178459748201853E-5</v>
      </c>
      <c r="N6" s="49">
        <v>4.6907075848921114E-6</v>
      </c>
    </row>
    <row r="7" spans="1:14" ht="16">
      <c r="A7" s="251"/>
      <c r="D7" s="6" t="s">
        <v>246</v>
      </c>
      <c r="E7" s="6" t="s">
        <v>246</v>
      </c>
      <c r="F7" s="37" t="s">
        <v>247</v>
      </c>
      <c r="G7" s="46">
        <v>0.60260999999999998</v>
      </c>
      <c r="H7" s="51">
        <v>0.23986100552077155</v>
      </c>
      <c r="I7" s="46">
        <v>0.62435819737056841</v>
      </c>
      <c r="J7" s="48">
        <v>3.322822421624739E-5</v>
      </c>
      <c r="K7" s="49">
        <v>3.322822421624739E-5</v>
      </c>
      <c r="L7" s="47">
        <v>0.58310210442099564</v>
      </c>
      <c r="M7" s="50">
        <v>7.9536604586817803E-5</v>
      </c>
      <c r="N7" s="49">
        <v>4.7721962752090689E-6</v>
      </c>
    </row>
    <row r="8" spans="1:14" ht="16">
      <c r="A8" s="251"/>
      <c r="D8" s="6" t="s">
        <v>248</v>
      </c>
      <c r="E8" s="6" t="s">
        <v>240</v>
      </c>
      <c r="F8" s="37" t="s">
        <v>249</v>
      </c>
      <c r="G8" s="46">
        <v>0.48674000000000001</v>
      </c>
      <c r="H8" s="51">
        <v>0.19374047199213479</v>
      </c>
      <c r="I8" s="46">
        <v>0.50430644859552687</v>
      </c>
      <c r="J8" s="48">
        <v>2.6839093036982881E-5</v>
      </c>
      <c r="K8" s="49">
        <v>2.6839093036982881E-5</v>
      </c>
      <c r="L8" s="47">
        <v>0.4709830874128797</v>
      </c>
      <c r="M8" s="50">
        <v>6.424328656442425E-5</v>
      </c>
      <c r="N8" s="49">
        <v>3.8545971938654557E-6</v>
      </c>
    </row>
    <row r="9" spans="1:14" ht="16">
      <c r="A9" s="251"/>
      <c r="D9" s="6" t="s">
        <v>250</v>
      </c>
      <c r="E9" s="6" t="s">
        <v>234</v>
      </c>
      <c r="F9" s="37" t="s">
        <v>251</v>
      </c>
      <c r="G9" s="46">
        <v>0.34001999999999999</v>
      </c>
      <c r="H9" s="51">
        <v>0.13534050065079031</v>
      </c>
      <c r="I9" s="46">
        <v>0.35229132319400719</v>
      </c>
      <c r="J9" s="48">
        <v>1.8748877048187779E-5</v>
      </c>
      <c r="K9" s="49">
        <v>1.8748877048187779E-5</v>
      </c>
      <c r="L9" s="47">
        <v>0.32901275708207128</v>
      </c>
      <c r="M9" s="50">
        <v>4.487817376347852E-5</v>
      </c>
      <c r="N9" s="49">
        <v>2.6926904258087114E-6</v>
      </c>
    </row>
    <row r="10" spans="1:14" ht="16">
      <c r="A10" s="251"/>
      <c r="D10" s="6" t="s">
        <v>252</v>
      </c>
      <c r="E10" s="6" t="s">
        <v>236</v>
      </c>
      <c r="F10" s="37" t="s">
        <v>253</v>
      </c>
      <c r="G10" s="46">
        <v>0.18142</v>
      </c>
      <c r="H10" s="51">
        <v>7.2211851150127571E-2</v>
      </c>
      <c r="I10" s="46">
        <v>0.18796744854378208</v>
      </c>
      <c r="J10" s="48">
        <v>1.000359177131412E-5</v>
      </c>
      <c r="K10" s="49">
        <v>1.000359177131412E-5</v>
      </c>
      <c r="L10" s="47">
        <v>0.17554701014596014</v>
      </c>
      <c r="M10" s="50">
        <v>2.3945057008912041E-5</v>
      </c>
      <c r="N10" s="49">
        <v>1.4367034205347226E-6</v>
      </c>
    </row>
    <row r="11" spans="1:14" ht="16">
      <c r="A11" s="251"/>
      <c r="D11" s="6" t="s">
        <v>254</v>
      </c>
      <c r="E11" s="6" t="s">
        <v>236</v>
      </c>
      <c r="F11" s="37" t="s">
        <v>255</v>
      </c>
      <c r="G11" s="46">
        <v>0.20780000000000001</v>
      </c>
      <c r="H11" s="51">
        <v>8.2712064099859497E-2</v>
      </c>
      <c r="I11" s="46">
        <v>0.21529950285193428</v>
      </c>
      <c r="J11" s="48">
        <v>1.1458198490128289E-5</v>
      </c>
      <c r="K11" s="49">
        <v>1.1458198490128289E-5</v>
      </c>
      <c r="L11" s="47">
        <v>0.20107302782675845</v>
      </c>
      <c r="M11" s="50">
        <v>2.7426870501884702E-5</v>
      </c>
      <c r="N11" s="49">
        <v>1.6456122301130824E-6</v>
      </c>
    </row>
    <row r="12" spans="1:14" ht="16">
      <c r="A12" s="251"/>
      <c r="D12" s="6" t="s">
        <v>256</v>
      </c>
      <c r="E12" s="6" t="s">
        <v>240</v>
      </c>
      <c r="F12" s="37" t="s">
        <v>257</v>
      </c>
      <c r="G12" s="46">
        <v>0.12626000000000001</v>
      </c>
      <c r="H12" s="51">
        <v>5.025613673362974E-2</v>
      </c>
      <c r="I12" s="46">
        <v>0.13081672391763821</v>
      </c>
      <c r="J12" s="48">
        <v>6.9620411037709221E-6</v>
      </c>
      <c r="K12" s="49">
        <v>6.9620411037709221E-6</v>
      </c>
      <c r="L12" s="47">
        <v>0.1221726683994539</v>
      </c>
      <c r="M12" s="50">
        <v>1.6664661547487789E-5</v>
      </c>
      <c r="N12" s="49">
        <v>9.9987969284926739E-7</v>
      </c>
    </row>
    <row r="13" spans="1:14" ht="16">
      <c r="A13" s="251"/>
      <c r="D13" s="6" t="s">
        <v>258</v>
      </c>
      <c r="E13" s="6" t="s">
        <v>234</v>
      </c>
      <c r="F13" s="37" t="s">
        <v>259</v>
      </c>
      <c r="G13" s="46">
        <v>8.0170000000000005E-2</v>
      </c>
      <c r="H13" s="51">
        <v>3.1910616837756187E-2</v>
      </c>
      <c r="I13" s="46">
        <v>8.3063335628679361E-2</v>
      </c>
      <c r="J13" s="48">
        <v>4.4206148842809666E-6</v>
      </c>
      <c r="K13" s="49">
        <v>4.4206148842809666E-6</v>
      </c>
      <c r="L13" s="47">
        <v>7.7574709532585287E-2</v>
      </c>
      <c r="M13" s="50">
        <v>1.0581386949644352E-5</v>
      </c>
      <c r="N13" s="49">
        <v>6.3488321697866118E-7</v>
      </c>
    </row>
    <row r="14" spans="1:14" ht="16">
      <c r="A14" s="251"/>
      <c r="D14" s="6" t="s">
        <v>260</v>
      </c>
      <c r="E14" s="6" t="s">
        <v>234</v>
      </c>
      <c r="F14" s="37" t="s">
        <v>261</v>
      </c>
      <c r="G14" s="46">
        <v>8.1199999999999994E-2</v>
      </c>
      <c r="H14" s="51">
        <v>3.2320594826316607E-2</v>
      </c>
      <c r="I14" s="46">
        <v>8.4130508332902129E-2</v>
      </c>
      <c r="J14" s="48">
        <v>4.4774096121194268E-6</v>
      </c>
      <c r="K14" s="49">
        <v>4.4774096121194268E-6</v>
      </c>
      <c r="L14" s="47">
        <v>7.8571366022775674E-2</v>
      </c>
      <c r="M14" s="50">
        <v>1.0717333420370729E-5</v>
      </c>
      <c r="N14" s="49">
        <v>6.4304000522224385E-7</v>
      </c>
    </row>
    <row r="15" spans="1:14" ht="16">
      <c r="A15" s="251"/>
      <c r="D15" s="6" t="s">
        <v>262</v>
      </c>
      <c r="E15" s="6" t="s">
        <v>234</v>
      </c>
      <c r="F15" s="37" t="s">
        <v>263</v>
      </c>
      <c r="G15" s="46">
        <v>0.10749</v>
      </c>
      <c r="H15" s="51">
        <v>4.2784984456659757E-2</v>
      </c>
      <c r="I15" s="46">
        <v>0.11136931454068535</v>
      </c>
      <c r="J15" s="48">
        <v>5.9270536848117893E-6</v>
      </c>
      <c r="K15" s="49">
        <v>5.9270536848117893E-6</v>
      </c>
      <c r="L15" s="47">
        <v>0.10401029721413987</v>
      </c>
      <c r="M15" s="50">
        <v>1.4187268095512927E-5</v>
      </c>
      <c r="N15" s="49">
        <v>8.512360857307758E-7</v>
      </c>
    </row>
    <row r="16" spans="1:14" ht="16">
      <c r="D16" s="6" t="s">
        <v>264</v>
      </c>
      <c r="E16" s="6" t="s">
        <v>234</v>
      </c>
      <c r="F16" s="37" t="s">
        <v>265</v>
      </c>
      <c r="G16" s="46">
        <v>0.57945999999999998</v>
      </c>
      <c r="H16" s="51">
        <v>0.23064645170021453</v>
      </c>
      <c r="I16" s="46">
        <v>0.60037271377565848</v>
      </c>
      <c r="J16" s="48">
        <v>3.1951721352693635E-5</v>
      </c>
      <c r="K16" s="49">
        <v>3.1951721352693635E-5</v>
      </c>
      <c r="L16" s="47">
        <v>0.56070152408322149</v>
      </c>
      <c r="M16" s="50">
        <v>7.6481108667093866E-5</v>
      </c>
      <c r="N16" s="49">
        <v>4.5888665200256328E-6</v>
      </c>
    </row>
    <row r="17" spans="4:14" ht="16">
      <c r="D17" s="6" t="s">
        <v>266</v>
      </c>
      <c r="E17" s="6" t="s">
        <v>234</v>
      </c>
      <c r="F17" s="37" t="s">
        <v>267</v>
      </c>
      <c r="G17" s="46">
        <v>0.40478999999999998</v>
      </c>
      <c r="H17" s="51">
        <v>0.16112134950424506</v>
      </c>
      <c r="I17" s="46">
        <v>0.4193988727595499</v>
      </c>
      <c r="J17" s="48">
        <v>2.232032804051506E-5</v>
      </c>
      <c r="K17" s="49">
        <v>2.232032804051506E-5</v>
      </c>
      <c r="L17" s="47">
        <v>0.39168600064481973</v>
      </c>
      <c r="M17" s="50">
        <v>5.3426962995466348E-5</v>
      </c>
      <c r="N17" s="49">
        <v>3.2056177797279813E-6</v>
      </c>
    </row>
    <row r="18" spans="4:14" ht="16">
      <c r="D18" s="6" t="s">
        <v>268</v>
      </c>
      <c r="E18" s="6" t="s">
        <v>236</v>
      </c>
      <c r="F18" s="37" t="s">
        <v>269</v>
      </c>
      <c r="G18" s="46">
        <v>0.21598000000000001</v>
      </c>
      <c r="H18" s="51">
        <v>8.596800579541701E-2</v>
      </c>
      <c r="I18" s="46">
        <v>0.2237747190854705</v>
      </c>
      <c r="J18" s="48">
        <v>1.1909247882088103E-5</v>
      </c>
      <c r="K18" s="49">
        <v>1.1909247882088103E-5</v>
      </c>
      <c r="L18" s="47">
        <v>0.20898822208865875</v>
      </c>
      <c r="M18" s="50">
        <v>2.8506523055808746E-5</v>
      </c>
      <c r="N18" s="49">
        <v>1.7103913833485252E-6</v>
      </c>
    </row>
    <row r="19" spans="4:14" ht="16">
      <c r="D19" s="6" t="s">
        <v>270</v>
      </c>
      <c r="E19" s="6" t="s">
        <v>234</v>
      </c>
      <c r="F19" s="37" t="s">
        <v>271</v>
      </c>
      <c r="G19" s="46">
        <v>0.24739</v>
      </c>
      <c r="H19" s="51">
        <v>9.847034426209933E-2</v>
      </c>
      <c r="I19" s="46">
        <v>0.25631830611424455</v>
      </c>
      <c r="J19" s="48">
        <v>1.3641211378598832E-5</v>
      </c>
      <c r="K19" s="49">
        <v>1.3641211378598832E-5</v>
      </c>
      <c r="L19" s="47">
        <v>0.23938140690116347</v>
      </c>
      <c r="M19" s="50">
        <v>3.2652230478639346E-5</v>
      </c>
      <c r="N19" s="49">
        <v>1.9591338287183609E-6</v>
      </c>
    </row>
    <row r="20" spans="4:14" ht="16">
      <c r="D20" s="6" t="s">
        <v>272</v>
      </c>
      <c r="E20" s="6" t="s">
        <v>234</v>
      </c>
      <c r="F20" s="37" t="s">
        <v>273</v>
      </c>
      <c r="G20" s="46">
        <v>0.14602000000000001</v>
      </c>
      <c r="H20" s="51">
        <v>5.8121345523876246E-2</v>
      </c>
      <c r="I20" s="46">
        <v>0.15128986239864989</v>
      </c>
      <c r="J20" s="48">
        <v>8.051617630069936E-6</v>
      </c>
      <c r="K20" s="49">
        <v>8.051617630069936E-6</v>
      </c>
      <c r="L20" s="47">
        <v>0.14129299096854317</v>
      </c>
      <c r="M20" s="50">
        <v>1.9272721995597708E-5</v>
      </c>
      <c r="N20" s="49">
        <v>1.1563633197358627E-6</v>
      </c>
    </row>
    <row r="21" spans="4:14" ht="16">
      <c r="D21" s="6" t="s">
        <v>274</v>
      </c>
      <c r="E21" s="6" t="s">
        <v>234</v>
      </c>
      <c r="F21" s="37" t="s">
        <v>275</v>
      </c>
      <c r="G21" s="46">
        <v>9.2719999999999997E-2</v>
      </c>
      <c r="H21" s="51">
        <v>3.6905979708079753E-2</v>
      </c>
      <c r="I21" s="46">
        <v>9.6066265180131602E-2</v>
      </c>
      <c r="J21" s="48">
        <v>5.112628315710755E-6</v>
      </c>
      <c r="K21" s="49">
        <v>5.112628315710755E-6</v>
      </c>
      <c r="L21" s="47">
        <v>8.9718436670341878E-2</v>
      </c>
      <c r="M21" s="50">
        <v>1.2237822102669631E-5</v>
      </c>
      <c r="N21" s="49">
        <v>7.3426932616017797E-7</v>
      </c>
    </row>
    <row r="22" spans="4:14" ht="16">
      <c r="D22" s="6" t="s">
        <v>276</v>
      </c>
      <c r="E22" s="6" t="s">
        <v>236</v>
      </c>
      <c r="F22" s="37" t="s">
        <v>277</v>
      </c>
      <c r="G22" s="46">
        <v>9.3899999999999997E-2</v>
      </c>
      <c r="H22" s="51">
        <v>3.7375663228954796E-2</v>
      </c>
      <c r="I22" s="46">
        <v>9.7288851384969344E-2</v>
      </c>
      <c r="J22" s="48">
        <v>5.1776941204188945E-6</v>
      </c>
      <c r="K22" s="49">
        <v>5.1776941204188945E-6</v>
      </c>
      <c r="L22" s="47">
        <v>9.0860237309589115E-2</v>
      </c>
      <c r="M22" s="50">
        <v>1.2393566603113442E-5</v>
      </c>
      <c r="N22" s="49">
        <v>7.4361399618680667E-7</v>
      </c>
    </row>
    <row r="23" spans="4:14" ht="16">
      <c r="D23" s="6" t="s">
        <v>278</v>
      </c>
      <c r="E23" s="6" t="s">
        <v>234</v>
      </c>
      <c r="F23" s="37" t="s">
        <v>279</v>
      </c>
      <c r="G23" s="52">
        <v>0.12587999999999999</v>
      </c>
      <c r="H23" s="53">
        <v>5.0104882718432685E-2</v>
      </c>
      <c r="I23" s="52">
        <v>0.13042300971608028</v>
      </c>
      <c r="J23" s="54">
        <v>6.9410877090344019E-6</v>
      </c>
      <c r="K23" s="55">
        <v>6.9410877090344019E-6</v>
      </c>
      <c r="L23" s="56">
        <v>0.12180496988850986</v>
      </c>
      <c r="M23" s="54">
        <v>1.6614506538870287E-5</v>
      </c>
      <c r="N23" s="55">
        <v>9.9687039233221744E-7</v>
      </c>
    </row>
    <row r="24" spans="4:14" ht="16">
      <c r="D24" s="6" t="s">
        <v>280</v>
      </c>
      <c r="E24" s="6" t="s">
        <v>234</v>
      </c>
      <c r="F24" s="37" t="s">
        <v>281</v>
      </c>
      <c r="G24" s="51"/>
      <c r="H24" s="57">
        <v>4.0485431374699E-3</v>
      </c>
      <c r="I24" s="51"/>
      <c r="J24" s="48"/>
      <c r="K24" s="48"/>
      <c r="L24" s="51"/>
      <c r="M24" s="48"/>
      <c r="N24" s="48"/>
    </row>
    <row r="25" spans="4:14" ht="16">
      <c r="D25" s="6" t="s">
        <v>282</v>
      </c>
      <c r="E25" s="6" t="s">
        <v>236</v>
      </c>
      <c r="F25" s="37" t="s">
        <v>283</v>
      </c>
      <c r="G25" s="51"/>
      <c r="H25" s="57">
        <v>5.3764422871039859E-3</v>
      </c>
      <c r="I25" s="51"/>
      <c r="J25" s="48"/>
      <c r="K25" s="48"/>
      <c r="L25" s="51"/>
      <c r="M25" s="48"/>
      <c r="N25" s="48"/>
    </row>
    <row r="26" spans="4:14" ht="16">
      <c r="D26" s="6" t="s">
        <v>284</v>
      </c>
      <c r="E26" s="6" t="s">
        <v>240</v>
      </c>
      <c r="F26" s="37" t="s">
        <v>285</v>
      </c>
      <c r="G26" s="51"/>
      <c r="H26" s="57">
        <v>5.3764422871039859E-3</v>
      </c>
      <c r="I26" s="51"/>
      <c r="J26" s="48"/>
      <c r="K26" s="48"/>
      <c r="L26" s="51"/>
      <c r="M26" s="48"/>
      <c r="N26" s="48"/>
    </row>
    <row r="27" spans="4:14" ht="16">
      <c r="D27" s="6" t="s">
        <v>286</v>
      </c>
      <c r="E27" s="6" t="s">
        <v>236</v>
      </c>
      <c r="F27" s="37" t="s">
        <v>287</v>
      </c>
      <c r="G27" s="51"/>
      <c r="H27" s="57">
        <v>6.4775412451960447E-3</v>
      </c>
      <c r="I27" s="51"/>
      <c r="J27" s="48"/>
      <c r="K27" s="48"/>
      <c r="L27" s="51"/>
      <c r="M27" s="48"/>
      <c r="N27" s="48"/>
    </row>
    <row r="28" spans="4:14" ht="16">
      <c r="D28" s="6" t="s">
        <v>288</v>
      </c>
      <c r="E28" s="6" t="s">
        <v>234</v>
      </c>
      <c r="F28" s="37" t="s">
        <v>289</v>
      </c>
      <c r="G28" s="51"/>
      <c r="H28" s="57">
        <v>1.0396712442420145E-2</v>
      </c>
      <c r="I28" s="51"/>
      <c r="J28" s="48"/>
      <c r="K28" s="48"/>
      <c r="L28" s="51"/>
      <c r="M28" s="48"/>
      <c r="N28" s="48"/>
    </row>
    <row r="29" spans="4:14" ht="16">
      <c r="D29" s="6" t="s">
        <v>290</v>
      </c>
      <c r="E29" s="6" t="s">
        <v>234</v>
      </c>
      <c r="F29" s="37" t="s">
        <v>291</v>
      </c>
      <c r="G29" s="51"/>
      <c r="H29" s="57">
        <v>1.1756874717893303E-2</v>
      </c>
      <c r="I29" s="51"/>
      <c r="J29" s="48"/>
      <c r="K29" s="48"/>
      <c r="L29" s="51"/>
      <c r="M29" s="48"/>
      <c r="N29" s="48"/>
    </row>
    <row r="30" spans="4:14" ht="16">
      <c r="F30" s="37" t="s">
        <v>292</v>
      </c>
      <c r="G30" s="51"/>
      <c r="H30" s="57">
        <v>5.1563502702413723E-3</v>
      </c>
      <c r="I30" s="51"/>
      <c r="J30" s="48"/>
      <c r="K30" s="48"/>
      <c r="L30" s="51"/>
      <c r="M30" s="48"/>
      <c r="N30" s="48"/>
    </row>
    <row r="31" spans="4:14" ht="16">
      <c r="F31" s="37" t="s">
        <v>293</v>
      </c>
      <c r="G31" s="51"/>
      <c r="H31" s="57">
        <v>3.8543255086564495E-3</v>
      </c>
      <c r="I31" s="51"/>
      <c r="J31" s="48"/>
      <c r="K31" s="48"/>
      <c r="L31" s="51"/>
      <c r="M31" s="48"/>
      <c r="N31" s="48"/>
    </row>
    <row r="32" spans="4:14" ht="16">
      <c r="F32" s="37" t="s">
        <v>294</v>
      </c>
      <c r="G32" s="51"/>
      <c r="H32" s="57">
        <v>5.1173789697228841E-3</v>
      </c>
      <c r="I32" s="51"/>
      <c r="J32" s="48"/>
      <c r="K32" s="48"/>
      <c r="L32" s="51"/>
      <c r="M32" s="48"/>
      <c r="N32" s="48"/>
    </row>
    <row r="33" spans="6:14" ht="16">
      <c r="F33" s="37" t="s">
        <v>295</v>
      </c>
      <c r="G33" s="51"/>
      <c r="H33" s="57">
        <v>4.5018240836644571E-3</v>
      </c>
      <c r="I33" s="51"/>
      <c r="J33" s="48"/>
      <c r="K33" s="48"/>
      <c r="L33" s="51"/>
      <c r="M33" s="48"/>
      <c r="N33" s="48"/>
    </row>
    <row r="34" spans="6:14" ht="16">
      <c r="F34" s="37" t="s">
        <v>296</v>
      </c>
      <c r="G34" s="51"/>
      <c r="H34" s="57">
        <v>3.5626796285467737E-3</v>
      </c>
      <c r="I34" s="51"/>
      <c r="J34" s="48"/>
      <c r="K34" s="48"/>
      <c r="L34" s="51"/>
      <c r="M34" s="48"/>
      <c r="N34" s="48"/>
    </row>
    <row r="35" spans="6:14" ht="16">
      <c r="F35" s="37" t="s">
        <v>297</v>
      </c>
      <c r="G35" s="51"/>
      <c r="H35" s="57">
        <v>5.667768730324165E-3</v>
      </c>
      <c r="I35" s="51"/>
      <c r="J35" s="48"/>
      <c r="K35" s="48"/>
      <c r="L35" s="51"/>
      <c r="M35" s="48"/>
      <c r="N35" s="48"/>
    </row>
    <row r="36" spans="6:14" ht="16">
      <c r="F36" s="37" t="s">
        <v>298</v>
      </c>
      <c r="G36" s="51"/>
      <c r="H36" s="57">
        <v>6.4130149935178902E-3</v>
      </c>
      <c r="I36" s="51"/>
      <c r="J36" s="48"/>
      <c r="K36" s="48"/>
      <c r="L36" s="51"/>
      <c r="M36" s="48"/>
      <c r="N36" s="48"/>
    </row>
    <row r="37" spans="6:14" ht="16">
      <c r="F37" s="37" t="s">
        <v>299</v>
      </c>
      <c r="G37" s="51"/>
      <c r="H37" s="57">
        <v>4.2267889218085639E-3</v>
      </c>
      <c r="I37" s="51"/>
      <c r="J37" s="48"/>
      <c r="K37" s="48"/>
      <c r="L37" s="51"/>
      <c r="M37" s="48"/>
      <c r="N37" s="48"/>
    </row>
    <row r="38" spans="6:14" ht="16">
      <c r="F38" s="37" t="s">
        <v>300</v>
      </c>
      <c r="G38" s="51"/>
      <c r="H38" s="57">
        <v>1.047413214840553E-2</v>
      </c>
      <c r="I38" s="51"/>
      <c r="J38" s="48"/>
      <c r="K38" s="48"/>
      <c r="L38" s="51"/>
      <c r="M38" s="48"/>
      <c r="N38" s="48"/>
    </row>
  </sheetData>
  <mergeCells count="6">
    <mergeCell ref="L1:N1"/>
    <mergeCell ref="A2:A15"/>
    <mergeCell ref="F1:F3"/>
    <mergeCell ref="G1:G3"/>
    <mergeCell ref="H1:H3"/>
    <mergeCell ref="I1:K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B877-92A3-45B5-A1EA-52DEE552E052}">
  <dimension ref="A1:D12"/>
  <sheetViews>
    <sheetView showGridLines="0" zoomScale="120" zoomScaleNormal="120" workbookViewId="0">
      <selection sqref="A1:D12"/>
    </sheetView>
  </sheetViews>
  <sheetFormatPr baseColWidth="10" defaultColWidth="8.83203125" defaultRowHeight="15"/>
  <cols>
    <col min="1" max="1" width="26" bestFit="1" customWidth="1"/>
    <col min="2" max="2" width="11.5" bestFit="1" customWidth="1"/>
    <col min="3" max="3" width="8.5" bestFit="1" customWidth="1"/>
    <col min="4" max="4" width="142.1640625" bestFit="1" customWidth="1"/>
  </cols>
  <sheetData>
    <row r="1" spans="1:4">
      <c r="A1" s="177" t="s">
        <v>748</v>
      </c>
      <c r="B1" s="177" t="s">
        <v>49</v>
      </c>
      <c r="C1" s="177" t="s">
        <v>17</v>
      </c>
      <c r="D1" s="177" t="s">
        <v>227</v>
      </c>
    </row>
    <row r="2" spans="1:4">
      <c r="A2" s="6" t="s">
        <v>749</v>
      </c>
      <c r="B2" s="6">
        <v>808.5</v>
      </c>
      <c r="C2" s="6" t="s">
        <v>750</v>
      </c>
      <c r="D2" s="6" t="s">
        <v>751</v>
      </c>
    </row>
    <row r="3" spans="1:4">
      <c r="A3" s="6" t="s">
        <v>752</v>
      </c>
      <c r="B3" s="6">
        <v>1.1599999999999999</v>
      </c>
      <c r="C3" s="6" t="s">
        <v>750</v>
      </c>
      <c r="D3" s="6" t="s">
        <v>753</v>
      </c>
    </row>
    <row r="4" spans="1:4">
      <c r="A4" s="6" t="s">
        <v>754</v>
      </c>
      <c r="B4" s="6">
        <v>1.4289000000000001</v>
      </c>
      <c r="C4" s="6" t="s">
        <v>750</v>
      </c>
      <c r="D4" s="6" t="s">
        <v>755</v>
      </c>
    </row>
    <row r="5" spans="1:4">
      <c r="A5" s="6" t="s">
        <v>756</v>
      </c>
      <c r="B5" s="6">
        <v>1135.2950000000001</v>
      </c>
      <c r="C5" s="6" t="s">
        <v>750</v>
      </c>
      <c r="D5" s="6" t="s">
        <v>757</v>
      </c>
    </row>
    <row r="6" spans="1:4">
      <c r="A6" s="6" t="s">
        <v>758</v>
      </c>
      <c r="B6" s="6">
        <v>1393</v>
      </c>
      <c r="C6" s="6" t="s">
        <v>750</v>
      </c>
      <c r="D6" s="6" t="s">
        <v>759</v>
      </c>
    </row>
    <row r="7" spans="1:4">
      <c r="A7" s="6" t="s">
        <v>760</v>
      </c>
      <c r="B7" s="6">
        <v>1.6539999999999999</v>
      </c>
      <c r="C7" s="6" t="s">
        <v>750</v>
      </c>
      <c r="D7" s="6" t="s">
        <v>761</v>
      </c>
    </row>
    <row r="8" spans="1:4">
      <c r="A8" s="6" t="s">
        <v>762</v>
      </c>
      <c r="B8" s="6">
        <v>1190</v>
      </c>
      <c r="C8" s="6" t="s">
        <v>750</v>
      </c>
      <c r="D8" s="6" t="s">
        <v>763</v>
      </c>
    </row>
    <row r="9" spans="1:4">
      <c r="A9" s="6" t="s">
        <v>764</v>
      </c>
      <c r="B9" s="6">
        <v>1227</v>
      </c>
      <c r="C9" s="6" t="s">
        <v>750</v>
      </c>
      <c r="D9" s="6" t="s">
        <v>765</v>
      </c>
    </row>
    <row r="10" spans="1:4">
      <c r="A10" s="6" t="s">
        <v>122</v>
      </c>
      <c r="B10" s="6">
        <v>1225</v>
      </c>
      <c r="C10" s="6" t="s">
        <v>750</v>
      </c>
      <c r="D10" s="6" t="s">
        <v>766</v>
      </c>
    </row>
    <row r="11" spans="1:4">
      <c r="A11" s="6" t="s">
        <v>794</v>
      </c>
      <c r="B11" s="6">
        <v>0.47</v>
      </c>
      <c r="C11" s="6" t="s">
        <v>795</v>
      </c>
      <c r="D11" s="6" t="s">
        <v>796</v>
      </c>
    </row>
    <row r="12" spans="1:4">
      <c r="A12" s="6" t="s">
        <v>132</v>
      </c>
      <c r="B12" s="6">
        <v>1200</v>
      </c>
      <c r="C12" s="6" t="s">
        <v>750</v>
      </c>
      <c r="D12" s="6" t="s">
        <v>827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A786-9973-406B-B4F8-F5DD9DF8C28F}">
  <dimension ref="A1:I54"/>
  <sheetViews>
    <sheetView workbookViewId="0">
      <selection sqref="A1:I54"/>
    </sheetView>
  </sheetViews>
  <sheetFormatPr baseColWidth="10" defaultColWidth="8.83203125" defaultRowHeight="13" customHeight="1"/>
  <cols>
    <col min="1" max="1" width="30.33203125" bestFit="1" customWidth="1"/>
    <col min="2" max="2" width="15" customWidth="1"/>
    <col min="3" max="3" width="13.1640625" bestFit="1" customWidth="1"/>
    <col min="4" max="4" width="12.5" bestFit="1" customWidth="1"/>
    <col min="5" max="5" width="25.33203125" bestFit="1" customWidth="1"/>
    <col min="6" max="6" width="23" customWidth="1"/>
    <col min="7" max="7" width="53.5" customWidth="1"/>
    <col min="8" max="8" width="8.83203125" customWidth="1"/>
    <col min="9" max="9" width="17" bestFit="1" customWidth="1"/>
  </cols>
  <sheetData>
    <row r="1" spans="1:9" ht="13" customHeight="1">
      <c r="A1" s="1" t="s">
        <v>338</v>
      </c>
      <c r="B1" s="32" t="s">
        <v>480</v>
      </c>
      <c r="C1" s="1" t="s">
        <v>481</v>
      </c>
      <c r="D1" s="1" t="s">
        <v>482</v>
      </c>
      <c r="E1" s="1" t="s">
        <v>483</v>
      </c>
      <c r="F1" s="32" t="s">
        <v>484</v>
      </c>
      <c r="G1" s="1" t="s">
        <v>227</v>
      </c>
      <c r="I1" s="1" t="s">
        <v>485</v>
      </c>
    </row>
    <row r="2" spans="1:9" ht="13" customHeight="1">
      <c r="A2" s="6" t="s">
        <v>354</v>
      </c>
      <c r="B2" s="6">
        <v>1000</v>
      </c>
      <c r="C2" s="6">
        <v>9000</v>
      </c>
      <c r="D2" s="6">
        <v>8550</v>
      </c>
      <c r="E2" s="6" t="s">
        <v>486</v>
      </c>
      <c r="F2" s="60">
        <v>35.773200000000003</v>
      </c>
      <c r="G2" s="269" t="s">
        <v>487</v>
      </c>
      <c r="I2" s="91">
        <v>4.1840000000000001E-6</v>
      </c>
    </row>
    <row r="3" spans="1:9" ht="13" customHeight="1">
      <c r="A3" s="6" t="s">
        <v>367</v>
      </c>
      <c r="B3" s="6">
        <v>791</v>
      </c>
      <c r="C3" s="6">
        <v>7090</v>
      </c>
      <c r="D3" s="6">
        <v>6750</v>
      </c>
      <c r="E3" s="6" t="s">
        <v>488</v>
      </c>
      <c r="F3" s="60">
        <v>22.339421999999999</v>
      </c>
      <c r="G3" s="269" t="s">
        <v>920</v>
      </c>
    </row>
    <row r="4" spans="1:9" ht="13" customHeight="1">
      <c r="A4" s="6" t="s">
        <v>369</v>
      </c>
      <c r="B4" s="6">
        <v>809</v>
      </c>
      <c r="C4" s="6">
        <v>6650</v>
      </c>
      <c r="D4" s="6">
        <v>6300</v>
      </c>
      <c r="E4" s="6" t="s">
        <v>489</v>
      </c>
      <c r="F4" s="60">
        <v>21.324592800000001</v>
      </c>
      <c r="G4" s="269" t="s">
        <v>921</v>
      </c>
    </row>
    <row r="5" spans="1:9" ht="13" customHeight="1">
      <c r="A5" s="6" t="s">
        <v>490</v>
      </c>
      <c r="B5" s="6">
        <v>1025</v>
      </c>
      <c r="C5" s="6">
        <v>10500</v>
      </c>
      <c r="D5" s="6">
        <v>9790</v>
      </c>
      <c r="E5" s="6" t="s">
        <v>491</v>
      </c>
      <c r="F5" s="60">
        <v>41.985393999999999</v>
      </c>
      <c r="G5" s="269" t="s">
        <v>922</v>
      </c>
    </row>
    <row r="6" spans="1:9" ht="13" customHeight="1">
      <c r="A6" s="6" t="s">
        <v>213</v>
      </c>
      <c r="B6" s="6">
        <v>880</v>
      </c>
      <c r="C6" s="6">
        <v>9345</v>
      </c>
      <c r="D6" s="6">
        <v>9000</v>
      </c>
      <c r="E6" s="6" t="s">
        <v>492</v>
      </c>
      <c r="F6" s="60">
        <v>33.137280000000004</v>
      </c>
      <c r="G6" s="269" t="s">
        <v>923</v>
      </c>
    </row>
    <row r="7" spans="1:9" ht="13" customHeight="1">
      <c r="A7" s="6" t="s">
        <v>493</v>
      </c>
      <c r="B7" s="6"/>
      <c r="C7" s="6">
        <v>623</v>
      </c>
      <c r="D7" s="6">
        <v>620</v>
      </c>
      <c r="E7" s="6" t="s">
        <v>494</v>
      </c>
      <c r="F7" s="60">
        <v>0</v>
      </c>
      <c r="G7" s="269" t="s">
        <v>924</v>
      </c>
    </row>
    <row r="8" spans="1:9" ht="13" customHeight="1">
      <c r="A8" s="6" t="s">
        <v>495</v>
      </c>
      <c r="B8" s="6"/>
      <c r="C8" s="6">
        <v>7700</v>
      </c>
      <c r="D8" s="6">
        <v>7400</v>
      </c>
      <c r="E8" s="6" t="s">
        <v>496</v>
      </c>
      <c r="F8" s="60">
        <v>0</v>
      </c>
      <c r="G8" s="269" t="s">
        <v>925</v>
      </c>
    </row>
    <row r="9" spans="1:9" ht="13" customHeight="1">
      <c r="A9" s="6" t="s">
        <v>497</v>
      </c>
      <c r="B9" s="6"/>
      <c r="C9" s="6">
        <v>6800</v>
      </c>
      <c r="D9" s="6">
        <v>6420</v>
      </c>
      <c r="E9" s="6" t="s">
        <v>498</v>
      </c>
      <c r="F9" s="60">
        <v>0</v>
      </c>
      <c r="G9" s="269" t="s">
        <v>926</v>
      </c>
    </row>
    <row r="10" spans="1:9" ht="13" customHeight="1">
      <c r="A10" s="6" t="s">
        <v>499</v>
      </c>
      <c r="B10" s="6"/>
      <c r="C10" s="6">
        <v>3100</v>
      </c>
      <c r="D10" s="6">
        <v>2950</v>
      </c>
      <c r="E10" s="6" t="s">
        <v>500</v>
      </c>
      <c r="F10" s="60">
        <v>0</v>
      </c>
      <c r="G10" s="269" t="s">
        <v>927</v>
      </c>
    </row>
    <row r="11" spans="1:9" ht="13" customHeight="1">
      <c r="A11" s="6" t="s">
        <v>501</v>
      </c>
      <c r="B11" s="6"/>
      <c r="C11" s="6">
        <v>3300</v>
      </c>
      <c r="D11" s="6">
        <v>3100</v>
      </c>
      <c r="E11" s="6" t="s">
        <v>502</v>
      </c>
      <c r="F11" s="60">
        <v>0</v>
      </c>
      <c r="G11" s="269" t="s">
        <v>928</v>
      </c>
    </row>
    <row r="12" spans="1:9" ht="13" customHeight="1">
      <c r="A12" s="6" t="s">
        <v>503</v>
      </c>
      <c r="B12" s="6"/>
      <c r="C12" s="6">
        <v>3700</v>
      </c>
      <c r="D12" s="6">
        <v>3500</v>
      </c>
      <c r="E12" s="6" t="s">
        <v>504</v>
      </c>
      <c r="F12" s="60">
        <v>0</v>
      </c>
      <c r="G12" s="269" t="s">
        <v>929</v>
      </c>
    </row>
    <row r="13" spans="1:9" ht="13" customHeight="1">
      <c r="A13" s="6" t="s">
        <v>505</v>
      </c>
      <c r="B13" s="6"/>
      <c r="C13" s="6">
        <v>4200</v>
      </c>
      <c r="D13" s="6">
        <v>4000</v>
      </c>
      <c r="E13" s="6" t="s">
        <v>506</v>
      </c>
      <c r="F13" s="60">
        <v>0</v>
      </c>
      <c r="G13" s="269" t="s">
        <v>930</v>
      </c>
    </row>
    <row r="14" spans="1:9" ht="13" customHeight="1">
      <c r="A14" s="6" t="s">
        <v>507</v>
      </c>
      <c r="B14" s="6"/>
      <c r="C14" s="6">
        <v>4500</v>
      </c>
      <c r="D14" s="6">
        <v>4250</v>
      </c>
      <c r="E14" s="6" t="s">
        <v>508</v>
      </c>
      <c r="F14" s="60">
        <v>0</v>
      </c>
      <c r="G14" s="269" t="s">
        <v>931</v>
      </c>
    </row>
    <row r="15" spans="1:9" ht="13" customHeight="1">
      <c r="A15" s="6" t="s">
        <v>509</v>
      </c>
      <c r="B15" s="6"/>
      <c r="C15" s="6">
        <v>4700</v>
      </c>
      <c r="D15" s="6">
        <v>4450</v>
      </c>
      <c r="E15" s="6" t="s">
        <v>510</v>
      </c>
      <c r="F15" s="60">
        <v>0</v>
      </c>
      <c r="G15" s="269" t="s">
        <v>932</v>
      </c>
    </row>
    <row r="16" spans="1:9" ht="13" customHeight="1">
      <c r="A16" s="6" t="s">
        <v>511</v>
      </c>
      <c r="B16" s="6"/>
      <c r="C16" s="6">
        <v>5200</v>
      </c>
      <c r="D16" s="6">
        <v>4900</v>
      </c>
      <c r="E16" s="6" t="s">
        <v>512</v>
      </c>
      <c r="F16" s="60">
        <v>0</v>
      </c>
      <c r="G16" s="269" t="s">
        <v>933</v>
      </c>
    </row>
    <row r="17" spans="1:7" ht="13" customHeight="1">
      <c r="A17" s="6" t="s">
        <v>513</v>
      </c>
      <c r="B17" s="6"/>
      <c r="C17" s="6">
        <v>5900</v>
      </c>
      <c r="D17" s="6">
        <v>5600</v>
      </c>
      <c r="E17" s="6" t="s">
        <v>514</v>
      </c>
      <c r="F17" s="60">
        <v>0</v>
      </c>
      <c r="G17" s="269" t="s">
        <v>934</v>
      </c>
    </row>
    <row r="18" spans="1:7" ht="13" customHeight="1">
      <c r="A18" s="6" t="s">
        <v>515</v>
      </c>
      <c r="B18" s="6"/>
      <c r="C18" s="6">
        <v>6000</v>
      </c>
      <c r="D18" s="6">
        <v>5700</v>
      </c>
      <c r="E18" s="6" t="s">
        <v>516</v>
      </c>
      <c r="F18" s="60">
        <v>0</v>
      </c>
      <c r="G18" s="269" t="s">
        <v>935</v>
      </c>
    </row>
    <row r="19" spans="1:7" ht="13" customHeight="1">
      <c r="A19" s="6" t="s">
        <v>517</v>
      </c>
      <c r="B19" s="6"/>
      <c r="C19" s="6">
        <v>3000</v>
      </c>
      <c r="D19" s="6">
        <v>2850</v>
      </c>
      <c r="E19" s="6" t="s">
        <v>518</v>
      </c>
      <c r="F19" s="60">
        <v>0</v>
      </c>
      <c r="G19" s="269" t="s">
        <v>936</v>
      </c>
    </row>
    <row r="20" spans="1:7" ht="13" customHeight="1">
      <c r="A20" s="6" t="s">
        <v>363</v>
      </c>
      <c r="B20" s="6">
        <v>250</v>
      </c>
      <c r="C20" s="6">
        <v>6800</v>
      </c>
      <c r="D20" s="6">
        <v>6460</v>
      </c>
      <c r="E20" s="6" t="s">
        <v>364</v>
      </c>
      <c r="F20" s="60">
        <v>6.7571599999999998</v>
      </c>
      <c r="G20" s="269" t="s">
        <v>937</v>
      </c>
    </row>
    <row r="21" spans="1:7" ht="13" customHeight="1">
      <c r="A21" s="6" t="s">
        <v>519</v>
      </c>
      <c r="B21" s="6">
        <v>600</v>
      </c>
      <c r="C21" s="6">
        <v>7300</v>
      </c>
      <c r="D21" s="6">
        <v>6900</v>
      </c>
      <c r="E21" s="6" t="s">
        <v>520</v>
      </c>
      <c r="F21" s="60">
        <v>17.321760000000001</v>
      </c>
      <c r="G21" s="269" t="s">
        <v>938</v>
      </c>
    </row>
    <row r="22" spans="1:7" ht="13" customHeight="1">
      <c r="A22" s="6" t="s">
        <v>521</v>
      </c>
      <c r="B22" s="6">
        <v>1040</v>
      </c>
      <c r="C22" s="6">
        <v>8500</v>
      </c>
      <c r="D22" s="6">
        <v>8390</v>
      </c>
      <c r="E22" s="6" t="s">
        <v>522</v>
      </c>
      <c r="F22" s="60">
        <v>36.5079104</v>
      </c>
      <c r="G22" s="269" t="s">
        <v>939</v>
      </c>
    </row>
    <row r="23" spans="1:7" ht="13" customHeight="1">
      <c r="A23" s="6" t="s">
        <v>523</v>
      </c>
      <c r="B23" s="6"/>
      <c r="C23" s="6">
        <v>860</v>
      </c>
      <c r="D23" s="6">
        <v>860</v>
      </c>
      <c r="E23" s="6" t="s">
        <v>524</v>
      </c>
      <c r="F23" s="60">
        <v>0</v>
      </c>
      <c r="G23" s="269" t="s">
        <v>940</v>
      </c>
    </row>
    <row r="24" spans="1:7" ht="13" customHeight="1">
      <c r="A24" s="6" t="s">
        <v>525</v>
      </c>
      <c r="B24" s="6">
        <v>1000</v>
      </c>
      <c r="C24" s="6">
        <v>860</v>
      </c>
      <c r="D24" s="6">
        <v>860</v>
      </c>
      <c r="E24" s="6" t="s">
        <v>526</v>
      </c>
      <c r="F24" s="60">
        <v>3.5982400000000001</v>
      </c>
      <c r="G24" s="269" t="s">
        <v>941</v>
      </c>
    </row>
    <row r="25" spans="1:7" ht="13" customHeight="1">
      <c r="A25" s="6" t="s">
        <v>527</v>
      </c>
      <c r="B25" s="6"/>
      <c r="C25" s="6">
        <v>3900</v>
      </c>
      <c r="D25" s="6">
        <v>3800</v>
      </c>
      <c r="E25" s="6" t="s">
        <v>528</v>
      </c>
      <c r="F25" s="60">
        <v>0</v>
      </c>
      <c r="G25" s="269" t="s">
        <v>942</v>
      </c>
    </row>
    <row r="26" spans="1:7" ht="13" customHeight="1">
      <c r="A26" s="6" t="s">
        <v>529</v>
      </c>
      <c r="B26" s="6"/>
      <c r="C26" s="6">
        <v>4700</v>
      </c>
      <c r="D26" s="6">
        <v>4500</v>
      </c>
      <c r="E26" s="6" t="s">
        <v>530</v>
      </c>
      <c r="F26" s="60">
        <v>0</v>
      </c>
      <c r="G26" s="269" t="s">
        <v>943</v>
      </c>
    </row>
    <row r="27" spans="1:7" ht="13" customHeight="1">
      <c r="A27" s="6" t="s">
        <v>531</v>
      </c>
      <c r="B27" s="6"/>
      <c r="C27" s="6">
        <v>4500</v>
      </c>
      <c r="D27" s="6">
        <v>4300</v>
      </c>
      <c r="E27" s="6" t="s">
        <v>532</v>
      </c>
      <c r="F27" s="60">
        <v>0</v>
      </c>
      <c r="G27" s="269" t="s">
        <v>944</v>
      </c>
    </row>
    <row r="28" spans="1:7" ht="13" customHeight="1">
      <c r="A28" s="6" t="s">
        <v>533</v>
      </c>
      <c r="B28" s="6">
        <v>0.78</v>
      </c>
      <c r="C28" s="6">
        <v>8800</v>
      </c>
      <c r="D28" s="6">
        <v>8400</v>
      </c>
      <c r="E28" s="6" t="s">
        <v>534</v>
      </c>
      <c r="F28" s="60">
        <v>2.7413567999999999E-2</v>
      </c>
      <c r="G28" s="269" t="s">
        <v>945</v>
      </c>
    </row>
    <row r="29" spans="1:7" ht="13" customHeight="1">
      <c r="A29" s="6" t="s">
        <v>377</v>
      </c>
      <c r="B29" s="6">
        <v>552</v>
      </c>
      <c r="C29" s="6">
        <v>11750</v>
      </c>
      <c r="D29" s="6">
        <v>11100</v>
      </c>
      <c r="E29" s="6" t="s">
        <v>535</v>
      </c>
      <c r="F29" s="60">
        <v>25.636204800000002</v>
      </c>
      <c r="G29" s="269" t="s">
        <v>946</v>
      </c>
    </row>
    <row r="30" spans="1:7" ht="13" customHeight="1">
      <c r="A30" s="6" t="s">
        <v>370</v>
      </c>
      <c r="B30" s="6">
        <v>0.74</v>
      </c>
      <c r="C30" s="6">
        <v>10454</v>
      </c>
      <c r="D30" s="6">
        <v>9930</v>
      </c>
      <c r="E30" s="6" t="s">
        <v>536</v>
      </c>
      <c r="F30" s="31">
        <v>3.0744868799999998E-2</v>
      </c>
      <c r="G30" s="269" t="s">
        <v>947</v>
      </c>
    </row>
    <row r="31" spans="1:7" ht="13" customHeight="1">
      <c r="A31" s="6" t="s">
        <v>374</v>
      </c>
      <c r="B31" s="6">
        <v>0.74</v>
      </c>
      <c r="C31" s="6">
        <v>9256</v>
      </c>
      <c r="D31" s="6">
        <v>8800</v>
      </c>
      <c r="E31" s="6" t="s">
        <v>537</v>
      </c>
      <c r="F31" s="31">
        <v>2.7246208000000001E-2</v>
      </c>
      <c r="G31" s="269" t="s">
        <v>948</v>
      </c>
    </row>
    <row r="32" spans="1:7" ht="13" customHeight="1">
      <c r="A32" s="6" t="s">
        <v>372</v>
      </c>
      <c r="B32" s="6">
        <v>0.74</v>
      </c>
      <c r="C32" s="6">
        <v>10454</v>
      </c>
      <c r="D32" s="6">
        <v>9930</v>
      </c>
      <c r="E32" s="6" t="s">
        <v>536</v>
      </c>
      <c r="F32" s="31">
        <v>3.0744868799999998E-2</v>
      </c>
      <c r="G32" s="269" t="s">
        <v>949</v>
      </c>
    </row>
    <row r="33" spans="1:7" ht="13" customHeight="1">
      <c r="A33" s="6" t="s">
        <v>31</v>
      </c>
      <c r="B33" s="6">
        <v>742</v>
      </c>
      <c r="C33" s="6">
        <v>11220</v>
      </c>
      <c r="D33" s="6">
        <v>10400</v>
      </c>
      <c r="E33" s="6" t="s">
        <v>538</v>
      </c>
      <c r="F33" s="60">
        <v>32.287091199999999</v>
      </c>
      <c r="G33" s="269" t="s">
        <v>950</v>
      </c>
    </row>
    <row r="34" spans="1:7" ht="13" customHeight="1">
      <c r="A34" s="6" t="s">
        <v>539</v>
      </c>
      <c r="B34" s="6">
        <v>726</v>
      </c>
      <c r="C34" s="6">
        <v>11290</v>
      </c>
      <c r="D34" s="6">
        <v>10600</v>
      </c>
      <c r="E34" s="6" t="s">
        <v>540</v>
      </c>
      <c r="F34" s="60">
        <v>32.198390400000001</v>
      </c>
      <c r="G34" s="269" t="s">
        <v>951</v>
      </c>
    </row>
    <row r="35" spans="1:7" ht="13" customHeight="1">
      <c r="A35" s="6" t="s">
        <v>382</v>
      </c>
      <c r="B35" s="6">
        <v>300</v>
      </c>
      <c r="C35" s="6">
        <v>3300</v>
      </c>
      <c r="D35" s="6">
        <v>3100</v>
      </c>
      <c r="E35" s="6" t="s">
        <v>383</v>
      </c>
      <c r="F35" s="60">
        <v>3.8911199999999999</v>
      </c>
      <c r="G35" s="269" t="s">
        <v>952</v>
      </c>
    </row>
    <row r="36" spans="1:7" ht="13" customHeight="1">
      <c r="A36" s="6" t="s">
        <v>541</v>
      </c>
      <c r="B36" s="6">
        <v>390</v>
      </c>
      <c r="C36" s="6">
        <v>3300</v>
      </c>
      <c r="D36" s="6">
        <v>3100</v>
      </c>
      <c r="E36" s="6" t="s">
        <v>542</v>
      </c>
      <c r="F36" s="60">
        <v>5.0584560000000005</v>
      </c>
      <c r="G36" s="269" t="s">
        <v>953</v>
      </c>
    </row>
    <row r="37" spans="1:7" ht="13" customHeight="1">
      <c r="A37" s="6" t="s">
        <v>225</v>
      </c>
      <c r="B37" s="6">
        <v>1090</v>
      </c>
      <c r="C37" s="6">
        <v>3030</v>
      </c>
      <c r="D37" s="6">
        <v>2860</v>
      </c>
      <c r="E37" s="6" t="s">
        <v>543</v>
      </c>
      <c r="F37" s="60">
        <v>13.0432016</v>
      </c>
      <c r="G37" s="269" t="s">
        <v>954</v>
      </c>
    </row>
    <row r="38" spans="1:7" ht="13" customHeight="1">
      <c r="A38" s="6" t="s">
        <v>385</v>
      </c>
      <c r="B38" s="6">
        <v>1090</v>
      </c>
      <c r="C38" s="6">
        <v>3030</v>
      </c>
      <c r="D38" s="6">
        <v>2860</v>
      </c>
      <c r="E38" s="6" t="s">
        <v>543</v>
      </c>
      <c r="F38" s="60">
        <v>13.0432016</v>
      </c>
      <c r="G38" s="269" t="s">
        <v>955</v>
      </c>
    </row>
    <row r="39" spans="1:7" ht="13" customHeight="1">
      <c r="A39" s="6" t="s">
        <v>387</v>
      </c>
      <c r="B39" s="6">
        <v>875</v>
      </c>
      <c r="C39" s="6">
        <v>10770</v>
      </c>
      <c r="D39" s="6">
        <v>10120</v>
      </c>
      <c r="E39" s="6" t="s">
        <v>544</v>
      </c>
      <c r="F39" s="60">
        <v>37.049320000000002</v>
      </c>
      <c r="G39" s="269" t="s">
        <v>956</v>
      </c>
    </row>
    <row r="40" spans="1:7" ht="13" customHeight="1">
      <c r="A40" s="6" t="s">
        <v>379</v>
      </c>
      <c r="B40" s="6">
        <v>875</v>
      </c>
      <c r="C40" s="6">
        <v>10770</v>
      </c>
      <c r="D40" s="6">
        <v>10120</v>
      </c>
      <c r="E40" s="6" t="s">
        <v>544</v>
      </c>
      <c r="F40" s="60">
        <v>37.049320000000002</v>
      </c>
      <c r="G40" s="269" t="s">
        <v>957</v>
      </c>
    </row>
    <row r="41" spans="1:7" ht="13" customHeight="1">
      <c r="A41" s="6" t="s">
        <v>545</v>
      </c>
      <c r="B41" s="6">
        <v>1420</v>
      </c>
      <c r="C41" s="6">
        <v>1930</v>
      </c>
      <c r="D41" s="6">
        <v>1850</v>
      </c>
      <c r="E41" s="6" t="s">
        <v>546</v>
      </c>
      <c r="F41" s="60">
        <v>10.991368</v>
      </c>
      <c r="G41" s="269" t="s">
        <v>958</v>
      </c>
    </row>
    <row r="42" spans="1:7" ht="13" customHeight="1">
      <c r="A42" s="6" t="s">
        <v>547</v>
      </c>
      <c r="B42" s="6">
        <v>702</v>
      </c>
      <c r="C42" s="6">
        <v>11320</v>
      </c>
      <c r="D42" s="6">
        <v>10630</v>
      </c>
      <c r="E42" s="6" t="s">
        <v>548</v>
      </c>
      <c r="F42" s="60">
        <v>31.222095840000001</v>
      </c>
      <c r="G42" s="269" t="s">
        <v>959</v>
      </c>
    </row>
    <row r="43" spans="1:7" ht="13" customHeight="1">
      <c r="A43" s="6" t="s">
        <v>392</v>
      </c>
      <c r="B43" s="6">
        <v>1000</v>
      </c>
      <c r="C43" s="6">
        <v>10085</v>
      </c>
      <c r="D43" s="6">
        <v>9590</v>
      </c>
      <c r="E43" s="6" t="s">
        <v>549</v>
      </c>
      <c r="F43" s="60">
        <v>40.124560000000002</v>
      </c>
      <c r="G43" s="269" t="s">
        <v>960</v>
      </c>
    </row>
    <row r="44" spans="1:7" ht="13" customHeight="1">
      <c r="A44" s="6" t="s">
        <v>32</v>
      </c>
      <c r="B44" s="6">
        <v>840</v>
      </c>
      <c r="C44" s="6">
        <v>10750</v>
      </c>
      <c r="D44" s="6">
        <v>10100</v>
      </c>
      <c r="E44" s="6" t="s">
        <v>550</v>
      </c>
      <c r="F44" s="60">
        <v>35.497056000000001</v>
      </c>
      <c r="G44" s="269" t="s">
        <v>961</v>
      </c>
    </row>
    <row r="45" spans="1:7" ht="13" customHeight="1">
      <c r="A45" s="6" t="s">
        <v>394</v>
      </c>
      <c r="B45" s="6">
        <v>864</v>
      </c>
      <c r="C45" s="6">
        <v>10800</v>
      </c>
      <c r="D45" s="6">
        <v>10200</v>
      </c>
      <c r="E45" s="6" t="s">
        <v>551</v>
      </c>
      <c r="F45" s="60">
        <v>36.8727552</v>
      </c>
      <c r="G45" s="269" t="s">
        <v>962</v>
      </c>
    </row>
    <row r="46" spans="1:7" ht="13" customHeight="1">
      <c r="A46" s="6" t="s">
        <v>552</v>
      </c>
      <c r="B46" s="6">
        <v>864</v>
      </c>
      <c r="C46" s="6">
        <v>10800</v>
      </c>
      <c r="D46" s="6">
        <v>10200</v>
      </c>
      <c r="E46" s="6" t="s">
        <v>553</v>
      </c>
      <c r="F46" s="60">
        <v>36.8727552</v>
      </c>
      <c r="G46" s="269" t="s">
        <v>963</v>
      </c>
    </row>
    <row r="47" spans="1:7" ht="13" customHeight="1">
      <c r="A47" s="6" t="s">
        <v>554</v>
      </c>
      <c r="B47" s="6">
        <v>884</v>
      </c>
      <c r="C47" s="6">
        <v>10800</v>
      </c>
      <c r="D47" s="6">
        <v>10800</v>
      </c>
      <c r="E47" s="6" t="s">
        <v>555</v>
      </c>
      <c r="F47" s="60">
        <v>39.945484800000003</v>
      </c>
      <c r="G47" s="269" t="s">
        <v>964</v>
      </c>
    </row>
    <row r="48" spans="1:7" ht="13" customHeight="1">
      <c r="A48" s="6" t="s">
        <v>556</v>
      </c>
      <c r="B48" s="6">
        <v>799</v>
      </c>
      <c r="C48" s="6">
        <v>11090</v>
      </c>
      <c r="D48" s="6">
        <v>10400</v>
      </c>
      <c r="E48" s="6" t="s">
        <v>557</v>
      </c>
      <c r="F48" s="60">
        <v>34.7673664</v>
      </c>
      <c r="G48" s="269" t="s">
        <v>965</v>
      </c>
    </row>
    <row r="49" spans="1:7" ht="13" customHeight="1">
      <c r="A49" s="6" t="s">
        <v>558</v>
      </c>
      <c r="B49" s="6">
        <v>799</v>
      </c>
      <c r="C49" s="6">
        <v>11090</v>
      </c>
      <c r="D49" s="6">
        <v>10400</v>
      </c>
      <c r="E49" s="6" t="s">
        <v>559</v>
      </c>
      <c r="F49" s="60">
        <v>34.7673664</v>
      </c>
      <c r="G49" s="269" t="s">
        <v>966</v>
      </c>
    </row>
    <row r="50" spans="1:7" ht="13" customHeight="1">
      <c r="A50" s="6" t="s">
        <v>560</v>
      </c>
      <c r="B50" s="6">
        <v>741</v>
      </c>
      <c r="C50" s="6">
        <v>11240</v>
      </c>
      <c r="D50" s="6">
        <v>10550</v>
      </c>
      <c r="E50" s="6" t="s">
        <v>561</v>
      </c>
      <c r="F50" s="60">
        <v>32.708629199999997</v>
      </c>
      <c r="G50" s="269" t="s">
        <v>967</v>
      </c>
    </row>
    <row r="51" spans="1:7" ht="13" customHeight="1">
      <c r="A51" s="6" t="s">
        <v>562</v>
      </c>
      <c r="B51" s="6">
        <v>792</v>
      </c>
      <c r="C51" s="6"/>
      <c r="D51" s="6"/>
      <c r="E51" s="6"/>
      <c r="F51" s="60">
        <v>0</v>
      </c>
      <c r="G51" s="6" t="s">
        <v>390</v>
      </c>
    </row>
    <row r="52" spans="1:7" ht="13" customHeight="1">
      <c r="A52" s="6" t="s">
        <v>563</v>
      </c>
      <c r="B52" s="6">
        <v>792</v>
      </c>
      <c r="C52" s="6"/>
      <c r="D52" s="6"/>
      <c r="E52" s="6"/>
      <c r="F52" s="60">
        <v>0</v>
      </c>
      <c r="G52" s="6" t="s">
        <v>390</v>
      </c>
    </row>
    <row r="53" spans="1:7" ht="13" customHeight="1">
      <c r="A53" s="6" t="s">
        <v>358</v>
      </c>
      <c r="B53" s="6">
        <v>250</v>
      </c>
      <c r="C53" s="6">
        <v>5000</v>
      </c>
      <c r="D53" s="6">
        <v>3000</v>
      </c>
      <c r="E53" s="6"/>
      <c r="F53" s="60">
        <v>3.1379999999999999</v>
      </c>
      <c r="G53" s="6" t="s">
        <v>564</v>
      </c>
    </row>
    <row r="54" spans="1:7" ht="13" customHeight="1">
      <c r="A54" s="6" t="s">
        <v>565</v>
      </c>
      <c r="B54" s="6">
        <v>496.49999999999994</v>
      </c>
      <c r="C54" s="6"/>
      <c r="D54" s="6"/>
      <c r="E54" s="6"/>
      <c r="F54" s="6"/>
      <c r="G54" s="6" t="s">
        <v>566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1C40-C829-43AA-9AC1-25E16EAC6917}">
  <dimension ref="A1:P23"/>
  <sheetViews>
    <sheetView showGridLines="0" workbookViewId="0">
      <selection sqref="A1:P20"/>
    </sheetView>
  </sheetViews>
  <sheetFormatPr baseColWidth="10" defaultColWidth="8.83203125" defaultRowHeight="25" customHeight="1"/>
  <cols>
    <col min="1" max="13" width="10.6640625" customWidth="1"/>
    <col min="14" max="15" width="30.5" bestFit="1" customWidth="1"/>
    <col min="16" max="16" width="23.6640625" customWidth="1"/>
  </cols>
  <sheetData>
    <row r="1" spans="1:16" s="168" customFormat="1" ht="25" customHeight="1">
      <c r="A1" s="63" t="s">
        <v>398</v>
      </c>
      <c r="B1" s="63" t="s">
        <v>84</v>
      </c>
      <c r="C1" s="63" t="s">
        <v>86</v>
      </c>
      <c r="D1" s="63" t="s">
        <v>87</v>
      </c>
      <c r="E1" s="63" t="s">
        <v>88</v>
      </c>
      <c r="F1" s="63" t="s">
        <v>89</v>
      </c>
      <c r="G1" s="63" t="s">
        <v>90</v>
      </c>
      <c r="H1" s="63" t="s">
        <v>399</v>
      </c>
      <c r="I1" s="63" t="s">
        <v>400</v>
      </c>
      <c r="J1" s="63" t="s">
        <v>401</v>
      </c>
      <c r="K1" s="63" t="s">
        <v>402</v>
      </c>
      <c r="L1" s="63" t="s">
        <v>403</v>
      </c>
      <c r="M1" s="63" t="s">
        <v>404</v>
      </c>
      <c r="N1" s="63" t="s">
        <v>745</v>
      </c>
      <c r="O1" s="63" t="s">
        <v>746</v>
      </c>
      <c r="P1" s="65" t="s">
        <v>227</v>
      </c>
    </row>
    <row r="2" spans="1:16" ht="25" customHeight="1">
      <c r="A2" s="5">
        <v>2006</v>
      </c>
      <c r="B2" s="169">
        <v>3.2199999999999999E-2</v>
      </c>
      <c r="C2" s="169">
        <v>3.4599999999999999E-2</v>
      </c>
      <c r="D2" s="169">
        <v>3.3700000000000001E-2</v>
      </c>
      <c r="E2" s="169">
        <v>2.75E-2</v>
      </c>
      <c r="F2" s="169">
        <v>3.1699999999999999E-2</v>
      </c>
      <c r="G2" s="169">
        <v>3.0599999999999999E-2</v>
      </c>
      <c r="H2" s="169">
        <v>3.5099999999999999E-2</v>
      </c>
      <c r="I2" s="169">
        <v>3.3599999999999998E-2</v>
      </c>
      <c r="J2" s="169">
        <v>3.8300000000000001E-2</v>
      </c>
      <c r="K2" s="169">
        <v>3.5999999999999997E-2</v>
      </c>
      <c r="L2" s="169">
        <v>2.6499999999999999E-2</v>
      </c>
      <c r="M2" s="169">
        <v>2.8000000000000001E-2</v>
      </c>
      <c r="N2" s="169">
        <f>AVERAGE(B2:M2)</f>
        <v>3.2316666666666667E-2</v>
      </c>
      <c r="O2" s="78">
        <f>N2/3.6</f>
        <v>8.9768518518518522E-3</v>
      </c>
      <c r="P2" s="269" t="s">
        <v>747</v>
      </c>
    </row>
    <row r="3" spans="1:16" ht="25" customHeight="1">
      <c r="A3" s="5">
        <v>2007</v>
      </c>
      <c r="B3" s="169">
        <v>2.29E-2</v>
      </c>
      <c r="C3" s="169">
        <v>1.95E-2</v>
      </c>
      <c r="D3" s="169">
        <v>1.95E-2</v>
      </c>
      <c r="E3" s="169">
        <v>1.9699999999999999E-2</v>
      </c>
      <c r="F3" s="169">
        <v>1.61E-2</v>
      </c>
      <c r="G3" s="169">
        <v>2.5600000000000001E-2</v>
      </c>
      <c r="H3" s="169">
        <v>3.1E-2</v>
      </c>
      <c r="I3" s="169">
        <v>3.2399999999999998E-2</v>
      </c>
      <c r="J3" s="169">
        <v>3.5499999999999997E-2</v>
      </c>
      <c r="K3" s="169">
        <v>3.7699999999999997E-2</v>
      </c>
      <c r="L3" s="169">
        <v>4.0599999999999997E-2</v>
      </c>
      <c r="M3" s="169">
        <v>4.9599999999999998E-2</v>
      </c>
      <c r="N3" s="169">
        <f t="shared" ref="N3:N18" si="0">AVERAGE(B3:M3)</f>
        <v>2.9174999999999996E-2</v>
      </c>
      <c r="O3" s="78">
        <f t="shared" ref="O3:O16" si="1">N3/3.6</f>
        <v>8.1041666666666658E-3</v>
      </c>
      <c r="P3" s="269" t="s">
        <v>747</v>
      </c>
    </row>
    <row r="4" spans="1:16" ht="25" customHeight="1">
      <c r="A4" s="5">
        <v>2008</v>
      </c>
      <c r="B4" s="169">
        <v>5.8400000000000001E-2</v>
      </c>
      <c r="C4" s="169">
        <v>6.6799999999999998E-2</v>
      </c>
      <c r="D4" s="169">
        <v>5.9900000000000002E-2</v>
      </c>
      <c r="E4" s="169">
        <v>4.53E-2</v>
      </c>
      <c r="F4" s="169">
        <v>4.5900000000000003E-2</v>
      </c>
      <c r="G4" s="169">
        <v>5.21E-2</v>
      </c>
      <c r="H4" s="169">
        <v>4.3700000000000003E-2</v>
      </c>
      <c r="I4" s="169">
        <v>4.2500000000000003E-2</v>
      </c>
      <c r="J4" s="169">
        <v>4.1099999999999998E-2</v>
      </c>
      <c r="K4" s="169">
        <v>4.3799999999999999E-2</v>
      </c>
      <c r="L4" s="169">
        <v>3.3399999999999999E-2</v>
      </c>
      <c r="M4" s="169">
        <v>4.7699999999999999E-2</v>
      </c>
      <c r="N4" s="169">
        <f t="shared" si="0"/>
        <v>4.8383333333333334E-2</v>
      </c>
      <c r="O4" s="78">
        <f t="shared" si="1"/>
        <v>1.3439814814814814E-2</v>
      </c>
      <c r="P4" s="269" t="s">
        <v>747</v>
      </c>
    </row>
    <row r="5" spans="1:16" ht="25" customHeight="1">
      <c r="A5" s="5">
        <v>2009</v>
      </c>
      <c r="B5" s="169">
        <v>2.81E-2</v>
      </c>
      <c r="C5" s="169">
        <v>2.3699999999999999E-2</v>
      </c>
      <c r="D5" s="169">
        <v>2.47E-2</v>
      </c>
      <c r="E5" s="169">
        <v>2.4500000000000001E-2</v>
      </c>
      <c r="F5" s="169">
        <v>4.0500000000000001E-2</v>
      </c>
      <c r="G5" s="169">
        <v>3.6900000000000002E-2</v>
      </c>
      <c r="H5" s="169">
        <v>2.41E-2</v>
      </c>
      <c r="I5" s="169">
        <v>1.9900000000000001E-2</v>
      </c>
      <c r="J5" s="169">
        <v>1.6199999999999999E-2</v>
      </c>
      <c r="K5" s="169">
        <v>1.7899999999999999E-2</v>
      </c>
      <c r="L5" s="169">
        <v>1.8100000000000002E-2</v>
      </c>
      <c r="M5" s="169">
        <v>1.9400000000000001E-2</v>
      </c>
      <c r="N5" s="169">
        <f t="shared" si="0"/>
        <v>2.4500000000000004E-2</v>
      </c>
      <c r="O5" s="78">
        <f t="shared" si="1"/>
        <v>6.8055555555555569E-3</v>
      </c>
      <c r="P5" s="269" t="s">
        <v>747</v>
      </c>
    </row>
    <row r="6" spans="1:16" ht="25" customHeight="1">
      <c r="A6" s="5">
        <v>2010</v>
      </c>
      <c r="B6" s="169">
        <v>2.1100000000000001E-2</v>
      </c>
      <c r="C6" s="169">
        <v>2.8000000000000001E-2</v>
      </c>
      <c r="D6" s="169">
        <v>2.4299999999999999E-2</v>
      </c>
      <c r="E6" s="169">
        <v>2.3800000000000002E-2</v>
      </c>
      <c r="F6" s="169">
        <v>3.4099999999999998E-2</v>
      </c>
      <c r="G6" s="169">
        <v>5.0599999999999999E-2</v>
      </c>
      <c r="H6" s="169">
        <v>4.3499999999999997E-2</v>
      </c>
      <c r="I6" s="169">
        <v>7.7399999999999997E-2</v>
      </c>
      <c r="J6" s="169">
        <v>9.0700000000000003E-2</v>
      </c>
      <c r="K6" s="169">
        <v>8.1699999999999995E-2</v>
      </c>
      <c r="L6" s="169">
        <v>8.6900000000000005E-2</v>
      </c>
      <c r="M6" s="169">
        <v>5.3199999999999997E-2</v>
      </c>
      <c r="N6" s="169">
        <f t="shared" si="0"/>
        <v>5.1274999999999994E-2</v>
      </c>
      <c r="O6" s="78">
        <f t="shared" si="1"/>
        <v>1.4243055555555554E-2</v>
      </c>
      <c r="P6" s="269" t="s">
        <v>747</v>
      </c>
    </row>
    <row r="7" spans="1:16" ht="25" customHeight="1">
      <c r="A7" s="5">
        <v>2011</v>
      </c>
      <c r="B7" s="169">
        <v>2.6200000000000001E-2</v>
      </c>
      <c r="C7" s="169">
        <v>2.8799999999999999E-2</v>
      </c>
      <c r="D7" s="169">
        <v>2.0799999999999999E-2</v>
      </c>
      <c r="E7" s="169">
        <v>1.9800000000000002E-2</v>
      </c>
      <c r="F7" s="169">
        <v>2.7E-2</v>
      </c>
      <c r="G7" s="169">
        <v>3.4099999999999998E-2</v>
      </c>
      <c r="H7" s="169">
        <v>3.0800000000000001E-2</v>
      </c>
      <c r="I7" s="169">
        <v>3.0099999999999998E-2</v>
      </c>
      <c r="J7" s="169">
        <v>2.7300000000000001E-2</v>
      </c>
      <c r="K7" s="169">
        <v>3.5000000000000003E-2</v>
      </c>
      <c r="L7" s="169">
        <v>3.56E-2</v>
      </c>
      <c r="M7" s="169">
        <v>3.49E-2</v>
      </c>
      <c r="N7" s="169">
        <f t="shared" si="0"/>
        <v>2.92E-2</v>
      </c>
      <c r="O7" s="78">
        <f t="shared" si="1"/>
        <v>8.1111111111111106E-3</v>
      </c>
      <c r="P7" s="269" t="s">
        <v>747</v>
      </c>
    </row>
    <row r="8" spans="1:16" ht="25" customHeight="1">
      <c r="A8" s="5">
        <v>2012</v>
      </c>
      <c r="B8" s="169">
        <v>2.9399999999999999E-2</v>
      </c>
      <c r="C8" s="169">
        <v>3.2199999999999999E-2</v>
      </c>
      <c r="D8" s="169">
        <v>4.0500000000000001E-2</v>
      </c>
      <c r="E8" s="169">
        <v>6.4199999999999993E-2</v>
      </c>
      <c r="F8" s="169">
        <v>6.2E-2</v>
      </c>
      <c r="G8" s="169">
        <v>5.2200000000000003E-2</v>
      </c>
      <c r="H8" s="169">
        <v>3.9399999999999998E-2</v>
      </c>
      <c r="I8" s="169">
        <v>4.5999999999999999E-2</v>
      </c>
      <c r="J8" s="169">
        <v>7.8299999999999995E-2</v>
      </c>
      <c r="K8" s="169">
        <v>9.8400000000000001E-2</v>
      </c>
      <c r="L8" s="169">
        <v>0.12470000000000001</v>
      </c>
      <c r="M8" s="169">
        <v>0.1168</v>
      </c>
      <c r="N8" s="169">
        <f t="shared" si="0"/>
        <v>6.5341666666666673E-2</v>
      </c>
      <c r="O8" s="78">
        <f t="shared" si="1"/>
        <v>1.8150462962962965E-2</v>
      </c>
      <c r="P8" s="269" t="s">
        <v>747</v>
      </c>
    </row>
    <row r="9" spans="1:16" ht="25" customHeight="1">
      <c r="A9" s="5">
        <v>2013</v>
      </c>
      <c r="B9" s="169">
        <v>0.11509999999999999</v>
      </c>
      <c r="C9" s="169">
        <v>0.109</v>
      </c>
      <c r="D9" s="169">
        <v>9.8100000000000007E-2</v>
      </c>
      <c r="E9" s="169">
        <v>9.5899999999999999E-2</v>
      </c>
      <c r="F9" s="169">
        <v>0.11509999999999999</v>
      </c>
      <c r="G9" s="169">
        <v>0.1079</v>
      </c>
      <c r="H9" s="169">
        <v>8.3799999999999999E-2</v>
      </c>
      <c r="I9" s="169">
        <v>8.3299999999999999E-2</v>
      </c>
      <c r="J9" s="169">
        <v>8.4000000000000005E-2</v>
      </c>
      <c r="K9" s="169">
        <v>8.3099999999999993E-2</v>
      </c>
      <c r="L9" s="169">
        <v>9.2999999999999999E-2</v>
      </c>
      <c r="M9" s="169">
        <v>8.4099999999999994E-2</v>
      </c>
      <c r="N9" s="169">
        <f t="shared" si="0"/>
        <v>9.6033333333333346E-2</v>
      </c>
      <c r="O9" s="78">
        <f t="shared" si="1"/>
        <v>2.6675925925925929E-2</v>
      </c>
      <c r="P9" s="269" t="s">
        <v>747</v>
      </c>
    </row>
    <row r="10" spans="1:16" ht="25" customHeight="1">
      <c r="A10" s="5">
        <v>2014</v>
      </c>
      <c r="B10" s="169">
        <v>9.11E-2</v>
      </c>
      <c r="C10" s="169">
        <v>0.1169</v>
      </c>
      <c r="D10" s="169">
        <v>0.12379999999999999</v>
      </c>
      <c r="E10" s="169">
        <v>0.13100000000000001</v>
      </c>
      <c r="F10" s="169">
        <v>0.14219999999999999</v>
      </c>
      <c r="G10" s="169">
        <v>0.14399999999999999</v>
      </c>
      <c r="H10" s="169">
        <v>0.1464</v>
      </c>
      <c r="I10" s="169">
        <v>0.1578</v>
      </c>
      <c r="J10" s="169">
        <v>0.1431</v>
      </c>
      <c r="K10" s="169">
        <v>0.14130000000000001</v>
      </c>
      <c r="L10" s="169">
        <v>0.15140000000000001</v>
      </c>
      <c r="M10" s="169">
        <v>0.1368</v>
      </c>
      <c r="N10" s="169">
        <f t="shared" si="0"/>
        <v>0.13548333333333332</v>
      </c>
      <c r="O10" s="78">
        <f t="shared" si="1"/>
        <v>3.7634259259259256E-2</v>
      </c>
      <c r="P10" s="269" t="s">
        <v>747</v>
      </c>
    </row>
    <row r="11" spans="1:16" ht="25" customHeight="1">
      <c r="A11" s="5">
        <v>2015</v>
      </c>
      <c r="B11" s="169">
        <v>0.1275</v>
      </c>
      <c r="C11" s="169">
        <v>0.1321</v>
      </c>
      <c r="D11" s="169">
        <v>0.13689999999999999</v>
      </c>
      <c r="E11" s="169">
        <v>0.13009999999999999</v>
      </c>
      <c r="F11" s="169">
        <v>0.1258</v>
      </c>
      <c r="G11" s="169">
        <v>0.1406</v>
      </c>
      <c r="H11" s="169">
        <v>0.1221</v>
      </c>
      <c r="I11" s="169">
        <v>0.1183</v>
      </c>
      <c r="J11" s="169">
        <v>0.1217</v>
      </c>
      <c r="K11" s="169">
        <v>0.11799999999999999</v>
      </c>
      <c r="L11" s="169">
        <v>0.11269999999999999</v>
      </c>
      <c r="M11" s="169">
        <v>0.1075</v>
      </c>
      <c r="N11" s="169">
        <f t="shared" si="0"/>
        <v>0.12444166666666666</v>
      </c>
      <c r="O11" s="78">
        <f t="shared" si="1"/>
        <v>3.4567129629629628E-2</v>
      </c>
      <c r="P11" s="269" t="s">
        <v>747</v>
      </c>
    </row>
    <row r="12" spans="1:16" ht="25" customHeight="1">
      <c r="A12" s="5">
        <v>2016</v>
      </c>
      <c r="B12" s="169">
        <v>9.6000000000000002E-2</v>
      </c>
      <c r="C12" s="169">
        <v>8.1500000000000003E-2</v>
      </c>
      <c r="D12" s="169">
        <v>7.0999999999999994E-2</v>
      </c>
      <c r="E12" s="169">
        <v>7.5700000000000003E-2</v>
      </c>
      <c r="F12" s="169">
        <v>7.0099999999999996E-2</v>
      </c>
      <c r="G12" s="169">
        <v>7.5999999999999998E-2</v>
      </c>
      <c r="H12" s="169">
        <v>7.2499999999999995E-2</v>
      </c>
      <c r="I12" s="169">
        <v>8.3599999999999994E-2</v>
      </c>
      <c r="J12" s="169">
        <v>8.9700000000000002E-2</v>
      </c>
      <c r="K12" s="169">
        <v>9.2499999999999999E-2</v>
      </c>
      <c r="L12" s="169">
        <v>0.1002</v>
      </c>
      <c r="M12" s="169">
        <v>7.1400000000000005E-2</v>
      </c>
      <c r="N12" s="169">
        <f t="shared" si="0"/>
        <v>8.168333333333333E-2</v>
      </c>
      <c r="O12" s="78">
        <f t="shared" si="1"/>
        <v>2.2689814814814812E-2</v>
      </c>
      <c r="P12" s="269" t="s">
        <v>747</v>
      </c>
    </row>
    <row r="13" spans="1:16" ht="25" customHeight="1">
      <c r="A13" s="5">
        <v>2017</v>
      </c>
      <c r="B13" s="169">
        <v>5.6599999999999998E-2</v>
      </c>
      <c r="C13" s="169">
        <v>5.3600000000000002E-2</v>
      </c>
      <c r="D13" s="169">
        <v>6.9599999999999995E-2</v>
      </c>
      <c r="E13" s="169">
        <v>8.1500000000000003E-2</v>
      </c>
      <c r="F13" s="169">
        <v>8.4699999999999998E-2</v>
      </c>
      <c r="G13" s="169">
        <v>6.7599999999999993E-2</v>
      </c>
      <c r="H13" s="169">
        <v>9.6500000000000002E-2</v>
      </c>
      <c r="I13" s="169">
        <v>0.13120000000000001</v>
      </c>
      <c r="J13" s="169">
        <v>0.12640000000000001</v>
      </c>
      <c r="K13" s="169">
        <v>0.1366</v>
      </c>
      <c r="L13" s="169">
        <v>0.1193</v>
      </c>
      <c r="M13" s="169">
        <v>8.9200000000000002E-2</v>
      </c>
      <c r="N13" s="169">
        <f t="shared" si="0"/>
        <v>9.2733333333333334E-2</v>
      </c>
      <c r="O13" s="78">
        <f t="shared" si="1"/>
        <v>2.575925925925926E-2</v>
      </c>
      <c r="P13" s="269" t="s">
        <v>747</v>
      </c>
    </row>
    <row r="14" spans="1:16" ht="25" customHeight="1">
      <c r="A14" s="5">
        <v>2018</v>
      </c>
      <c r="B14" s="169">
        <v>6.4000000000000001E-2</v>
      </c>
      <c r="C14" s="169">
        <v>6.08E-2</v>
      </c>
      <c r="D14" s="169">
        <v>6.3500000000000001E-2</v>
      </c>
      <c r="E14" s="169">
        <v>5.2299999999999999E-2</v>
      </c>
      <c r="F14" s="169">
        <v>6.0699999999999997E-2</v>
      </c>
      <c r="G14" s="169">
        <v>9.1499999999999998E-2</v>
      </c>
      <c r="H14" s="169">
        <v>0.1076</v>
      </c>
      <c r="I14" s="169">
        <v>0.1181</v>
      </c>
      <c r="J14" s="169">
        <v>0.1182</v>
      </c>
      <c r="K14" s="169">
        <v>8.0199999999999994E-2</v>
      </c>
      <c r="L14" s="169">
        <v>3.6600000000000001E-2</v>
      </c>
      <c r="M14" s="169">
        <v>3.4299999999999997E-2</v>
      </c>
      <c r="N14" s="169">
        <f>AVERAGE(B14:M14)</f>
        <v>7.3983333333333332E-2</v>
      </c>
      <c r="O14" s="78">
        <f t="shared" si="1"/>
        <v>2.0550925925925924E-2</v>
      </c>
      <c r="P14" s="269" t="s">
        <v>747</v>
      </c>
    </row>
    <row r="15" spans="1:16" ht="25" customHeight="1">
      <c r="A15" s="5">
        <v>2019</v>
      </c>
      <c r="B15" s="169">
        <v>3.5499999999999997E-2</v>
      </c>
      <c r="C15" s="169">
        <v>6.6699999999999995E-2</v>
      </c>
      <c r="D15" s="169">
        <v>5.2999999999999999E-2</v>
      </c>
      <c r="E15" s="169">
        <v>5.1400000000000001E-2</v>
      </c>
      <c r="F15" s="169">
        <v>4.82E-2</v>
      </c>
      <c r="G15" s="169">
        <v>4.2599999999999999E-2</v>
      </c>
      <c r="H15" s="169">
        <v>9.06E-2</v>
      </c>
      <c r="I15" s="169">
        <v>0.107</v>
      </c>
      <c r="J15" s="169">
        <v>0.1024</v>
      </c>
      <c r="K15" s="169">
        <v>0.104</v>
      </c>
      <c r="L15" s="169">
        <v>0.10780000000000001</v>
      </c>
      <c r="M15" s="169">
        <v>9.1300000000000006E-2</v>
      </c>
      <c r="N15" s="169">
        <f>AVERAGE(B15:M15)</f>
        <v>7.5041666666666673E-2</v>
      </c>
      <c r="O15" s="78">
        <f t="shared" si="1"/>
        <v>2.0844907407407409E-2</v>
      </c>
      <c r="P15" s="269" t="s">
        <v>747</v>
      </c>
    </row>
    <row r="16" spans="1:16" ht="25" customHeight="1">
      <c r="A16" s="5">
        <v>2020</v>
      </c>
      <c r="B16" s="169">
        <v>9.1600000000000001E-2</v>
      </c>
      <c r="C16" s="169">
        <v>5.5800000000000002E-2</v>
      </c>
      <c r="D16" s="169">
        <v>3.8399999999999997E-2</v>
      </c>
      <c r="E16" s="169">
        <v>2.9600000000000001E-2</v>
      </c>
      <c r="F16" s="169">
        <v>3.5799999999999998E-2</v>
      </c>
      <c r="G16" s="169">
        <v>4.9099999999999998E-2</v>
      </c>
      <c r="H16" s="169">
        <v>0.04</v>
      </c>
      <c r="I16" s="169">
        <v>4.1399999999999999E-2</v>
      </c>
      <c r="J16" s="169">
        <v>3.2899999999999999E-2</v>
      </c>
      <c r="K16" s="169">
        <v>9.6100000000000005E-2</v>
      </c>
      <c r="L16" s="169">
        <v>0.1191</v>
      </c>
      <c r="M16" s="169">
        <v>0.1109</v>
      </c>
      <c r="N16" s="169">
        <f>AVERAGE(B16:M16)</f>
        <v>6.1724999999999995E-2</v>
      </c>
      <c r="O16" s="78">
        <f t="shared" si="1"/>
        <v>1.7145833333333332E-2</v>
      </c>
      <c r="P16" s="269" t="s">
        <v>747</v>
      </c>
    </row>
    <row r="17" spans="1:16" ht="25" customHeight="1">
      <c r="A17" s="5">
        <v>2021</v>
      </c>
      <c r="B17" s="170">
        <v>0.1164</v>
      </c>
      <c r="C17" s="170">
        <v>8.2000000000000003E-2</v>
      </c>
      <c r="D17" s="170">
        <v>6.7299999999999999E-2</v>
      </c>
      <c r="E17" s="170">
        <v>7.6399999999999996E-2</v>
      </c>
      <c r="F17" s="170">
        <v>8.8300000000000003E-2</v>
      </c>
      <c r="G17" s="170">
        <v>0.14910000000000001</v>
      </c>
      <c r="H17" s="148">
        <v>0.16339999999999999</v>
      </c>
      <c r="I17" s="148">
        <v>0.17430000000000001</v>
      </c>
      <c r="J17" s="148">
        <v>0.1699</v>
      </c>
      <c r="K17" s="6">
        <v>0.17860000000000001</v>
      </c>
      <c r="L17" s="6">
        <v>0.1484</v>
      </c>
      <c r="M17" s="6">
        <v>0.10290000000000001</v>
      </c>
      <c r="N17" s="169">
        <f t="shared" si="0"/>
        <v>0.1264166666666667</v>
      </c>
      <c r="O17" s="78">
        <f>N17/3.6</f>
        <v>3.5115740740740753E-2</v>
      </c>
      <c r="P17" s="269" t="s">
        <v>747</v>
      </c>
    </row>
    <row r="18" spans="1:16" ht="25" customHeight="1">
      <c r="A18" s="171">
        <v>2022</v>
      </c>
      <c r="B18" s="6">
        <v>7.3200000000000001E-2</v>
      </c>
      <c r="C18" s="6">
        <v>5.0299999999999997E-2</v>
      </c>
      <c r="D18" s="6">
        <v>4.0599999999999997E-2</v>
      </c>
      <c r="E18" s="6">
        <v>2.1600000000000001E-2</v>
      </c>
      <c r="F18" s="31">
        <v>2.8000000000000001E-2</v>
      </c>
      <c r="G18" s="6">
        <v>4.41E-2</v>
      </c>
      <c r="H18" s="6">
        <v>4.19E-2</v>
      </c>
      <c r="I18" s="6">
        <v>4.5699999999999998E-2</v>
      </c>
      <c r="J18" s="6">
        <v>4.9099999999999998E-2</v>
      </c>
      <c r="K18" s="31">
        <v>4.7100000000000003E-2</v>
      </c>
      <c r="L18" s="31">
        <v>4.02E-2</v>
      </c>
      <c r="M18" s="6">
        <v>2.9399999999999999E-2</v>
      </c>
      <c r="N18" s="169">
        <f t="shared" si="0"/>
        <v>4.2599999999999999E-2</v>
      </c>
      <c r="O18" s="78">
        <f>N18/3.6</f>
        <v>1.1833333333333333E-2</v>
      </c>
      <c r="P18" s="269" t="s">
        <v>747</v>
      </c>
    </row>
    <row r="19" spans="1:16" ht="25" customHeight="1">
      <c r="A19" s="5">
        <v>2023</v>
      </c>
      <c r="B19" s="31">
        <v>2.9173607327091757E-2</v>
      </c>
      <c r="C19" s="31">
        <v>2.3773774338085845E-2</v>
      </c>
      <c r="D19" s="31">
        <v>2.9572972528967699E-2</v>
      </c>
      <c r="E19" s="31">
        <v>3.40267536628742E-2</v>
      </c>
      <c r="F19" s="31">
        <v>2.9510783081485501E-2</v>
      </c>
      <c r="G19" s="31">
        <v>5.2787803573402799E-2</v>
      </c>
      <c r="H19" s="31">
        <v>4.9510010162503372E-2</v>
      </c>
      <c r="I19" s="31">
        <v>4.1900867079573897E-2</v>
      </c>
      <c r="J19" s="31">
        <v>3.4334475892947448E-2</v>
      </c>
      <c r="K19" s="31">
        <v>3.8729598739869808E-2</v>
      </c>
      <c r="L19" s="31">
        <v>5.2925672386713071E-2</v>
      </c>
      <c r="M19" s="31">
        <v>4.586845854173565E-2</v>
      </c>
      <c r="N19" s="169">
        <f>AVERAGE(B19:M19)</f>
        <v>3.8509564776270926E-2</v>
      </c>
      <c r="O19" s="78">
        <f>N19/3.6</f>
        <v>1.0697101326741924E-2</v>
      </c>
      <c r="P19" s="269" t="s">
        <v>747</v>
      </c>
    </row>
    <row r="20" spans="1:16" ht="25" customHeight="1">
      <c r="A20" s="5">
        <v>2024</v>
      </c>
      <c r="B20" s="31">
        <v>4.2100146849034362E-2</v>
      </c>
      <c r="C20" s="31">
        <v>3.7576152081738791E-2</v>
      </c>
      <c r="D20" s="31">
        <v>2.7790975910056099E-2</v>
      </c>
      <c r="E20" s="31">
        <v>1.94634416756857E-2</v>
      </c>
      <c r="F20" s="6">
        <v>2.8299999999999999E-2</v>
      </c>
      <c r="G20" s="31">
        <v>3.6499999999999998E-2</v>
      </c>
      <c r="H20" s="31">
        <v>5.7065480284115871E-2</v>
      </c>
      <c r="I20" s="6"/>
      <c r="J20" s="6"/>
      <c r="K20" s="6"/>
      <c r="L20" s="172"/>
      <c r="M20" s="173"/>
      <c r="N20" s="169">
        <f>AVERAGE(B20:M20)</f>
        <v>3.5542313828661541E-2</v>
      </c>
      <c r="O20" s="78">
        <f>N20/3.6</f>
        <v>9.8728649524059842E-3</v>
      </c>
      <c r="P20" s="269" t="s">
        <v>747</v>
      </c>
    </row>
    <row r="23" spans="1:16" ht="25" customHeight="1">
      <c r="B23" s="174"/>
      <c r="C23" s="174"/>
      <c r="D23" s="174"/>
      <c r="E23" s="174"/>
      <c r="F23" s="174"/>
      <c r="G23" s="174"/>
      <c r="H23" s="174"/>
      <c r="I23" s="174"/>
      <c r="K23" s="174"/>
      <c r="M23" s="175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93FC-3AD8-42B8-9F5E-45C3537B1636}">
  <dimension ref="A1:J35"/>
  <sheetViews>
    <sheetView workbookViewId="0">
      <selection sqref="A1:J28"/>
    </sheetView>
  </sheetViews>
  <sheetFormatPr baseColWidth="10" defaultColWidth="8.83203125" defaultRowHeight="15"/>
  <cols>
    <col min="1" max="1" width="26.1640625" bestFit="1" customWidth="1"/>
    <col min="2" max="2" width="32.33203125" bestFit="1" customWidth="1"/>
    <col min="3" max="3" width="22.6640625" bestFit="1" customWidth="1"/>
    <col min="4" max="4" width="19" bestFit="1" customWidth="1"/>
    <col min="5" max="7" width="11.5" customWidth="1"/>
    <col min="8" max="8" width="12" bestFit="1" customWidth="1"/>
    <col min="9" max="9" width="65.6640625" bestFit="1" customWidth="1"/>
    <col min="10" max="10" width="13.1640625" bestFit="1" customWidth="1"/>
  </cols>
  <sheetData>
    <row r="1" spans="1:10" ht="38.25" customHeight="1">
      <c r="A1" s="63" t="s">
        <v>338</v>
      </c>
      <c r="B1" s="63" t="s">
        <v>339</v>
      </c>
      <c r="C1" s="63" t="s">
        <v>340</v>
      </c>
      <c r="D1" s="64" t="s">
        <v>341</v>
      </c>
      <c r="E1" s="64" t="s">
        <v>342</v>
      </c>
      <c r="F1" s="63" t="s">
        <v>343</v>
      </c>
      <c r="G1" s="63" t="s">
        <v>344</v>
      </c>
      <c r="H1" s="63" t="s">
        <v>345</v>
      </c>
      <c r="I1" s="63" t="s">
        <v>346</v>
      </c>
      <c r="J1" s="63" t="s">
        <v>347</v>
      </c>
    </row>
    <row r="2" spans="1:10" ht="16">
      <c r="A2" s="66" t="s">
        <v>33</v>
      </c>
      <c r="B2" s="67"/>
      <c r="C2" s="68" t="s">
        <v>348</v>
      </c>
      <c r="D2" s="69"/>
      <c r="E2" s="70"/>
      <c r="F2" s="70"/>
      <c r="G2" s="70"/>
      <c r="H2" s="70">
        <v>3.3846153846153846</v>
      </c>
      <c r="I2" s="66" t="s">
        <v>349</v>
      </c>
      <c r="J2" s="6"/>
    </row>
    <row r="3" spans="1:10" ht="16">
      <c r="A3" s="71" t="s">
        <v>350</v>
      </c>
      <c r="B3" t="s">
        <v>351</v>
      </c>
      <c r="C3" s="33" t="s">
        <v>348</v>
      </c>
      <c r="D3" s="72"/>
      <c r="E3" s="73">
        <v>9.8299999999999998E-2</v>
      </c>
      <c r="F3" s="73">
        <v>1.0000000000000001E-5</v>
      </c>
      <c r="G3" s="73">
        <v>1.5E-6</v>
      </c>
      <c r="H3" s="73"/>
      <c r="I3" s="71" t="s">
        <v>352</v>
      </c>
      <c r="J3" s="29" t="s">
        <v>353</v>
      </c>
    </row>
    <row r="4" spans="1:10" ht="16">
      <c r="A4" s="71" t="s">
        <v>354</v>
      </c>
      <c r="B4" s="74" t="s">
        <v>355</v>
      </c>
      <c r="C4" s="33" t="s">
        <v>348</v>
      </c>
      <c r="D4" s="75">
        <v>35.773200000000003</v>
      </c>
      <c r="E4" s="73">
        <v>8.0699999999999994E-2</v>
      </c>
      <c r="F4" s="73">
        <v>1.0000000000000001E-5</v>
      </c>
      <c r="G4" s="73">
        <v>1.5E-6</v>
      </c>
      <c r="H4" s="73"/>
      <c r="I4" s="71" t="s">
        <v>352</v>
      </c>
      <c r="J4" s="29" t="s">
        <v>353</v>
      </c>
    </row>
    <row r="5" spans="1:10">
      <c r="A5" s="21" t="s">
        <v>213</v>
      </c>
      <c r="B5" s="6" t="s">
        <v>356</v>
      </c>
      <c r="C5" s="5" t="s">
        <v>357</v>
      </c>
      <c r="D5" s="75">
        <v>33.137280000000004</v>
      </c>
      <c r="E5" s="73">
        <v>7.0800000000000002E-2</v>
      </c>
      <c r="F5" s="73">
        <v>3.0000000000000001E-6</v>
      </c>
      <c r="G5" s="73">
        <v>5.9999999999999997E-7</v>
      </c>
      <c r="H5" s="73"/>
      <c r="I5" s="71" t="s">
        <v>352</v>
      </c>
      <c r="J5" s="29" t="s">
        <v>353</v>
      </c>
    </row>
    <row r="6" spans="1:10">
      <c r="A6" s="6" t="s">
        <v>358</v>
      </c>
      <c r="B6" s="6" t="s">
        <v>359</v>
      </c>
      <c r="C6" s="5" t="s">
        <v>357</v>
      </c>
      <c r="D6" s="76">
        <v>3.1379999999999999</v>
      </c>
      <c r="E6" s="73">
        <v>0.1</v>
      </c>
      <c r="F6" s="73">
        <v>3.0000000000000001E-5</v>
      </c>
      <c r="G6" s="73">
        <v>3.9999999999999998E-6</v>
      </c>
      <c r="H6" s="73"/>
      <c r="I6" s="71" t="s">
        <v>352</v>
      </c>
      <c r="J6" s="29" t="s">
        <v>353</v>
      </c>
    </row>
    <row r="7" spans="1:10">
      <c r="A7" s="6" t="s">
        <v>360</v>
      </c>
      <c r="B7" s="6" t="s">
        <v>359</v>
      </c>
      <c r="C7" s="5" t="s">
        <v>357</v>
      </c>
      <c r="D7" s="21"/>
      <c r="E7" s="73">
        <v>0.1</v>
      </c>
      <c r="F7" s="73">
        <v>3.0000000000000001E-5</v>
      </c>
      <c r="G7" s="73">
        <v>3.9999999999999998E-6</v>
      </c>
      <c r="H7" s="73"/>
      <c r="I7" s="71" t="s">
        <v>352</v>
      </c>
      <c r="J7" s="29" t="s">
        <v>353</v>
      </c>
    </row>
    <row r="8" spans="1:10">
      <c r="A8" s="6" t="s">
        <v>361</v>
      </c>
      <c r="B8" s="6" t="s">
        <v>359</v>
      </c>
      <c r="C8" s="5" t="s">
        <v>357</v>
      </c>
      <c r="D8" s="21"/>
      <c r="E8" s="73">
        <v>0.1</v>
      </c>
      <c r="F8" s="73">
        <v>3.0000000000000001E-5</v>
      </c>
      <c r="G8" s="73">
        <v>3.9999999999999998E-6</v>
      </c>
      <c r="H8" s="73"/>
      <c r="I8" s="71" t="s">
        <v>352</v>
      </c>
      <c r="J8" s="29" t="s">
        <v>353</v>
      </c>
    </row>
    <row r="9" spans="1:10">
      <c r="A9" s="6" t="s">
        <v>362</v>
      </c>
      <c r="B9" s="6" t="s">
        <v>359</v>
      </c>
      <c r="C9" s="5" t="s">
        <v>357</v>
      </c>
      <c r="D9" s="21"/>
      <c r="E9" s="73">
        <v>0.1</v>
      </c>
      <c r="F9" s="73">
        <v>3.0000000000000001E-5</v>
      </c>
      <c r="G9" s="73">
        <v>3.9999999999999998E-6</v>
      </c>
      <c r="H9" s="73"/>
      <c r="I9" s="71" t="s">
        <v>352</v>
      </c>
      <c r="J9" s="29" t="s">
        <v>353</v>
      </c>
    </row>
    <row r="10" spans="1:10">
      <c r="A10" s="6" t="s">
        <v>363</v>
      </c>
      <c r="B10" s="6" t="s">
        <v>364</v>
      </c>
      <c r="C10" s="5" t="s">
        <v>357</v>
      </c>
      <c r="D10" s="21">
        <v>27.05</v>
      </c>
      <c r="E10" s="73">
        <v>0.112</v>
      </c>
      <c r="F10" s="73">
        <v>2.0000000000000001E-4</v>
      </c>
      <c r="G10" s="73">
        <v>3.9999999999999998E-6</v>
      </c>
      <c r="H10" s="73"/>
      <c r="I10" s="71" t="s">
        <v>365</v>
      </c>
      <c r="J10" s="29" t="s">
        <v>353</v>
      </c>
    </row>
    <row r="11" spans="1:10">
      <c r="A11" s="71" t="s">
        <v>32</v>
      </c>
      <c r="B11" s="71" t="s">
        <v>366</v>
      </c>
      <c r="C11" s="16" t="s">
        <v>348</v>
      </c>
      <c r="D11" s="75">
        <v>35.5</v>
      </c>
      <c r="E11" s="73">
        <v>7.4099999999999999E-2</v>
      </c>
      <c r="F11" s="73">
        <v>3.0000000000000001E-6</v>
      </c>
      <c r="G11" s="73">
        <v>5.9999999999999997E-7</v>
      </c>
      <c r="H11" s="73"/>
      <c r="I11" s="71" t="s">
        <v>352</v>
      </c>
      <c r="J11" s="29" t="s">
        <v>353</v>
      </c>
    </row>
    <row r="12" spans="1:10">
      <c r="A12" s="71" t="s">
        <v>367</v>
      </c>
      <c r="B12" s="71" t="s">
        <v>368</v>
      </c>
      <c r="C12" s="16" t="s">
        <v>357</v>
      </c>
      <c r="D12" s="75">
        <v>22.36</v>
      </c>
      <c r="E12" s="73">
        <v>7.9600000000000004E-2</v>
      </c>
      <c r="F12" s="73">
        <v>3.0000000000000001E-6</v>
      </c>
      <c r="G12" s="73">
        <v>5.9999999999999997E-7</v>
      </c>
      <c r="H12" s="73"/>
      <c r="I12" s="71" t="s">
        <v>352</v>
      </c>
      <c r="J12" s="29" t="s">
        <v>353</v>
      </c>
    </row>
    <row r="13" spans="1:10">
      <c r="A13" s="77" t="s">
        <v>369</v>
      </c>
      <c r="B13" s="71" t="s">
        <v>368</v>
      </c>
      <c r="C13" s="16" t="s">
        <v>357</v>
      </c>
      <c r="D13" s="75">
        <v>21.35</v>
      </c>
      <c r="E13" s="73">
        <v>7.9600000000000004E-2</v>
      </c>
      <c r="F13" s="73">
        <v>3.0000000000000001E-6</v>
      </c>
      <c r="G13" s="73">
        <v>5.9999999999999997E-7</v>
      </c>
      <c r="H13" s="73"/>
      <c r="I13" s="71" t="s">
        <v>352</v>
      </c>
      <c r="J13" s="29" t="s">
        <v>353</v>
      </c>
    </row>
    <row r="14" spans="1:10">
      <c r="A14" s="6" t="s">
        <v>370</v>
      </c>
      <c r="B14" s="6" t="s">
        <v>371</v>
      </c>
      <c r="C14" s="5" t="s">
        <v>348</v>
      </c>
      <c r="D14" s="76">
        <v>4.1579999999999999E-2</v>
      </c>
      <c r="E14" s="73">
        <v>5.6099999999999997E-2</v>
      </c>
      <c r="F14" s="73">
        <v>9.9999999999999995E-7</v>
      </c>
      <c r="G14" s="73">
        <v>9.9999999999999995E-8</v>
      </c>
      <c r="H14" s="73"/>
      <c r="I14" s="71" t="s">
        <v>352</v>
      </c>
      <c r="J14" s="29" t="s">
        <v>353</v>
      </c>
    </row>
    <row r="15" spans="1:10">
      <c r="A15" s="6" t="s">
        <v>372</v>
      </c>
      <c r="B15" s="6" t="s">
        <v>371</v>
      </c>
      <c r="C15" s="5" t="s">
        <v>348</v>
      </c>
      <c r="D15" s="76">
        <f>41.58/1000</f>
        <v>4.1579999999999999E-2</v>
      </c>
      <c r="E15" s="73">
        <v>5.6099999999999997E-2</v>
      </c>
      <c r="F15" s="73">
        <v>9.9999999999999995E-7</v>
      </c>
      <c r="G15" s="73">
        <v>9.9999999999999995E-8</v>
      </c>
      <c r="H15" s="73"/>
      <c r="I15" s="71" t="s">
        <v>373</v>
      </c>
      <c r="J15" s="29" t="s">
        <v>353</v>
      </c>
    </row>
    <row r="16" spans="1:10">
      <c r="A16" s="21" t="s">
        <v>374</v>
      </c>
      <c r="B16" s="6" t="s">
        <v>371</v>
      </c>
      <c r="C16" s="5" t="s">
        <v>348</v>
      </c>
      <c r="D16" s="76">
        <f>36.84/1000</f>
        <v>3.6840000000000005E-2</v>
      </c>
      <c r="E16" s="73">
        <v>5.6099999999999997E-2</v>
      </c>
      <c r="F16" s="73">
        <v>9.9999999999999995E-7</v>
      </c>
      <c r="G16" s="73">
        <v>9.9999999999999995E-8</v>
      </c>
      <c r="H16" s="73"/>
      <c r="I16" s="71" t="s">
        <v>373</v>
      </c>
      <c r="J16" s="29" t="s">
        <v>353</v>
      </c>
    </row>
    <row r="17" spans="1:10" ht="16">
      <c r="A17" s="71" t="s">
        <v>31</v>
      </c>
      <c r="B17" s="74" t="s">
        <v>375</v>
      </c>
      <c r="C17" s="33" t="s">
        <v>348</v>
      </c>
      <c r="D17" s="75">
        <v>32.24</v>
      </c>
      <c r="E17" s="73">
        <v>6.93E-2</v>
      </c>
      <c r="F17" s="73">
        <v>3.0000000000000001E-6</v>
      </c>
      <c r="G17" s="73">
        <v>5.9999999999999997E-7</v>
      </c>
      <c r="H17" s="73"/>
      <c r="I17" s="71" t="s">
        <v>352</v>
      </c>
      <c r="J17" s="29" t="s">
        <v>353</v>
      </c>
    </row>
    <row r="18" spans="1:10" ht="16">
      <c r="A18" s="71" t="s">
        <v>376</v>
      </c>
      <c r="B18" s="74"/>
      <c r="C18" s="33" t="s">
        <v>348</v>
      </c>
      <c r="D18" s="75">
        <v>31.95</v>
      </c>
      <c r="E18" s="73"/>
      <c r="F18" s="73"/>
      <c r="G18" s="73"/>
      <c r="H18" s="73"/>
      <c r="I18" s="71"/>
      <c r="J18" s="29"/>
    </row>
    <row r="19" spans="1:10">
      <c r="A19" s="6" t="s">
        <v>377</v>
      </c>
      <c r="B19" s="6" t="s">
        <v>378</v>
      </c>
      <c r="C19" s="5" t="s">
        <v>348</v>
      </c>
      <c r="D19" s="76">
        <v>25.58</v>
      </c>
      <c r="E19" s="73">
        <v>6.3100000000000003E-2</v>
      </c>
      <c r="F19" s="73">
        <v>9.9999999999999995E-7</v>
      </c>
      <c r="G19" s="73">
        <v>9.9999999999999995E-8</v>
      </c>
      <c r="H19" s="73"/>
      <c r="I19" s="71" t="s">
        <v>352</v>
      </c>
      <c r="J19" s="29" t="s">
        <v>353</v>
      </c>
    </row>
    <row r="20" spans="1:10" ht="17">
      <c r="A20" s="6" t="s">
        <v>379</v>
      </c>
      <c r="B20" s="6" t="s">
        <v>380</v>
      </c>
      <c r="C20" s="5" t="s">
        <v>348</v>
      </c>
      <c r="D20" s="75">
        <v>36.8727552</v>
      </c>
      <c r="E20" s="78">
        <f>(20*0.05*(44/12))/1000</f>
        <v>3.6666666666666666E-3</v>
      </c>
      <c r="F20" s="78">
        <v>0</v>
      </c>
      <c r="G20" s="78">
        <v>0</v>
      </c>
      <c r="H20" s="60"/>
      <c r="I20" s="71" t="s">
        <v>381</v>
      </c>
      <c r="J20" s="29" t="s">
        <v>353</v>
      </c>
    </row>
    <row r="21" spans="1:10" ht="17">
      <c r="A21" s="6" t="s">
        <v>382</v>
      </c>
      <c r="B21" s="6" t="s">
        <v>383</v>
      </c>
      <c r="C21" s="5" t="s">
        <v>357</v>
      </c>
      <c r="D21" s="75">
        <v>5.0584560000000005</v>
      </c>
      <c r="E21" s="73">
        <v>0.1</v>
      </c>
      <c r="F21" s="73">
        <v>2.9999999999999997E-4</v>
      </c>
      <c r="G21" s="73">
        <v>3.9999999999999998E-6</v>
      </c>
      <c r="H21" s="73"/>
      <c r="I21" s="71" t="s">
        <v>384</v>
      </c>
      <c r="J21" s="29" t="s">
        <v>353</v>
      </c>
    </row>
    <row r="22" spans="1:10">
      <c r="A22" s="6" t="s">
        <v>385</v>
      </c>
      <c r="B22" s="6" t="s">
        <v>386</v>
      </c>
      <c r="C22" s="5" t="s">
        <v>357</v>
      </c>
      <c r="D22" s="75">
        <v>13.0432016</v>
      </c>
      <c r="E22" s="73">
        <v>9.5299999999999996E-2</v>
      </c>
      <c r="F22" s="73">
        <v>3.0000000000000001E-6</v>
      </c>
      <c r="G22" s="73">
        <v>1.9999999999999999E-6</v>
      </c>
      <c r="H22" s="73"/>
      <c r="I22" s="71" t="s">
        <v>352</v>
      </c>
      <c r="J22" s="29" t="s">
        <v>353</v>
      </c>
    </row>
    <row r="23" spans="1:10" ht="17">
      <c r="A23" s="6" t="s">
        <v>387</v>
      </c>
      <c r="B23" s="6" t="s">
        <v>388</v>
      </c>
      <c r="C23" s="5" t="s">
        <v>348</v>
      </c>
      <c r="D23" s="75">
        <v>36.43</v>
      </c>
      <c r="E23" s="78">
        <f>(20*0.2*(44/12))/1000</f>
        <v>1.4666666666666666E-2</v>
      </c>
      <c r="F23" s="78">
        <v>0</v>
      </c>
      <c r="G23" s="78">
        <v>0</v>
      </c>
      <c r="H23" s="60"/>
      <c r="I23" s="71" t="s">
        <v>381</v>
      </c>
      <c r="J23" s="29" t="s">
        <v>353</v>
      </c>
    </row>
    <row r="24" spans="1:10">
      <c r="A24" s="21" t="s">
        <v>389</v>
      </c>
      <c r="B24" s="6"/>
      <c r="C24" s="5" t="s">
        <v>348</v>
      </c>
      <c r="D24" s="79">
        <v>17.683278651685391</v>
      </c>
      <c r="E24" s="80">
        <v>6.1101238407286054E-2</v>
      </c>
      <c r="F24" s="73">
        <v>0</v>
      </c>
      <c r="G24" s="73">
        <v>0</v>
      </c>
      <c r="H24" s="73"/>
      <c r="I24" s="71" t="s">
        <v>390</v>
      </c>
      <c r="J24" s="6"/>
    </row>
    <row r="25" spans="1:10">
      <c r="A25" s="21" t="s">
        <v>391</v>
      </c>
      <c r="B25" s="6"/>
      <c r="C25" s="5" t="s">
        <v>357</v>
      </c>
      <c r="D25" s="79">
        <v>17.683278651685391</v>
      </c>
      <c r="E25" s="80">
        <v>6.1101238407286054E-2</v>
      </c>
      <c r="F25" s="78">
        <v>0</v>
      </c>
      <c r="G25" s="78">
        <v>0</v>
      </c>
      <c r="H25" s="78"/>
      <c r="I25" s="6" t="s">
        <v>390</v>
      </c>
      <c r="J25" s="6"/>
    </row>
    <row r="26" spans="1:10">
      <c r="A26" s="6" t="s">
        <v>392</v>
      </c>
      <c r="B26" s="6" t="s">
        <v>393</v>
      </c>
      <c r="C26" s="5" t="s">
        <v>348</v>
      </c>
      <c r="D26" s="75">
        <v>40.07</v>
      </c>
      <c r="E26" s="73">
        <v>7.7399999999999997E-2</v>
      </c>
      <c r="F26" s="73">
        <v>3.0000000000000001E-6</v>
      </c>
      <c r="G26" s="73">
        <v>5.9999999999999997E-7</v>
      </c>
      <c r="H26" s="73"/>
      <c r="I26" s="71" t="s">
        <v>352</v>
      </c>
      <c r="J26" s="29" t="s">
        <v>353</v>
      </c>
    </row>
    <row r="27" spans="1:10">
      <c r="A27" s="6" t="s">
        <v>394</v>
      </c>
      <c r="B27" s="6" t="s">
        <v>395</v>
      </c>
      <c r="C27" s="5" t="s">
        <v>348</v>
      </c>
      <c r="D27" s="75">
        <v>36.840000000000003</v>
      </c>
      <c r="E27" s="73">
        <v>7.3300000000000004E-2</v>
      </c>
      <c r="F27" s="73">
        <v>3.0000000000000001E-6</v>
      </c>
      <c r="G27" s="73">
        <v>5.9999999999999997E-7</v>
      </c>
      <c r="H27" s="73"/>
      <c r="I27" s="71" t="s">
        <v>352</v>
      </c>
      <c r="J27" s="29" t="s">
        <v>353</v>
      </c>
    </row>
    <row r="28" spans="1:10">
      <c r="A28" s="6" t="s">
        <v>396</v>
      </c>
      <c r="B28" s="6" t="s">
        <v>397</v>
      </c>
      <c r="C28" s="5" t="s">
        <v>348</v>
      </c>
      <c r="D28" s="75">
        <v>34.42</v>
      </c>
      <c r="E28" s="78">
        <v>7.1900000000000006E-2</v>
      </c>
      <c r="F28" s="73">
        <v>3.0000000000000001E-6</v>
      </c>
      <c r="G28" s="73">
        <v>5.9999999999999997E-7</v>
      </c>
      <c r="H28" s="73"/>
      <c r="I28" s="71" t="s">
        <v>352</v>
      </c>
      <c r="J28" s="29" t="s">
        <v>353</v>
      </c>
    </row>
    <row r="32" spans="1:10">
      <c r="C32" s="92" t="s">
        <v>728</v>
      </c>
      <c r="D32" t="s">
        <v>729</v>
      </c>
      <c r="E32" t="s">
        <v>724</v>
      </c>
      <c r="F32" t="s">
        <v>730</v>
      </c>
      <c r="G32" t="s">
        <v>725</v>
      </c>
      <c r="H32" t="s">
        <v>726</v>
      </c>
      <c r="I32" t="s">
        <v>727</v>
      </c>
    </row>
    <row r="33" spans="1:9">
      <c r="A33" t="s">
        <v>137</v>
      </c>
      <c r="B33" t="s">
        <v>721</v>
      </c>
      <c r="C33">
        <f>((1/1000)*D17*(1-0.27))</f>
        <v>2.3535200000000003E-2</v>
      </c>
      <c r="D33">
        <f>((1/1000)*D12*0.27)</f>
        <v>6.0372000000000004E-3</v>
      </c>
      <c r="E33">
        <f>C33*E17*1000</f>
        <v>1.6309893600000003</v>
      </c>
      <c r="F33">
        <f>D33*E12*1000</f>
        <v>0.48056112000000006</v>
      </c>
      <c r="G33">
        <f>(C33*F17*1000)+(D33*F12*1000)</f>
        <v>8.8717200000000012E-5</v>
      </c>
      <c r="H33">
        <f>(C33*G17*1000)+(D33*G12*1000)</f>
        <v>1.774344E-5</v>
      </c>
      <c r="I33">
        <f>E33+(G33*GWP_Quioto!$E$3)+(H33*GWP_Quioto!$E$6)</f>
        <v>1.6383085290000003</v>
      </c>
    </row>
    <row r="34" spans="1:9">
      <c r="A34" t="s">
        <v>139</v>
      </c>
      <c r="B34" t="s">
        <v>721</v>
      </c>
      <c r="C34">
        <f>((1/1000)*D11*(1-0.1))</f>
        <v>3.1950000000000006E-2</v>
      </c>
      <c r="D34">
        <f>((1/1000)*D5*0.1)</f>
        <v>3.3137280000000006E-3</v>
      </c>
      <c r="E34">
        <f>C34*E11*1000</f>
        <v>2.3674950000000003</v>
      </c>
      <c r="F34">
        <f>D34*E5*1000</f>
        <v>0.23461194240000005</v>
      </c>
      <c r="G34">
        <f>(C34*F11*1000)+(D34*F5*1000)</f>
        <v>1.0579118400000001E-4</v>
      </c>
      <c r="H34">
        <f>(C34*G11*1000)+(D34*G5*1000)</f>
        <v>2.1158236800000001E-5</v>
      </c>
      <c r="I34">
        <f>E34+(G34*GWP_Quioto!$E$3)+(H34*GWP_Quioto!$E$6)</f>
        <v>2.3762227726800007</v>
      </c>
    </row>
    <row r="35" spans="1:9">
      <c r="A35" t="s">
        <v>722</v>
      </c>
      <c r="B35" t="s">
        <v>723</v>
      </c>
      <c r="C35">
        <v>0</v>
      </c>
      <c r="D35">
        <f>(1/1000)*3.6</f>
        <v>3.6000000000000003E-3</v>
      </c>
      <c r="E35">
        <v>0</v>
      </c>
      <c r="F35">
        <f>D35*E6*1000</f>
        <v>0.3600000000000001</v>
      </c>
      <c r="G35">
        <f>D35*F6*1000</f>
        <v>1.0800000000000001E-4</v>
      </c>
      <c r="H35">
        <f>D35*G6*1000</f>
        <v>1.4399999999999999E-5</v>
      </c>
      <c r="I35">
        <f>E35+(G35*GWP_Quioto!$E$3)+(H35*GWP_Quioto!$E$6)</f>
        <v>6.9443999999999999E-3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B528-55E1-4B0A-835F-8E4D891F2609}">
  <sheetPr>
    <tabColor theme="1"/>
  </sheetPr>
  <dimension ref="A1:AW38"/>
  <sheetViews>
    <sheetView showGridLines="0" zoomScaleNormal="100" workbookViewId="0">
      <selection activeCell="F11" sqref="F11"/>
    </sheetView>
  </sheetViews>
  <sheetFormatPr baseColWidth="10" defaultColWidth="8.83203125" defaultRowHeight="15"/>
  <cols>
    <col min="1" max="1" width="20.6640625" style="92" bestFit="1" customWidth="1"/>
    <col min="2" max="4" width="19.5" bestFit="1" customWidth="1"/>
    <col min="5" max="7" width="30.5" style="243" bestFit="1" customWidth="1"/>
    <col min="8" max="10" width="23.1640625" bestFit="1" customWidth="1"/>
    <col min="11" max="13" width="33.5" style="243" bestFit="1" customWidth="1"/>
    <col min="14" max="14" width="118.5" style="160" bestFit="1" customWidth="1"/>
    <col min="15" max="15" width="16" style="216" bestFit="1" customWidth="1"/>
    <col min="16" max="16" width="13.5" bestFit="1" customWidth="1"/>
    <col min="17" max="18" width="11.83203125" style="216" bestFit="1" customWidth="1"/>
    <col min="19" max="19" width="12.33203125" style="216" bestFit="1" customWidth="1"/>
    <col min="20" max="20" width="21.83203125" style="216" bestFit="1" customWidth="1"/>
    <col min="21" max="21" width="24.6640625" style="216" bestFit="1" customWidth="1"/>
    <col min="22" max="22" width="25.5" style="216" bestFit="1" customWidth="1"/>
    <col min="23" max="23" width="37.5" style="216" bestFit="1" customWidth="1"/>
    <col min="24" max="24" width="22" style="216" bestFit="1" customWidth="1"/>
    <col min="25" max="25" width="16.5" bestFit="1" customWidth="1"/>
    <col min="26" max="26" width="27" style="216" bestFit="1" customWidth="1"/>
    <col min="27" max="27" width="30.6640625" style="216" bestFit="1" customWidth="1"/>
    <col min="28" max="28" width="31.5" style="216" bestFit="1" customWidth="1"/>
    <col min="29" max="29" width="25.33203125" style="216" bestFit="1" customWidth="1"/>
    <col min="30" max="30" width="13" bestFit="1" customWidth="1"/>
    <col min="31" max="31" width="11.1640625" bestFit="1" customWidth="1"/>
    <col min="32" max="32" width="17.5" bestFit="1" customWidth="1"/>
    <col min="33" max="33" width="15.5" bestFit="1" customWidth="1"/>
    <col min="49" max="49" width="31.5" bestFit="1" customWidth="1"/>
  </cols>
  <sheetData>
    <row r="1" spans="1:49" ht="16">
      <c r="A1" s="1" t="s">
        <v>50</v>
      </c>
      <c r="B1" s="1" t="s">
        <v>896</v>
      </c>
      <c r="C1" s="1" t="s">
        <v>897</v>
      </c>
      <c r="D1" s="1" t="s">
        <v>898</v>
      </c>
      <c r="E1" s="239" t="s">
        <v>890</v>
      </c>
      <c r="F1" s="239" t="s">
        <v>891</v>
      </c>
      <c r="G1" s="239" t="s">
        <v>892</v>
      </c>
      <c r="H1" s="1" t="s">
        <v>899</v>
      </c>
      <c r="I1" s="1" t="s">
        <v>900</v>
      </c>
      <c r="J1" s="1" t="s">
        <v>901</v>
      </c>
      <c r="K1" s="239" t="s">
        <v>893</v>
      </c>
      <c r="L1" s="239" t="s">
        <v>894</v>
      </c>
      <c r="M1" s="239" t="s">
        <v>895</v>
      </c>
      <c r="N1" s="1" t="s">
        <v>672</v>
      </c>
      <c r="O1" s="215" t="s">
        <v>49</v>
      </c>
      <c r="P1" s="1" t="s">
        <v>17</v>
      </c>
      <c r="Q1" s="215" t="s">
        <v>724</v>
      </c>
      <c r="R1" s="215" t="s">
        <v>725</v>
      </c>
      <c r="S1" s="215" t="s">
        <v>870</v>
      </c>
      <c r="T1" s="215" t="s">
        <v>789</v>
      </c>
      <c r="U1" s="215" t="s">
        <v>871</v>
      </c>
      <c r="V1" s="215" t="s">
        <v>872</v>
      </c>
      <c r="W1" s="215" t="s">
        <v>873</v>
      </c>
      <c r="X1" s="215" t="s">
        <v>874</v>
      </c>
      <c r="Y1" s="2" t="s">
        <v>17</v>
      </c>
      <c r="Z1" s="27" t="s">
        <v>189</v>
      </c>
      <c r="AA1" s="27" t="s">
        <v>190</v>
      </c>
      <c r="AB1" s="27" t="s">
        <v>191</v>
      </c>
      <c r="AC1" s="27" t="s">
        <v>192</v>
      </c>
      <c r="AD1" s="25" t="s">
        <v>17</v>
      </c>
      <c r="AE1" s="27" t="s">
        <v>875</v>
      </c>
      <c r="AF1" s="27" t="s">
        <v>876</v>
      </c>
      <c r="AG1" s="27" t="s">
        <v>877</v>
      </c>
      <c r="AW1" s="16" t="s">
        <v>712</v>
      </c>
    </row>
    <row r="2" spans="1:49">
      <c r="A2" s="5" t="str">
        <f>_xlfn.XLOOKUP(N2,Industrial!E:E,Industrial!B:B)</f>
        <v>Matéria-Prima</v>
      </c>
      <c r="B2" s="218">
        <v>0.6197207680977056</v>
      </c>
      <c r="C2" s="218">
        <v>5.3291007293016467E-2</v>
      </c>
      <c r="D2" s="218">
        <v>0.32698822460927846</v>
      </c>
      <c r="E2" s="240">
        <f>B2*$T2</f>
        <v>0.55669820655607127</v>
      </c>
      <c r="F2" s="240">
        <f>C2*$T2</f>
        <v>4.7871573316244684E-2</v>
      </c>
      <c r="G2" s="240">
        <f>D2*$T2</f>
        <v>0.29373512648883759</v>
      </c>
      <c r="H2" s="218">
        <v>1</v>
      </c>
      <c r="I2" s="218">
        <v>0</v>
      </c>
      <c r="J2" s="218">
        <v>0</v>
      </c>
      <c r="K2" s="240">
        <f>H2*$U2</f>
        <v>1.1858873915688684</v>
      </c>
      <c r="L2" s="240">
        <f t="shared" ref="L2:M2" si="0">I2*$U2</f>
        <v>0</v>
      </c>
      <c r="M2" s="240">
        <f t="shared" si="0"/>
        <v>0</v>
      </c>
      <c r="N2" s="16" t="s">
        <v>712</v>
      </c>
      <c r="O2" s="153">
        <f>SUMIFS(Industrial!F:F,Industrial!E:E,N2)</f>
        <v>8.6746647323755796E-2</v>
      </c>
      <c r="P2" s="6" t="str">
        <f>_xlfn.XLOOKUP(N2,Industrial!$E:$E,Industrial!$G:$G)</f>
        <v>t/t FeSiMg</v>
      </c>
      <c r="Q2" s="153">
        <f>T2*1000</f>
        <v>898.30490636115314</v>
      </c>
      <c r="R2" s="153">
        <v>0</v>
      </c>
      <c r="S2" s="153">
        <v>0</v>
      </c>
      <c r="T2" s="153">
        <f>SUMIFS(Industrial!N:N,Industrial!$E:$E,$N2)</f>
        <v>0.89830490636115312</v>
      </c>
      <c r="U2" s="153">
        <f>SUMIFS(Industrial!O:O,Industrial!$E:$E,$N2)</f>
        <v>1.1858873915688684</v>
      </c>
      <c r="V2" s="153">
        <f>SUMIFS(Industrial!P:P,Industrial!$E:$E,$N2)</f>
        <v>-1.5857113637487914</v>
      </c>
      <c r="W2" s="153">
        <f>SUMIFS(Industrial!Q:Q,Industrial!$E:$E,$N2)</f>
        <v>0</v>
      </c>
      <c r="X2" s="153">
        <f t="shared" ref="X2:X38" si="1">SUM(T2:W2)</f>
        <v>0.49848093418122996</v>
      </c>
      <c r="Y2" s="6" t="s">
        <v>850</v>
      </c>
      <c r="Z2" s="153">
        <f>_xlfn.XLOOKUP($N2,'Fatores de Emissão'!$A:$A,'Fatores de Emissão'!B:B)</f>
        <v>10.355499999999999</v>
      </c>
      <c r="AA2" s="153">
        <f>_xlfn.XLOOKUP($N2,'Fatores de Emissão'!$A:$A,'Fatores de Emissão'!C:C)</f>
        <v>13.6707</v>
      </c>
      <c r="AB2" s="153">
        <f>_xlfn.XLOOKUP($N2,'Fatores de Emissão'!$A:$A,'Fatores de Emissão'!D:D)</f>
        <v>-18.279800000000002</v>
      </c>
      <c r="AC2" s="153">
        <f>_xlfn.XLOOKUP($N2,'Fatores de Emissão'!$A:$A,'Fatores de Emissão'!E:E)</f>
        <v>0</v>
      </c>
      <c r="AD2" s="6" t="str">
        <f>_xlfn.XLOOKUP($N2,'Fatores de Emissão'!$A:$A,'Fatores de Emissão'!F:F)</f>
        <v>kgCO2e/kg</v>
      </c>
      <c r="AE2" s="6">
        <v>1</v>
      </c>
      <c r="AF2" s="192">
        <f>T2/SUM(T:T)</f>
        <v>0.32496752561108538</v>
      </c>
      <c r="AG2" s="220">
        <f>AF2</f>
        <v>0.32496752561108538</v>
      </c>
      <c r="AW2" s="16" t="s">
        <v>363</v>
      </c>
    </row>
    <row r="3" spans="1:49">
      <c r="A3" s="5" t="str">
        <f>_xlfn.XLOOKUP(N3,Industrial!E:E,Industrial!B:B)</f>
        <v>Matéria-Prima</v>
      </c>
      <c r="B3" s="218">
        <f>'Resultado - Carvão Vegetal'!$B$10/'Resultado - Carvão Vegetal'!$B$13</f>
        <v>0.49288319378921142</v>
      </c>
      <c r="C3" s="218">
        <f>'Resultado - Carvão Vegetal'!$B$11/'Resultado - Carvão Vegetal'!$B$13</f>
        <v>2.1289702161706439E-3</v>
      </c>
      <c r="D3" s="218">
        <f>'Resultado - Carvão Vegetal'!$B$12/'Resultado - Carvão Vegetal'!$B$13</f>
        <v>0.50498783599461794</v>
      </c>
      <c r="E3" s="240">
        <f t="shared" ref="E3:E38" si="2">B3*$T3</f>
        <v>0.42497072123798529</v>
      </c>
      <c r="F3" s="240">
        <f t="shared" ref="F3:F38" si="3">C3*$T3</f>
        <v>1.8356276287382551E-3</v>
      </c>
      <c r="G3" s="240">
        <f t="shared" ref="G3:G38" si="4">D3*$T3</f>
        <v>0.43540751152253965</v>
      </c>
      <c r="H3" s="218">
        <f>'Resultado - Carvão Vegetal'!$C$10/'Resultado - Carvão Vegetal'!$C$13</f>
        <v>0.99850109571754375</v>
      </c>
      <c r="I3" s="218">
        <f>'Resultado - Carvão Vegetal'!$C$11/'Resultado - Carvão Vegetal'!$C$13</f>
        <v>1.3066435342846516E-3</v>
      </c>
      <c r="J3" s="218">
        <f>'Resultado - Carvão Vegetal'!$C$12/'Resultado - Carvão Vegetal'!$C$13</f>
        <v>1.9226074817161855E-4</v>
      </c>
      <c r="K3" s="240">
        <f t="shared" ref="K3:K38" si="5">H3*$U3</f>
        <v>1.7924100094241744</v>
      </c>
      <c r="L3" s="240">
        <f t="shared" ref="L3:L38" si="6">I3*$U3</f>
        <v>2.345556714605455E-3</v>
      </c>
      <c r="M3" s="240">
        <f t="shared" ref="M3:M38" si="7">J3*$U3</f>
        <v>3.4512740238361545E-4</v>
      </c>
      <c r="N3" s="16" t="s">
        <v>363</v>
      </c>
      <c r="O3" s="153">
        <f>SUMIFS(Industrial!F:F,Industrial!E:E,N3)</f>
        <v>0.79800399964597624</v>
      </c>
      <c r="P3" s="6" t="str">
        <f>_xlfn.XLOOKUP(N3,Industrial!$E:$E,Industrial!$G:$G)</f>
        <v>t/t FeSiMg</v>
      </c>
      <c r="Q3" s="153">
        <f>O3*'Resultado - Carvão Vegetal'!$J$2*1000</f>
        <v>746.07867694086212</v>
      </c>
      <c r="R3" s="153">
        <f>$O3*'Resultado - Carvão Vegetal'!$J$3*1000</f>
        <v>2.6405329423942501E-2</v>
      </c>
      <c r="S3" s="153">
        <f>$O3*'Resultado - Carvão Vegetal'!$J$5*1000</f>
        <v>0.42270503574165974</v>
      </c>
      <c r="T3" s="153">
        <f>SUMIFS(Industrial!N:N,Industrial!$E:$E,$N3)</f>
        <v>0.86221386038926318</v>
      </c>
      <c r="U3" s="153">
        <f>SUMIFS(Industrial!O:O,Industrial!$E:$E,$N3)</f>
        <v>1.7951006935411635</v>
      </c>
      <c r="V3" s="153">
        <f>SUMIFS(Industrial!P:P,Industrial!$E:$E,$N3)</f>
        <v>-4.3433055346436582</v>
      </c>
      <c r="W3" s="153">
        <f>SUMIFS(Industrial!Q:Q,Industrial!$E:$E,$N3)</f>
        <v>4.4088360658723269E-4</v>
      </c>
      <c r="X3" s="153">
        <f t="shared" si="1"/>
        <v>-1.6855500971066442</v>
      </c>
      <c r="Y3" s="6" t="s">
        <v>850</v>
      </c>
      <c r="Z3" s="153">
        <f>_xlfn.XLOOKUP($N3,'Fatores de Emissão'!$A:$A,'Fatores de Emissão'!B:B)</f>
        <v>1.080463081352691</v>
      </c>
      <c r="AA3" s="153">
        <f>_xlfn.XLOOKUP($N3,'Fatores de Emissão'!$A:$A,'Fatores de Emissão'!C:C)</f>
        <v>2.2494883413335471</v>
      </c>
      <c r="AB3" s="153">
        <f>_xlfn.XLOOKUP($N3,'Fatores de Emissão'!$A:$A,'Fatores de Emissão'!D:D)</f>
        <v>-5.4427114858703813</v>
      </c>
      <c r="AC3" s="153">
        <f>_xlfn.XLOOKUP($N3,'Fatores de Emissão'!$A:$A,'Fatores de Emissão'!E:E)</f>
        <v>5.5248295344738222E-4</v>
      </c>
      <c r="AD3" s="6" t="str">
        <f>_xlfn.XLOOKUP($N3,'Fatores de Emissão'!$A:$A,'Fatores de Emissão'!F:F)</f>
        <v>kgCO2e/kg</v>
      </c>
      <c r="AE3" s="6">
        <v>2</v>
      </c>
      <c r="AF3" s="192">
        <f t="shared" ref="AF3:AF38" si="8">T3/SUM(T:T)</f>
        <v>0.31191135968885925</v>
      </c>
      <c r="AG3" s="220">
        <f>AF3+AG2</f>
        <v>0.63687888529994463</v>
      </c>
      <c r="AW3" s="16" t="s">
        <v>905</v>
      </c>
    </row>
    <row r="4" spans="1:49">
      <c r="A4" s="5" t="str">
        <f>_xlfn.XLOOKUP(N4,Industrial!E:E,Industrial!B:B)</f>
        <v>Matéria-Prima</v>
      </c>
      <c r="B4" s="192">
        <v>0</v>
      </c>
      <c r="C4" s="192">
        <v>0</v>
      </c>
      <c r="D4" s="192">
        <v>1</v>
      </c>
      <c r="E4" s="240">
        <f t="shared" si="2"/>
        <v>0</v>
      </c>
      <c r="F4" s="240">
        <f t="shared" si="3"/>
        <v>0</v>
      </c>
      <c r="G4" s="240">
        <f t="shared" si="4"/>
        <v>0.31106811152783875</v>
      </c>
      <c r="H4" s="192">
        <v>0</v>
      </c>
      <c r="I4" s="192">
        <v>0</v>
      </c>
      <c r="J4" s="192">
        <v>1</v>
      </c>
      <c r="K4" s="240">
        <f t="shared" si="5"/>
        <v>0</v>
      </c>
      <c r="L4" s="240">
        <f t="shared" si="6"/>
        <v>0</v>
      </c>
      <c r="M4" s="240">
        <f t="shared" si="7"/>
        <v>4.2460728711259755E-4</v>
      </c>
      <c r="N4" s="16" t="s">
        <v>706</v>
      </c>
      <c r="O4" s="153">
        <f>SUMIFS(Industrial!F:F,Industrial!E:E,N4)</f>
        <v>1.3091683276857603E-2</v>
      </c>
      <c r="P4" s="6" t="str">
        <f>_xlfn.XLOOKUP(N4,Industrial!$E:$E,Industrial!$G:$G)</f>
        <v>t/t FeSiMg</v>
      </c>
      <c r="Q4" s="153">
        <f>T4*1000</f>
        <v>311.06811152783877</v>
      </c>
      <c r="R4" s="153">
        <v>0</v>
      </c>
      <c r="S4" s="153">
        <v>0</v>
      </c>
      <c r="T4" s="153">
        <f>SUMIFS(Industrial!N:N,Industrial!$E:$E,$N4)</f>
        <v>0.31106811152783875</v>
      </c>
      <c r="U4" s="153">
        <f>SUMIFS(Industrial!O:O,Industrial!$E:$E,$N4)</f>
        <v>4.2460728711259755E-4</v>
      </c>
      <c r="V4" s="153">
        <f>SUMIFS(Industrial!P:P,Industrial!$E:$E,$N4)</f>
        <v>0</v>
      </c>
      <c r="W4" s="153">
        <f>SUMIFS(Industrial!Q:Q,Industrial!$E:$E,$N4)</f>
        <v>3.7999523738168624E-4</v>
      </c>
      <c r="X4" s="153">
        <f t="shared" si="1"/>
        <v>0.31187271405233302</v>
      </c>
      <c r="Y4" s="6" t="s">
        <v>850</v>
      </c>
      <c r="Z4" s="153">
        <f>_xlfn.XLOOKUP($N4,'Fatores de Emissão'!$A:$A,'Fatores de Emissão'!B:B)</f>
        <v>23.7607422169859</v>
      </c>
      <c r="AA4" s="153">
        <f>_xlfn.XLOOKUP($N4,'Fatores de Emissão'!$A:$A,'Fatores de Emissão'!C:C)</f>
        <v>3.2433360793503403E-2</v>
      </c>
      <c r="AB4" s="153">
        <f>_xlfn.XLOOKUP($N4,'Fatores de Emissão'!$A:$A,'Fatores de Emissão'!D:D)</f>
        <v>0</v>
      </c>
      <c r="AC4" s="153">
        <f>_xlfn.XLOOKUP($N4,'Fatores de Emissão'!$A:$A,'Fatores de Emissão'!E:E)</f>
        <v>2.9025697410004599E-2</v>
      </c>
      <c r="AD4" s="6" t="str">
        <f>_xlfn.XLOOKUP($N4,'Fatores de Emissão'!$A:$A,'Fatores de Emissão'!F:F)</f>
        <v>kgCO2e/kg</v>
      </c>
      <c r="AE4">
        <v>3</v>
      </c>
      <c r="AF4" s="192">
        <f t="shared" si="8"/>
        <v>0.11253087207237632</v>
      </c>
      <c r="AG4" s="220">
        <f t="shared" ref="AG4:AG38" si="9">AF4+AG3</f>
        <v>0.74940975737232096</v>
      </c>
      <c r="AW4" s="16" t="s">
        <v>906</v>
      </c>
    </row>
    <row r="5" spans="1:49">
      <c r="A5" s="5" t="str">
        <f>_xlfn.XLOOKUP(N5,Industrial!E:E,Industrial!B:B)</f>
        <v>Matéria-Prima</v>
      </c>
      <c r="B5" s="192">
        <v>0</v>
      </c>
      <c r="C5" s="192">
        <v>0</v>
      </c>
      <c r="D5" s="192">
        <v>1</v>
      </c>
      <c r="E5" s="240">
        <f t="shared" si="2"/>
        <v>0</v>
      </c>
      <c r="F5" s="240">
        <f t="shared" si="3"/>
        <v>0</v>
      </c>
      <c r="G5" s="240">
        <f t="shared" si="4"/>
        <v>0.20233346845040046</v>
      </c>
      <c r="H5" s="192">
        <v>0</v>
      </c>
      <c r="I5" s="192">
        <v>0</v>
      </c>
      <c r="J5" s="192">
        <v>1</v>
      </c>
      <c r="K5" s="240">
        <f t="shared" si="5"/>
        <v>0</v>
      </c>
      <c r="L5" s="240">
        <f t="shared" si="6"/>
        <v>0</v>
      </c>
      <c r="M5" s="240">
        <f t="shared" si="7"/>
        <v>1.553888379531453E-4</v>
      </c>
      <c r="N5" s="16" t="s">
        <v>832</v>
      </c>
      <c r="O5" s="153">
        <f>SUMIFS(Industrial!F:F,Industrial!E:E,N5)</f>
        <v>0.54617725743052425</v>
      </c>
      <c r="P5" s="6" t="str">
        <f>_xlfn.XLOOKUP(N5,Industrial!$E:$E,Industrial!$G:$G)</f>
        <v>t/t FeSiMg</v>
      </c>
      <c r="Q5" s="153">
        <f t="shared" ref="Q5:Q6" si="10">T5*1000</f>
        <v>202.33346845040046</v>
      </c>
      <c r="R5" s="153">
        <v>0</v>
      </c>
      <c r="S5" s="153">
        <v>0</v>
      </c>
      <c r="T5" s="153">
        <f>SUMIFS(Industrial!N:N,Industrial!$E:$E,$N5)</f>
        <v>0.20233346845040046</v>
      </c>
      <c r="U5" s="153">
        <f>SUMIFS(Industrial!O:O,Industrial!$E:$E,$N5)</f>
        <v>1.553888379531453E-4</v>
      </c>
      <c r="V5" s="153">
        <f>SUMIFS(Industrial!P:P,Industrial!$E:$E,$N5)</f>
        <v>0</v>
      </c>
      <c r="W5" s="153">
        <f>SUMIFS(Industrial!Q:Q,Industrial!$E:$E,$N5)</f>
        <v>1.0264729308530384E-4</v>
      </c>
      <c r="X5" s="153">
        <f t="shared" si="1"/>
        <v>0.20259150458143893</v>
      </c>
      <c r="Y5" s="6" t="s">
        <v>850</v>
      </c>
      <c r="Z5" s="153">
        <f>_xlfn.XLOOKUP($N5,'Fatores de Emissão'!$A:$A,'Fatores de Emissão'!B:B)</f>
        <v>0.37045385119525598</v>
      </c>
      <c r="AA5" s="153">
        <f>_xlfn.XLOOKUP($N5,'Fatores de Emissão'!$A:$A,'Fatores de Emissão'!C:C)</f>
        <v>2.8450257830977399E-4</v>
      </c>
      <c r="AB5" s="153">
        <f>_xlfn.XLOOKUP($N5,'Fatores de Emissão'!$A:$A,'Fatores de Emissão'!D:D)</f>
        <v>0</v>
      </c>
      <c r="AC5" s="153">
        <f>_xlfn.XLOOKUP($N5,'Fatores de Emissão'!$A:$A,'Fatores de Emissão'!E:E)</f>
        <v>1.8793769181859601E-4</v>
      </c>
      <c r="AD5" s="6" t="str">
        <f>_xlfn.XLOOKUP($N5,'Fatores de Emissão'!$A:$A,'Fatores de Emissão'!F:F)</f>
        <v>kgCO2e/kg</v>
      </c>
      <c r="AE5" s="6">
        <v>4</v>
      </c>
      <c r="AF5" s="192">
        <f t="shared" si="8"/>
        <v>7.3195421871825428E-2</v>
      </c>
      <c r="AG5" s="220">
        <f t="shared" si="9"/>
        <v>0.82260517924414644</v>
      </c>
      <c r="AW5" s="16" t="s">
        <v>682</v>
      </c>
    </row>
    <row r="6" spans="1:49">
      <c r="A6" s="5" t="str">
        <f>_xlfn.XLOOKUP(N6,Industrial!E:E,Industrial!B:B)</f>
        <v>Energia</v>
      </c>
      <c r="B6" s="192">
        <v>0</v>
      </c>
      <c r="C6" s="192">
        <v>1</v>
      </c>
      <c r="D6" s="192">
        <v>0</v>
      </c>
      <c r="E6" s="240">
        <f t="shared" si="2"/>
        <v>0</v>
      </c>
      <c r="F6" s="240">
        <f t="shared" si="3"/>
        <v>0.15022838054024973</v>
      </c>
      <c r="G6" s="240">
        <f t="shared" si="4"/>
        <v>0</v>
      </c>
      <c r="H6" s="192">
        <v>0</v>
      </c>
      <c r="I6" s="192">
        <v>1</v>
      </c>
      <c r="J6" s="192">
        <v>0</v>
      </c>
      <c r="K6" s="240">
        <f t="shared" si="5"/>
        <v>0</v>
      </c>
      <c r="L6" s="240">
        <f t="shared" si="6"/>
        <v>0</v>
      </c>
      <c r="M6" s="240">
        <f t="shared" si="7"/>
        <v>0</v>
      </c>
      <c r="N6" s="16" t="s">
        <v>682</v>
      </c>
      <c r="O6" s="153">
        <f>SUMIFS(Industrial!F:F,Industrial!E:E,N6)</f>
        <v>5.5640140940833245</v>
      </c>
      <c r="P6" s="6" t="str">
        <f>_xlfn.XLOOKUP(N6,Industrial!$E:$E,Industrial!$G:$G)</f>
        <v>MWh/t FeSiMg</v>
      </c>
      <c r="Q6" s="153">
        <f t="shared" si="10"/>
        <v>150.22838054024973</v>
      </c>
      <c r="R6" s="153">
        <v>0</v>
      </c>
      <c r="S6" s="153">
        <v>0</v>
      </c>
      <c r="T6" s="153">
        <f>SUMIFS(Industrial!N:N,Industrial!$E:$E,$N6)</f>
        <v>0.15022838054024973</v>
      </c>
      <c r="U6" s="153">
        <f>SUMIFS(Industrial!O:O,Industrial!$E:$E,$N6)</f>
        <v>0</v>
      </c>
      <c r="V6" s="153">
        <f>SUMIFS(Industrial!P:P,Industrial!$E:$E,$N6)</f>
        <v>0</v>
      </c>
      <c r="W6" s="153">
        <f>SUMIFS(Industrial!Q:Q,Industrial!$E:$E,$N6)</f>
        <v>0</v>
      </c>
      <c r="X6" s="153">
        <f t="shared" si="1"/>
        <v>0.15022838054024973</v>
      </c>
      <c r="Y6" s="6" t="s">
        <v>850</v>
      </c>
      <c r="Z6" s="153">
        <f>_xlfn.XLOOKUP($N6,'Fatores de Emissão'!$A:$A,'Fatores de Emissão'!B:B)</f>
        <v>2.7E-2</v>
      </c>
      <c r="AA6" s="153">
        <f>_xlfn.XLOOKUP($N6,'Fatores de Emissão'!$A:$A,'Fatores de Emissão'!C:C)</f>
        <v>0</v>
      </c>
      <c r="AB6" s="153">
        <f>_xlfn.XLOOKUP($N6,'Fatores de Emissão'!$A:$A,'Fatores de Emissão'!D:D)</f>
        <v>0</v>
      </c>
      <c r="AC6" s="153">
        <f>_xlfn.XLOOKUP($N6,'Fatores de Emissão'!$A:$A,'Fatores de Emissão'!E:E)</f>
        <v>0</v>
      </c>
      <c r="AD6" s="6" t="str">
        <f>_xlfn.XLOOKUP($N6,'Fatores de Emissão'!$A:$A,'Fatores de Emissão'!F:F)</f>
        <v>kgCO2e/kWh</v>
      </c>
      <c r="AE6" s="6">
        <v>5</v>
      </c>
      <c r="AF6" s="192">
        <f t="shared" si="8"/>
        <v>5.4346074206009322E-2</v>
      </c>
      <c r="AG6" s="220">
        <f t="shared" si="9"/>
        <v>0.87695125345015579</v>
      </c>
      <c r="AW6" s="16" t="s">
        <v>878</v>
      </c>
    </row>
    <row r="7" spans="1:49">
      <c r="A7" s="5" t="s">
        <v>338</v>
      </c>
      <c r="B7" s="192">
        <v>0</v>
      </c>
      <c r="C7" s="192">
        <v>0</v>
      </c>
      <c r="D7" s="192">
        <v>1</v>
      </c>
      <c r="E7" s="240">
        <f t="shared" si="2"/>
        <v>0</v>
      </c>
      <c r="F7" s="240">
        <f t="shared" si="3"/>
        <v>0</v>
      </c>
      <c r="G7" s="240">
        <f t="shared" si="4"/>
        <v>9.1742029041517181E-2</v>
      </c>
      <c r="H7" s="192">
        <v>0</v>
      </c>
      <c r="I7" s="192">
        <v>0</v>
      </c>
      <c r="J7" s="192">
        <v>1</v>
      </c>
      <c r="K7" s="240">
        <f t="shared" si="5"/>
        <v>0</v>
      </c>
      <c r="L7" s="240">
        <f t="shared" si="6"/>
        <v>0</v>
      </c>
      <c r="M7" s="240">
        <f t="shared" si="7"/>
        <v>6.238199321168863E-3</v>
      </c>
      <c r="N7" s="16" t="s">
        <v>878</v>
      </c>
      <c r="O7" s="153">
        <f>SUM(Transporte!$I:$I)</f>
        <v>2.4430768471646411</v>
      </c>
      <c r="P7" s="6" t="s">
        <v>185</v>
      </c>
      <c r="Q7" s="226">
        <f>SUM(Transporte!M:M)+(SUM(Transporte!T:T)*1000)</f>
        <v>90.657295321307942</v>
      </c>
      <c r="R7" s="153">
        <f>SUM(Transporte!N:N)</f>
        <v>4.2111850823258329E-3</v>
      </c>
      <c r="S7" s="153">
        <f>SUM(Transporte!O:O)</f>
        <v>3.5430097304481856E-3</v>
      </c>
      <c r="T7" s="153">
        <f>SUM(Transporte!W:W)</f>
        <v>9.1742029041517181E-2</v>
      </c>
      <c r="U7" s="153">
        <f>SUM(Transporte!X:X)</f>
        <v>6.238199321168863E-3</v>
      </c>
      <c r="V7" s="153">
        <v>0</v>
      </c>
      <c r="W7" s="153">
        <f>SUM(Transporte!V:V)</f>
        <v>3.5295977575372898E-6</v>
      </c>
      <c r="X7" s="153">
        <f t="shared" si="1"/>
        <v>9.798375796044359E-2</v>
      </c>
      <c r="Y7" s="6" t="s">
        <v>850</v>
      </c>
      <c r="Z7" s="153">
        <f>T7/$O7</f>
        <v>3.7551839250570491E-2</v>
      </c>
      <c r="AA7" s="153">
        <f t="shared" ref="AA7:AC7" si="11">U7/$O7</f>
        <v>2.5534191969477844E-3</v>
      </c>
      <c r="AB7" s="153">
        <f t="shared" si="11"/>
        <v>0</v>
      </c>
      <c r="AC7" s="153">
        <f t="shared" si="11"/>
        <v>1.4447346433795691E-6</v>
      </c>
      <c r="AD7" s="6" t="s">
        <v>204</v>
      </c>
      <c r="AE7" s="6">
        <v>6</v>
      </c>
      <c r="AF7" s="192">
        <f t="shared" si="8"/>
        <v>3.3188263763279643E-2</v>
      </c>
      <c r="AG7" s="220">
        <f t="shared" si="9"/>
        <v>0.91013951721343544</v>
      </c>
      <c r="AW7" s="16" t="s">
        <v>824</v>
      </c>
    </row>
    <row r="8" spans="1:49">
      <c r="A8" s="5" t="str">
        <f>_xlfn.XLOOKUP(N8,Industrial!E:E,Industrial!B:B)</f>
        <v>Resíduo</v>
      </c>
      <c r="B8" s="192">
        <v>1</v>
      </c>
      <c r="C8" s="192">
        <v>0</v>
      </c>
      <c r="D8" s="192">
        <v>0</v>
      </c>
      <c r="E8" s="240">
        <f t="shared" si="2"/>
        <v>4.3801967239734396E-2</v>
      </c>
      <c r="F8" s="240">
        <f t="shared" si="3"/>
        <v>0</v>
      </c>
      <c r="G8" s="240">
        <f t="shared" si="4"/>
        <v>0</v>
      </c>
      <c r="H8" s="192">
        <v>1</v>
      </c>
      <c r="I8" s="192">
        <v>0</v>
      </c>
      <c r="J8" s="192">
        <v>0</v>
      </c>
      <c r="K8" s="240">
        <f t="shared" si="5"/>
        <v>1.7482740948277624</v>
      </c>
      <c r="L8" s="240">
        <f t="shared" si="6"/>
        <v>0</v>
      </c>
      <c r="M8" s="240">
        <f t="shared" si="7"/>
        <v>0</v>
      </c>
      <c r="N8" s="16" t="s">
        <v>824</v>
      </c>
      <c r="O8" s="153">
        <f>SUMIFS(Industrial!F:F,Industrial!E:E,N8)</f>
        <v>4.3801967239734396E-2</v>
      </c>
      <c r="P8" s="6" t="str">
        <f>_xlfn.XLOOKUP(N8,Industrial!$E:$E,Industrial!$G:$G)</f>
        <v>t/t FeSiMg</v>
      </c>
      <c r="Q8" s="153">
        <f>T8*1000</f>
        <v>43.801967239734395</v>
      </c>
      <c r="R8" s="153">
        <v>0</v>
      </c>
      <c r="S8" s="153">
        <v>0</v>
      </c>
      <c r="T8" s="153">
        <f>SUMIFS(Industrial!N:N,Industrial!$E:$E,$N8)</f>
        <v>4.3801967239734396E-2</v>
      </c>
      <c r="U8" s="153">
        <f>SUMIFS(Industrial!O:O,Industrial!$E:$E,$N8)</f>
        <v>1.7482740948277624</v>
      </c>
      <c r="V8" s="153">
        <f>SUMIFS(Industrial!P:P,Industrial!$E:$E,$N8)</f>
        <v>0</v>
      </c>
      <c r="W8" s="153">
        <f>SUMIFS(Industrial!Q:Q,Industrial!$E:$E,$N8)</f>
        <v>0</v>
      </c>
      <c r="X8" s="153">
        <f t="shared" si="1"/>
        <v>1.7920760620674967</v>
      </c>
      <c r="Y8" s="6" t="s">
        <v>850</v>
      </c>
      <c r="Z8" s="153">
        <v>1</v>
      </c>
      <c r="AA8" s="153">
        <v>1</v>
      </c>
      <c r="AB8" s="153">
        <v>0</v>
      </c>
      <c r="AC8" s="153">
        <v>0</v>
      </c>
      <c r="AD8" s="6" t="s">
        <v>204</v>
      </c>
      <c r="AE8" s="6">
        <v>7</v>
      </c>
      <c r="AF8" s="192">
        <f t="shared" si="8"/>
        <v>1.584564083976138E-2</v>
      </c>
      <c r="AG8" s="220">
        <f t="shared" si="9"/>
        <v>0.92598515805319681</v>
      </c>
      <c r="AW8" s="16" t="s">
        <v>907</v>
      </c>
    </row>
    <row r="9" spans="1:49" ht="16" thickBot="1">
      <c r="A9" s="5" t="str">
        <f>_xlfn.XLOOKUP(N9,Industrial!E:E,Industrial!B:B)</f>
        <v>Matéria-Prima</v>
      </c>
      <c r="B9" s="192">
        <v>0</v>
      </c>
      <c r="C9" s="192">
        <v>0</v>
      </c>
      <c r="D9" s="192">
        <v>1</v>
      </c>
      <c r="E9" s="240">
        <f t="shared" si="2"/>
        <v>0</v>
      </c>
      <c r="F9" s="240">
        <f t="shared" si="3"/>
        <v>0</v>
      </c>
      <c r="G9" s="240">
        <f t="shared" si="4"/>
        <v>4.455496144224351E-2</v>
      </c>
      <c r="H9" s="192">
        <v>0</v>
      </c>
      <c r="I9" s="192">
        <v>0</v>
      </c>
      <c r="J9" s="192">
        <v>1</v>
      </c>
      <c r="K9" s="240">
        <f t="shared" si="5"/>
        <v>0</v>
      </c>
      <c r="L9" s="240">
        <f t="shared" si="6"/>
        <v>0</v>
      </c>
      <c r="M9" s="240">
        <f t="shared" si="7"/>
        <v>1.3162764848988347E-5</v>
      </c>
      <c r="N9" s="16" t="s">
        <v>783</v>
      </c>
      <c r="O9" s="153">
        <f>SUMIFS(Industrial!F:F,Industrial!E:E,N9)</f>
        <v>2.3112851544640409E-2</v>
      </c>
      <c r="P9" s="6" t="str">
        <f>_xlfn.XLOOKUP(N9,Industrial!$E:$E,Industrial!$G:$G)</f>
        <v>t/t FeSiMg</v>
      </c>
      <c r="Q9" s="153">
        <f t="shared" ref="Q9:Q13" si="12">T9*1000</f>
        <v>44.55496144224351</v>
      </c>
      <c r="R9" s="153">
        <v>0</v>
      </c>
      <c r="S9" s="153">
        <v>0</v>
      </c>
      <c r="T9" s="153">
        <f>SUMIFS(Industrial!N:N,Industrial!$E:$E,$N9)</f>
        <v>4.455496144224351E-2</v>
      </c>
      <c r="U9" s="153">
        <f>SUMIFS(Industrial!O:O,Industrial!$E:$E,$N9)</f>
        <v>1.3162764848988347E-5</v>
      </c>
      <c r="V9" s="153">
        <f>SUMIFS(Industrial!P:P,Industrial!$E:$E,$N9)</f>
        <v>0</v>
      </c>
      <c r="W9" s="153">
        <f>SUMIFS(Industrial!Q:Q,Industrial!$E:$E,$N9)</f>
        <v>1.6918613368961226E-5</v>
      </c>
      <c r="X9" s="153">
        <f t="shared" si="1"/>
        <v>4.4585042820461461E-2</v>
      </c>
      <c r="Y9" s="6" t="s">
        <v>850</v>
      </c>
      <c r="Z9" s="153">
        <f>_xlfn.XLOOKUP($N9,'Fatores de Emissão'!$A:$A,'Fatores de Emissão'!B:B)</f>
        <v>1.9277137377960301</v>
      </c>
      <c r="AA9" s="153">
        <f>_xlfn.XLOOKUP($N9,'Fatores de Emissão'!$A:$A,'Fatores de Emissão'!C:C)</f>
        <v>5.6949982236357297E-4</v>
      </c>
      <c r="AB9" s="153">
        <f>_xlfn.XLOOKUP($N9,'Fatores de Emissão'!$A:$A,'Fatores de Emissão'!D:D)</f>
        <v>0</v>
      </c>
      <c r="AC9" s="153">
        <f>_xlfn.XLOOKUP($N9,'Fatores de Emissão'!$A:$A,'Fatores de Emissão'!E:E)</f>
        <v>7.3200026125224901E-4</v>
      </c>
      <c r="AD9" s="6" t="str">
        <f>_xlfn.XLOOKUP($N9,'Fatores de Emissão'!$A:$A,'Fatores de Emissão'!F:F)</f>
        <v>kgCO2e/kg</v>
      </c>
      <c r="AE9" s="6">
        <v>8</v>
      </c>
      <c r="AF9" s="192">
        <f t="shared" si="8"/>
        <v>1.6118041292053357E-2</v>
      </c>
      <c r="AG9" s="220">
        <f t="shared" si="9"/>
        <v>0.94210319934525022</v>
      </c>
      <c r="AW9" s="235" t="s">
        <v>812</v>
      </c>
    </row>
    <row r="10" spans="1:49" ht="16" thickBot="1">
      <c r="A10" s="233" t="str">
        <f>_xlfn.XLOOKUP(N10,Industrial!E:E,Industrial!B:B)</f>
        <v>Matéria-Prima</v>
      </c>
      <c r="B10" s="234">
        <v>0</v>
      </c>
      <c r="C10" s="234">
        <v>0</v>
      </c>
      <c r="D10" s="234">
        <v>1</v>
      </c>
      <c r="E10" s="241">
        <f t="shared" si="2"/>
        <v>0</v>
      </c>
      <c r="F10" s="241">
        <f t="shared" si="3"/>
        <v>0</v>
      </c>
      <c r="G10" s="241">
        <f t="shared" si="4"/>
        <v>2.8774876475599676E-2</v>
      </c>
      <c r="H10" s="234">
        <v>0</v>
      </c>
      <c r="I10" s="234">
        <v>0</v>
      </c>
      <c r="J10" s="234">
        <v>1</v>
      </c>
      <c r="K10" s="241">
        <f t="shared" si="5"/>
        <v>0</v>
      </c>
      <c r="L10" s="241">
        <f t="shared" si="6"/>
        <v>0</v>
      </c>
      <c r="M10" s="241">
        <f t="shared" si="7"/>
        <v>3.3186773836089056E-6</v>
      </c>
      <c r="N10" s="235" t="s">
        <v>833</v>
      </c>
      <c r="O10" s="236">
        <f>SUMIFS(Industrial!F:F,Industrial!E:E,N10)</f>
        <v>1.8580927463040027E-2</v>
      </c>
      <c r="P10" s="237" t="str">
        <f>_xlfn.XLOOKUP(N10,Industrial!$E:$E,Industrial!$G:$G)</f>
        <v>t/t FeSiMg</v>
      </c>
      <c r="Q10" s="236">
        <f t="shared" si="12"/>
        <v>28.774876475599676</v>
      </c>
      <c r="R10" s="236">
        <v>0</v>
      </c>
      <c r="S10" s="236">
        <v>0</v>
      </c>
      <c r="T10" s="236">
        <f>SUMIFS(Industrial!N:N,Industrial!$E:$E,$N10)</f>
        <v>2.8774876475599676E-2</v>
      </c>
      <c r="U10" s="236">
        <f>SUMIFS(Industrial!O:O,Industrial!$E:$E,$N10)</f>
        <v>3.3186773836089056E-6</v>
      </c>
      <c r="V10" s="236">
        <f>SUMIFS(Industrial!P:P,Industrial!$E:$E,$N10)</f>
        <v>0</v>
      </c>
      <c r="W10" s="236">
        <f>SUMIFS(Industrial!Q:Q,Industrial!$E:$E,$N10)</f>
        <v>5.6099039041454991E-6</v>
      </c>
      <c r="X10" s="236">
        <f t="shared" si="1"/>
        <v>2.8783805056887431E-2</v>
      </c>
      <c r="Y10" s="237" t="s">
        <v>850</v>
      </c>
      <c r="Z10" s="236">
        <f>_xlfn.XLOOKUP($N10,'Fatores de Emissão'!$A:$A,'Fatores de Emissão'!B:B)</f>
        <v>1.54862433712401</v>
      </c>
      <c r="AA10" s="236">
        <f>_xlfn.XLOOKUP($N10,'Fatores de Emissão'!$A:$A,'Fatores de Emissão'!C:C)</f>
        <v>1.78606659447447E-4</v>
      </c>
      <c r="AB10" s="236">
        <f>_xlfn.XLOOKUP($N10,'Fatores de Emissão'!$A:$A,'Fatores de Emissão'!D:D)</f>
        <v>0</v>
      </c>
      <c r="AC10" s="236">
        <f>_xlfn.XLOOKUP($N10,'Fatores de Emissão'!$A:$A,'Fatores de Emissão'!E:E)</f>
        <v>3.0191732438030101E-4</v>
      </c>
      <c r="AD10" s="237" t="str">
        <f>_xlfn.XLOOKUP($N10,'Fatores de Emissão'!$A:$A,'Fatores de Emissão'!F:F)</f>
        <v>kgCO2e/kg</v>
      </c>
      <c r="AE10" s="108">
        <v>9</v>
      </c>
      <c r="AF10" s="234">
        <f t="shared" si="8"/>
        <v>1.0409494974171759E-2</v>
      </c>
      <c r="AG10" s="238">
        <f t="shared" si="9"/>
        <v>0.95251269431942198</v>
      </c>
    </row>
    <row r="11" spans="1:49">
      <c r="A11" s="227" t="str">
        <f>_xlfn.XLOOKUP(N11,Industrial!E:E,Industrial!B:B)</f>
        <v>Matéria-Prima</v>
      </c>
      <c r="B11" s="228">
        <v>0</v>
      </c>
      <c r="C11" s="228">
        <v>0</v>
      </c>
      <c r="D11" s="228">
        <v>1</v>
      </c>
      <c r="E11" s="242">
        <f t="shared" si="2"/>
        <v>0</v>
      </c>
      <c r="F11" s="242">
        <f t="shared" si="3"/>
        <v>0</v>
      </c>
      <c r="G11" s="242">
        <f t="shared" si="4"/>
        <v>2.7086294199249183E-2</v>
      </c>
      <c r="H11" s="228">
        <v>0</v>
      </c>
      <c r="I11" s="228">
        <v>0</v>
      </c>
      <c r="J11" s="228">
        <v>1</v>
      </c>
      <c r="K11" s="242">
        <f t="shared" si="5"/>
        <v>0</v>
      </c>
      <c r="L11" s="242">
        <f t="shared" si="6"/>
        <v>0</v>
      </c>
      <c r="M11" s="242">
        <f t="shared" si="7"/>
        <v>1.4358119612551263E-4</v>
      </c>
      <c r="N11" s="229" t="s">
        <v>834</v>
      </c>
      <c r="O11" s="230">
        <f>SUMIFS(Industrial!F:F,Industrial!E:E,N11)</f>
        <v>3.3355129156729953E-2</v>
      </c>
      <c r="P11" s="231" t="str">
        <f>_xlfn.XLOOKUP(N11,Industrial!$E:$E,Industrial!$G:$G)</f>
        <v>t/t FeSiMg</v>
      </c>
      <c r="Q11" s="230">
        <f t="shared" si="12"/>
        <v>27.086294199249185</v>
      </c>
      <c r="R11" s="230">
        <v>0</v>
      </c>
      <c r="S11" s="230">
        <v>0</v>
      </c>
      <c r="T11" s="230">
        <f>SUMIFS(Industrial!N:N,Industrial!$E:$E,$N11)</f>
        <v>2.7086294199249183E-2</v>
      </c>
      <c r="U11" s="230">
        <f>SUMIFS(Industrial!O:O,Industrial!$E:$E,$N11)</f>
        <v>1.4358119612551263E-4</v>
      </c>
      <c r="V11" s="230">
        <f>SUMIFS(Industrial!P:P,Industrial!$E:$E,$N11)</f>
        <v>0</v>
      </c>
      <c r="W11" s="230">
        <f>SUMIFS(Industrial!Q:Q,Industrial!$E:$E,$N11)</f>
        <v>1.4378341353956664E-5</v>
      </c>
      <c r="X11" s="230">
        <f t="shared" si="1"/>
        <v>2.7244253736728653E-2</v>
      </c>
      <c r="Y11" s="231" t="s">
        <v>850</v>
      </c>
      <c r="Z11" s="230">
        <f>_xlfn.XLOOKUP($N11,'Fatores de Emissão'!$A:$A,'Fatores de Emissão'!B:B)</f>
        <v>0.81205784189817998</v>
      </c>
      <c r="AA11" s="230">
        <f>_xlfn.XLOOKUP($N11,'Fatores de Emissão'!$A:$A,'Fatores de Emissão'!C:C)</f>
        <v>4.3046212008608798E-3</v>
      </c>
      <c r="AB11" s="230">
        <f>_xlfn.XLOOKUP($N11,'Fatores de Emissão'!$A:$A,'Fatores de Emissão'!D:D)</f>
        <v>0</v>
      </c>
      <c r="AC11" s="230">
        <f>_xlfn.XLOOKUP($N11,'Fatores de Emissão'!$A:$A,'Fatores de Emissão'!E:E)</f>
        <v>4.3106837591290199E-4</v>
      </c>
      <c r="AD11" s="231" t="str">
        <f>_xlfn.XLOOKUP($N11,'Fatores de Emissão'!$A:$A,'Fatores de Emissão'!F:F)</f>
        <v>kgCO2e/kg</v>
      </c>
      <c r="AE11" s="231">
        <v>10</v>
      </c>
      <c r="AF11" s="228">
        <f t="shared" si="8"/>
        <v>9.7986395727923288E-3</v>
      </c>
      <c r="AG11" s="232">
        <f t="shared" si="9"/>
        <v>0.96231133389221435</v>
      </c>
    </row>
    <row r="12" spans="1:49">
      <c r="A12" s="5" t="str">
        <f>_xlfn.XLOOKUP(N12,Industrial!E:E,Industrial!B:B)</f>
        <v>Matéria-Prima</v>
      </c>
      <c r="B12" s="192">
        <v>0</v>
      </c>
      <c r="C12" s="192">
        <v>0</v>
      </c>
      <c r="D12" s="192">
        <v>1</v>
      </c>
      <c r="E12" s="240">
        <f t="shared" si="2"/>
        <v>0</v>
      </c>
      <c r="F12" s="240">
        <f t="shared" si="3"/>
        <v>0</v>
      </c>
      <c r="G12" s="240">
        <f t="shared" si="4"/>
        <v>1.9086546346032851E-2</v>
      </c>
      <c r="H12" s="192">
        <v>0</v>
      </c>
      <c r="I12" s="192">
        <v>0</v>
      </c>
      <c r="J12" s="192">
        <v>1</v>
      </c>
      <c r="K12" s="240">
        <f t="shared" si="5"/>
        <v>0</v>
      </c>
      <c r="L12" s="240">
        <f t="shared" si="6"/>
        <v>0</v>
      </c>
      <c r="M12" s="240">
        <f t="shared" si="7"/>
        <v>1.0880899192779388E-5</v>
      </c>
      <c r="N12" s="16" t="s">
        <v>667</v>
      </c>
      <c r="O12" s="153">
        <f>SUMIFS(Industrial!F:F,Industrial!E:E,N12)</f>
        <v>8.1833644988853274E-3</v>
      </c>
      <c r="P12" s="6" t="str">
        <f>_xlfn.XLOOKUP(N12,Industrial!$E:$E,Industrial!$G:$G)</f>
        <v>t/t FeSiMg</v>
      </c>
      <c r="Q12" s="153">
        <f t="shared" si="12"/>
        <v>19.086546346032851</v>
      </c>
      <c r="R12" s="153">
        <v>0</v>
      </c>
      <c r="S12" s="153">
        <v>0</v>
      </c>
      <c r="T12" s="153">
        <f>SUMIFS(Industrial!N:N,Industrial!$E:$E,$N12)</f>
        <v>1.9086546346032851E-2</v>
      </c>
      <c r="U12" s="153">
        <f>SUMIFS(Industrial!O:O,Industrial!$E:$E,$N12)</f>
        <v>1.0880899192779388E-5</v>
      </c>
      <c r="V12" s="153">
        <f>SUMIFS(Industrial!P:P,Industrial!$E:$E,$N12)</f>
        <v>0</v>
      </c>
      <c r="W12" s="153">
        <f>SUMIFS(Industrial!Q:Q,Industrial!$E:$E,$N12)</f>
        <v>7.0699394069513886E-5</v>
      </c>
      <c r="X12" s="153">
        <f t="shared" si="1"/>
        <v>1.9168126639295145E-2</v>
      </c>
      <c r="Y12" s="6" t="s">
        <v>850</v>
      </c>
      <c r="Z12" s="153">
        <f>_xlfn.XLOOKUP($N12,'Fatores de Emissão'!$A:$A,'Fatores de Emissão'!B:B)</f>
        <v>2.3323593063259822</v>
      </c>
      <c r="AA12" s="153">
        <f>_xlfn.XLOOKUP($N12,'Fatores de Emissão'!$A:$A,'Fatores de Emissão'!C:C)</f>
        <v>1.3296363854086539E-3</v>
      </c>
      <c r="AB12" s="153">
        <f>_xlfn.XLOOKUP($N12,'Fatores de Emissão'!$A:$A,'Fatores de Emissão'!D:D)</f>
        <v>0</v>
      </c>
      <c r="AC12" s="153">
        <f>_xlfn.XLOOKUP($N12,'Fatores de Emissão'!$A:$A,'Fatores de Emissão'!E:E)</f>
        <v>8.6394042547101486E-3</v>
      </c>
      <c r="AD12" s="6" t="str">
        <f>_xlfn.XLOOKUP($N12,'Fatores de Emissão'!$A:$A,'Fatores de Emissão'!F:F)</f>
        <v>kgCO2e/kg</v>
      </c>
      <c r="AE12" s="6">
        <v>11</v>
      </c>
      <c r="AF12" s="192">
        <f t="shared" si="8"/>
        <v>6.9046797970375908E-3</v>
      </c>
      <c r="AG12" s="220">
        <f t="shared" si="9"/>
        <v>0.96921601368925192</v>
      </c>
    </row>
    <row r="13" spans="1:49">
      <c r="A13" s="5" t="str">
        <f>_xlfn.XLOOKUP(N13,Industrial!E:E,Industrial!B:B)</f>
        <v>Matéria-Prima</v>
      </c>
      <c r="B13" s="218">
        <v>0</v>
      </c>
      <c r="C13" s="218">
        <v>0</v>
      </c>
      <c r="D13" s="218">
        <v>1</v>
      </c>
      <c r="E13" s="240">
        <f t="shared" si="2"/>
        <v>0</v>
      </c>
      <c r="F13" s="240">
        <f t="shared" si="3"/>
        <v>0</v>
      </c>
      <c r="G13" s="240">
        <f t="shared" si="4"/>
        <v>1.3766405786946521E-2</v>
      </c>
      <c r="H13" s="218">
        <v>0</v>
      </c>
      <c r="I13" s="218">
        <v>0</v>
      </c>
      <c r="J13" s="218">
        <v>1</v>
      </c>
      <c r="K13" s="240">
        <f t="shared" si="5"/>
        <v>0</v>
      </c>
      <c r="L13" s="240">
        <f t="shared" si="6"/>
        <v>0</v>
      </c>
      <c r="M13" s="240">
        <f t="shared" si="7"/>
        <v>0</v>
      </c>
      <c r="N13" s="16" t="s">
        <v>707</v>
      </c>
      <c r="O13" s="153">
        <f>SUMIFS(Industrial!F:F,Industrial!E:E,N13)</f>
        <v>1.3766405786946521E-2</v>
      </c>
      <c r="P13" s="6" t="str">
        <f>_xlfn.XLOOKUP(N13,Industrial!$E:$E,Industrial!$G:$G)</f>
        <v>t/t FeSiMg</v>
      </c>
      <c r="Q13" s="153">
        <f t="shared" si="12"/>
        <v>13.766405786946521</v>
      </c>
      <c r="R13" s="153">
        <v>0</v>
      </c>
      <c r="S13" s="153">
        <v>0</v>
      </c>
      <c r="T13" s="153">
        <f>SUMIFS(Industrial!N:N,Industrial!$E:$E,$N13)</f>
        <v>1.3766405786946521E-2</v>
      </c>
      <c r="U13" s="153">
        <f>SUMIFS(Industrial!O:O,Industrial!$E:$E,$N13)</f>
        <v>0</v>
      </c>
      <c r="V13" s="153">
        <f>SUMIFS(Industrial!P:P,Industrial!$E:$E,$N13)</f>
        <v>0</v>
      </c>
      <c r="W13" s="153">
        <f>SUMIFS(Industrial!Q:Q,Industrial!$E:$E,$N13)</f>
        <v>0</v>
      </c>
      <c r="X13" s="153">
        <f t="shared" si="1"/>
        <v>1.3766405786946521E-2</v>
      </c>
      <c r="Y13" s="6" t="s">
        <v>850</v>
      </c>
      <c r="Z13" s="153">
        <f>_xlfn.XLOOKUP($N13,'Fatores de Emissão'!$A:$A,'Fatores de Emissão'!B:B)</f>
        <v>1</v>
      </c>
      <c r="AA13" s="153">
        <f>_xlfn.XLOOKUP($N13,'Fatores de Emissão'!$A:$A,'Fatores de Emissão'!C:C)</f>
        <v>0</v>
      </c>
      <c r="AB13" s="153">
        <f>_xlfn.XLOOKUP($N13,'Fatores de Emissão'!$A:$A,'Fatores de Emissão'!D:D)</f>
        <v>0</v>
      </c>
      <c r="AC13" s="153">
        <f>_xlfn.XLOOKUP($N13,'Fatores de Emissão'!$A:$A,'Fatores de Emissão'!E:E)</f>
        <v>0</v>
      </c>
      <c r="AD13" s="6" t="str">
        <f>_xlfn.XLOOKUP($N13,'Fatores de Emissão'!$A:$A,'Fatores de Emissão'!F:F)</f>
        <v>kgCO2e/kg</v>
      </c>
      <c r="AE13" s="6">
        <v>12</v>
      </c>
      <c r="AF13" s="192">
        <f t="shared" si="8"/>
        <v>4.9800850395707004E-3</v>
      </c>
      <c r="AG13" s="220">
        <f t="shared" si="9"/>
        <v>0.97419609872882262</v>
      </c>
    </row>
    <row r="14" spans="1:49">
      <c r="A14" s="5" t="str">
        <f>_xlfn.XLOOKUP(N14,Industrial!E:E,Industrial!B:B)</f>
        <v>Combustível</v>
      </c>
      <c r="B14" s="192">
        <v>1</v>
      </c>
      <c r="C14" s="192">
        <v>0</v>
      </c>
      <c r="D14" s="192">
        <v>0</v>
      </c>
      <c r="E14" s="240">
        <f t="shared" si="2"/>
        <v>1.2834321177440067E-2</v>
      </c>
      <c r="F14" s="240">
        <f t="shared" si="3"/>
        <v>0</v>
      </c>
      <c r="G14" s="240">
        <f t="shared" si="4"/>
        <v>0</v>
      </c>
      <c r="H14" s="192">
        <v>1</v>
      </c>
      <c r="I14" s="192">
        <v>0</v>
      </c>
      <c r="J14" s="192">
        <v>0</v>
      </c>
      <c r="K14" s="240">
        <f t="shared" si="5"/>
        <v>1.2671728658793409E-3</v>
      </c>
      <c r="L14" s="240">
        <f t="shared" si="6"/>
        <v>0</v>
      </c>
      <c r="M14" s="240">
        <f t="shared" si="7"/>
        <v>0</v>
      </c>
      <c r="N14" s="16" t="s">
        <v>719</v>
      </c>
      <c r="O14" s="153">
        <f>SUMIFS(Industrial!F:F,Industrial!E:E,N14)</f>
        <v>5.4011439184066896</v>
      </c>
      <c r="P14" s="6" t="str">
        <f>_xlfn.XLOOKUP(N14,Industrial!$E:$E,Industrial!$G:$G)</f>
        <v>L/t FeSiMg</v>
      </c>
      <c r="Q14" s="153">
        <f>$O14*Combustão_Estacionária!$E$34</f>
        <v>12.787181221108247</v>
      </c>
      <c r="R14" s="153">
        <f>$O14*Combustão_Estacionária!$G$34</f>
        <v>5.713934100826432E-4</v>
      </c>
      <c r="S14" s="153">
        <f>$O14*Combustão_Estacionária!$H$34</f>
        <v>1.1427868201652863E-4</v>
      </c>
      <c r="T14" s="153">
        <f>SUMIFS(Industrial!N:N,Industrial!$E:$E,$N14)</f>
        <v>1.2834321177440067E-2</v>
      </c>
      <c r="U14" s="153">
        <f>SUMIFS(Industrial!O:O,Industrial!$E:$E,$N14)</f>
        <v>1.2671728658793409E-3</v>
      </c>
      <c r="V14" s="153">
        <f>SUMIFS(Industrial!P:P,Industrial!$E:$E,$N14)</f>
        <v>0</v>
      </c>
      <c r="W14" s="153">
        <f>SUMIFS(Industrial!Q:Q,Industrial!$E:$E,$N14)</f>
        <v>0</v>
      </c>
      <c r="X14" s="153">
        <f t="shared" si="1"/>
        <v>1.4101494043319408E-2</v>
      </c>
      <c r="Y14" s="6" t="s">
        <v>850</v>
      </c>
      <c r="Z14" s="153">
        <f>_xlfn.XLOOKUP($N14,'Fatores de Emissão'!$A:$A,'Fatores de Emissão'!B:B)</f>
        <v>2.3762227726800007</v>
      </c>
      <c r="AA14" s="153">
        <f>_xlfn.XLOOKUP($N14,'Fatores de Emissão'!$A:$A,'Fatores de Emissão'!C:C)</f>
        <v>0.23461194240000005</v>
      </c>
      <c r="AB14" s="153">
        <f>_xlfn.XLOOKUP($N14,'Fatores de Emissão'!$A:$A,'Fatores de Emissão'!D:D)</f>
        <v>0</v>
      </c>
      <c r="AC14" s="153">
        <f>_xlfn.XLOOKUP($N14,'Fatores de Emissão'!$A:$A,'Fatores de Emissão'!E:E)</f>
        <v>0</v>
      </c>
      <c r="AD14" s="6" t="str">
        <f>_xlfn.XLOOKUP($N14,'Fatores de Emissão'!$A:$A,'Fatores de Emissão'!F:F)</f>
        <v>kgCO2e/L</v>
      </c>
      <c r="AE14" s="6">
        <v>13</v>
      </c>
      <c r="AF14" s="192">
        <f t="shared" si="8"/>
        <v>4.6428974910372508E-3</v>
      </c>
      <c r="AG14" s="220">
        <f t="shared" si="9"/>
        <v>0.97883899621985992</v>
      </c>
    </row>
    <row r="15" spans="1:49">
      <c r="A15" s="5" t="str">
        <f>_xlfn.XLOOKUP(N15,Industrial!E:E,Industrial!B:B)</f>
        <v>Matéria-Prima</v>
      </c>
      <c r="B15" s="192">
        <v>0</v>
      </c>
      <c r="C15" s="192">
        <v>0</v>
      </c>
      <c r="D15" s="192">
        <v>1</v>
      </c>
      <c r="E15" s="240">
        <f t="shared" si="2"/>
        <v>0</v>
      </c>
      <c r="F15" s="240">
        <f t="shared" si="3"/>
        <v>0</v>
      </c>
      <c r="G15" s="240">
        <f t="shared" si="4"/>
        <v>1.1524680585415406E-2</v>
      </c>
      <c r="H15" s="192">
        <v>0</v>
      </c>
      <c r="I15" s="192">
        <v>0</v>
      </c>
      <c r="J15" s="192">
        <v>1</v>
      </c>
      <c r="K15" s="240">
        <f t="shared" si="5"/>
        <v>0</v>
      </c>
      <c r="L15" s="240">
        <f t="shared" si="6"/>
        <v>0</v>
      </c>
      <c r="M15" s="240">
        <f t="shared" si="7"/>
        <v>1.6652673868648395E-5</v>
      </c>
      <c r="N15" s="16" t="s">
        <v>839</v>
      </c>
      <c r="O15" s="153">
        <f>SUMIFS(Industrial!F:F,Industrial!E:E,N15)</f>
        <v>4.3996055546253812E-3</v>
      </c>
      <c r="P15" s="6" t="str">
        <f>_xlfn.XLOOKUP(N15,Industrial!$E:$E,Industrial!$G:$G)</f>
        <v>t/t FeSiMg</v>
      </c>
      <c r="Q15" s="153">
        <f>T15*1000</f>
        <v>11.524680585415407</v>
      </c>
      <c r="R15" s="153">
        <v>0</v>
      </c>
      <c r="S15" s="153">
        <v>0</v>
      </c>
      <c r="T15" s="153">
        <f>SUMIFS(Industrial!N:N,Industrial!$E:$E,$N15)</f>
        <v>1.1524680585415406E-2</v>
      </c>
      <c r="U15" s="153">
        <f>SUMIFS(Industrial!O:O,Industrial!$E:$E,$N15)</f>
        <v>1.6652673868648395E-5</v>
      </c>
      <c r="V15" s="153">
        <f>SUMIFS(Industrial!P:P,Industrial!$E:$E,$N15)</f>
        <v>0</v>
      </c>
      <c r="W15" s="153">
        <f>SUMIFS(Industrial!Q:Q,Industrial!$E:$E,$N15)</f>
        <v>1.9386528792560067E-5</v>
      </c>
      <c r="X15" s="153">
        <f t="shared" si="1"/>
        <v>1.1560719788076615E-2</v>
      </c>
      <c r="Y15" s="6" t="s">
        <v>850</v>
      </c>
      <c r="Z15" s="153">
        <f>_xlfn.XLOOKUP($N15,'Fatores de Emissão'!$A:$A,'Fatores de Emissão'!B:B)</f>
        <v>2.61948041530662</v>
      </c>
      <c r="AA15" s="153">
        <f>_xlfn.XLOOKUP($N15,'Fatores de Emissão'!$A:$A,'Fatores de Emissão'!C:C)</f>
        <v>3.78503792257948E-3</v>
      </c>
      <c r="AB15" s="153">
        <f>_xlfn.XLOOKUP($N15,'Fatores de Emissão'!$A:$A,'Fatores de Emissão'!D:D)</f>
        <v>0</v>
      </c>
      <c r="AC15" s="153">
        <f>_xlfn.XLOOKUP($N15,'Fatores de Emissão'!$A:$A,'Fatores de Emissão'!E:E)</f>
        <v>4.4064242923274504E-3</v>
      </c>
      <c r="AD15" s="6" t="str">
        <f>_xlfn.XLOOKUP($N15,'Fatores de Emissão'!$A:$A,'Fatores de Emissão'!F:F)</f>
        <v>kgCO2e/kg</v>
      </c>
      <c r="AE15" s="6">
        <v>14</v>
      </c>
      <c r="AF15" s="192">
        <f t="shared" si="8"/>
        <v>4.1691266593114505E-3</v>
      </c>
      <c r="AG15" s="220">
        <f t="shared" si="9"/>
        <v>0.98300812287917139</v>
      </c>
    </row>
    <row r="16" spans="1:49">
      <c r="A16" s="5" t="str">
        <f>_xlfn.XLOOKUP(N16,Industrial!E:E,Industrial!B:B)</f>
        <v>Matéria-Prima</v>
      </c>
      <c r="B16" s="192">
        <v>0</v>
      </c>
      <c r="C16" s="192">
        <v>0</v>
      </c>
      <c r="D16" s="192">
        <v>1</v>
      </c>
      <c r="E16" s="240">
        <f t="shared" si="2"/>
        <v>0</v>
      </c>
      <c r="F16" s="240">
        <f t="shared" si="3"/>
        <v>0</v>
      </c>
      <c r="G16" s="240">
        <f t="shared" si="4"/>
        <v>1.1504375850300758E-2</v>
      </c>
      <c r="H16" s="192">
        <v>0</v>
      </c>
      <c r="I16" s="192">
        <v>0</v>
      </c>
      <c r="J16" s="192">
        <v>1</v>
      </c>
      <c r="K16" s="240">
        <f t="shared" si="5"/>
        <v>0</v>
      </c>
      <c r="L16" s="240">
        <f t="shared" si="6"/>
        <v>0</v>
      </c>
      <c r="M16" s="240">
        <f t="shared" si="7"/>
        <v>0</v>
      </c>
      <c r="N16" s="16" t="s">
        <v>708</v>
      </c>
      <c r="O16" s="153">
        <f>SUMIFS(Industrial!F:F,Industrial!E:E,N16)</f>
        <v>1.0458523500273416E-3</v>
      </c>
      <c r="P16" s="6" t="str">
        <f>_xlfn.XLOOKUP(N16,Industrial!$E:$E,Industrial!$G:$G)</f>
        <v>t/t FeSiMg</v>
      </c>
      <c r="Q16" s="153">
        <f t="shared" ref="Q16:Q38" si="13">T16*1000</f>
        <v>11.504375850300757</v>
      </c>
      <c r="R16" s="153">
        <v>0</v>
      </c>
      <c r="S16" s="153">
        <v>0</v>
      </c>
      <c r="T16" s="153">
        <f>SUMIFS(Industrial!N:N,Industrial!$E:$E,$N16)</f>
        <v>1.1504375850300758E-2</v>
      </c>
      <c r="U16" s="153">
        <f>SUMIFS(Industrial!O:O,Industrial!$E:$E,$N16)</f>
        <v>0</v>
      </c>
      <c r="V16" s="153">
        <f>SUMIFS(Industrial!P:P,Industrial!$E:$E,$N16)</f>
        <v>0</v>
      </c>
      <c r="W16" s="153">
        <f>SUMIFS(Industrial!Q:Q,Industrial!$E:$E,$N16)</f>
        <v>0</v>
      </c>
      <c r="X16" s="153">
        <f t="shared" si="1"/>
        <v>1.1504375850300758E-2</v>
      </c>
      <c r="Y16" s="6" t="s">
        <v>850</v>
      </c>
      <c r="Z16" s="153">
        <f>_xlfn.XLOOKUP($N16,'Fatores de Emissão'!$A:$A,'Fatores de Emissão'!B:B)</f>
        <v>11</v>
      </c>
      <c r="AA16" s="153">
        <f>_xlfn.XLOOKUP($N16,'Fatores de Emissão'!$A:$A,'Fatores de Emissão'!C:C)</f>
        <v>0</v>
      </c>
      <c r="AB16" s="153">
        <f>_xlfn.XLOOKUP($N16,'Fatores de Emissão'!$A:$A,'Fatores de Emissão'!D:D)</f>
        <v>0</v>
      </c>
      <c r="AC16" s="153">
        <f>_xlfn.XLOOKUP($N16,'Fatores de Emissão'!$A:$A,'Fatores de Emissão'!E:E)</f>
        <v>0</v>
      </c>
      <c r="AD16" s="6" t="str">
        <f>_xlfn.XLOOKUP($N16,'Fatores de Emissão'!$A:$A,'Fatores de Emissão'!F:F)</f>
        <v>kgCO2e/kg</v>
      </c>
      <c r="AE16">
        <v>15</v>
      </c>
      <c r="AF16" s="192">
        <f t="shared" si="8"/>
        <v>4.1617812919627125E-3</v>
      </c>
      <c r="AG16" s="220">
        <f t="shared" si="9"/>
        <v>0.98716990417113415</v>
      </c>
    </row>
    <row r="17" spans="1:33">
      <c r="A17" s="5" t="str">
        <f>_xlfn.XLOOKUP(N17,Industrial!E:E,Industrial!B:B)</f>
        <v>Matéria-Prima</v>
      </c>
      <c r="B17" s="192">
        <v>0</v>
      </c>
      <c r="C17" s="192">
        <v>0</v>
      </c>
      <c r="D17" s="192">
        <v>1</v>
      </c>
      <c r="E17" s="240">
        <f t="shared" si="2"/>
        <v>0</v>
      </c>
      <c r="F17" s="240">
        <f t="shared" si="3"/>
        <v>0</v>
      </c>
      <c r="G17" s="240">
        <f t="shared" si="4"/>
        <v>8.2381405092541004E-3</v>
      </c>
      <c r="H17" s="192">
        <v>0</v>
      </c>
      <c r="I17" s="192">
        <v>0</v>
      </c>
      <c r="J17" s="192">
        <v>1</v>
      </c>
      <c r="K17" s="240">
        <f t="shared" si="5"/>
        <v>0</v>
      </c>
      <c r="L17" s="240">
        <f t="shared" si="6"/>
        <v>0</v>
      </c>
      <c r="M17" s="240">
        <f t="shared" si="7"/>
        <v>6.8798640094002605E-6</v>
      </c>
      <c r="N17" s="16" t="s">
        <v>843</v>
      </c>
      <c r="O17" s="153">
        <f>SUMIFS(Industrial!F:F,Industrial!E:E,N17)</f>
        <v>2E-3</v>
      </c>
      <c r="P17" s="6" t="str">
        <f>_xlfn.XLOOKUP(N17,Industrial!$E:$E,Industrial!$G:$G)</f>
        <v>t/t FeSiMg</v>
      </c>
      <c r="Q17" s="153">
        <f t="shared" si="13"/>
        <v>8.2381405092540998</v>
      </c>
      <c r="R17" s="153">
        <v>0</v>
      </c>
      <c r="S17" s="153">
        <v>0</v>
      </c>
      <c r="T17" s="153">
        <f>SUMIFS(Industrial!N:N,Industrial!$E:$E,$N17)</f>
        <v>8.2381405092541004E-3</v>
      </c>
      <c r="U17" s="153">
        <f>SUMIFS(Industrial!O:O,Industrial!$E:$E,$N17)</f>
        <v>6.8798640094002605E-6</v>
      </c>
      <c r="V17" s="153">
        <f>SUMIFS(Industrial!P:P,Industrial!$E:$E,$N17)</f>
        <v>0</v>
      </c>
      <c r="W17" s="153">
        <f>SUMIFS(Industrial!Q:Q,Industrial!$E:$E,$N17)</f>
        <v>6.9089536597629209E-6</v>
      </c>
      <c r="X17" s="153">
        <f t="shared" si="1"/>
        <v>8.2519293269232626E-3</v>
      </c>
      <c r="Y17" s="6" t="s">
        <v>850</v>
      </c>
      <c r="Z17" s="153">
        <f>_xlfn.XLOOKUP($N17,'Fatores de Emissão'!$A:$A,'Fatores de Emissão'!B:B)</f>
        <v>4.1190702546270499</v>
      </c>
      <c r="AA17" s="153">
        <f>_xlfn.XLOOKUP($N17,'Fatores de Emissão'!$A:$A,'Fatores de Emissão'!C:C)</f>
        <v>3.4399320047001302E-3</v>
      </c>
      <c r="AB17" s="153">
        <f>_xlfn.XLOOKUP($N17,'Fatores de Emissão'!$A:$A,'Fatores de Emissão'!D:D)</f>
        <v>0</v>
      </c>
      <c r="AC17" s="153">
        <f>_xlfn.XLOOKUP($N17,'Fatores de Emissão'!$A:$A,'Fatores de Emissão'!E:E)</f>
        <v>3.4544768298814602E-3</v>
      </c>
      <c r="AD17" s="6" t="str">
        <f>_xlfn.XLOOKUP($N17,'Fatores de Emissão'!$A:$A,'Fatores de Emissão'!F:F)</f>
        <v>kgCO2e/kg</v>
      </c>
      <c r="AE17" s="6">
        <v>16</v>
      </c>
      <c r="AF17" s="192">
        <f t="shared" si="8"/>
        <v>2.9801998385751258E-3</v>
      </c>
      <c r="AG17" s="220">
        <f t="shared" si="9"/>
        <v>0.99015010400970926</v>
      </c>
    </row>
    <row r="18" spans="1:33">
      <c r="A18" s="5" t="str">
        <f>_xlfn.XLOOKUP(N18,Industrial!E:E,Industrial!B:B)</f>
        <v>Matéria-Prima</v>
      </c>
      <c r="B18" s="192">
        <v>0</v>
      </c>
      <c r="C18" s="192">
        <v>0</v>
      </c>
      <c r="D18" s="192">
        <v>1</v>
      </c>
      <c r="E18" s="240">
        <f t="shared" si="2"/>
        <v>0</v>
      </c>
      <c r="F18" s="240">
        <f t="shared" si="3"/>
        <v>0</v>
      </c>
      <c r="G18" s="240">
        <f t="shared" si="4"/>
        <v>7.5388785848912307E-3</v>
      </c>
      <c r="H18" s="192">
        <v>0</v>
      </c>
      <c r="I18" s="192">
        <v>0</v>
      </c>
      <c r="J18" s="192">
        <v>1</v>
      </c>
      <c r="K18" s="240">
        <f t="shared" si="5"/>
        <v>0</v>
      </c>
      <c r="L18" s="240">
        <f t="shared" si="6"/>
        <v>0</v>
      </c>
      <c r="M18" s="240">
        <f t="shared" si="7"/>
        <v>1.0893359297819225E-5</v>
      </c>
      <c r="N18" s="16" t="s">
        <v>837</v>
      </c>
      <c r="O18" s="153">
        <f>SUMIFS(Industrial!F:F,Industrial!E:E,N18)</f>
        <v>1.7314828786632694E-2</v>
      </c>
      <c r="P18" s="6" t="str">
        <f>_xlfn.XLOOKUP(N18,Industrial!$E:$E,Industrial!$G:$G)</f>
        <v>t/t FeSiMg</v>
      </c>
      <c r="Q18" s="153">
        <f t="shared" si="13"/>
        <v>7.538878584891231</v>
      </c>
      <c r="R18" s="153">
        <v>0</v>
      </c>
      <c r="S18" s="153">
        <v>0</v>
      </c>
      <c r="T18" s="153">
        <f>SUMIFS(Industrial!N:N,Industrial!$E:$E,$N18)</f>
        <v>7.5388785848912307E-3</v>
      </c>
      <c r="U18" s="153">
        <f>SUMIFS(Industrial!O:O,Industrial!$E:$E,$N18)</f>
        <v>1.0893359297819225E-5</v>
      </c>
      <c r="V18" s="153">
        <f>SUMIFS(Industrial!P:P,Industrial!$E:$E,$N18)</f>
        <v>0</v>
      </c>
      <c r="W18" s="153">
        <f>SUMIFS(Industrial!Q:Q,Industrial!$E:$E,$N18)</f>
        <v>1.2681712579051461E-5</v>
      </c>
      <c r="X18" s="153">
        <f t="shared" si="1"/>
        <v>7.5624536567681019E-3</v>
      </c>
      <c r="Y18" s="6" t="s">
        <v>850</v>
      </c>
      <c r="Z18" s="153">
        <f>_xlfn.XLOOKUP($N18,'Fatores de Emissão'!$A:$A,'Fatores de Emissão'!B:B)</f>
        <v>0.43540012308474901</v>
      </c>
      <c r="AA18" s="153">
        <f>_xlfn.XLOOKUP($N18,'Fatores de Emissão'!$A:$A,'Fatores de Emissão'!C:C)</f>
        <v>6.2913468172605099E-4</v>
      </c>
      <c r="AB18" s="153">
        <f>_xlfn.XLOOKUP($N18,'Fatores de Emissão'!$A:$A,'Fatores de Emissão'!D:D)</f>
        <v>0</v>
      </c>
      <c r="AC18" s="153">
        <f>_xlfn.XLOOKUP($N18,'Fatores de Emissão'!$A:$A,'Fatores de Emissão'!E:E)</f>
        <v>7.3241917291390899E-4</v>
      </c>
      <c r="AD18" s="6" t="str">
        <f>_xlfn.XLOOKUP($N18,'Fatores de Emissão'!$A:$A,'Fatores de Emissão'!F:F)</f>
        <v>kgCO2e/kg</v>
      </c>
      <c r="AE18" s="6">
        <v>17</v>
      </c>
      <c r="AF18" s="192">
        <f t="shared" si="8"/>
        <v>2.7272373803884733E-3</v>
      </c>
      <c r="AG18" s="220">
        <f t="shared" si="9"/>
        <v>0.99287734139009776</v>
      </c>
    </row>
    <row r="19" spans="1:33">
      <c r="A19" s="5" t="str">
        <f>_xlfn.XLOOKUP(N19,Industrial!E:E,Industrial!B:B)</f>
        <v>Matéria-Prima</v>
      </c>
      <c r="B19" s="218">
        <f>('Mineração de Quartzo Rima'!$M$4+'Mineração de Quartzo Rima'!$M$6)/'Mineração de Quartzo Rima'!$M$7</f>
        <v>0.76955493470107006</v>
      </c>
      <c r="C19" s="218">
        <f>'Mineração de Quartzo Rima'!$M$2/'Mineração de Quartzo Rima'!$M$7</f>
        <v>1.7156100583104628E-2</v>
      </c>
      <c r="D19" s="218">
        <f>('Mineração de Quartzo Rima'!$M$3+'Mineração de Quartzo Rima'!$M$5)/'Mineração de Quartzo Rima'!$M$7</f>
        <v>0.21328896471582545</v>
      </c>
      <c r="E19" s="240">
        <f t="shared" si="2"/>
        <v>5.4318439167537289E-3</v>
      </c>
      <c r="F19" s="240">
        <f t="shared" si="3"/>
        <v>1.2109500749774399E-4</v>
      </c>
      <c r="G19" s="240">
        <f t="shared" si="4"/>
        <v>1.5054836415965434E-3</v>
      </c>
      <c r="H19" s="218">
        <f>('Mineração de Quartzo Rima'!$N$4+'Mineração de Quartzo Rima'!$N$6)/'Mineração de Quartzo Rima'!$N$7</f>
        <v>0.9789211584684443</v>
      </c>
      <c r="I19" s="218">
        <f>'Mineração de Quartzo Rima'!$N$2/'Mineração de Quartzo Rima'!$N$7</f>
        <v>0</v>
      </c>
      <c r="J19" s="218">
        <f>('Mineração de Quartzo Rima'!$N$3+'Mineração de Quartzo Rima'!$N$5)/'Mineração de Quartzo Rima'!$N$7</f>
        <v>2.1078841531555773E-2</v>
      </c>
      <c r="K19" s="240">
        <f t="shared" si="5"/>
        <v>5.5421338408214132E-4</v>
      </c>
      <c r="L19" s="240">
        <f t="shared" si="6"/>
        <v>0</v>
      </c>
      <c r="M19" s="240">
        <f t="shared" si="7"/>
        <v>1.1933725200108941E-5</v>
      </c>
      <c r="N19" s="16" t="s">
        <v>666</v>
      </c>
      <c r="O19" s="153">
        <f>SUMIFS(Industrial!F:F,Industrial!E:E,N19)</f>
        <v>0.9363257364706099</v>
      </c>
      <c r="P19" s="6" t="str">
        <f>_xlfn.XLOOKUP(N19,Industrial!$E:$E,Industrial!$G:$G)</f>
        <v>t/t FeSiMg</v>
      </c>
      <c r="Q19" s="153">
        <f>(SUM('Mineração de Quartzo Rima'!$M$2,'Mineração de Quartzo Rima'!$M$3,'Mineração de Quartzo Rima'!$M$5)+('Mineração de Quartzo Rima'!$D$4*Combustão_Estacionária!$E$33/1000)+('Mineração de Quartzo Rima'!$D$6*Combustão_Estacionária!$E$34/1000))*Industrial!$F$8*1000</f>
        <v>7.0383984866321194</v>
      </c>
      <c r="R19" s="153">
        <f>(('Mineração de Quartzo Rima'!$D$4*Combustão_Estacionária!$G$33/1000)+('Mineração de Quartzo Rima'!$D$6*Combustão_Estacionária!$G$34/1000))*Industrial!$F$8*1000</f>
        <v>2.427161117078114E-4</v>
      </c>
      <c r="S19" s="153">
        <f>(('Mineração de Quartzo Rima'!$D$4*Combustão_Estacionária!$H$33/1000)+('Mineração de Quartzo Rima'!$D$6*Combustão_Estacionária!$H$34/1000))*Industrial!$F$8*1000</f>
        <v>4.8543222341562268E-5</v>
      </c>
      <c r="T19" s="153">
        <f>SUMIFS(Industrial!N:N,Industrial!$E:$E,$N19)</f>
        <v>7.0584225658480151E-3</v>
      </c>
      <c r="U19" s="153">
        <f>SUMIFS(Industrial!O:O,Industrial!$E:$E,$N19)</f>
        <v>5.6614710928225027E-4</v>
      </c>
      <c r="V19" s="153">
        <f>SUMIFS(Industrial!P:P,Industrial!$E:$E,$N19)</f>
        <v>0</v>
      </c>
      <c r="W19" s="153">
        <f>SUMIFS(Industrial!Q:Q,Industrial!$E:$E,$N19)</f>
        <v>-1.6195314755122314E-4</v>
      </c>
      <c r="X19" s="153">
        <f t="shared" si="1"/>
        <v>7.4626165275790421E-3</v>
      </c>
      <c r="Y19" s="6" t="s">
        <v>850</v>
      </c>
      <c r="Z19" s="153">
        <f>_xlfn.XLOOKUP($N19,'Fatores de Emissão'!$A:$A,'Fatores de Emissão'!B:B)</f>
        <v>7.5384263092607732E-3</v>
      </c>
      <c r="AA19" s="153">
        <f>_xlfn.XLOOKUP($N19,'Fatores de Emissão'!$A:$A,'Fatores de Emissão'!C:C)</f>
        <v>6.0464759990074338E-4</v>
      </c>
      <c r="AB19" s="153">
        <f>_xlfn.XLOOKUP($N19,'Fatores de Emissão'!$A:$A,'Fatores de Emissão'!D:D)</f>
        <v>0</v>
      </c>
      <c r="AC19" s="153">
        <f>_xlfn.XLOOKUP($N19,'Fatores de Emissão'!$A:$A,'Fatores de Emissão'!E:E)</f>
        <v>-1.7296667307436191E-4</v>
      </c>
      <c r="AD19" s="6" t="str">
        <f>_xlfn.XLOOKUP($N19,'Fatores de Emissão'!$A:$A,'Fatores de Emissão'!F:F)</f>
        <v>kgCO2e/kg</v>
      </c>
      <c r="AE19" s="6">
        <v>18</v>
      </c>
      <c r="AF19" s="192">
        <f t="shared" si="8"/>
        <v>2.5534293531053018E-3</v>
      </c>
      <c r="AG19" s="220">
        <f t="shared" si="9"/>
        <v>0.99543077074320307</v>
      </c>
    </row>
    <row r="20" spans="1:33">
      <c r="A20" s="5" t="str">
        <f>_xlfn.XLOOKUP(N20,Industrial!E:E,Industrial!B:B)</f>
        <v>Matéria-Prima</v>
      </c>
      <c r="B20" s="192">
        <v>0</v>
      </c>
      <c r="C20" s="192">
        <v>0</v>
      </c>
      <c r="D20" s="192">
        <v>1</v>
      </c>
      <c r="E20" s="240">
        <f t="shared" si="2"/>
        <v>0</v>
      </c>
      <c r="F20" s="240">
        <f t="shared" si="3"/>
        <v>0</v>
      </c>
      <c r="G20" s="240">
        <f t="shared" si="4"/>
        <v>6.8144452847424602E-3</v>
      </c>
      <c r="H20" s="192">
        <v>0</v>
      </c>
      <c r="I20" s="192">
        <v>0</v>
      </c>
      <c r="J20" s="192">
        <v>1</v>
      </c>
      <c r="K20" s="240">
        <f t="shared" si="5"/>
        <v>0</v>
      </c>
      <c r="L20" s="240">
        <f t="shared" si="6"/>
        <v>0</v>
      </c>
      <c r="M20" s="240">
        <f t="shared" si="7"/>
        <v>9.8465839535868545E-6</v>
      </c>
      <c r="N20" s="16" t="s">
        <v>838</v>
      </c>
      <c r="O20" s="153">
        <f>SUMIFS(Industrial!F:F,Industrial!E:E,N20)</f>
        <v>6.2099110426916786E-3</v>
      </c>
      <c r="P20" s="6" t="str">
        <f>_xlfn.XLOOKUP(N20,Industrial!$E:$E,Industrial!$G:$G)</f>
        <v>t/t FeSiMg</v>
      </c>
      <c r="Q20" s="153">
        <f t="shared" si="13"/>
        <v>6.8144452847424599</v>
      </c>
      <c r="R20" s="153">
        <v>0</v>
      </c>
      <c r="S20" s="153">
        <v>0</v>
      </c>
      <c r="T20" s="153">
        <f>SUMIFS(Industrial!N:N,Industrial!$E:$E,$N20)</f>
        <v>6.8144452847424602E-3</v>
      </c>
      <c r="U20" s="153">
        <f>SUMIFS(Industrial!O:O,Industrial!$E:$E,$N20)</f>
        <v>9.8465839535868545E-6</v>
      </c>
      <c r="V20" s="153">
        <f>SUMIFS(Industrial!P:P,Industrial!$E:$E,$N20)</f>
        <v>0</v>
      </c>
      <c r="W20" s="153">
        <f>SUMIFS(Industrial!Q:Q,Industrial!$E:$E,$N20)</f>
        <v>1.1463089040851495E-5</v>
      </c>
      <c r="X20" s="153">
        <f t="shared" si="1"/>
        <v>6.8357549577368988E-3</v>
      </c>
      <c r="Y20" s="6" t="s">
        <v>850</v>
      </c>
      <c r="Z20" s="153">
        <f>_xlfn.XLOOKUP($N20,'Fatores de Emissão'!$A:$A,'Fatores de Emissão'!B:B)</f>
        <v>1.09734990370953</v>
      </c>
      <c r="AA20" s="153">
        <f>_xlfn.XLOOKUP($N20,'Fatores de Emissão'!$A:$A,'Fatores de Emissão'!C:C)</f>
        <v>1.58562399459411E-3</v>
      </c>
      <c r="AB20" s="153">
        <f>_xlfn.XLOOKUP($N20,'Fatores de Emissão'!$A:$A,'Fatores de Emissão'!D:D)</f>
        <v>0</v>
      </c>
      <c r="AC20" s="153">
        <f>_xlfn.XLOOKUP($N20,'Fatores de Emissão'!$A:$A,'Fatores de Emissão'!E:E)</f>
        <v>1.8459345008399401E-3</v>
      </c>
      <c r="AD20" s="6" t="str">
        <f>_xlfn.XLOOKUP($N20,'Fatores de Emissão'!$A:$A,'Fatores de Emissão'!F:F)</f>
        <v>kgCO2e/kg</v>
      </c>
      <c r="AE20" s="6">
        <v>19</v>
      </c>
      <c r="AF20" s="192">
        <f t="shared" si="8"/>
        <v>2.4651690165706187E-3</v>
      </c>
      <c r="AG20" s="220">
        <f t="shared" si="9"/>
        <v>0.99789593975977364</v>
      </c>
    </row>
    <row r="21" spans="1:33">
      <c r="A21" s="5" t="str">
        <f>_xlfn.XLOOKUP(N21,Industrial!E:E,Industrial!B:B)</f>
        <v>Combustível</v>
      </c>
      <c r="B21" s="192">
        <v>0</v>
      </c>
      <c r="C21" s="192">
        <v>0</v>
      </c>
      <c r="D21" s="192">
        <v>1</v>
      </c>
      <c r="E21" s="240">
        <f t="shared" si="2"/>
        <v>0</v>
      </c>
      <c r="F21" s="240">
        <f t="shared" si="3"/>
        <v>0</v>
      </c>
      <c r="G21" s="240">
        <f t="shared" si="4"/>
        <v>3.5544433464183671E-3</v>
      </c>
      <c r="H21" s="192">
        <v>0</v>
      </c>
      <c r="I21" s="192">
        <v>0</v>
      </c>
      <c r="J21" s="192">
        <v>1</v>
      </c>
      <c r="K21" s="240">
        <f t="shared" si="5"/>
        <v>0</v>
      </c>
      <c r="L21" s="240">
        <f t="shared" si="6"/>
        <v>0</v>
      </c>
      <c r="M21" s="240">
        <f t="shared" si="7"/>
        <v>1.1771683149075649E-6</v>
      </c>
      <c r="N21" s="16" t="s">
        <v>217</v>
      </c>
      <c r="O21" s="153">
        <f>SUMIFS(Industrial!F:F,Industrial!E:E,N21)</f>
        <v>4.5369608914616194E-3</v>
      </c>
      <c r="P21" s="6" t="str">
        <f>_xlfn.XLOOKUP(N21,Industrial!$E:$E,Industrial!$G:$G)</f>
        <v>t/t FeSiMg</v>
      </c>
      <c r="Q21" s="153">
        <f t="shared" si="13"/>
        <v>3.5544433464183669</v>
      </c>
      <c r="R21" s="153">
        <v>0</v>
      </c>
      <c r="S21" s="153">
        <v>0</v>
      </c>
      <c r="T21" s="153">
        <f>SUMIFS(Industrial!N:N,Industrial!$E:$E,$N21)</f>
        <v>3.5544433464183671E-3</v>
      </c>
      <c r="U21" s="153">
        <f>SUMIFS(Industrial!O:O,Industrial!$E:$E,$N21)</f>
        <v>1.1771683149075649E-6</v>
      </c>
      <c r="V21" s="153">
        <f>SUMIFS(Industrial!P:P,Industrial!$E:$E,$N21)</f>
        <v>0</v>
      </c>
      <c r="W21" s="153">
        <f>SUMIFS(Industrial!Q:Q,Industrial!$E:$E,$N21)</f>
        <v>6.3542164974028833E-7</v>
      </c>
      <c r="X21" s="153">
        <f t="shared" si="1"/>
        <v>3.5562559363830149E-3</v>
      </c>
      <c r="Y21" s="6" t="s">
        <v>850</v>
      </c>
      <c r="Z21" s="153">
        <f>_xlfn.XLOOKUP($N21,'Fatores de Emissão'!$A:$A,'Fatores de Emissão'!B:B)</f>
        <v>0.78344147799635844</v>
      </c>
      <c r="AA21" s="153">
        <f>_xlfn.XLOOKUP($N21,'Fatores de Emissão'!$A:$A,'Fatores de Emissão'!C:C)</f>
        <v>2.5946186071891184E-4</v>
      </c>
      <c r="AB21" s="153">
        <f>_xlfn.XLOOKUP($N21,'Fatores de Emissão'!$A:$A,'Fatores de Emissão'!D:D)</f>
        <v>0</v>
      </c>
      <c r="AC21" s="153">
        <f>_xlfn.XLOOKUP($N21,'Fatores de Emissão'!$A:$A,'Fatores de Emissão'!E:E)</f>
        <v>1.4005446926732974E-4</v>
      </c>
      <c r="AD21" s="6" t="str">
        <f>_xlfn.XLOOKUP($N21,'Fatores de Emissão'!$A:$A,'Fatores de Emissão'!F:F)</f>
        <v>kgCO2e/kg</v>
      </c>
      <c r="AE21" s="6">
        <v>20</v>
      </c>
      <c r="AF21" s="192">
        <f t="shared" si="8"/>
        <v>1.2858425363492078E-3</v>
      </c>
      <c r="AG21" s="220">
        <f t="shared" si="9"/>
        <v>0.99918178229612287</v>
      </c>
    </row>
    <row r="22" spans="1:33">
      <c r="A22" s="5" t="str">
        <f>_xlfn.XLOOKUP(N22,Industrial!E:E,Industrial!B:B)</f>
        <v>Matéria-Prima</v>
      </c>
      <c r="B22" s="192">
        <v>0</v>
      </c>
      <c r="C22" s="192">
        <v>0</v>
      </c>
      <c r="D22" s="192">
        <v>1</v>
      </c>
      <c r="E22" s="240">
        <f t="shared" si="2"/>
        <v>0</v>
      </c>
      <c r="F22" s="240">
        <f t="shared" si="3"/>
        <v>0</v>
      </c>
      <c r="G22" s="240">
        <f t="shared" si="4"/>
        <v>1.0056193658773086E-3</v>
      </c>
      <c r="H22" s="192">
        <v>0</v>
      </c>
      <c r="I22" s="192">
        <v>0</v>
      </c>
      <c r="J22" s="192">
        <v>1</v>
      </c>
      <c r="K22" s="240">
        <f t="shared" si="5"/>
        <v>0</v>
      </c>
      <c r="L22" s="240">
        <f t="shared" si="6"/>
        <v>0</v>
      </c>
      <c r="M22" s="240">
        <f t="shared" si="7"/>
        <v>1.5576551084107137E-6</v>
      </c>
      <c r="N22" s="16" t="s">
        <v>717</v>
      </c>
      <c r="O22" s="153">
        <f>SUMIFS(Industrial!F:F,Industrial!E:E,N22)</f>
        <v>7.19037338374976E-4</v>
      </c>
      <c r="P22" s="6" t="str">
        <f>_xlfn.XLOOKUP(N22,Industrial!$E:$E,Industrial!$G:$G)</f>
        <v>t/t FeSiMg</v>
      </c>
      <c r="Q22" s="153">
        <f t="shared" si="13"/>
        <v>1.0056193658773087</v>
      </c>
      <c r="R22" s="153">
        <v>0</v>
      </c>
      <c r="S22" s="153">
        <v>0</v>
      </c>
      <c r="T22" s="153">
        <f>SUMIFS(Industrial!N:N,Industrial!$E:$E,$N22)</f>
        <v>1.0056193658773086E-3</v>
      </c>
      <c r="U22" s="153">
        <f>SUMIFS(Industrial!O:O,Industrial!$E:$E,$N22)</f>
        <v>1.5576551084107137E-6</v>
      </c>
      <c r="V22" s="153">
        <f>SUMIFS(Industrial!P:P,Industrial!$E:$E,$N22)</f>
        <v>0</v>
      </c>
      <c r="W22" s="153">
        <f>SUMIFS(Industrial!Q:Q,Industrial!$E:$E,$N22)</f>
        <v>1.5294197003233716E-6</v>
      </c>
      <c r="X22" s="153">
        <f t="shared" si="1"/>
        <v>1.0087064406860428E-3</v>
      </c>
      <c r="Y22" s="6" t="s">
        <v>850</v>
      </c>
      <c r="Z22" s="153">
        <f>_xlfn.XLOOKUP($N22,'Fatores de Emissão'!$A:$A,'Fatores de Emissão'!B:B)</f>
        <v>1.39856348510358</v>
      </c>
      <c r="AA22" s="153">
        <f>_xlfn.XLOOKUP($N22,'Fatores de Emissão'!$A:$A,'Fatores de Emissão'!C:C)</f>
        <v>2.1663062893660201E-3</v>
      </c>
      <c r="AB22" s="153">
        <f>_xlfn.XLOOKUP($N22,'Fatores de Emissão'!$A:$A,'Fatores de Emissão'!D:D)</f>
        <v>0</v>
      </c>
      <c r="AC22" s="153">
        <f>_xlfn.XLOOKUP($N22,'Fatores de Emissão'!$A:$A,'Fatores de Emissão'!E:E)</f>
        <v>2.12703794184021E-3</v>
      </c>
      <c r="AD22" s="6" t="str">
        <f>_xlfn.XLOOKUP($N22,'Fatores de Emissão'!$A:$A,'Fatores de Emissão'!F:F)</f>
        <v>kgCO2e/kg</v>
      </c>
      <c r="AE22">
        <v>21</v>
      </c>
      <c r="AF22" s="192">
        <f t="shared" si="8"/>
        <v>3.637892153561879E-4</v>
      </c>
      <c r="AG22" s="220">
        <f t="shared" si="9"/>
        <v>0.99954557151147905</v>
      </c>
    </row>
    <row r="23" spans="1:33">
      <c r="A23" s="5" t="str">
        <f>_xlfn.XLOOKUP(N23,Industrial!E:E,Industrial!B:B)</f>
        <v>Matéria-Prima</v>
      </c>
      <c r="B23" s="192">
        <v>0</v>
      </c>
      <c r="C23" s="192">
        <v>0</v>
      </c>
      <c r="D23" s="192">
        <v>1</v>
      </c>
      <c r="E23" s="240">
        <f t="shared" si="2"/>
        <v>0</v>
      </c>
      <c r="F23" s="240">
        <f t="shared" si="3"/>
        <v>0</v>
      </c>
      <c r="G23" s="240">
        <f t="shared" si="4"/>
        <v>5.7283448695000792E-4</v>
      </c>
      <c r="H23" s="192">
        <v>0</v>
      </c>
      <c r="I23" s="192">
        <v>0</v>
      </c>
      <c r="J23" s="192">
        <v>1</v>
      </c>
      <c r="K23" s="240">
        <f t="shared" si="5"/>
        <v>0</v>
      </c>
      <c r="L23" s="240">
        <f t="shared" si="6"/>
        <v>0</v>
      </c>
      <c r="M23" s="240">
        <f t="shared" si="7"/>
        <v>8.8729254342976971E-7</v>
      </c>
      <c r="N23" s="16" t="s">
        <v>780</v>
      </c>
      <c r="O23" s="153">
        <f>SUMIFS(Industrial!F:F,Industrial!E:E,N23)</f>
        <v>2.300919482799924E-4</v>
      </c>
      <c r="P23" s="6" t="str">
        <f>_xlfn.XLOOKUP(N23,Industrial!$E:$E,Industrial!$G:$G)</f>
        <v>t/t FeSiMg</v>
      </c>
      <c r="Q23" s="153">
        <f t="shared" si="13"/>
        <v>0.57283448695000794</v>
      </c>
      <c r="R23" s="153">
        <v>0</v>
      </c>
      <c r="S23" s="153">
        <v>0</v>
      </c>
      <c r="T23" s="153">
        <f>SUMIFS(Industrial!N:N,Industrial!$E:$E,$N23)</f>
        <v>5.7283448695000792E-4</v>
      </c>
      <c r="U23" s="153">
        <f>SUMIFS(Industrial!O:O,Industrial!$E:$E,$N23)</f>
        <v>8.8729254342976971E-7</v>
      </c>
      <c r="V23" s="153">
        <f>SUMIFS(Industrial!P:P,Industrial!$E:$E,$N23)</f>
        <v>0</v>
      </c>
      <c r="W23" s="153">
        <f>SUMIFS(Industrial!Q:Q,Industrial!$E:$E,$N23)</f>
        <v>8.7120870887529839E-7</v>
      </c>
      <c r="X23" s="153">
        <f t="shared" si="1"/>
        <v>5.7459298820231302E-4</v>
      </c>
      <c r="Y23" s="6" t="s">
        <v>850</v>
      </c>
      <c r="Z23" s="153">
        <f>_xlfn.XLOOKUP($N23,'Fatores de Emissão'!$A:$A,'Fatores de Emissão'!B:B)</f>
        <v>2.4895894499226099</v>
      </c>
      <c r="AA23" s="153">
        <f>_xlfn.XLOOKUP($N23,'Fatores de Emissão'!$A:$A,'Fatores de Emissão'!C:C)</f>
        <v>3.8562520334264301E-3</v>
      </c>
      <c r="AB23" s="153">
        <f>_xlfn.XLOOKUP($N23,'Fatores de Emissão'!$A:$A,'Fatores de Emissão'!D:D)</f>
        <v>0</v>
      </c>
      <c r="AC23" s="153">
        <f>_xlfn.XLOOKUP($N23,'Fatores de Emissão'!$A:$A,'Fatores de Emissão'!E:E)</f>
        <v>3.7863502629616099E-3</v>
      </c>
      <c r="AD23" s="6" t="str">
        <f>_xlfn.XLOOKUP($N23,'Fatores de Emissão'!$A:$A,'Fatores de Emissão'!F:F)</f>
        <v>kgCO2e/kg</v>
      </c>
      <c r="AE23" s="6">
        <v>22</v>
      </c>
      <c r="AF23" s="192">
        <f t="shared" si="8"/>
        <v>2.0722652686258305E-4</v>
      </c>
      <c r="AG23" s="220">
        <f t="shared" si="9"/>
        <v>0.99975279803834161</v>
      </c>
    </row>
    <row r="24" spans="1:33">
      <c r="A24" s="5" t="str">
        <f>_xlfn.XLOOKUP(N24,Industrial!E:E,Industrial!B:B)</f>
        <v>Matéria-Prima</v>
      </c>
      <c r="B24" s="192">
        <v>0</v>
      </c>
      <c r="C24" s="192">
        <v>0</v>
      </c>
      <c r="D24" s="192">
        <v>1</v>
      </c>
      <c r="E24" s="240">
        <f t="shared" si="2"/>
        <v>0</v>
      </c>
      <c r="F24" s="240">
        <f t="shared" si="3"/>
        <v>0</v>
      </c>
      <c r="G24" s="240">
        <f t="shared" si="4"/>
        <v>5.1993737454752921E-4</v>
      </c>
      <c r="H24" s="192">
        <v>0</v>
      </c>
      <c r="I24" s="192">
        <v>0</v>
      </c>
      <c r="J24" s="192">
        <v>1</v>
      </c>
      <c r="K24" s="240">
        <f t="shared" si="5"/>
        <v>0</v>
      </c>
      <c r="L24" s="240">
        <f t="shared" si="6"/>
        <v>0</v>
      </c>
      <c r="M24" s="240">
        <f t="shared" si="7"/>
        <v>1.4481041093354412E-7</v>
      </c>
      <c r="N24" s="16" t="s">
        <v>715</v>
      </c>
      <c r="O24" s="153">
        <f>SUMIFS(Industrial!F:F,Industrial!E:E,N24)</f>
        <v>2.8975415041984056E-2</v>
      </c>
      <c r="P24" s="6" t="str">
        <f>_xlfn.XLOOKUP(N24,Industrial!$E:$E,Industrial!$G:$G)</f>
        <v>t/t FeSiMg</v>
      </c>
      <c r="Q24" s="153">
        <f t="shared" si="13"/>
        <v>0.5199373745475292</v>
      </c>
      <c r="R24" s="153">
        <v>0</v>
      </c>
      <c r="S24" s="153">
        <v>0</v>
      </c>
      <c r="T24" s="153">
        <f>SUMIFS(Industrial!N:N,Industrial!$E:$E,$N24)</f>
        <v>5.1993737454752921E-4</v>
      </c>
      <c r="U24" s="153">
        <f>SUMIFS(Industrial!O:O,Industrial!$E:$E,$N24)</f>
        <v>1.4481041093354412E-7</v>
      </c>
      <c r="V24" s="153">
        <f>SUMIFS(Industrial!P:P,Industrial!$E:$E,$N24)</f>
        <v>0</v>
      </c>
      <c r="W24" s="153">
        <f>SUMIFS(Industrial!Q:Q,Industrial!$E:$E,$N24)</f>
        <v>1.3530186070437957E-6</v>
      </c>
      <c r="X24" s="153">
        <f t="shared" si="1"/>
        <v>5.2143520356550657E-4</v>
      </c>
      <c r="Y24" s="6" t="s">
        <v>850</v>
      </c>
      <c r="Z24" s="153">
        <f>_xlfn.XLOOKUP($N24,'Fatores de Emissão'!$A:$A,'Fatores de Emissão'!B:B)</f>
        <v>1.7944087213044701E-2</v>
      </c>
      <c r="AA24" s="153">
        <f>_xlfn.XLOOKUP($N24,'Fatores de Emissão'!$A:$A,'Fatores de Emissão'!C:C)</f>
        <v>4.9976992813984001E-6</v>
      </c>
      <c r="AB24" s="153">
        <f>_xlfn.XLOOKUP($N24,'Fatores de Emissão'!$A:$A,'Fatores de Emissão'!D:D)</f>
        <v>0</v>
      </c>
      <c r="AC24" s="153">
        <f>_xlfn.XLOOKUP($N24,'Fatores de Emissão'!$A:$A,'Fatores de Emissão'!E:E)</f>
        <v>4.6695400396623598E-5</v>
      </c>
      <c r="AD24" s="6" t="str">
        <f>_xlfn.XLOOKUP($N24,'Fatores de Emissão'!$A:$A,'Fatores de Emissão'!F:F)</f>
        <v>kgCO2e/kg</v>
      </c>
      <c r="AE24" s="6">
        <v>23</v>
      </c>
      <c r="AF24" s="192">
        <f t="shared" si="8"/>
        <v>1.8809065928835657E-4</v>
      </c>
      <c r="AG24" s="220">
        <f t="shared" si="9"/>
        <v>0.99994088869762998</v>
      </c>
    </row>
    <row r="25" spans="1:33">
      <c r="A25" s="5" t="str">
        <f>_xlfn.XLOOKUP(N25,Industrial!E:E,Industrial!B:B)</f>
        <v>Matéria-Prima</v>
      </c>
      <c r="B25" s="192">
        <v>0</v>
      </c>
      <c r="C25" s="192">
        <v>0</v>
      </c>
      <c r="D25" s="192">
        <v>1</v>
      </c>
      <c r="E25" s="240">
        <f t="shared" si="2"/>
        <v>0</v>
      </c>
      <c r="F25" s="240">
        <f t="shared" si="3"/>
        <v>0</v>
      </c>
      <c r="G25" s="240">
        <f t="shared" si="4"/>
        <v>7.4670212000570136E-5</v>
      </c>
      <c r="H25" s="192">
        <v>0</v>
      </c>
      <c r="I25" s="192">
        <v>0</v>
      </c>
      <c r="J25" s="192">
        <v>1</v>
      </c>
      <c r="K25" s="240">
        <f t="shared" si="5"/>
        <v>0</v>
      </c>
      <c r="L25" s="240">
        <f t="shared" si="6"/>
        <v>0</v>
      </c>
      <c r="M25" s="240">
        <f t="shared" si="7"/>
        <v>1.668431465888281E-6</v>
      </c>
      <c r="N25" s="16" t="s">
        <v>835</v>
      </c>
      <c r="O25" s="153">
        <f>SUMIFS(Industrial!F:F,Industrial!E:E,N25)</f>
        <v>3.0474393161227707E-4</v>
      </c>
      <c r="P25" s="6" t="str">
        <f>_xlfn.XLOOKUP(N25,Industrial!$E:$E,Industrial!$G:$G)</f>
        <v>t/t FeSiMg</v>
      </c>
      <c r="Q25" s="153">
        <f t="shared" si="13"/>
        <v>7.4670212000570141E-2</v>
      </c>
      <c r="R25" s="153">
        <v>0</v>
      </c>
      <c r="S25" s="153">
        <v>0</v>
      </c>
      <c r="T25" s="153">
        <f>SUMIFS(Industrial!N:N,Industrial!$E:$E,$N25)</f>
        <v>7.4670212000570136E-5</v>
      </c>
      <c r="U25" s="153">
        <f>SUMIFS(Industrial!O:O,Industrial!$E:$E,$N25)</f>
        <v>1.668431465888281E-6</v>
      </c>
      <c r="V25" s="153">
        <f>SUMIFS(Industrial!P:P,Industrial!$E:$E,$N25)</f>
        <v>0</v>
      </c>
      <c r="W25" s="153">
        <f>SUMIFS(Industrial!Q:Q,Industrial!$E:$E,$N25)</f>
        <v>3.3143718613590063E-8</v>
      </c>
      <c r="X25" s="153">
        <f t="shared" si="1"/>
        <v>7.6371787185072014E-5</v>
      </c>
      <c r="Y25" s="6" t="s">
        <v>850</v>
      </c>
      <c r="Z25" s="153">
        <f>_xlfn.XLOOKUP($N25,'Fatores de Emissão'!$A:$A,'Fatores de Emissão'!B:B)</f>
        <v>0.245026083392441</v>
      </c>
      <c r="AA25" s="153">
        <f>_xlfn.XLOOKUP($N25,'Fatores de Emissão'!$A:$A,'Fatores de Emissão'!C:C)</f>
        <v>5.474863624228E-3</v>
      </c>
      <c r="AB25" s="153">
        <f>_xlfn.XLOOKUP($N25,'Fatores de Emissão'!$A:$A,'Fatores de Emissão'!D:D)</f>
        <v>0</v>
      </c>
      <c r="AC25" s="153">
        <f>_xlfn.XLOOKUP($N25,'Fatores de Emissão'!$A:$A,'Fatores de Emissão'!E:E)</f>
        <v>1.08759240711505E-4</v>
      </c>
      <c r="AD25" s="6" t="str">
        <f>_xlfn.XLOOKUP($N25,'Fatores de Emissão'!$A:$A,'Fatores de Emissão'!F:F)</f>
        <v>kgCO2e/kg</v>
      </c>
      <c r="AE25" s="6">
        <v>24</v>
      </c>
      <c r="AF25" s="192">
        <f t="shared" si="8"/>
        <v>2.7012425134105669E-5</v>
      </c>
      <c r="AG25" s="220">
        <f t="shared" si="9"/>
        <v>0.99996790112276412</v>
      </c>
    </row>
    <row r="26" spans="1:33">
      <c r="A26" s="5" t="str">
        <f>_xlfn.XLOOKUP(N26,Industrial!E:E,Industrial!B:B)</f>
        <v>Matéria-Prima</v>
      </c>
      <c r="B26" s="192">
        <v>0</v>
      </c>
      <c r="C26" s="192">
        <v>0</v>
      </c>
      <c r="D26" s="192">
        <v>1</v>
      </c>
      <c r="E26" s="240">
        <f t="shared" si="2"/>
        <v>0</v>
      </c>
      <c r="F26" s="240">
        <f t="shared" si="3"/>
        <v>0</v>
      </c>
      <c r="G26" s="240">
        <f t="shared" si="4"/>
        <v>3.6834168989905152E-5</v>
      </c>
      <c r="H26" s="192">
        <v>0</v>
      </c>
      <c r="I26" s="192">
        <v>0</v>
      </c>
      <c r="J26" s="192">
        <v>1</v>
      </c>
      <c r="K26" s="240">
        <f t="shared" si="5"/>
        <v>0</v>
      </c>
      <c r="L26" s="240">
        <f t="shared" si="6"/>
        <v>0</v>
      </c>
      <c r="M26" s="240">
        <f t="shared" si="7"/>
        <v>4.9180109762502777E-8</v>
      </c>
      <c r="N26" s="16" t="s">
        <v>842</v>
      </c>
      <c r="O26" s="153">
        <f>SUMIFS(Industrial!F:F,Industrial!E:E,N26)</f>
        <v>2.0722587349634873E-5</v>
      </c>
      <c r="P26" s="6" t="str">
        <f>_xlfn.XLOOKUP(N26,Industrial!$E:$E,Industrial!$G:$G)</f>
        <v>t/t FeSiMg</v>
      </c>
      <c r="Q26" s="153">
        <f t="shared" si="13"/>
        <v>3.6834168989905151E-2</v>
      </c>
      <c r="R26" s="153">
        <v>0</v>
      </c>
      <c r="S26" s="153">
        <v>0</v>
      </c>
      <c r="T26" s="153">
        <f>SUMIFS(Industrial!N:N,Industrial!$E:$E,$N26)</f>
        <v>3.6834168989905152E-5</v>
      </c>
      <c r="U26" s="153">
        <f>SUMIFS(Industrial!O:O,Industrial!$E:$E,$N26)</f>
        <v>4.9180109762502777E-8</v>
      </c>
      <c r="V26" s="153">
        <f>SUMIFS(Industrial!P:P,Industrial!$E:$E,$N26)</f>
        <v>0</v>
      </c>
      <c r="W26" s="153">
        <f>SUMIFS(Industrial!Q:Q,Industrial!$E:$E,$N26)</f>
        <v>5.0250390070564265E-8</v>
      </c>
      <c r="X26" s="153">
        <f t="shared" si="1"/>
        <v>3.693359948973822E-5</v>
      </c>
      <c r="Y26" s="6" t="s">
        <v>850</v>
      </c>
      <c r="Z26" s="153">
        <f>_xlfn.XLOOKUP($N26,'Fatores de Emissão'!$A:$A,'Fatores de Emissão'!B:B)</f>
        <v>1.7774888998382801</v>
      </c>
      <c r="AA26" s="153">
        <f>_xlfn.XLOOKUP($N26,'Fatores de Emissão'!$A:$A,'Fatores de Emissão'!C:C)</f>
        <v>2.3732610669086802E-3</v>
      </c>
      <c r="AB26" s="153">
        <f>_xlfn.XLOOKUP($N26,'Fatores de Emissão'!$A:$A,'Fatores de Emissão'!D:D)</f>
        <v>0</v>
      </c>
      <c r="AC26" s="153">
        <f>_xlfn.XLOOKUP($N26,'Fatores de Emissão'!$A:$A,'Fatores de Emissão'!E:E)</f>
        <v>2.42490907253672E-3</v>
      </c>
      <c r="AD26" s="6" t="str">
        <f>_xlfn.XLOOKUP($N26,'Fatores de Emissão'!$A:$A,'Fatores de Emissão'!F:F)</f>
        <v>kgCO2e/kg</v>
      </c>
      <c r="AE26" s="6">
        <v>25</v>
      </c>
      <c r="AF26" s="192">
        <f t="shared" si="8"/>
        <v>1.3324995410609152E-5</v>
      </c>
      <c r="AG26" s="220">
        <f t="shared" si="9"/>
        <v>0.99998122611817475</v>
      </c>
    </row>
    <row r="27" spans="1:33">
      <c r="A27" s="5" t="str">
        <f>_xlfn.XLOOKUP(N27,Industrial!E:E,Industrial!B:B)</f>
        <v>Matéria-Prima</v>
      </c>
      <c r="B27" s="192">
        <v>0</v>
      </c>
      <c r="C27" s="192">
        <v>0</v>
      </c>
      <c r="D27" s="192">
        <v>1</v>
      </c>
      <c r="E27" s="240">
        <f t="shared" si="2"/>
        <v>0</v>
      </c>
      <c r="F27" s="240">
        <f t="shared" si="3"/>
        <v>0</v>
      </c>
      <c r="G27" s="240">
        <f t="shared" si="4"/>
        <v>2.723938611301464E-5</v>
      </c>
      <c r="H27" s="192">
        <v>0</v>
      </c>
      <c r="I27" s="192">
        <v>0</v>
      </c>
      <c r="J27" s="192">
        <v>1</v>
      </c>
      <c r="K27" s="240">
        <f t="shared" si="5"/>
        <v>0</v>
      </c>
      <c r="L27" s="240">
        <f t="shared" si="6"/>
        <v>0</v>
      </c>
      <c r="M27" s="240">
        <f t="shared" si="7"/>
        <v>1.565842438361477E-8</v>
      </c>
      <c r="N27" s="16" t="s">
        <v>774</v>
      </c>
      <c r="O27" s="153">
        <f>SUMIFS(Industrial!F:F,Industrial!E:E,N27)</f>
        <v>8.532442351909416E-3</v>
      </c>
      <c r="P27" s="6" t="str">
        <f>_xlfn.XLOOKUP(N27,Industrial!$E:$E,Industrial!$G:$G)</f>
        <v>t/t FeSiMg</v>
      </c>
      <c r="Q27" s="153">
        <f t="shared" si="13"/>
        <v>2.723938611301464E-2</v>
      </c>
      <c r="R27" s="153">
        <v>0</v>
      </c>
      <c r="S27" s="153">
        <v>0</v>
      </c>
      <c r="T27" s="153">
        <f>SUMIFS(Industrial!N:N,Industrial!$E:$E,$N27)</f>
        <v>2.723938611301464E-5</v>
      </c>
      <c r="U27" s="153">
        <f>SUMIFS(Industrial!O:O,Industrial!$E:$E,$N27)</f>
        <v>1.565842438361477E-8</v>
      </c>
      <c r="V27" s="153">
        <f>SUMIFS(Industrial!P:P,Industrial!$E:$E,$N27)</f>
        <v>0</v>
      </c>
      <c r="W27" s="153">
        <f>SUMIFS(Industrial!Q:Q,Industrial!$E:$E,$N27)</f>
        <v>1.1495893296777481E-8</v>
      </c>
      <c r="X27" s="153">
        <f t="shared" si="1"/>
        <v>2.726654043069503E-5</v>
      </c>
      <c r="Y27" s="6" t="s">
        <v>850</v>
      </c>
      <c r="Z27" s="153">
        <f>_xlfn.XLOOKUP($N27,'Fatores de Emissão'!$A:$A,'Fatores de Emissão'!B:B)</f>
        <v>3.1924488897272099E-3</v>
      </c>
      <c r="AA27" s="153">
        <f>_xlfn.XLOOKUP($N27,'Fatores de Emissão'!$A:$A,'Fatores de Emissão'!C:C)</f>
        <v>1.8351632203071001E-6</v>
      </c>
      <c r="AB27" s="153">
        <f>_xlfn.XLOOKUP($N27,'Fatores de Emissão'!$A:$A,'Fatores de Emissão'!D:D)</f>
        <v>0</v>
      </c>
      <c r="AC27" s="153">
        <f>_xlfn.XLOOKUP($N27,'Fatores de Emissão'!$A:$A,'Fatores de Emissão'!E:E)</f>
        <v>1.3473156714858901E-6</v>
      </c>
      <c r="AD27" s="6" t="str">
        <f>_xlfn.XLOOKUP($N27,'Fatores de Emissão'!$A:$A,'Fatores de Emissão'!F:F)</f>
        <v>kgCO2e/kg</v>
      </c>
      <c r="AE27" s="6">
        <v>26</v>
      </c>
      <c r="AF27" s="192">
        <f t="shared" si="8"/>
        <v>9.8540215483945241E-6</v>
      </c>
      <c r="AG27" s="220">
        <f t="shared" si="9"/>
        <v>0.99999108013972315</v>
      </c>
    </row>
    <row r="28" spans="1:33">
      <c r="A28" s="5" t="str">
        <f>_xlfn.XLOOKUP(N28,Industrial!E:E,Industrial!B:B)</f>
        <v>Matéria-Prima</v>
      </c>
      <c r="B28" s="192">
        <v>0</v>
      </c>
      <c r="C28" s="192">
        <v>0</v>
      </c>
      <c r="D28" s="192">
        <v>1</v>
      </c>
      <c r="E28" s="240">
        <f t="shared" si="2"/>
        <v>0</v>
      </c>
      <c r="F28" s="240">
        <f t="shared" si="3"/>
        <v>0</v>
      </c>
      <c r="G28" s="240">
        <f t="shared" si="4"/>
        <v>1.3296500749724736E-5</v>
      </c>
      <c r="H28" s="192">
        <v>0</v>
      </c>
      <c r="I28" s="192">
        <v>0</v>
      </c>
      <c r="J28" s="192">
        <v>1</v>
      </c>
      <c r="K28" s="240">
        <f t="shared" si="5"/>
        <v>0</v>
      </c>
      <c r="L28" s="240">
        <f t="shared" si="6"/>
        <v>0</v>
      </c>
      <c r="M28" s="240">
        <f t="shared" si="7"/>
        <v>2.680887930543478E-8</v>
      </c>
      <c r="N28" s="16" t="s">
        <v>668</v>
      </c>
      <c r="O28" s="153">
        <f>SUMIFS(Industrial!F:F,Industrial!E:E,N28)</f>
        <v>9.4661083757063639E-6</v>
      </c>
      <c r="P28" s="6" t="str">
        <f>_xlfn.XLOOKUP(N28,Industrial!$E:$E,Industrial!$G:$G)</f>
        <v>t/t FeSiMg</v>
      </c>
      <c r="Q28" s="153">
        <f t="shared" si="13"/>
        <v>1.3296500749724735E-2</v>
      </c>
      <c r="R28" s="153">
        <v>0</v>
      </c>
      <c r="S28" s="153">
        <v>0</v>
      </c>
      <c r="T28" s="153">
        <f>SUMIFS(Industrial!N:N,Industrial!$E:$E,$N28)</f>
        <v>1.3296500749724736E-5</v>
      </c>
      <c r="U28" s="153">
        <f>SUMIFS(Industrial!O:O,Industrial!$E:$E,$N28)</f>
        <v>2.680887930543478E-8</v>
      </c>
      <c r="V28" s="153">
        <f>SUMIFS(Industrial!P:P,Industrial!$E:$E,$N28)</f>
        <v>0</v>
      </c>
      <c r="W28" s="153">
        <f>SUMIFS(Industrial!Q:Q,Industrial!$E:$E,$N28)</f>
        <v>1.7660323270234977E-8</v>
      </c>
      <c r="X28" s="153">
        <f t="shared" si="1"/>
        <v>1.3340969952300405E-5</v>
      </c>
      <c r="Y28" s="6" t="s">
        <v>850</v>
      </c>
      <c r="Z28" s="153">
        <f>_xlfn.XLOOKUP($N28,'Fatores de Emissão'!$A:$A,'Fatores de Emissão'!B:B)</f>
        <v>1.40464277631224</v>
      </c>
      <c r="AA28" s="153">
        <f>_xlfn.XLOOKUP($N28,'Fatores de Emissão'!$A:$A,'Fatores de Emissão'!C:C)</f>
        <v>2.8320908911455699E-3</v>
      </c>
      <c r="AB28" s="153">
        <f>_xlfn.XLOOKUP($N28,'Fatores de Emissão'!$A:$A,'Fatores de Emissão'!D:D)</f>
        <v>0</v>
      </c>
      <c r="AC28" s="153">
        <f>_xlfn.XLOOKUP($N28,'Fatores de Emissão'!$A:$A,'Fatores de Emissão'!E:E)</f>
        <v>1.86563713083595E-3</v>
      </c>
      <c r="AD28" s="6" t="str">
        <f>_xlfn.XLOOKUP($N28,'Fatores de Emissão'!$A:$A,'Fatores de Emissão'!F:F)</f>
        <v>kgCO2e/kg</v>
      </c>
      <c r="AE28">
        <v>27</v>
      </c>
      <c r="AF28" s="192">
        <f t="shared" si="8"/>
        <v>4.8100938972126782E-6</v>
      </c>
      <c r="AG28" s="220">
        <f t="shared" si="9"/>
        <v>0.99999589023362034</v>
      </c>
    </row>
    <row r="29" spans="1:33">
      <c r="A29" s="5" t="str">
        <f>_xlfn.XLOOKUP(N29,Industrial!E:E,Industrial!B:B)</f>
        <v>Matéria-Prima</v>
      </c>
      <c r="B29" s="192">
        <v>0</v>
      </c>
      <c r="C29" s="192">
        <v>0</v>
      </c>
      <c r="D29" s="192">
        <v>1</v>
      </c>
      <c r="E29" s="240">
        <f t="shared" si="2"/>
        <v>0</v>
      </c>
      <c r="F29" s="240">
        <f t="shared" si="3"/>
        <v>0</v>
      </c>
      <c r="G29" s="240">
        <f t="shared" si="4"/>
        <v>1.1360591481252194E-5</v>
      </c>
      <c r="H29" s="192">
        <v>0</v>
      </c>
      <c r="I29" s="192">
        <v>0</v>
      </c>
      <c r="J29" s="192">
        <v>1</v>
      </c>
      <c r="K29" s="240">
        <f t="shared" si="5"/>
        <v>0</v>
      </c>
      <c r="L29" s="240">
        <f t="shared" si="6"/>
        <v>0</v>
      </c>
      <c r="M29" s="240">
        <f t="shared" si="7"/>
        <v>2.6325839696652058E-9</v>
      </c>
      <c r="N29" s="16" t="s">
        <v>840</v>
      </c>
      <c r="O29" s="153">
        <f>SUMIFS(Industrial!F:F,Industrial!E:E,N29)</f>
        <v>5.3417257726894932E-6</v>
      </c>
      <c r="P29" s="6" t="str">
        <f>_xlfn.XLOOKUP(N29,Industrial!$E:$E,Industrial!$G:$G)</f>
        <v>t/t FeSiMg</v>
      </c>
      <c r="Q29" s="153">
        <f t="shared" si="13"/>
        <v>1.1360591481252194E-2</v>
      </c>
      <c r="R29" s="153">
        <v>0</v>
      </c>
      <c r="S29" s="153">
        <v>0</v>
      </c>
      <c r="T29" s="153">
        <f>SUMIFS(Industrial!N:N,Industrial!$E:$E,$N29)</f>
        <v>1.1360591481252194E-5</v>
      </c>
      <c r="U29" s="153">
        <f>SUMIFS(Industrial!O:O,Industrial!$E:$E,$N29)</f>
        <v>2.6325839696652058E-9</v>
      </c>
      <c r="V29" s="153">
        <f>SUMIFS(Industrial!P:P,Industrial!$E:$E,$N29)</f>
        <v>0</v>
      </c>
      <c r="W29" s="153">
        <f>SUMIFS(Industrial!Q:Q,Industrial!$E:$E,$N29)</f>
        <v>2.325389408727577E-9</v>
      </c>
      <c r="X29" s="153">
        <f t="shared" si="1"/>
        <v>1.1365549454630586E-5</v>
      </c>
      <c r="Y29" s="6" t="s">
        <v>850</v>
      </c>
      <c r="Z29" s="153">
        <f>_xlfn.XLOOKUP($N29,'Fatores de Emissão'!$A:$A,'Fatores de Emissão'!B:B)</f>
        <v>2.1267642639641302</v>
      </c>
      <c r="AA29" s="153">
        <f>_xlfn.XLOOKUP($N29,'Fatores de Emissão'!$A:$A,'Fatores de Emissão'!C:C)</f>
        <v>4.9283397944625904E-4</v>
      </c>
      <c r="AB29" s="153">
        <f>_xlfn.XLOOKUP($N29,'Fatores de Emissão'!$A:$A,'Fatores de Emissão'!D:D)</f>
        <v>0</v>
      </c>
      <c r="AC29" s="153">
        <f>_xlfn.XLOOKUP($N29,'Fatores de Emissão'!$A:$A,'Fatores de Emissão'!E:E)</f>
        <v>4.3532549361042399E-4</v>
      </c>
      <c r="AD29" s="6" t="str">
        <f>_xlfn.XLOOKUP($N29,'Fatores de Emissão'!$A:$A,'Fatores de Emissão'!F:F)</f>
        <v>kgCO2e/kg</v>
      </c>
      <c r="AE29" s="6">
        <v>28</v>
      </c>
      <c r="AF29" s="192">
        <f t="shared" si="8"/>
        <v>4.109766379987516E-6</v>
      </c>
      <c r="AG29" s="220">
        <f t="shared" si="9"/>
        <v>1.0000000000000002</v>
      </c>
    </row>
    <row r="30" spans="1:33">
      <c r="A30" s="5" t="str">
        <f>_xlfn.XLOOKUP(N30,Industrial!E:E,Industrial!B:B)</f>
        <v>Matéria-Prima</v>
      </c>
      <c r="B30" s="192">
        <v>1</v>
      </c>
      <c r="C30" s="192">
        <v>0</v>
      </c>
      <c r="D30" s="192">
        <v>0</v>
      </c>
      <c r="E30" s="240">
        <f t="shared" si="2"/>
        <v>0</v>
      </c>
      <c r="F30" s="240">
        <f t="shared" si="3"/>
        <v>0</v>
      </c>
      <c r="G30" s="240">
        <f t="shared" si="4"/>
        <v>0</v>
      </c>
      <c r="H30" s="192">
        <v>1</v>
      </c>
      <c r="I30" s="192">
        <v>0</v>
      </c>
      <c r="J30" s="192">
        <v>0</v>
      </c>
      <c r="K30" s="240">
        <f t="shared" si="5"/>
        <v>0</v>
      </c>
      <c r="L30" s="240">
        <f t="shared" si="6"/>
        <v>0</v>
      </c>
      <c r="M30" s="240">
        <f t="shared" si="7"/>
        <v>0</v>
      </c>
      <c r="N30" s="16" t="s">
        <v>697</v>
      </c>
      <c r="O30" s="153">
        <f>SUMIFS(Industrial!F:F,Industrial!E:E,N30)</f>
        <v>6.2675686741111409</v>
      </c>
      <c r="P30" s="6" t="str">
        <f>_xlfn.XLOOKUP(N30,Industrial!$E:$E,Industrial!$G:$G)</f>
        <v>m³/t FeSiMg</v>
      </c>
      <c r="Q30" s="153">
        <f t="shared" si="13"/>
        <v>0</v>
      </c>
      <c r="R30" s="153">
        <v>0</v>
      </c>
      <c r="S30" s="153">
        <v>0</v>
      </c>
      <c r="T30" s="153">
        <f>SUMIFS(Industrial!N:N,Industrial!$E:$E,$N30)</f>
        <v>0</v>
      </c>
      <c r="U30" s="153">
        <f>SUMIFS(Industrial!O:O,Industrial!$E:$E,$N30)</f>
        <v>0</v>
      </c>
      <c r="V30" s="153">
        <f>SUMIFS(Industrial!P:P,Industrial!$E:$E,$N30)</f>
        <v>0</v>
      </c>
      <c r="W30" s="153">
        <f>SUMIFS(Industrial!Q:Q,Industrial!$E:$E,$N30)</f>
        <v>0</v>
      </c>
      <c r="X30" s="153">
        <f t="shared" si="1"/>
        <v>0</v>
      </c>
      <c r="Y30" s="6" t="s">
        <v>850</v>
      </c>
      <c r="Z30" s="153">
        <f>_xlfn.XLOOKUP($N30,'Fatores de Emissão'!$A:$A,'Fatores de Emissão'!B:B)</f>
        <v>0</v>
      </c>
      <c r="AA30" s="153">
        <f>_xlfn.XLOOKUP($N30,'Fatores de Emissão'!$A:$A,'Fatores de Emissão'!C:C)</f>
        <v>0</v>
      </c>
      <c r="AB30" s="153">
        <f>_xlfn.XLOOKUP($N30,'Fatores de Emissão'!$A:$A,'Fatores de Emissão'!D:D)</f>
        <v>0</v>
      </c>
      <c r="AC30" s="153">
        <f>_xlfn.XLOOKUP($N30,'Fatores de Emissão'!$A:$A,'Fatores de Emissão'!E:E)</f>
        <v>0</v>
      </c>
      <c r="AD30" s="6" t="str">
        <f>_xlfn.XLOOKUP($N30,'Fatores de Emissão'!$A:$A,'Fatores de Emissão'!F:F)</f>
        <v>kgCO2e/m3</v>
      </c>
      <c r="AE30" s="6">
        <v>29</v>
      </c>
      <c r="AF30" s="192">
        <f t="shared" si="8"/>
        <v>0</v>
      </c>
      <c r="AG30" s="220">
        <f t="shared" si="9"/>
        <v>1.0000000000000002</v>
      </c>
    </row>
    <row r="31" spans="1:33">
      <c r="A31" s="5" t="str">
        <f>_xlfn.XLOOKUP(N31,Industrial!E:E,Industrial!B:B)</f>
        <v>Coproduto</v>
      </c>
      <c r="B31" s="192">
        <v>0</v>
      </c>
      <c r="C31" s="192">
        <v>0</v>
      </c>
      <c r="D31" s="192">
        <v>1</v>
      </c>
      <c r="E31" s="240">
        <f t="shared" si="2"/>
        <v>0</v>
      </c>
      <c r="F31" s="240">
        <f t="shared" si="3"/>
        <v>0</v>
      </c>
      <c r="G31" s="240">
        <f t="shared" si="4"/>
        <v>0</v>
      </c>
      <c r="H31" s="192">
        <v>0</v>
      </c>
      <c r="I31" s="192">
        <v>0</v>
      </c>
      <c r="J31" s="192">
        <v>1</v>
      </c>
      <c r="K31" s="240">
        <f t="shared" si="5"/>
        <v>0</v>
      </c>
      <c r="L31" s="240">
        <f t="shared" si="6"/>
        <v>0</v>
      </c>
      <c r="M31" s="240">
        <f t="shared" si="7"/>
        <v>0</v>
      </c>
      <c r="N31" s="16" t="s">
        <v>174</v>
      </c>
      <c r="O31" s="153">
        <f>SUMIFS(Industrial!F:F,Industrial!E:E,N31)</f>
        <v>6.0396982132000357E-2</v>
      </c>
      <c r="P31" s="6" t="str">
        <f>_xlfn.XLOOKUP(N31,Industrial!$E:$E,Industrial!$G:$G)</f>
        <v>t/t FeSiMg</v>
      </c>
      <c r="Q31" s="153">
        <f t="shared" si="13"/>
        <v>0</v>
      </c>
      <c r="R31" s="153">
        <v>0</v>
      </c>
      <c r="S31" s="153">
        <v>0</v>
      </c>
      <c r="T31" s="153">
        <f>SUMIFS(Industrial!N:N,Industrial!$E:$E,$N31)</f>
        <v>0</v>
      </c>
      <c r="U31" s="153">
        <f>SUMIFS(Industrial!O:O,Industrial!$E:$E,$N31)</f>
        <v>0</v>
      </c>
      <c r="V31" s="153">
        <f>SUMIFS(Industrial!P:P,Industrial!$E:$E,$N31)</f>
        <v>0</v>
      </c>
      <c r="W31" s="153">
        <f>SUMIFS(Industrial!Q:Q,Industrial!$E:$E,$N31)</f>
        <v>0</v>
      </c>
      <c r="X31" s="153">
        <f t="shared" si="1"/>
        <v>0</v>
      </c>
      <c r="Y31" s="6" t="s">
        <v>850</v>
      </c>
      <c r="Z31" s="153">
        <f>_xlfn.XLOOKUP($N31,'Fatores de Emissão'!$A:$A,'Fatores de Emissão'!B:B)</f>
        <v>0</v>
      </c>
      <c r="AA31" s="153">
        <f>_xlfn.XLOOKUP($N31,'Fatores de Emissão'!$A:$A,'Fatores de Emissão'!C:C)</f>
        <v>0</v>
      </c>
      <c r="AB31" s="153">
        <f>_xlfn.XLOOKUP($N31,'Fatores de Emissão'!$A:$A,'Fatores de Emissão'!D:D)</f>
        <v>0</v>
      </c>
      <c r="AC31" s="153">
        <f>_xlfn.XLOOKUP($N31,'Fatores de Emissão'!$A:$A,'Fatores de Emissão'!E:E)</f>
        <v>0</v>
      </c>
      <c r="AD31" s="6" t="str">
        <f>_xlfn.XLOOKUP($N31,'Fatores de Emissão'!$A:$A,'Fatores de Emissão'!F:F)</f>
        <v>kgCO2e/kg</v>
      </c>
      <c r="AE31" s="6">
        <v>30</v>
      </c>
      <c r="AF31" s="192">
        <f t="shared" si="8"/>
        <v>0</v>
      </c>
      <c r="AG31" s="220">
        <f t="shared" si="9"/>
        <v>1.0000000000000002</v>
      </c>
    </row>
    <row r="32" spans="1:33">
      <c r="A32" s="5" t="str">
        <f>_xlfn.XLOOKUP(N32,Industrial!E:E,Industrial!B:B)</f>
        <v>Produto Intermediário</v>
      </c>
      <c r="B32" s="192">
        <v>1</v>
      </c>
      <c r="C32" s="192">
        <v>0</v>
      </c>
      <c r="D32" s="192">
        <v>0</v>
      </c>
      <c r="E32" s="240">
        <f t="shared" si="2"/>
        <v>0</v>
      </c>
      <c r="F32" s="240">
        <f t="shared" si="3"/>
        <v>0</v>
      </c>
      <c r="G32" s="240">
        <f t="shared" si="4"/>
        <v>0</v>
      </c>
      <c r="H32" s="192">
        <v>1</v>
      </c>
      <c r="I32" s="192">
        <v>0</v>
      </c>
      <c r="J32" s="192">
        <v>0</v>
      </c>
      <c r="K32" s="240">
        <f t="shared" si="5"/>
        <v>0</v>
      </c>
      <c r="L32" s="240">
        <f t="shared" si="6"/>
        <v>0</v>
      </c>
      <c r="M32" s="240">
        <f t="shared" si="7"/>
        <v>0</v>
      </c>
      <c r="N32" s="16" t="s">
        <v>177</v>
      </c>
      <c r="O32" s="153">
        <f>SUMIFS(Industrial!F:F,Industrial!E:E,N32)</f>
        <v>1.8344919532091404</v>
      </c>
      <c r="P32" s="6" t="str">
        <f>_xlfn.XLOOKUP(N32,Industrial!$E:$E,Industrial!$G:$G)</f>
        <v>t/t FeSiMg</v>
      </c>
      <c r="Q32" s="153">
        <f t="shared" si="13"/>
        <v>0</v>
      </c>
      <c r="R32" s="153">
        <v>0</v>
      </c>
      <c r="S32" s="153">
        <v>0</v>
      </c>
      <c r="T32" s="153">
        <f>SUMIFS(Industrial!N:N,Industrial!$E:$E,$N32)</f>
        <v>0</v>
      </c>
      <c r="U32" s="153">
        <f>SUMIFS(Industrial!O:O,Industrial!$E:$E,$N32)</f>
        <v>0</v>
      </c>
      <c r="V32" s="153">
        <f>SUMIFS(Industrial!P:P,Industrial!$E:$E,$N32)</f>
        <v>0</v>
      </c>
      <c r="W32" s="153">
        <f>SUMIFS(Industrial!Q:Q,Industrial!$E:$E,$N32)</f>
        <v>0</v>
      </c>
      <c r="X32" s="153">
        <f t="shared" si="1"/>
        <v>0</v>
      </c>
      <c r="Y32" s="6" t="s">
        <v>850</v>
      </c>
      <c r="Z32" s="153">
        <f>_xlfn.XLOOKUP($N32,'Fatores de Emissão'!$A:$A,'Fatores de Emissão'!B:B)</f>
        <v>0</v>
      </c>
      <c r="AA32" s="153">
        <f>_xlfn.XLOOKUP($N32,'Fatores de Emissão'!$A:$A,'Fatores de Emissão'!C:C)</f>
        <v>0</v>
      </c>
      <c r="AB32" s="153">
        <f>_xlfn.XLOOKUP($N32,'Fatores de Emissão'!$A:$A,'Fatores de Emissão'!D:D)</f>
        <v>0</v>
      </c>
      <c r="AC32" s="153">
        <f>_xlfn.XLOOKUP($N32,'Fatores de Emissão'!$A:$A,'Fatores de Emissão'!E:E)</f>
        <v>0</v>
      </c>
      <c r="AD32" s="6" t="str">
        <f>_xlfn.XLOOKUP($N32,'Fatores de Emissão'!$A:$A,'Fatores de Emissão'!F:F)</f>
        <v>kgCO2e/kg</v>
      </c>
      <c r="AE32" s="6">
        <v>31</v>
      </c>
      <c r="AF32" s="192">
        <f t="shared" si="8"/>
        <v>0</v>
      </c>
      <c r="AG32" s="220">
        <f t="shared" si="9"/>
        <v>1.0000000000000002</v>
      </c>
    </row>
    <row r="33" spans="1:33">
      <c r="A33" s="5" t="str">
        <f>_xlfn.XLOOKUP(N33,Industrial!E:E,Industrial!B:B)</f>
        <v>Produto Principal</v>
      </c>
      <c r="B33" s="192">
        <v>1</v>
      </c>
      <c r="C33" s="192">
        <v>0</v>
      </c>
      <c r="D33" s="192">
        <v>0</v>
      </c>
      <c r="E33" s="240">
        <f t="shared" si="2"/>
        <v>0</v>
      </c>
      <c r="F33" s="240">
        <f t="shared" si="3"/>
        <v>0</v>
      </c>
      <c r="G33" s="240">
        <f t="shared" si="4"/>
        <v>0</v>
      </c>
      <c r="H33" s="192">
        <v>1</v>
      </c>
      <c r="I33" s="192">
        <v>0</v>
      </c>
      <c r="J33" s="192">
        <v>0</v>
      </c>
      <c r="K33" s="240">
        <f t="shared" si="5"/>
        <v>0</v>
      </c>
      <c r="L33" s="240">
        <f t="shared" si="6"/>
        <v>0</v>
      </c>
      <c r="M33" s="240">
        <f t="shared" si="7"/>
        <v>0</v>
      </c>
      <c r="N33" s="16" t="s">
        <v>181</v>
      </c>
      <c r="O33" s="153">
        <f>SUMIFS(Industrial!F:F,Industrial!E:E,N33)</f>
        <v>1</v>
      </c>
      <c r="P33" s="6" t="str">
        <f>_xlfn.XLOOKUP(N33,Industrial!$E:$E,Industrial!$G:$G)</f>
        <v>t/t FeSiMg</v>
      </c>
      <c r="Q33" s="153">
        <f t="shared" si="13"/>
        <v>0</v>
      </c>
      <c r="R33" s="153">
        <v>0</v>
      </c>
      <c r="S33" s="153">
        <v>0</v>
      </c>
      <c r="T33" s="153">
        <f>SUMIFS(Industrial!N:N,Industrial!$E:$E,$N33)</f>
        <v>0</v>
      </c>
      <c r="U33" s="153">
        <f>SUMIFS(Industrial!O:O,Industrial!$E:$E,$N33)</f>
        <v>0</v>
      </c>
      <c r="V33" s="153">
        <f>SUMIFS(Industrial!P:P,Industrial!$E:$E,$N33)</f>
        <v>0</v>
      </c>
      <c r="W33" s="153">
        <f>SUMIFS(Industrial!Q:Q,Industrial!$E:$E,$N33)</f>
        <v>0</v>
      </c>
      <c r="X33" s="153">
        <f t="shared" si="1"/>
        <v>0</v>
      </c>
      <c r="Y33" s="6" t="s">
        <v>850</v>
      </c>
      <c r="Z33" s="153">
        <f>_xlfn.XLOOKUP($N33,'Fatores de Emissão'!$A:$A,'Fatores de Emissão'!B:B)</f>
        <v>0</v>
      </c>
      <c r="AA33" s="153">
        <f>_xlfn.XLOOKUP($N33,'Fatores de Emissão'!$A:$A,'Fatores de Emissão'!C:C)</f>
        <v>0</v>
      </c>
      <c r="AB33" s="153">
        <f>_xlfn.XLOOKUP($N33,'Fatores de Emissão'!$A:$A,'Fatores de Emissão'!D:D)</f>
        <v>0</v>
      </c>
      <c r="AC33" s="153">
        <f>_xlfn.XLOOKUP($N33,'Fatores de Emissão'!$A:$A,'Fatores de Emissão'!E:E)</f>
        <v>0</v>
      </c>
      <c r="AD33" s="6" t="str">
        <f>_xlfn.XLOOKUP($N33,'Fatores de Emissão'!$A:$A,'Fatores de Emissão'!F:F)</f>
        <v>kgCO2e/kg</v>
      </c>
      <c r="AE33" s="6">
        <v>32</v>
      </c>
      <c r="AF33" s="192">
        <f t="shared" si="8"/>
        <v>0</v>
      </c>
      <c r="AG33" s="220">
        <f t="shared" si="9"/>
        <v>1.0000000000000002</v>
      </c>
    </row>
    <row r="34" spans="1:33">
      <c r="A34" s="5" t="str">
        <f>_xlfn.XLOOKUP(N34,Industrial!E:E,Industrial!B:B)</f>
        <v>Coproduto</v>
      </c>
      <c r="B34" s="192">
        <v>1</v>
      </c>
      <c r="C34" s="192">
        <v>0</v>
      </c>
      <c r="D34" s="192">
        <v>0</v>
      </c>
      <c r="E34" s="240">
        <f t="shared" si="2"/>
        <v>0</v>
      </c>
      <c r="F34" s="240">
        <f t="shared" si="3"/>
        <v>0</v>
      </c>
      <c r="G34" s="240">
        <f t="shared" si="4"/>
        <v>0</v>
      </c>
      <c r="H34" s="192">
        <v>1</v>
      </c>
      <c r="I34" s="192">
        <v>0</v>
      </c>
      <c r="J34" s="192">
        <v>0</v>
      </c>
      <c r="K34" s="240">
        <f t="shared" si="5"/>
        <v>0</v>
      </c>
      <c r="L34" s="240">
        <f t="shared" si="6"/>
        <v>0</v>
      </c>
      <c r="M34" s="240">
        <f t="shared" si="7"/>
        <v>0</v>
      </c>
      <c r="N34" s="16" t="s">
        <v>698</v>
      </c>
      <c r="O34" s="153">
        <f>SUMIFS(Industrial!F:F,Industrial!E:E,N34)</f>
        <v>0.25339213156982415</v>
      </c>
      <c r="P34" s="6" t="str">
        <f>_xlfn.XLOOKUP(N34,Industrial!$E:$E,Industrial!$G:$G)</f>
        <v>t/t FeSiMg</v>
      </c>
      <c r="Q34" s="153">
        <f t="shared" si="13"/>
        <v>0</v>
      </c>
      <c r="R34" s="153">
        <v>0</v>
      </c>
      <c r="S34" s="153">
        <v>0</v>
      </c>
      <c r="T34" s="153">
        <f>SUMIFS(Industrial!N:N,Industrial!$E:$E,$N34)</f>
        <v>0</v>
      </c>
      <c r="U34" s="153">
        <f>SUMIFS(Industrial!O:O,Industrial!$E:$E,$N34)</f>
        <v>0</v>
      </c>
      <c r="V34" s="153">
        <f>SUMIFS(Industrial!P:P,Industrial!$E:$E,$N34)</f>
        <v>0</v>
      </c>
      <c r="W34" s="153">
        <f>SUMIFS(Industrial!Q:Q,Industrial!$E:$E,$N34)</f>
        <v>0</v>
      </c>
      <c r="X34" s="153">
        <f t="shared" si="1"/>
        <v>0</v>
      </c>
      <c r="Y34" s="6" t="s">
        <v>850</v>
      </c>
      <c r="Z34" s="153">
        <f>_xlfn.XLOOKUP($N34,'Fatores de Emissão'!$A:$A,'Fatores de Emissão'!B:B)</f>
        <v>0</v>
      </c>
      <c r="AA34" s="153">
        <f>_xlfn.XLOOKUP($N34,'Fatores de Emissão'!$A:$A,'Fatores de Emissão'!C:C)</f>
        <v>0</v>
      </c>
      <c r="AB34" s="153">
        <f>_xlfn.XLOOKUP($N34,'Fatores de Emissão'!$A:$A,'Fatores de Emissão'!D:D)</f>
        <v>0</v>
      </c>
      <c r="AC34" s="153">
        <f>_xlfn.XLOOKUP($N34,'Fatores de Emissão'!$A:$A,'Fatores de Emissão'!E:E)</f>
        <v>0</v>
      </c>
      <c r="AD34" s="6" t="str">
        <f>_xlfn.XLOOKUP($N34,'Fatores de Emissão'!$A:$A,'Fatores de Emissão'!F:F)</f>
        <v>kgCO2e/kg</v>
      </c>
      <c r="AE34">
        <v>33</v>
      </c>
      <c r="AF34" s="192">
        <f t="shared" si="8"/>
        <v>0</v>
      </c>
      <c r="AG34" s="220">
        <f t="shared" si="9"/>
        <v>1.0000000000000002</v>
      </c>
    </row>
    <row r="35" spans="1:33">
      <c r="A35" s="5" t="str">
        <f>_xlfn.XLOOKUP(N35,Industrial!E:E,Industrial!B:B)</f>
        <v>Coproduto</v>
      </c>
      <c r="B35" s="192">
        <v>1</v>
      </c>
      <c r="C35" s="192">
        <v>0</v>
      </c>
      <c r="D35" s="192">
        <v>0</v>
      </c>
      <c r="E35" s="240">
        <f t="shared" si="2"/>
        <v>0</v>
      </c>
      <c r="F35" s="240">
        <f t="shared" si="3"/>
        <v>0</v>
      </c>
      <c r="G35" s="240">
        <f t="shared" si="4"/>
        <v>0</v>
      </c>
      <c r="H35" s="192">
        <v>1</v>
      </c>
      <c r="I35" s="192">
        <v>0</v>
      </c>
      <c r="J35" s="192">
        <v>0</v>
      </c>
      <c r="K35" s="240">
        <f t="shared" si="5"/>
        <v>0</v>
      </c>
      <c r="L35" s="240">
        <f t="shared" si="6"/>
        <v>0</v>
      </c>
      <c r="M35" s="240">
        <f t="shared" si="7"/>
        <v>0</v>
      </c>
      <c r="N35" s="16" t="s">
        <v>175</v>
      </c>
      <c r="O35" s="153">
        <f>SUMIFS(Industrial!F:F,Industrial!E:E,N35)</f>
        <v>0.10403619294117883</v>
      </c>
      <c r="P35" s="6" t="str">
        <f>_xlfn.XLOOKUP(N35,Industrial!$E:$E,Industrial!$G:$G)</f>
        <v>t/t FeSiMg</v>
      </c>
      <c r="Q35" s="153">
        <f t="shared" si="13"/>
        <v>0</v>
      </c>
      <c r="R35" s="153">
        <v>0</v>
      </c>
      <c r="S35" s="153">
        <v>0</v>
      </c>
      <c r="T35" s="153">
        <f>SUMIFS(Industrial!N:N,Industrial!$E:$E,$N35)</f>
        <v>0</v>
      </c>
      <c r="U35" s="153">
        <f>SUMIFS(Industrial!O:O,Industrial!$E:$E,$N35)</f>
        <v>0</v>
      </c>
      <c r="V35" s="153">
        <f>SUMIFS(Industrial!P:P,Industrial!$E:$E,$N35)</f>
        <v>0</v>
      </c>
      <c r="W35" s="153">
        <f>SUMIFS(Industrial!Q:Q,Industrial!$E:$E,$N35)</f>
        <v>0</v>
      </c>
      <c r="X35" s="153">
        <f t="shared" si="1"/>
        <v>0</v>
      </c>
      <c r="Y35" s="6" t="s">
        <v>850</v>
      </c>
      <c r="Z35" s="153">
        <f>_xlfn.XLOOKUP($N35,'Fatores de Emissão'!$A:$A,'Fatores de Emissão'!B:B)</f>
        <v>0</v>
      </c>
      <c r="AA35" s="153">
        <f>_xlfn.XLOOKUP($N35,'Fatores de Emissão'!$A:$A,'Fatores de Emissão'!C:C)</f>
        <v>0</v>
      </c>
      <c r="AB35" s="153">
        <f>_xlfn.XLOOKUP($N35,'Fatores de Emissão'!$A:$A,'Fatores de Emissão'!D:D)</f>
        <v>0</v>
      </c>
      <c r="AC35" s="153">
        <f>_xlfn.XLOOKUP($N35,'Fatores de Emissão'!$A:$A,'Fatores de Emissão'!E:E)</f>
        <v>0</v>
      </c>
      <c r="AD35" s="6" t="str">
        <f>_xlfn.XLOOKUP($N35,'Fatores de Emissão'!$A:$A,'Fatores de Emissão'!F:F)</f>
        <v>kgCO2e/kg</v>
      </c>
      <c r="AE35" s="6">
        <v>34</v>
      </c>
      <c r="AF35" s="192">
        <f t="shared" si="8"/>
        <v>0</v>
      </c>
      <c r="AG35" s="220">
        <f t="shared" si="9"/>
        <v>1.0000000000000002</v>
      </c>
    </row>
    <row r="36" spans="1:33">
      <c r="A36" s="5" t="str">
        <f>_xlfn.XLOOKUP(N36,Industrial!E:E,Industrial!B:B)</f>
        <v>Coproduto</v>
      </c>
      <c r="B36" s="192">
        <v>1</v>
      </c>
      <c r="C36" s="192">
        <v>0</v>
      </c>
      <c r="D36" s="192">
        <v>0</v>
      </c>
      <c r="E36" s="240">
        <f t="shared" si="2"/>
        <v>0</v>
      </c>
      <c r="F36" s="240">
        <f t="shared" si="3"/>
        <v>0</v>
      </c>
      <c r="G36" s="240">
        <f t="shared" si="4"/>
        <v>0</v>
      </c>
      <c r="H36" s="192">
        <v>1</v>
      </c>
      <c r="I36" s="192">
        <v>0</v>
      </c>
      <c r="J36" s="192">
        <v>0</v>
      </c>
      <c r="K36" s="240">
        <f t="shared" si="5"/>
        <v>0</v>
      </c>
      <c r="L36" s="240">
        <f t="shared" si="6"/>
        <v>0</v>
      </c>
      <c r="M36" s="240">
        <f t="shared" si="7"/>
        <v>0</v>
      </c>
      <c r="N36" s="16" t="s">
        <v>173</v>
      </c>
      <c r="O36" s="153">
        <f>SUMIFS(Industrial!F:F,Industrial!E:E,N36)</f>
        <v>8.7069694746365126E-2</v>
      </c>
      <c r="P36" s="6" t="str">
        <f>_xlfn.XLOOKUP(N36,Industrial!$E:$E,Industrial!$G:$G)</f>
        <v>t/t FeSiMg</v>
      </c>
      <c r="Q36" s="153">
        <f t="shared" si="13"/>
        <v>0</v>
      </c>
      <c r="R36" s="153">
        <v>0</v>
      </c>
      <c r="S36" s="153">
        <v>0</v>
      </c>
      <c r="T36" s="153">
        <f>SUMIFS(Industrial!N:N,Industrial!$E:$E,$N36)</f>
        <v>0</v>
      </c>
      <c r="U36" s="153">
        <f>SUMIFS(Industrial!O:O,Industrial!$E:$E,$N36)</f>
        <v>0</v>
      </c>
      <c r="V36" s="153">
        <f>SUMIFS(Industrial!P:P,Industrial!$E:$E,$N36)</f>
        <v>0</v>
      </c>
      <c r="W36" s="153">
        <f>SUMIFS(Industrial!Q:Q,Industrial!$E:$E,$N36)</f>
        <v>0</v>
      </c>
      <c r="X36" s="153">
        <f t="shared" si="1"/>
        <v>0</v>
      </c>
      <c r="Y36" s="6" t="s">
        <v>850</v>
      </c>
      <c r="Z36" s="153">
        <f>_xlfn.XLOOKUP($N36,'Fatores de Emissão'!$A:$A,'Fatores de Emissão'!B:B)</f>
        <v>0</v>
      </c>
      <c r="AA36" s="153">
        <f>_xlfn.XLOOKUP($N36,'Fatores de Emissão'!$A:$A,'Fatores de Emissão'!C:C)</f>
        <v>0</v>
      </c>
      <c r="AB36" s="153">
        <f>_xlfn.XLOOKUP($N36,'Fatores de Emissão'!$A:$A,'Fatores de Emissão'!D:D)</f>
        <v>0</v>
      </c>
      <c r="AC36" s="153">
        <f>_xlfn.XLOOKUP($N36,'Fatores de Emissão'!$A:$A,'Fatores de Emissão'!E:E)</f>
        <v>0</v>
      </c>
      <c r="AD36" s="6" t="str">
        <f>_xlfn.XLOOKUP($N36,'Fatores de Emissão'!$A:$A,'Fatores de Emissão'!F:F)</f>
        <v>kgCO2e/kg</v>
      </c>
      <c r="AE36" s="6">
        <v>35</v>
      </c>
      <c r="AF36" s="192">
        <f t="shared" si="8"/>
        <v>0</v>
      </c>
      <c r="AG36" s="220">
        <f t="shared" si="9"/>
        <v>1.0000000000000002</v>
      </c>
    </row>
    <row r="37" spans="1:33">
      <c r="A37" s="5" t="str">
        <f>_xlfn.XLOOKUP(N37,Industrial!E:E,Industrial!B:B)</f>
        <v>Coproduto</v>
      </c>
      <c r="B37" s="192">
        <v>1</v>
      </c>
      <c r="C37" s="192">
        <v>0</v>
      </c>
      <c r="D37" s="192">
        <v>0</v>
      </c>
      <c r="E37" s="240">
        <f t="shared" si="2"/>
        <v>0</v>
      </c>
      <c r="F37" s="240">
        <f t="shared" si="3"/>
        <v>0</v>
      </c>
      <c r="G37" s="240">
        <f t="shared" si="4"/>
        <v>0</v>
      </c>
      <c r="H37" s="192">
        <v>1</v>
      </c>
      <c r="I37" s="192">
        <v>0</v>
      </c>
      <c r="J37" s="192">
        <v>0</v>
      </c>
      <c r="K37" s="240">
        <f t="shared" si="5"/>
        <v>0</v>
      </c>
      <c r="L37" s="240">
        <f t="shared" si="6"/>
        <v>0</v>
      </c>
      <c r="M37" s="240">
        <f t="shared" si="7"/>
        <v>0</v>
      </c>
      <c r="N37" s="16" t="s">
        <v>176</v>
      </c>
      <c r="O37" s="153">
        <f>SUMIFS(Industrial!F:F,Industrial!E:E,N37)</f>
        <v>4.3534847373182473E-2</v>
      </c>
      <c r="P37" s="6" t="str">
        <f>_xlfn.XLOOKUP(N37,Industrial!$E:$E,Industrial!$G:$G)</f>
        <v>t/t FeSiMg</v>
      </c>
      <c r="Q37" s="153">
        <f t="shared" si="13"/>
        <v>0</v>
      </c>
      <c r="R37" s="153">
        <v>0</v>
      </c>
      <c r="S37" s="153">
        <v>0</v>
      </c>
      <c r="T37" s="153">
        <f>SUMIFS(Industrial!N:N,Industrial!$E:$E,$N37)</f>
        <v>0</v>
      </c>
      <c r="U37" s="153">
        <f>SUMIFS(Industrial!O:O,Industrial!$E:$E,$N37)</f>
        <v>0</v>
      </c>
      <c r="V37" s="153">
        <f>SUMIFS(Industrial!P:P,Industrial!$E:$E,$N37)</f>
        <v>0</v>
      </c>
      <c r="W37" s="153">
        <f>SUMIFS(Industrial!Q:Q,Industrial!$E:$E,$N37)</f>
        <v>0</v>
      </c>
      <c r="X37" s="153">
        <f t="shared" si="1"/>
        <v>0</v>
      </c>
      <c r="Y37" s="6" t="s">
        <v>850</v>
      </c>
      <c r="Z37" s="153">
        <f>_xlfn.XLOOKUP($N37,'Fatores de Emissão'!$A:$A,'Fatores de Emissão'!B:B)</f>
        <v>0</v>
      </c>
      <c r="AA37" s="153">
        <f>_xlfn.XLOOKUP($N37,'Fatores de Emissão'!$A:$A,'Fatores de Emissão'!C:C)</f>
        <v>0</v>
      </c>
      <c r="AB37" s="153">
        <f>_xlfn.XLOOKUP($N37,'Fatores de Emissão'!$A:$A,'Fatores de Emissão'!D:D)</f>
        <v>0</v>
      </c>
      <c r="AC37" s="153">
        <f>_xlfn.XLOOKUP($N37,'Fatores de Emissão'!$A:$A,'Fatores de Emissão'!E:E)</f>
        <v>0</v>
      </c>
      <c r="AD37" s="6" t="str">
        <f>_xlfn.XLOOKUP($N37,'Fatores de Emissão'!$A:$A,'Fatores de Emissão'!F:F)</f>
        <v>kgCO2e/kg</v>
      </c>
      <c r="AE37" s="6">
        <v>36</v>
      </c>
      <c r="AF37" s="192">
        <f t="shared" si="8"/>
        <v>0</v>
      </c>
      <c r="AG37" s="220">
        <f t="shared" si="9"/>
        <v>1.0000000000000002</v>
      </c>
    </row>
    <row r="38" spans="1:33">
      <c r="A38" s="5" t="str">
        <f>_xlfn.XLOOKUP(N38,Industrial!E:E,Industrial!B:B)</f>
        <v>Coproduto</v>
      </c>
      <c r="B38" s="192">
        <v>1</v>
      </c>
      <c r="C38" s="192">
        <v>0</v>
      </c>
      <c r="D38" s="192">
        <v>0</v>
      </c>
      <c r="E38" s="240">
        <f t="shared" si="2"/>
        <v>0</v>
      </c>
      <c r="F38" s="240">
        <f t="shared" si="3"/>
        <v>0</v>
      </c>
      <c r="G38" s="240">
        <f t="shared" si="4"/>
        <v>0</v>
      </c>
      <c r="H38" s="192">
        <v>1</v>
      </c>
      <c r="I38" s="192">
        <v>0</v>
      </c>
      <c r="J38" s="192">
        <v>0</v>
      </c>
      <c r="K38" s="240">
        <f t="shared" si="5"/>
        <v>0</v>
      </c>
      <c r="L38" s="240">
        <f t="shared" si="6"/>
        <v>0</v>
      </c>
      <c r="M38" s="240">
        <f t="shared" si="7"/>
        <v>0</v>
      </c>
      <c r="N38" s="16" t="s">
        <v>182</v>
      </c>
      <c r="O38" s="153">
        <f>SUMIFS(Industrial!F:F,Industrial!E:E,N38)</f>
        <v>8.6956521739130349E-2</v>
      </c>
      <c r="P38" s="6" t="str">
        <f>_xlfn.XLOOKUP(N38,Industrial!$E:$E,Industrial!$G:$G)</f>
        <v>t/t FeSiMg</v>
      </c>
      <c r="Q38" s="153">
        <f t="shared" si="13"/>
        <v>0</v>
      </c>
      <c r="R38" s="153">
        <v>0</v>
      </c>
      <c r="S38" s="153">
        <v>0</v>
      </c>
      <c r="T38" s="153">
        <f>SUMIFS(Industrial!N:N,Industrial!$E:$E,$N38)</f>
        <v>0</v>
      </c>
      <c r="U38" s="153">
        <f>SUMIFS(Industrial!O:O,Industrial!$E:$E,$N38)</f>
        <v>0</v>
      </c>
      <c r="V38" s="153">
        <f>SUMIFS(Industrial!P:P,Industrial!$E:$E,$N38)</f>
        <v>0</v>
      </c>
      <c r="W38" s="153">
        <f>SUMIFS(Industrial!Q:Q,Industrial!$E:$E,$N38)</f>
        <v>0</v>
      </c>
      <c r="X38" s="153">
        <f t="shared" si="1"/>
        <v>0</v>
      </c>
      <c r="Y38" s="6" t="s">
        <v>850</v>
      </c>
      <c r="Z38" s="153">
        <f>_xlfn.XLOOKUP($N38,'Fatores de Emissão'!$A:$A,'Fatores de Emissão'!B:B)</f>
        <v>0</v>
      </c>
      <c r="AA38" s="153">
        <f>_xlfn.XLOOKUP($N38,'Fatores de Emissão'!$A:$A,'Fatores de Emissão'!C:C)</f>
        <v>0</v>
      </c>
      <c r="AB38" s="153">
        <f>_xlfn.XLOOKUP($N38,'Fatores de Emissão'!$A:$A,'Fatores de Emissão'!D:D)</f>
        <v>0</v>
      </c>
      <c r="AC38" s="153">
        <f>_xlfn.XLOOKUP($N38,'Fatores de Emissão'!$A:$A,'Fatores de Emissão'!E:E)</f>
        <v>0</v>
      </c>
      <c r="AD38" s="6" t="str">
        <f>_xlfn.XLOOKUP($N38,'Fatores de Emissão'!$A:$A,'Fatores de Emissão'!F:F)</f>
        <v>kgCO2e/kg</v>
      </c>
      <c r="AE38" s="6">
        <v>37</v>
      </c>
      <c r="AF38" s="192">
        <f t="shared" si="8"/>
        <v>0</v>
      </c>
      <c r="AG38" s="220">
        <f t="shared" si="9"/>
        <v>1.0000000000000002</v>
      </c>
    </row>
  </sheetData>
  <autoFilter ref="A1:AG38" xr:uid="{24B7B528-55E1-4B0A-835F-8E4D891F2609}">
    <sortState xmlns:xlrd2="http://schemas.microsoft.com/office/spreadsheetml/2017/richdata2" ref="A2:AG38">
      <sortCondition descending="1" ref="T1:T38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85D9-06BD-4A00-93CA-0317F25650C8}">
  <dimension ref="A1:L55"/>
  <sheetViews>
    <sheetView workbookViewId="0">
      <selection activeCell="C16" sqref="C16"/>
    </sheetView>
  </sheetViews>
  <sheetFormatPr baseColWidth="10" defaultColWidth="8.83203125" defaultRowHeight="15"/>
  <cols>
    <col min="1" max="1" width="93.1640625" customWidth="1"/>
    <col min="2" max="2" width="34.6640625" bestFit="1" customWidth="1"/>
    <col min="3" max="3" width="71.6640625" bestFit="1" customWidth="1"/>
    <col min="4" max="4" width="10.5" bestFit="1" customWidth="1"/>
    <col min="5" max="5" width="9.5" bestFit="1" customWidth="1"/>
    <col min="6" max="6" width="11.5" bestFit="1" customWidth="1"/>
    <col min="7" max="7" width="9.5" bestFit="1" customWidth="1"/>
    <col min="8" max="8" width="25.6640625" bestFit="1" customWidth="1"/>
    <col min="9" max="9" width="13.1640625" bestFit="1" customWidth="1"/>
    <col min="11" max="11" width="11" bestFit="1" customWidth="1"/>
    <col min="12" max="12" width="9" bestFit="1" customWidth="1"/>
  </cols>
  <sheetData>
    <row r="1" spans="1:12" ht="52">
      <c r="A1" s="63" t="s">
        <v>616</v>
      </c>
      <c r="B1" s="63" t="s">
        <v>339</v>
      </c>
      <c r="C1" s="63" t="s">
        <v>340</v>
      </c>
      <c r="D1" s="63" t="s">
        <v>617</v>
      </c>
      <c r="E1" s="63" t="s">
        <v>618</v>
      </c>
      <c r="F1" s="63" t="s">
        <v>343</v>
      </c>
      <c r="G1" s="63" t="s">
        <v>344</v>
      </c>
      <c r="H1" s="63" t="s">
        <v>201</v>
      </c>
      <c r="I1" s="65" t="s">
        <v>347</v>
      </c>
    </row>
    <row r="2" spans="1:12" ht="32">
      <c r="A2" s="71" t="s">
        <v>31</v>
      </c>
      <c r="B2" s="74" t="s">
        <v>619</v>
      </c>
      <c r="C2" s="33" t="s">
        <v>348</v>
      </c>
      <c r="D2" s="129">
        <v>32.24</v>
      </c>
      <c r="E2" s="73">
        <v>6.93E-2</v>
      </c>
      <c r="F2" s="138">
        <v>3.8E-6</v>
      </c>
      <c r="G2" s="73">
        <v>5.6999999999999996E-6</v>
      </c>
      <c r="H2" s="71" t="s">
        <v>620</v>
      </c>
      <c r="I2" s="29" t="s">
        <v>353</v>
      </c>
      <c r="K2" t="s">
        <v>621</v>
      </c>
    </row>
    <row r="3" spans="1:12">
      <c r="A3" s="71" t="s">
        <v>32</v>
      </c>
      <c r="B3" s="71" t="s">
        <v>366</v>
      </c>
      <c r="C3" s="16" t="s">
        <v>348</v>
      </c>
      <c r="D3" s="129">
        <v>35.5</v>
      </c>
      <c r="E3" s="73">
        <v>7.4099999999999999E-2</v>
      </c>
      <c r="F3" s="123">
        <v>3.8999999999999999E-6</v>
      </c>
      <c r="G3" s="73">
        <v>3.8999999999999999E-6</v>
      </c>
      <c r="H3" s="71" t="s">
        <v>620</v>
      </c>
      <c r="I3" s="29" t="s">
        <v>353</v>
      </c>
      <c r="K3">
        <v>10</v>
      </c>
      <c r="L3" t="s">
        <v>622</v>
      </c>
    </row>
    <row r="4" spans="1:12">
      <c r="A4" s="6" t="s">
        <v>367</v>
      </c>
      <c r="B4" s="71" t="s">
        <v>623</v>
      </c>
      <c r="C4" s="16" t="s">
        <v>357</v>
      </c>
      <c r="D4" s="129">
        <v>22.36</v>
      </c>
      <c r="E4" s="73">
        <v>7.9600000000000004E-2</v>
      </c>
      <c r="F4" s="123">
        <v>1.8E-5</v>
      </c>
      <c r="G4" s="73">
        <v>5.9999999999999997E-7</v>
      </c>
      <c r="H4" s="71" t="s">
        <v>624</v>
      </c>
      <c r="I4" s="29" t="s">
        <v>353</v>
      </c>
      <c r="K4">
        <v>0.01</v>
      </c>
      <c r="L4" t="s">
        <v>625</v>
      </c>
    </row>
    <row r="5" spans="1:12">
      <c r="A5" s="6" t="s">
        <v>369</v>
      </c>
      <c r="B5" s="71" t="s">
        <v>623</v>
      </c>
      <c r="C5" s="16" t="s">
        <v>357</v>
      </c>
      <c r="D5" s="129">
        <v>21.35</v>
      </c>
      <c r="E5" s="73">
        <v>7.9600000000000004E-2</v>
      </c>
      <c r="F5" s="123">
        <v>1.8E-5</v>
      </c>
      <c r="G5" s="73">
        <v>5.9999999999999997E-7</v>
      </c>
      <c r="H5" s="71" t="s">
        <v>624</v>
      </c>
      <c r="I5" s="29" t="s">
        <v>353</v>
      </c>
      <c r="K5">
        <v>0.32240000000000002</v>
      </c>
      <c r="L5" t="s">
        <v>626</v>
      </c>
    </row>
    <row r="6" spans="1:12">
      <c r="A6" s="6" t="s">
        <v>213</v>
      </c>
      <c r="B6" s="6" t="s">
        <v>356</v>
      </c>
      <c r="C6" s="5" t="s">
        <v>357</v>
      </c>
      <c r="D6" s="137">
        <v>33.137279999999997</v>
      </c>
      <c r="E6" s="78">
        <v>7.0800000000000002E-2</v>
      </c>
      <c r="F6" s="121">
        <v>3.0000000000000001E-6</v>
      </c>
      <c r="G6" s="78">
        <v>5.9999999999999997E-7</v>
      </c>
      <c r="H6" s="6" t="s">
        <v>627</v>
      </c>
      <c r="I6" s="29" t="s">
        <v>353</v>
      </c>
      <c r="K6">
        <v>2.2342320000000002E-2</v>
      </c>
      <c r="L6" t="s">
        <v>406</v>
      </c>
    </row>
    <row r="7" spans="1:12">
      <c r="A7" s="71" t="s">
        <v>377</v>
      </c>
      <c r="B7" s="6" t="s">
        <v>628</v>
      </c>
      <c r="C7" s="5" t="s">
        <v>348</v>
      </c>
      <c r="D7" s="124">
        <v>25.58</v>
      </c>
      <c r="E7" s="78">
        <v>6.3100000000000003E-2</v>
      </c>
      <c r="F7" s="123">
        <v>6.2000000000000003E-5</v>
      </c>
      <c r="G7" s="73">
        <v>1.9999999999999999E-7</v>
      </c>
      <c r="H7" s="71" t="s">
        <v>620</v>
      </c>
      <c r="I7" s="29" t="s">
        <v>353</v>
      </c>
      <c r="K7">
        <v>0.62558496000000008</v>
      </c>
      <c r="L7" t="s">
        <v>408</v>
      </c>
    </row>
    <row r="8" spans="1:12">
      <c r="A8" s="140" t="s">
        <v>629</v>
      </c>
      <c r="B8" s="141" t="s">
        <v>380</v>
      </c>
      <c r="C8" s="5" t="s">
        <v>348</v>
      </c>
      <c r="D8" s="124">
        <v>36.8727552</v>
      </c>
      <c r="E8" s="78">
        <v>3.6666666666666666E-3</v>
      </c>
      <c r="F8" s="121">
        <v>0</v>
      </c>
      <c r="G8" s="78">
        <v>0</v>
      </c>
      <c r="H8" s="71" t="s">
        <v>630</v>
      </c>
      <c r="I8" s="29" t="s">
        <v>353</v>
      </c>
      <c r="K8">
        <v>4.8698520000000002E-2</v>
      </c>
      <c r="L8" t="s">
        <v>631</v>
      </c>
    </row>
    <row r="9" spans="1:12">
      <c r="A9" s="140" t="s">
        <v>387</v>
      </c>
      <c r="B9" s="141" t="s">
        <v>388</v>
      </c>
      <c r="C9" s="5" t="s">
        <v>348</v>
      </c>
      <c r="D9" s="124">
        <v>36.8727552</v>
      </c>
      <c r="E9" s="78">
        <v>1.4666666666666666E-2</v>
      </c>
      <c r="F9" s="121">
        <v>0</v>
      </c>
      <c r="G9" s="78">
        <v>0</v>
      </c>
      <c r="H9" s="71" t="s">
        <v>630</v>
      </c>
      <c r="I9" s="29" t="s">
        <v>353</v>
      </c>
      <c r="K9">
        <v>0.69662580000000007</v>
      </c>
      <c r="L9" t="s">
        <v>632</v>
      </c>
    </row>
    <row r="10" spans="1:12">
      <c r="A10" s="6" t="s">
        <v>376</v>
      </c>
      <c r="B10" s="6" t="s">
        <v>633</v>
      </c>
      <c r="C10" s="5" t="s">
        <v>348</v>
      </c>
      <c r="D10" s="124">
        <v>31.95</v>
      </c>
      <c r="E10" s="73">
        <v>7.0000000000000007E-2</v>
      </c>
      <c r="F10" s="123">
        <v>4.9999999999999998E-7</v>
      </c>
      <c r="G10" s="73">
        <v>1.9999999999999999E-6</v>
      </c>
      <c r="H10" s="71" t="s">
        <v>620</v>
      </c>
      <c r="I10" s="29" t="s">
        <v>353</v>
      </c>
    </row>
    <row r="11" spans="1:12">
      <c r="A11" s="6" t="s">
        <v>226</v>
      </c>
      <c r="B11" s="6" t="s">
        <v>634</v>
      </c>
      <c r="C11" s="5" t="s">
        <v>348</v>
      </c>
      <c r="D11" s="119">
        <v>34.42</v>
      </c>
      <c r="E11" s="73">
        <v>7.1499999999999994E-2</v>
      </c>
      <c r="F11" s="123">
        <v>4.9999999999999998E-7</v>
      </c>
      <c r="G11" s="73">
        <v>1.9999999999999999E-6</v>
      </c>
      <c r="H11" s="71" t="s">
        <v>352</v>
      </c>
      <c r="I11" s="29" t="s">
        <v>353</v>
      </c>
    </row>
    <row r="12" spans="1:12">
      <c r="A12" s="13" t="s">
        <v>392</v>
      </c>
      <c r="B12" s="13" t="s">
        <v>393</v>
      </c>
      <c r="C12" s="19" t="s">
        <v>348</v>
      </c>
      <c r="D12" s="135">
        <v>40.07</v>
      </c>
      <c r="E12" s="139">
        <v>7.7399999999999997E-2</v>
      </c>
      <c r="F12" s="138">
        <v>6.9999999999999999E-6</v>
      </c>
      <c r="G12" s="139">
        <v>1.9999999999999999E-6</v>
      </c>
      <c r="H12" s="136" t="s">
        <v>620</v>
      </c>
      <c r="I12" s="130" t="s">
        <v>353</v>
      </c>
      <c r="L12">
        <v>3.1014179999999998</v>
      </c>
    </row>
    <row r="13" spans="1:12">
      <c r="C13" s="92"/>
      <c r="D13" s="120"/>
      <c r="E13" s="126"/>
      <c r="F13" s="127"/>
      <c r="G13" s="126"/>
      <c r="I13" s="125"/>
    </row>
    <row r="14" spans="1:12">
      <c r="C14" s="92"/>
      <c r="D14" s="120"/>
      <c r="E14" s="126"/>
      <c r="F14" s="127"/>
      <c r="G14" s="126"/>
      <c r="H14" s="122"/>
    </row>
    <row r="15" spans="1:12" ht="52">
      <c r="A15" s="63" t="s">
        <v>635</v>
      </c>
      <c r="B15" s="63" t="s">
        <v>339</v>
      </c>
      <c r="C15" s="63" t="s">
        <v>340</v>
      </c>
      <c r="D15" s="118" t="s">
        <v>617</v>
      </c>
      <c r="E15" s="63" t="s">
        <v>618</v>
      </c>
      <c r="F15" s="63" t="s">
        <v>343</v>
      </c>
      <c r="G15" s="63" t="s">
        <v>344</v>
      </c>
      <c r="H15" s="63" t="s">
        <v>201</v>
      </c>
      <c r="I15" s="65" t="s">
        <v>347</v>
      </c>
    </row>
    <row r="16" spans="1:12" ht="16">
      <c r="A16" s="71" t="s">
        <v>31</v>
      </c>
      <c r="B16" s="74" t="s">
        <v>636</v>
      </c>
      <c r="C16" s="33" t="s">
        <v>348</v>
      </c>
      <c r="D16" s="129">
        <v>32.24</v>
      </c>
      <c r="E16" s="73">
        <v>6.93E-2</v>
      </c>
      <c r="F16" s="73">
        <v>8.0000000000000007E-5</v>
      </c>
      <c r="G16" s="73">
        <v>1.9999999999999999E-6</v>
      </c>
      <c r="H16" s="71" t="s">
        <v>620</v>
      </c>
      <c r="I16" s="29" t="s">
        <v>353</v>
      </c>
    </row>
    <row r="17" spans="1:9">
      <c r="A17" s="6" t="s">
        <v>32</v>
      </c>
      <c r="B17" s="71" t="s">
        <v>637</v>
      </c>
      <c r="C17" s="16" t="s">
        <v>348</v>
      </c>
      <c r="D17" s="129">
        <v>35.5</v>
      </c>
      <c r="E17" s="73">
        <v>7.4099999999999999E-2</v>
      </c>
      <c r="F17" s="73">
        <v>4.1500000000000001E-6</v>
      </c>
      <c r="G17" s="73">
        <v>2.8600000000000001E-5</v>
      </c>
      <c r="H17" s="71" t="s">
        <v>620</v>
      </c>
      <c r="I17" s="29" t="s">
        <v>353</v>
      </c>
    </row>
    <row r="18" spans="1:9">
      <c r="A18" s="6" t="s">
        <v>367</v>
      </c>
      <c r="B18" s="71" t="s">
        <v>623</v>
      </c>
      <c r="C18" s="16" t="s">
        <v>357</v>
      </c>
      <c r="D18" s="129">
        <v>22.36</v>
      </c>
      <c r="E18" s="73">
        <v>7.9600000000000004E-2</v>
      </c>
      <c r="F18" s="73">
        <v>1.8E-5</v>
      </c>
      <c r="G18" s="73">
        <v>5.9999999999999997E-7</v>
      </c>
      <c r="H18" s="71" t="s">
        <v>624</v>
      </c>
      <c r="I18" s="29" t="s">
        <v>353</v>
      </c>
    </row>
    <row r="19" spans="1:9">
      <c r="A19" s="6" t="s">
        <v>369</v>
      </c>
      <c r="B19" s="71" t="s">
        <v>623</v>
      </c>
      <c r="C19" s="16" t="s">
        <v>357</v>
      </c>
      <c r="D19" s="129">
        <v>21.35</v>
      </c>
      <c r="E19" s="73">
        <v>7.9600000000000004E-2</v>
      </c>
      <c r="F19" s="73">
        <v>1.8E-5</v>
      </c>
      <c r="G19" s="73">
        <v>5.9999999999999997E-7</v>
      </c>
      <c r="H19" s="71" t="s">
        <v>624</v>
      </c>
      <c r="I19" s="29" t="s">
        <v>353</v>
      </c>
    </row>
    <row r="20" spans="1:9">
      <c r="A20" s="6" t="s">
        <v>213</v>
      </c>
      <c r="B20" s="6" t="s">
        <v>356</v>
      </c>
      <c r="C20" s="5" t="s">
        <v>357</v>
      </c>
      <c r="D20" s="137">
        <v>33.137280000000004</v>
      </c>
      <c r="E20" s="78">
        <v>7.0800000000000002E-2</v>
      </c>
      <c r="F20" s="78">
        <v>3.0000000000000001E-6</v>
      </c>
      <c r="G20" s="78">
        <v>5.9999999999999997E-7</v>
      </c>
      <c r="H20" s="6" t="s">
        <v>627</v>
      </c>
      <c r="I20" s="29" t="s">
        <v>353</v>
      </c>
    </row>
    <row r="22" spans="1:9">
      <c r="A22" t="s">
        <v>638</v>
      </c>
    </row>
    <row r="24" spans="1:9" ht="32">
      <c r="A24" s="63" t="s">
        <v>230</v>
      </c>
      <c r="B24" s="63" t="s">
        <v>232</v>
      </c>
      <c r="C24" s="63" t="s">
        <v>201</v>
      </c>
    </row>
    <row r="25" spans="1:9">
      <c r="A25" s="6" t="s">
        <v>249</v>
      </c>
      <c r="B25" s="129">
        <v>0.20392793477422311</v>
      </c>
      <c r="C25" s="244" t="s">
        <v>639</v>
      </c>
    </row>
    <row r="26" spans="1:9">
      <c r="A26" s="6" t="s">
        <v>251</v>
      </c>
      <c r="B26" s="129">
        <v>0.14096775252254215</v>
      </c>
      <c r="C26" s="245"/>
    </row>
    <row r="27" spans="1:9">
      <c r="A27" s="6" t="s">
        <v>253</v>
      </c>
      <c r="B27" s="129">
        <v>6.1204653649443282E-2</v>
      </c>
      <c r="C27" s="245"/>
    </row>
    <row r="28" spans="1:9">
      <c r="A28" s="6" t="s">
        <v>255</v>
      </c>
      <c r="B28" s="129">
        <v>7.0933705585653969E-2</v>
      </c>
      <c r="C28" s="245"/>
    </row>
    <row r="29" spans="1:9">
      <c r="A29" s="6" t="s">
        <v>257</v>
      </c>
      <c r="B29" s="129">
        <v>4.6089592192081578E-2</v>
      </c>
      <c r="C29" s="245"/>
      <c r="D29" s="143"/>
    </row>
    <row r="30" spans="1:9">
      <c r="A30" s="6" t="s">
        <v>259</v>
      </c>
      <c r="B30" s="129">
        <v>2.9541446161464625E-2</v>
      </c>
      <c r="C30" s="245"/>
      <c r="D30" s="143"/>
    </row>
    <row r="31" spans="1:9">
      <c r="A31" s="6" t="s">
        <v>261</v>
      </c>
      <c r="B31" s="129">
        <v>2.9927582838147289E-2</v>
      </c>
      <c r="C31" s="245"/>
      <c r="D31" s="143"/>
    </row>
    <row r="32" spans="1:9">
      <c r="A32" s="6" t="s">
        <v>263</v>
      </c>
      <c r="B32" s="129">
        <v>3.8597744506341597E-2</v>
      </c>
      <c r="C32" s="245"/>
      <c r="D32" s="143"/>
    </row>
    <row r="33" spans="1:5">
      <c r="A33" s="6" t="s">
        <v>265</v>
      </c>
      <c r="B33" s="129">
        <v>0.24286404647147222</v>
      </c>
      <c r="C33" s="245"/>
      <c r="D33" s="143"/>
    </row>
    <row r="34" spans="1:5">
      <c r="A34" s="6" t="s">
        <v>267</v>
      </c>
      <c r="B34" s="129">
        <v>0.16788187696637213</v>
      </c>
      <c r="C34" s="245"/>
      <c r="D34" s="143"/>
    </row>
    <row r="35" spans="1:5">
      <c r="A35" s="6" t="s">
        <v>269</v>
      </c>
      <c r="B35" s="129">
        <v>7.2860408178586036E-2</v>
      </c>
      <c r="C35" s="245"/>
      <c r="D35" s="143"/>
    </row>
    <row r="36" spans="1:5">
      <c r="A36" s="6" t="s">
        <v>271</v>
      </c>
      <c r="B36" s="129">
        <v>8.4440527688584774E-2</v>
      </c>
      <c r="C36" s="245"/>
      <c r="D36" s="143"/>
    </row>
    <row r="37" spans="1:5">
      <c r="A37" s="6" t="s">
        <v>273</v>
      </c>
      <c r="B37" s="129">
        <v>5.3310746125095579E-2</v>
      </c>
      <c r="C37" s="245"/>
      <c r="D37" s="143"/>
    </row>
    <row r="38" spans="1:5">
      <c r="A38" s="6" t="s">
        <v>275</v>
      </c>
      <c r="B38" s="129">
        <v>3.4171105491175358E-2</v>
      </c>
      <c r="C38" s="245"/>
      <c r="D38" s="143"/>
    </row>
    <row r="39" spans="1:5">
      <c r="A39" s="6" t="s">
        <v>277</v>
      </c>
      <c r="B39" s="129">
        <v>3.4616954025076994E-2</v>
      </c>
      <c r="C39" s="245"/>
      <c r="D39" s="143"/>
    </row>
    <row r="40" spans="1:5">
      <c r="A40" s="6" t="s">
        <v>279</v>
      </c>
      <c r="B40" s="129">
        <v>4.5181971962353254E-2</v>
      </c>
      <c r="C40" s="246"/>
      <c r="D40" s="143"/>
    </row>
    <row r="41" spans="1:5">
      <c r="A41" s="122"/>
      <c r="B41" s="122"/>
      <c r="C41" s="142"/>
      <c r="D41" s="143"/>
    </row>
    <row r="43" spans="1:5" ht="16">
      <c r="A43" s="63" t="s">
        <v>640</v>
      </c>
      <c r="B43" s="63" t="s">
        <v>641</v>
      </c>
      <c r="C43" s="63" t="s">
        <v>642</v>
      </c>
      <c r="D43" s="63" t="s">
        <v>643</v>
      </c>
      <c r="E43" s="63" t="s">
        <v>201</v>
      </c>
    </row>
    <row r="44" spans="1:5" ht="160">
      <c r="A44" s="131" t="s">
        <v>644</v>
      </c>
      <c r="B44" s="132">
        <v>1.0199999999999999E-2</v>
      </c>
      <c r="C44" s="133">
        <v>6.8856885688568852E-7</v>
      </c>
      <c r="D44" s="134">
        <v>8.2628262826282613E-8</v>
      </c>
      <c r="E44" s="33" t="s">
        <v>639</v>
      </c>
    </row>
    <row r="47" spans="1:5" ht="32">
      <c r="A47" s="63" t="s">
        <v>645</v>
      </c>
      <c r="B47" s="63" t="s">
        <v>646</v>
      </c>
      <c r="C47" s="63" t="s">
        <v>201</v>
      </c>
    </row>
    <row r="48" spans="1:5">
      <c r="A48" s="117" t="s">
        <v>647</v>
      </c>
      <c r="B48" s="128">
        <v>4.5</v>
      </c>
      <c r="C48" s="6" t="s">
        <v>648</v>
      </c>
    </row>
    <row r="49" spans="1:3">
      <c r="A49" s="117" t="s">
        <v>649</v>
      </c>
      <c r="B49" s="128">
        <v>8</v>
      </c>
      <c r="C49" s="6" t="s">
        <v>648</v>
      </c>
    </row>
    <row r="50" spans="1:3">
      <c r="A50" s="117" t="s">
        <v>650</v>
      </c>
      <c r="B50" s="128">
        <v>14</v>
      </c>
      <c r="C50" s="6" t="s">
        <v>648</v>
      </c>
    </row>
    <row r="51" spans="1:3">
      <c r="A51" s="117" t="s">
        <v>651</v>
      </c>
      <c r="B51" s="128">
        <v>15</v>
      </c>
      <c r="C51" s="6" t="s">
        <v>648</v>
      </c>
    </row>
    <row r="52" spans="1:3">
      <c r="A52" s="117" t="s">
        <v>652</v>
      </c>
      <c r="B52" s="128">
        <v>9</v>
      </c>
      <c r="C52" s="6" t="s">
        <v>648</v>
      </c>
    </row>
    <row r="53" spans="1:3">
      <c r="A53" s="117" t="s">
        <v>653</v>
      </c>
      <c r="B53" s="128">
        <v>28</v>
      </c>
      <c r="C53" s="6" t="s">
        <v>648</v>
      </c>
    </row>
    <row r="54" spans="1:3">
      <c r="A54" s="117" t="s">
        <v>654</v>
      </c>
      <c r="B54" s="128">
        <v>25</v>
      </c>
      <c r="C54" s="6" t="s">
        <v>648</v>
      </c>
    </row>
    <row r="55" spans="1:3">
      <c r="A55" s="117" t="s">
        <v>655</v>
      </c>
      <c r="B55" s="128">
        <v>22</v>
      </c>
      <c r="C55" s="6" t="s">
        <v>648</v>
      </c>
    </row>
  </sheetData>
  <mergeCells count="1">
    <mergeCell ref="C25:C40"/>
  </mergeCells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E2-9173-434F-9406-FC881C073C09}">
  <dimension ref="A1:AD74"/>
  <sheetViews>
    <sheetView showGridLines="0" workbookViewId="0">
      <selection activeCell="E15" sqref="E15"/>
    </sheetView>
  </sheetViews>
  <sheetFormatPr baseColWidth="10" defaultColWidth="11.33203125" defaultRowHeight="15"/>
  <cols>
    <col min="1" max="1" width="9.83203125" bestFit="1" customWidth="1"/>
    <col min="2" max="2" width="4.33203125" customWidth="1"/>
    <col min="3" max="3" width="12.6640625" bestFit="1" customWidth="1"/>
    <col min="4" max="4" width="24.5" bestFit="1" customWidth="1"/>
    <col min="5" max="5" width="127.33203125" bestFit="1" customWidth="1"/>
    <col min="7" max="7" width="38.1640625" bestFit="1" customWidth="1"/>
    <col min="8" max="8" width="6.83203125" bestFit="1" customWidth="1"/>
    <col min="9" max="9" width="3.5" bestFit="1" customWidth="1"/>
    <col min="10" max="15" width="18" customWidth="1"/>
    <col min="18" max="18" width="5" bestFit="1" customWidth="1"/>
    <col min="19" max="19" width="11.6640625" bestFit="1" customWidth="1"/>
    <col min="22" max="22" width="23.5" bestFit="1" customWidth="1"/>
    <col min="23" max="23" width="20.33203125" bestFit="1" customWidth="1"/>
    <col min="24" max="24" width="12.6640625" bestFit="1" customWidth="1"/>
    <col min="25" max="25" width="15.1640625" bestFit="1" customWidth="1"/>
    <col min="26" max="26" width="12" bestFit="1" customWidth="1"/>
    <col min="27" max="27" width="28.33203125" bestFit="1" customWidth="1"/>
    <col min="28" max="28" width="14.33203125" bestFit="1" customWidth="1"/>
    <col min="29" max="29" width="12.6640625" bestFit="1" customWidth="1"/>
    <col min="30" max="30" width="13.83203125" bestFit="1" customWidth="1"/>
  </cols>
  <sheetData>
    <row r="1" spans="1:30" ht="32">
      <c r="A1" s="94" t="s">
        <v>301</v>
      </c>
      <c r="B1" s="94"/>
      <c r="C1" s="94" t="s">
        <v>302</v>
      </c>
      <c r="D1" s="94" t="s">
        <v>567</v>
      </c>
      <c r="E1" s="94" t="s">
        <v>227</v>
      </c>
      <c r="H1" s="95" t="s">
        <v>568</v>
      </c>
      <c r="I1" s="95" t="s">
        <v>569</v>
      </c>
      <c r="J1" s="96" t="s">
        <v>570</v>
      </c>
      <c r="K1" s="96" t="s">
        <v>571</v>
      </c>
      <c r="L1" s="96" t="s">
        <v>572</v>
      </c>
      <c r="M1" s="96" t="s">
        <v>573</v>
      </c>
      <c r="N1" s="97" t="s">
        <v>574</v>
      </c>
      <c r="O1" s="97" t="s">
        <v>575</v>
      </c>
      <c r="R1" s="262" t="s">
        <v>576</v>
      </c>
      <c r="S1" s="262"/>
    </row>
    <row r="2" spans="1:30" ht="16">
      <c r="A2" s="98" t="s">
        <v>577</v>
      </c>
      <c r="B2" s="98"/>
      <c r="C2" s="98">
        <v>-3.3262</v>
      </c>
      <c r="D2" s="263" t="s">
        <v>614</v>
      </c>
      <c r="E2" s="266" t="s">
        <v>615</v>
      </c>
      <c r="F2" s="99"/>
      <c r="G2" s="268" t="s">
        <v>578</v>
      </c>
      <c r="H2" s="100">
        <v>0.28999999999999998</v>
      </c>
      <c r="I2" s="101">
        <v>29</v>
      </c>
      <c r="J2" s="101">
        <v>50.620200000000011</v>
      </c>
      <c r="K2" s="102">
        <v>48.128</v>
      </c>
      <c r="L2" s="102">
        <v>62.039600000000007</v>
      </c>
      <c r="M2" s="102">
        <v>86.244</v>
      </c>
      <c r="N2" s="102">
        <v>56.329900000000009</v>
      </c>
      <c r="O2" s="102">
        <v>1.4082475000000001</v>
      </c>
      <c r="Q2" s="99"/>
      <c r="R2" s="103" t="s">
        <v>579</v>
      </c>
      <c r="S2" s="103" t="s">
        <v>580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spans="1:30">
      <c r="A3" s="98" t="s">
        <v>581</v>
      </c>
      <c r="B3" s="98"/>
      <c r="C3" s="98">
        <v>147.08000000000001</v>
      </c>
      <c r="D3" s="264"/>
      <c r="E3" s="267"/>
      <c r="F3" s="99"/>
      <c r="G3" s="268"/>
      <c r="H3" s="100">
        <v>0.3</v>
      </c>
      <c r="I3" s="101">
        <v>30</v>
      </c>
      <c r="J3" s="101">
        <v>47.294000000000011</v>
      </c>
      <c r="K3" s="102">
        <v>44.989999999999995</v>
      </c>
      <c r="L3" s="102">
        <v>56.692000000000007</v>
      </c>
      <c r="M3" s="102">
        <v>79.47999999999999</v>
      </c>
      <c r="N3" s="102">
        <v>51.993000000000009</v>
      </c>
      <c r="O3" s="102">
        <v>1.2998250000000002</v>
      </c>
      <c r="Q3" s="99"/>
      <c r="R3" s="104" t="s">
        <v>569</v>
      </c>
      <c r="S3" s="104" t="s">
        <v>582</v>
      </c>
      <c r="T3" s="99"/>
      <c r="U3" s="99"/>
      <c r="V3" t="s">
        <v>583</v>
      </c>
    </row>
    <row r="4" spans="1:30" ht="15" customHeight="1" thickBot="1">
      <c r="A4" s="98" t="s">
        <v>577</v>
      </c>
      <c r="B4" s="98"/>
      <c r="C4" s="98">
        <v>-313.8</v>
      </c>
      <c r="D4" s="264"/>
      <c r="E4" s="266" t="s">
        <v>584</v>
      </c>
      <c r="G4" s="268"/>
      <c r="H4" s="100">
        <v>0.31</v>
      </c>
      <c r="I4" s="101">
        <v>31</v>
      </c>
      <c r="J4" s="101">
        <v>43.967800000000011</v>
      </c>
      <c r="K4" s="102">
        <v>41.85199999999999</v>
      </c>
      <c r="L4" s="102">
        <v>51.344400000000007</v>
      </c>
      <c r="M4" s="102">
        <v>72.71599999999998</v>
      </c>
      <c r="N4" s="102">
        <v>47.656100000000009</v>
      </c>
      <c r="O4" s="102">
        <v>1.1914025000000001</v>
      </c>
      <c r="R4" s="100">
        <v>0.28999999999999998</v>
      </c>
      <c r="S4" s="105">
        <v>50.620200000000011</v>
      </c>
    </row>
    <row r="5" spans="1:30">
      <c r="A5" s="98" t="s">
        <v>581</v>
      </c>
      <c r="B5" s="98"/>
      <c r="C5" s="98">
        <v>139.13</v>
      </c>
      <c r="D5" s="264"/>
      <c r="E5" s="267"/>
      <c r="G5" s="268"/>
      <c r="H5" s="100">
        <v>0.32</v>
      </c>
      <c r="I5" s="101">
        <v>32</v>
      </c>
      <c r="J5" s="101">
        <v>40.641600000000011</v>
      </c>
      <c r="K5" s="102">
        <v>38.713999999999984</v>
      </c>
      <c r="L5" s="102">
        <v>45.996800000000007</v>
      </c>
      <c r="M5" s="102">
        <v>65.95199999999997</v>
      </c>
      <c r="N5" s="102">
        <v>43.319200000000009</v>
      </c>
      <c r="O5" s="102">
        <v>1.0829800000000003</v>
      </c>
      <c r="R5" s="100">
        <v>0.28999999999999998</v>
      </c>
      <c r="S5" s="105">
        <v>48.128</v>
      </c>
      <c r="V5" s="106" t="s">
        <v>585</v>
      </c>
      <c r="W5" s="106"/>
    </row>
    <row r="6" spans="1:30" ht="14.5" customHeight="1">
      <c r="A6" s="98" t="s">
        <v>577</v>
      </c>
      <c r="B6" s="98"/>
      <c r="C6" s="98">
        <v>-534.76</v>
      </c>
      <c r="D6" s="264"/>
      <c r="E6" s="266" t="s">
        <v>586</v>
      </c>
      <c r="G6" s="268"/>
      <c r="H6" s="100">
        <v>0.33</v>
      </c>
      <c r="I6" s="101">
        <v>33</v>
      </c>
      <c r="J6" s="101">
        <v>37.315400000000011</v>
      </c>
      <c r="K6" s="102">
        <v>35.575999999999993</v>
      </c>
      <c r="L6" s="102">
        <v>40.649200000000008</v>
      </c>
      <c r="M6" s="102">
        <v>59.187999999999988</v>
      </c>
      <c r="N6" s="102">
        <v>38.982300000000009</v>
      </c>
      <c r="O6" s="102">
        <v>0.97455750000000019</v>
      </c>
      <c r="R6" s="100">
        <v>0.28999999999999998</v>
      </c>
      <c r="S6" s="105">
        <v>62.039600000000007</v>
      </c>
      <c r="V6" t="s">
        <v>587</v>
      </c>
      <c r="W6">
        <v>0.86046911051014741</v>
      </c>
    </row>
    <row r="7" spans="1:30">
      <c r="A7" s="98" t="s">
        <v>581</v>
      </c>
      <c r="B7" s="98"/>
      <c r="C7" s="98">
        <v>217.12</v>
      </c>
      <c r="D7" s="264"/>
      <c r="E7" s="267"/>
      <c r="G7" s="268"/>
      <c r="H7" s="100">
        <v>0.34</v>
      </c>
      <c r="I7" s="101">
        <v>34</v>
      </c>
      <c r="J7" s="101">
        <v>33.989200000000011</v>
      </c>
      <c r="K7" s="102">
        <v>32.437999999999988</v>
      </c>
      <c r="L7" s="102">
        <v>35.301600000000008</v>
      </c>
      <c r="M7" s="102">
        <v>52.423999999999978</v>
      </c>
      <c r="N7" s="102">
        <v>34.645400000000009</v>
      </c>
      <c r="O7" s="102">
        <v>0.86613500000000021</v>
      </c>
      <c r="R7" s="100">
        <v>0.28999999999999998</v>
      </c>
      <c r="S7" s="105">
        <v>86.244</v>
      </c>
      <c r="V7" t="s">
        <v>588</v>
      </c>
      <c r="W7">
        <v>0.74040709014212436</v>
      </c>
    </row>
    <row r="8" spans="1:30" ht="14.5" customHeight="1">
      <c r="A8" s="98" t="s">
        <v>577</v>
      </c>
      <c r="B8" s="98"/>
      <c r="C8" s="98">
        <v>-676.4</v>
      </c>
      <c r="D8" s="264"/>
      <c r="E8" s="266" t="s">
        <v>589</v>
      </c>
      <c r="G8" s="268"/>
      <c r="H8" s="100">
        <v>0.35</v>
      </c>
      <c r="I8" s="101">
        <v>35</v>
      </c>
      <c r="J8" s="101">
        <v>30.663000000000011</v>
      </c>
      <c r="K8" s="102">
        <v>29.299999999999997</v>
      </c>
      <c r="L8" s="102">
        <v>29.954000000000008</v>
      </c>
      <c r="M8" s="102">
        <v>45.66</v>
      </c>
      <c r="N8" s="102">
        <v>30.308500000000009</v>
      </c>
      <c r="O8" s="102">
        <v>0.75771250000000023</v>
      </c>
      <c r="R8" s="100">
        <v>0.3</v>
      </c>
      <c r="S8" s="105">
        <v>47.294000000000011</v>
      </c>
      <c r="V8" t="s">
        <v>590</v>
      </c>
      <c r="W8">
        <v>0.73476376601477922</v>
      </c>
    </row>
    <row r="9" spans="1:30">
      <c r="A9" s="98" t="s">
        <v>581</v>
      </c>
      <c r="B9" s="98"/>
      <c r="C9" s="98">
        <v>282.39999999999998</v>
      </c>
      <c r="D9" s="264"/>
      <c r="E9" s="267"/>
      <c r="G9" s="268"/>
      <c r="H9" s="100">
        <v>0.36</v>
      </c>
      <c r="I9" s="101">
        <v>36</v>
      </c>
      <c r="J9" s="101">
        <v>27.336800000000011</v>
      </c>
      <c r="K9" s="102">
        <v>26.161999999999992</v>
      </c>
      <c r="L9" s="102">
        <v>24.606400000000008</v>
      </c>
      <c r="M9" s="102">
        <v>38.895999999999987</v>
      </c>
      <c r="N9" s="102">
        <v>26.749400000000001</v>
      </c>
      <c r="O9" s="102">
        <v>0.66873499999999997</v>
      </c>
      <c r="R9" s="100">
        <v>0.3</v>
      </c>
      <c r="S9" s="105">
        <v>44.989999999999995</v>
      </c>
      <c r="V9" t="s">
        <v>591</v>
      </c>
      <c r="W9">
        <v>9.583673218747812</v>
      </c>
    </row>
    <row r="10" spans="1:30" ht="16" thickBot="1">
      <c r="A10" s="258" t="s">
        <v>592</v>
      </c>
      <c r="B10" s="107" t="s">
        <v>577</v>
      </c>
      <c r="C10" s="107">
        <v>-460.68224248604258</v>
      </c>
      <c r="D10" s="264"/>
      <c r="E10" s="260" t="s">
        <v>593</v>
      </c>
      <c r="G10" s="268"/>
      <c r="H10" s="100">
        <v>0.37</v>
      </c>
      <c r="I10" s="101">
        <v>37</v>
      </c>
      <c r="J10" s="101">
        <v>24.010600000000011</v>
      </c>
      <c r="K10" s="102">
        <v>23.023999999999987</v>
      </c>
      <c r="L10" s="102">
        <v>19.258800000000008</v>
      </c>
      <c r="M10" s="102">
        <v>32.131999999999977</v>
      </c>
      <c r="N10" s="102">
        <v>23.517299999999999</v>
      </c>
      <c r="O10" s="102">
        <v>0.58793249999999997</v>
      </c>
      <c r="R10" s="100">
        <v>0.3</v>
      </c>
      <c r="S10" s="105">
        <v>56.692000000000007</v>
      </c>
      <c r="V10" s="108" t="s">
        <v>202</v>
      </c>
      <c r="W10" s="108">
        <v>48</v>
      </c>
    </row>
    <row r="11" spans="1:30">
      <c r="A11" s="259"/>
      <c r="B11" s="107" t="s">
        <v>581</v>
      </c>
      <c r="C11" s="107">
        <v>194.97093895474907</v>
      </c>
      <c r="D11" s="265"/>
      <c r="E11" s="261"/>
      <c r="G11" s="268"/>
      <c r="H11" s="100">
        <v>0.38</v>
      </c>
      <c r="I11" s="101">
        <v>38</v>
      </c>
      <c r="J11" s="101">
        <v>20.684400000000011</v>
      </c>
      <c r="K11" s="102">
        <v>19.885999999999996</v>
      </c>
      <c r="L11" s="102">
        <v>13.911200000000008</v>
      </c>
      <c r="M11" s="102">
        <v>25.367999999999995</v>
      </c>
      <c r="N11" s="102">
        <v>20.285200000000003</v>
      </c>
      <c r="O11" s="102">
        <v>0.50713000000000008</v>
      </c>
      <c r="R11" s="100">
        <v>0.3</v>
      </c>
      <c r="S11" s="105">
        <v>79.47999999999999</v>
      </c>
    </row>
    <row r="12" spans="1:30" ht="16" thickBot="1">
      <c r="A12" s="109"/>
      <c r="B12" s="109"/>
      <c r="C12" s="109"/>
      <c r="D12" s="110"/>
      <c r="E12" s="109"/>
      <c r="G12" s="268"/>
      <c r="H12" s="100">
        <v>0.39</v>
      </c>
      <c r="I12" s="101">
        <v>39</v>
      </c>
      <c r="J12" s="101">
        <v>17.358200000000011</v>
      </c>
      <c r="K12" s="102">
        <v>16.74799999999999</v>
      </c>
      <c r="L12" s="102">
        <v>8.5636000000000081</v>
      </c>
      <c r="M12" s="102">
        <v>18.603999999999985</v>
      </c>
      <c r="N12" s="102">
        <v>17.053100000000001</v>
      </c>
      <c r="O12" s="102">
        <v>0.42632749999999997</v>
      </c>
      <c r="R12" s="100">
        <v>0.31</v>
      </c>
      <c r="S12" s="105">
        <v>43.967800000000011</v>
      </c>
      <c r="V12" t="s">
        <v>594</v>
      </c>
    </row>
    <row r="13" spans="1:30">
      <c r="G13" s="268"/>
      <c r="H13" s="100">
        <v>0.4</v>
      </c>
      <c r="I13" s="101">
        <v>40</v>
      </c>
      <c r="J13" s="101">
        <v>14.032000000000011</v>
      </c>
      <c r="K13" s="102">
        <v>13.609999999999985</v>
      </c>
      <c r="L13" s="102">
        <v>3.2160000000000082</v>
      </c>
      <c r="M13" s="102">
        <v>11.839999999999975</v>
      </c>
      <c r="N13" s="102">
        <v>12.72499999999998</v>
      </c>
      <c r="O13" s="102">
        <v>0.31812499999999949</v>
      </c>
      <c r="R13" s="100">
        <v>0.31</v>
      </c>
      <c r="S13" s="105">
        <v>41.85199999999999</v>
      </c>
      <c r="V13" s="111"/>
      <c r="W13" s="111" t="s">
        <v>595</v>
      </c>
      <c r="X13" s="111" t="s">
        <v>596</v>
      </c>
      <c r="Y13" s="111" t="s">
        <v>597</v>
      </c>
      <c r="Z13" s="111" t="s">
        <v>348</v>
      </c>
      <c r="AA13" s="111" t="s">
        <v>598</v>
      </c>
    </row>
    <row r="14" spans="1:30">
      <c r="A14" s="112"/>
      <c r="B14" s="113"/>
      <c r="C14" s="114"/>
      <c r="R14" s="100">
        <v>0.31</v>
      </c>
      <c r="S14" s="105">
        <v>51.344400000000007</v>
      </c>
      <c r="V14" t="s">
        <v>599</v>
      </c>
      <c r="W14">
        <v>1</v>
      </c>
      <c r="X14">
        <v>12050.34740843777</v>
      </c>
      <c r="Y14">
        <v>12050.34740843777</v>
      </c>
      <c r="Z14">
        <v>131.20052533478099</v>
      </c>
      <c r="AA14">
        <v>4.5612296192577334E-15</v>
      </c>
    </row>
    <row r="15" spans="1:30">
      <c r="A15" s="112"/>
      <c r="B15" s="113"/>
      <c r="C15" s="114"/>
      <c r="R15" s="100">
        <v>0.31</v>
      </c>
      <c r="S15" s="105">
        <v>72.71599999999998</v>
      </c>
      <c r="V15" t="s">
        <v>103</v>
      </c>
      <c r="W15">
        <v>46</v>
      </c>
      <c r="X15">
        <v>4224.9524487322269</v>
      </c>
      <c r="Y15">
        <v>91.846792363744058</v>
      </c>
    </row>
    <row r="16" spans="1:30" ht="16" thickBot="1">
      <c r="A16" s="112"/>
      <c r="B16" s="114"/>
      <c r="C16" s="114"/>
      <c r="R16" s="100">
        <v>0.32</v>
      </c>
      <c r="S16" s="105">
        <v>40.641600000000011</v>
      </c>
      <c r="V16" s="108" t="s">
        <v>83</v>
      </c>
      <c r="W16" s="108">
        <v>47</v>
      </c>
      <c r="X16" s="108">
        <v>16275.299857169997</v>
      </c>
      <c r="Y16" s="108"/>
      <c r="Z16" s="108"/>
      <c r="AA16" s="108"/>
    </row>
    <row r="17" spans="1:30" ht="16" thickBot="1">
      <c r="A17" s="112"/>
      <c r="R17" s="100">
        <v>0.32</v>
      </c>
      <c r="S17" s="105">
        <v>38.713999999999984</v>
      </c>
    </row>
    <row r="18" spans="1:30">
      <c r="A18" s="112"/>
      <c r="R18" s="100">
        <v>0.32</v>
      </c>
      <c r="S18" s="105">
        <v>45.996800000000007</v>
      </c>
      <c r="V18" s="111"/>
      <c r="W18" s="111" t="s">
        <v>600</v>
      </c>
      <c r="X18" s="111" t="s">
        <v>591</v>
      </c>
      <c r="Y18" s="111" t="s">
        <v>601</v>
      </c>
      <c r="Z18" s="111" t="s">
        <v>602</v>
      </c>
      <c r="AA18" s="111" t="s">
        <v>603</v>
      </c>
      <c r="AB18" s="111" t="s">
        <v>604</v>
      </c>
      <c r="AC18" s="111" t="s">
        <v>605</v>
      </c>
      <c r="AD18" s="111" t="s">
        <v>606</v>
      </c>
    </row>
    <row r="19" spans="1:30">
      <c r="A19" s="112"/>
      <c r="R19" s="100">
        <v>0.32</v>
      </c>
      <c r="S19" s="105">
        <v>65.95199999999997</v>
      </c>
      <c r="V19" t="s">
        <v>607</v>
      </c>
      <c r="W19" s="115">
        <v>194.97093895474907</v>
      </c>
      <c r="X19">
        <v>13.928718300750893</v>
      </c>
      <c r="Y19">
        <v>13.997765964169027</v>
      </c>
      <c r="Z19">
        <v>3.3896330479225267E-18</v>
      </c>
      <c r="AA19">
        <v>166.93388318857907</v>
      </c>
      <c r="AB19">
        <v>223.00799472091907</v>
      </c>
      <c r="AC19">
        <v>166.93388318857907</v>
      </c>
      <c r="AD19">
        <v>223.00799472091907</v>
      </c>
    </row>
    <row r="20" spans="1:30" ht="16" thickBot="1">
      <c r="A20" s="112"/>
      <c r="R20" s="100">
        <v>0.32500000000000001</v>
      </c>
      <c r="S20" s="105">
        <v>37.315400000000011</v>
      </c>
      <c r="V20" s="108" t="s">
        <v>569</v>
      </c>
      <c r="W20" s="116">
        <v>-460.68224248604258</v>
      </c>
      <c r="X20" s="108">
        <v>40.219223839079561</v>
      </c>
      <c r="Y20" s="108">
        <v>-11.454279782456029</v>
      </c>
      <c r="Z20" s="108">
        <v>4.5612296192577665E-15</v>
      </c>
      <c r="AA20" s="108">
        <v>-541.63934114368124</v>
      </c>
      <c r="AB20" s="108">
        <v>-379.72514382840393</v>
      </c>
      <c r="AC20" s="108">
        <v>-541.63934114368124</v>
      </c>
      <c r="AD20" s="108">
        <v>-379.72514382840393</v>
      </c>
    </row>
    <row r="21" spans="1:30">
      <c r="A21" s="112"/>
      <c r="R21" s="100">
        <v>0.32735294117647101</v>
      </c>
      <c r="S21" s="105">
        <v>35.575999999999993</v>
      </c>
    </row>
    <row r="22" spans="1:30">
      <c r="A22" s="112"/>
      <c r="R22" s="100">
        <v>0.32970588235294102</v>
      </c>
      <c r="S22" s="105">
        <v>40.649200000000008</v>
      </c>
    </row>
    <row r="23" spans="1:30">
      <c r="A23" s="112"/>
      <c r="R23" s="100">
        <v>0.33205882352941202</v>
      </c>
      <c r="S23" s="105">
        <v>59.187999999999988</v>
      </c>
    </row>
    <row r="24" spans="1:30">
      <c r="A24" s="112"/>
      <c r="R24" s="100">
        <v>0.33676470588235302</v>
      </c>
      <c r="S24" s="105">
        <v>33.989200000000011</v>
      </c>
      <c r="V24" t="s">
        <v>608</v>
      </c>
      <c r="AA24" t="s">
        <v>609</v>
      </c>
    </row>
    <row r="25" spans="1:30" ht="16" thickBot="1">
      <c r="A25" s="112"/>
      <c r="R25" s="100">
        <v>0.33911764705882402</v>
      </c>
      <c r="S25" s="105">
        <v>32.437999999999988</v>
      </c>
    </row>
    <row r="26" spans="1:30">
      <c r="R26" s="100">
        <v>0.34147058823529403</v>
      </c>
      <c r="S26" s="105">
        <v>35.301600000000008</v>
      </c>
      <c r="V26" s="111" t="s">
        <v>51</v>
      </c>
      <c r="W26" s="111" t="s">
        <v>610</v>
      </c>
      <c r="X26" s="111" t="s">
        <v>611</v>
      </c>
      <c r="Y26" s="111" t="s">
        <v>612</v>
      </c>
      <c r="AA26" s="111" t="s">
        <v>613</v>
      </c>
      <c r="AB26" s="111" t="s">
        <v>582</v>
      </c>
    </row>
    <row r="27" spans="1:30">
      <c r="R27" s="100">
        <v>0.34382352941176503</v>
      </c>
      <c r="S27" s="105">
        <v>52.423999999999978</v>
      </c>
      <c r="V27">
        <v>1</v>
      </c>
      <c r="W27">
        <v>61.373088633796726</v>
      </c>
      <c r="X27">
        <v>-10.752888633796715</v>
      </c>
      <c r="Y27">
        <v>-1.1341308503428413</v>
      </c>
      <c r="AA27">
        <v>1.0416666666666667</v>
      </c>
      <c r="AB27">
        <v>3.2160000000000082</v>
      </c>
    </row>
    <row r="28" spans="1:30">
      <c r="R28" s="100">
        <v>0.34617647058823497</v>
      </c>
      <c r="S28" s="105">
        <v>30.663000000000011</v>
      </c>
      <c r="V28">
        <v>2</v>
      </c>
      <c r="W28">
        <v>61.373088633796726</v>
      </c>
      <c r="X28">
        <v>-13.245088633796726</v>
      </c>
      <c r="Y28">
        <v>-1.3969886740852644</v>
      </c>
      <c r="AA28">
        <v>3.125</v>
      </c>
      <c r="AB28">
        <v>8.5636000000000081</v>
      </c>
    </row>
    <row r="29" spans="1:30">
      <c r="R29" s="100">
        <v>0.34852941176470598</v>
      </c>
      <c r="S29" s="105">
        <v>29.299999999999997</v>
      </c>
      <c r="V29">
        <v>3</v>
      </c>
      <c r="W29">
        <v>61.373088633796726</v>
      </c>
      <c r="X29">
        <v>0.66651136620328089</v>
      </c>
      <c r="Y29">
        <v>7.0298421964442193E-2</v>
      </c>
      <c r="AA29">
        <v>5.2083333333333339</v>
      </c>
      <c r="AB29">
        <v>11.839999999999975</v>
      </c>
    </row>
    <row r="30" spans="1:30">
      <c r="R30" s="100">
        <v>0.35088235294117698</v>
      </c>
      <c r="S30" s="105">
        <v>29.954000000000008</v>
      </c>
      <c r="V30">
        <v>4</v>
      </c>
      <c r="W30">
        <v>61.373088633796726</v>
      </c>
      <c r="X30">
        <v>24.870911366203273</v>
      </c>
      <c r="Y30">
        <v>2.6231898066811885</v>
      </c>
      <c r="AA30">
        <v>7.291666666666667</v>
      </c>
      <c r="AB30">
        <v>13.609999999999985</v>
      </c>
    </row>
    <row r="31" spans="1:30">
      <c r="R31" s="100">
        <v>0.35323529411764698</v>
      </c>
      <c r="S31" s="105">
        <v>45.66</v>
      </c>
      <c r="V31">
        <v>5</v>
      </c>
      <c r="W31">
        <v>56.766266208936315</v>
      </c>
      <c r="X31">
        <v>-9.4722662089363041</v>
      </c>
      <c r="Y31">
        <v>-0.9990607822766544</v>
      </c>
      <c r="AA31">
        <v>9.375</v>
      </c>
      <c r="AB31">
        <v>13.911200000000008</v>
      </c>
    </row>
    <row r="32" spans="1:30">
      <c r="R32" s="100">
        <v>0.35558823529411798</v>
      </c>
      <c r="S32" s="105">
        <v>27.336800000000011</v>
      </c>
      <c r="V32">
        <v>6</v>
      </c>
      <c r="W32">
        <v>56.766266208936315</v>
      </c>
      <c r="X32">
        <v>-11.77626620893632</v>
      </c>
      <c r="Y32">
        <v>-1.2420687374578374</v>
      </c>
      <c r="AA32">
        <v>11.458333333333334</v>
      </c>
      <c r="AB32">
        <v>14.032000000000011</v>
      </c>
    </row>
    <row r="33" spans="18:28">
      <c r="R33" s="100">
        <v>0.35794117647058799</v>
      </c>
      <c r="S33" s="105">
        <v>26.161999999999992</v>
      </c>
      <c r="V33">
        <v>7</v>
      </c>
      <c r="W33">
        <v>56.766266208936315</v>
      </c>
      <c r="X33">
        <v>-7.4266208936307976E-2</v>
      </c>
      <c r="Y33">
        <v>-7.833020647860494E-3</v>
      </c>
      <c r="AA33">
        <v>13.541666666666666</v>
      </c>
      <c r="AB33">
        <v>16.74799999999999</v>
      </c>
    </row>
    <row r="34" spans="18:28">
      <c r="R34" s="100">
        <v>0.36029411764705899</v>
      </c>
      <c r="S34" s="105">
        <v>24.606400000000008</v>
      </c>
      <c r="V34">
        <v>8</v>
      </c>
      <c r="W34">
        <v>56.766266208936315</v>
      </c>
      <c r="X34">
        <v>22.713733791063675</v>
      </c>
      <c r="Y34">
        <v>2.3956675360660094</v>
      </c>
      <c r="AA34">
        <v>15.625</v>
      </c>
      <c r="AB34">
        <v>17.358200000000011</v>
      </c>
    </row>
    <row r="35" spans="18:28">
      <c r="R35" s="100">
        <v>0.36264705882352999</v>
      </c>
      <c r="S35" s="105">
        <v>38.895999999999987</v>
      </c>
      <c r="V35">
        <v>9</v>
      </c>
      <c r="W35">
        <v>52.159443784075876</v>
      </c>
      <c r="X35">
        <v>-8.1916437840758647</v>
      </c>
      <c r="Y35">
        <v>-0.86399071421046458</v>
      </c>
      <c r="AA35">
        <v>17.708333333333336</v>
      </c>
      <c r="AB35">
        <v>18.603999999999985</v>
      </c>
    </row>
    <row r="36" spans="18:28">
      <c r="R36" s="100">
        <v>0.36499999999999999</v>
      </c>
      <c r="S36" s="105">
        <v>24.010600000000011</v>
      </c>
      <c r="V36">
        <v>10</v>
      </c>
      <c r="W36">
        <v>52.159443784075876</v>
      </c>
      <c r="X36">
        <v>-10.307443784075886</v>
      </c>
      <c r="Y36">
        <v>-1.0871488008304075</v>
      </c>
      <c r="AA36">
        <v>19.791666666666668</v>
      </c>
      <c r="AB36">
        <v>19.258800000000008</v>
      </c>
    </row>
    <row r="37" spans="18:28">
      <c r="R37" s="100">
        <v>0.36735294117647099</v>
      </c>
      <c r="S37" s="105">
        <v>23.023999999999987</v>
      </c>
      <c r="V37">
        <v>11</v>
      </c>
      <c r="W37">
        <v>52.159443784075876</v>
      </c>
      <c r="X37">
        <v>-0.81504378407586842</v>
      </c>
      <c r="Y37">
        <v>-8.5964463260160176E-2</v>
      </c>
      <c r="AA37">
        <v>21.875000000000004</v>
      </c>
      <c r="AB37">
        <v>19.885999999999996</v>
      </c>
    </row>
    <row r="38" spans="18:28">
      <c r="R38" s="100">
        <v>0.369705882352941</v>
      </c>
      <c r="S38" s="105">
        <v>19.258800000000008</v>
      </c>
      <c r="V38">
        <v>12</v>
      </c>
      <c r="W38">
        <v>52.159443784075876</v>
      </c>
      <c r="X38">
        <v>20.556556215924104</v>
      </c>
      <c r="Y38">
        <v>2.1681452654508329</v>
      </c>
      <c r="AA38">
        <v>23.958333333333336</v>
      </c>
      <c r="AB38">
        <v>20.684400000000011</v>
      </c>
    </row>
    <row r="39" spans="18:28">
      <c r="R39" s="100">
        <v>0.372058823529412</v>
      </c>
      <c r="S39" s="105">
        <v>32.131999999999977</v>
      </c>
      <c r="V39">
        <v>13</v>
      </c>
      <c r="W39">
        <v>47.552621359215436</v>
      </c>
      <c r="X39">
        <v>-6.9110213592154253</v>
      </c>
      <c r="Y39">
        <v>-0.72892064614427465</v>
      </c>
      <c r="AA39">
        <v>26.041666666666668</v>
      </c>
      <c r="AB39">
        <v>23.023999999999987</v>
      </c>
    </row>
    <row r="40" spans="18:28">
      <c r="R40" s="100">
        <v>0.376764705882353</v>
      </c>
      <c r="S40" s="105">
        <v>20.684400000000011</v>
      </c>
      <c r="V40">
        <v>14</v>
      </c>
      <c r="W40">
        <v>47.552621359215436</v>
      </c>
      <c r="X40">
        <v>-8.8386213592154519</v>
      </c>
      <c r="Y40">
        <v>-0.93222886420297768</v>
      </c>
      <c r="AA40">
        <v>28.125000000000004</v>
      </c>
      <c r="AB40">
        <v>24.010600000000011</v>
      </c>
    </row>
    <row r="41" spans="18:28">
      <c r="R41" s="100">
        <v>0.379117647058824</v>
      </c>
      <c r="S41" s="105">
        <v>19.885999999999996</v>
      </c>
      <c r="V41">
        <v>15</v>
      </c>
      <c r="W41">
        <v>47.552621359215436</v>
      </c>
      <c r="X41">
        <v>-1.5558213592154289</v>
      </c>
      <c r="Y41">
        <v>-0.16409590587245987</v>
      </c>
      <c r="AA41">
        <v>30.208333333333336</v>
      </c>
      <c r="AB41">
        <v>24.606400000000008</v>
      </c>
    </row>
    <row r="42" spans="18:28">
      <c r="R42" s="100">
        <v>0.38147058823529401</v>
      </c>
      <c r="S42" s="105">
        <v>13.911200000000008</v>
      </c>
      <c r="V42">
        <v>16</v>
      </c>
      <c r="W42">
        <v>47.552621359215436</v>
      </c>
      <c r="X42">
        <v>18.399378640784533</v>
      </c>
      <c r="Y42">
        <v>1.9406229948356566</v>
      </c>
      <c r="AA42">
        <v>32.291666666666671</v>
      </c>
      <c r="AB42">
        <v>25.367999999999995</v>
      </c>
    </row>
    <row r="43" spans="18:28">
      <c r="R43" s="100">
        <v>0.38382352941176501</v>
      </c>
      <c r="S43" s="105">
        <v>25.367999999999995</v>
      </c>
      <c r="V43">
        <v>17</v>
      </c>
      <c r="W43">
        <v>45.249210146785231</v>
      </c>
      <c r="X43">
        <v>-7.9338101467852198</v>
      </c>
      <c r="Y43">
        <v>-0.83679643253731961</v>
      </c>
      <c r="AA43">
        <v>34.375</v>
      </c>
      <c r="AB43">
        <v>26.161999999999992</v>
      </c>
    </row>
    <row r="44" spans="18:28">
      <c r="R44" s="100">
        <v>0.38617647058823501</v>
      </c>
      <c r="S44" s="105">
        <v>17.358200000000011</v>
      </c>
      <c r="V44">
        <v>18</v>
      </c>
      <c r="W44">
        <v>44.165251929170807</v>
      </c>
      <c r="X44">
        <v>-8.589251929170814</v>
      </c>
      <c r="Y44">
        <v>-0.90592732111276753</v>
      </c>
      <c r="AA44">
        <v>36.458333333333336</v>
      </c>
      <c r="AB44">
        <v>27.336800000000011</v>
      </c>
    </row>
    <row r="45" spans="18:28">
      <c r="R45" s="100">
        <v>0.38852941176470601</v>
      </c>
      <c r="S45" s="105">
        <v>16.74799999999999</v>
      </c>
      <c r="V45">
        <v>19</v>
      </c>
      <c r="W45">
        <v>43.081293711556867</v>
      </c>
      <c r="X45">
        <v>-2.4320937115568597</v>
      </c>
      <c r="Y45">
        <v>-0.25651828110001834</v>
      </c>
      <c r="AA45">
        <v>38.541666666666664</v>
      </c>
      <c r="AB45">
        <v>29.299999999999997</v>
      </c>
    </row>
    <row r="46" spans="18:28">
      <c r="R46" s="100">
        <v>0.39088235294117701</v>
      </c>
      <c r="S46" s="105">
        <v>8.5636000000000081</v>
      </c>
      <c r="V46">
        <v>20</v>
      </c>
      <c r="W46">
        <v>41.997335493942472</v>
      </c>
      <c r="X46">
        <v>17.190664506057516</v>
      </c>
      <c r="Y46">
        <v>1.8131372525272349</v>
      </c>
      <c r="AA46">
        <v>40.625</v>
      </c>
      <c r="AB46">
        <v>29.954000000000008</v>
      </c>
    </row>
    <row r="47" spans="18:28">
      <c r="R47" s="100">
        <v>0.39323529411764802</v>
      </c>
      <c r="S47" s="105">
        <v>18.603999999999985</v>
      </c>
      <c r="V47">
        <v>21</v>
      </c>
      <c r="W47">
        <v>39.829419058714109</v>
      </c>
      <c r="X47">
        <v>-5.8402190587140979</v>
      </c>
      <c r="Y47">
        <v>-0.61598076877963392</v>
      </c>
      <c r="AA47">
        <v>42.708333333333336</v>
      </c>
      <c r="AB47">
        <v>30.663000000000011</v>
      </c>
    </row>
    <row r="48" spans="18:28">
      <c r="R48" s="100">
        <v>0.39558823529411802</v>
      </c>
      <c r="S48" s="105">
        <v>14.032000000000011</v>
      </c>
      <c r="V48">
        <v>22</v>
      </c>
      <c r="W48">
        <v>38.745460841099685</v>
      </c>
      <c r="X48">
        <v>-6.3074608410996973</v>
      </c>
      <c r="Y48">
        <v>-0.66526178879384179</v>
      </c>
      <c r="AA48">
        <v>44.791666666666664</v>
      </c>
      <c r="AB48">
        <v>32.131999999999977</v>
      </c>
    </row>
    <row r="49" spans="18:28">
      <c r="R49" s="100">
        <v>0.39794117647058902</v>
      </c>
      <c r="S49" s="105">
        <v>13.609999999999985</v>
      </c>
      <c r="V49">
        <v>23</v>
      </c>
      <c r="W49">
        <v>37.661502623485745</v>
      </c>
      <c r="X49">
        <v>-2.3599026234857376</v>
      </c>
      <c r="Y49">
        <v>-0.24890412802082221</v>
      </c>
      <c r="AA49">
        <v>46.875</v>
      </c>
      <c r="AB49">
        <v>32.437999999999988</v>
      </c>
    </row>
    <row r="50" spans="18:28">
      <c r="R50" s="100">
        <v>0.40029411764705902</v>
      </c>
      <c r="S50" s="105">
        <v>3.2160000000000082</v>
      </c>
      <c r="V50">
        <v>24</v>
      </c>
      <c r="W50">
        <v>36.57754440587135</v>
      </c>
      <c r="X50">
        <v>15.846455594128628</v>
      </c>
      <c r="Y50">
        <v>1.6713605776035545</v>
      </c>
      <c r="AA50">
        <v>48.958333333333336</v>
      </c>
      <c r="AB50">
        <v>33.989200000000011</v>
      </c>
    </row>
    <row r="51" spans="18:28">
      <c r="R51" s="100">
        <v>0.40264705882353002</v>
      </c>
      <c r="S51" s="105">
        <v>11.839999999999975</v>
      </c>
      <c r="V51">
        <v>25</v>
      </c>
      <c r="W51">
        <v>35.49358618825741</v>
      </c>
      <c r="X51">
        <v>-4.8305861882573993</v>
      </c>
      <c r="Y51">
        <v>-0.50949256594396164</v>
      </c>
      <c r="AA51">
        <v>51.041666666666664</v>
      </c>
      <c r="AB51">
        <v>35.301600000000008</v>
      </c>
    </row>
    <row r="52" spans="18:28">
      <c r="V52">
        <v>26</v>
      </c>
      <c r="W52">
        <v>34.409627970643015</v>
      </c>
      <c r="X52">
        <v>-5.1096279706430181</v>
      </c>
      <c r="Y52">
        <v>-0.53892371739693101</v>
      </c>
      <c r="AA52">
        <v>53.125</v>
      </c>
      <c r="AB52">
        <v>35.575999999999993</v>
      </c>
    </row>
    <row r="53" spans="18:28">
      <c r="V53">
        <v>27</v>
      </c>
      <c r="W53">
        <v>33.325669753028592</v>
      </c>
      <c r="X53">
        <v>-3.3716697530285842</v>
      </c>
      <c r="Y53">
        <v>-0.35561743586359151</v>
      </c>
      <c r="AA53">
        <v>55.208333333333336</v>
      </c>
      <c r="AB53">
        <v>37.315400000000011</v>
      </c>
    </row>
    <row r="54" spans="18:28">
      <c r="V54">
        <v>28</v>
      </c>
      <c r="W54">
        <v>32.241711535414652</v>
      </c>
      <c r="X54">
        <v>13.418288464585345</v>
      </c>
      <c r="Y54">
        <v>1.4152564417578637</v>
      </c>
      <c r="AA54">
        <v>57.291666666666671</v>
      </c>
      <c r="AB54">
        <v>38.713999999999984</v>
      </c>
    </row>
    <row r="55" spans="18:28">
      <c r="V55">
        <v>29</v>
      </c>
      <c r="W55">
        <v>31.157753317800257</v>
      </c>
      <c r="X55">
        <v>-3.8209533178002459</v>
      </c>
      <c r="Y55">
        <v>-0.40300436310824145</v>
      </c>
      <c r="AA55">
        <v>59.375</v>
      </c>
      <c r="AB55">
        <v>38.895999999999987</v>
      </c>
    </row>
    <row r="56" spans="18:28">
      <c r="V56">
        <v>30</v>
      </c>
      <c r="W56">
        <v>30.073795100186288</v>
      </c>
      <c r="X56">
        <v>-3.9117951001862963</v>
      </c>
      <c r="Y56">
        <v>-0.41258564600001568</v>
      </c>
      <c r="AA56">
        <v>61.458333333333336</v>
      </c>
      <c r="AB56">
        <v>40.641600000000011</v>
      </c>
    </row>
    <row r="57" spans="18:28">
      <c r="V57">
        <v>31</v>
      </c>
      <c r="W57">
        <v>28.989836882571893</v>
      </c>
      <c r="X57">
        <v>-4.3834368825718855</v>
      </c>
      <c r="Y57">
        <v>-0.46233074370640881</v>
      </c>
      <c r="AA57">
        <v>63.541666666666671</v>
      </c>
      <c r="AB57">
        <v>40.649200000000008</v>
      </c>
    </row>
    <row r="58" spans="18:28">
      <c r="V58">
        <v>32</v>
      </c>
      <c r="W58">
        <v>27.90587866495747</v>
      </c>
      <c r="X58">
        <v>10.990121335042517</v>
      </c>
      <c r="Y58">
        <v>1.1591523059122206</v>
      </c>
      <c r="AA58">
        <v>65.625000000000014</v>
      </c>
      <c r="AB58">
        <v>41.85199999999999</v>
      </c>
    </row>
    <row r="59" spans="18:28">
      <c r="V59">
        <v>33</v>
      </c>
      <c r="W59">
        <v>26.82192044734353</v>
      </c>
      <c r="X59">
        <v>-2.8113204473435189</v>
      </c>
      <c r="Y59">
        <v>-0.29651616027256616</v>
      </c>
      <c r="AA59">
        <v>67.708333333333343</v>
      </c>
      <c r="AB59">
        <v>43.967800000000011</v>
      </c>
    </row>
    <row r="60" spans="18:28">
      <c r="V60">
        <v>34</v>
      </c>
      <c r="W60">
        <v>25.737962229729135</v>
      </c>
      <c r="X60">
        <v>-2.7139622297291481</v>
      </c>
      <c r="Y60">
        <v>-0.28624757460305544</v>
      </c>
      <c r="AA60">
        <v>69.791666666666671</v>
      </c>
      <c r="AB60">
        <v>44.989999999999995</v>
      </c>
    </row>
    <row r="61" spans="18:28">
      <c r="V61">
        <v>35</v>
      </c>
      <c r="W61">
        <v>24.654004012115166</v>
      </c>
      <c r="X61">
        <v>-5.3952040121151583</v>
      </c>
      <c r="Y61">
        <v>-0.56904405154922311</v>
      </c>
      <c r="AA61">
        <v>71.875000000000014</v>
      </c>
      <c r="AB61">
        <v>45.66</v>
      </c>
    </row>
    <row r="62" spans="18:28">
      <c r="V62">
        <v>36</v>
      </c>
      <c r="W62">
        <v>23.570045794500771</v>
      </c>
      <c r="X62">
        <v>8.5619542054992053</v>
      </c>
      <c r="Y62">
        <v>0.90304817006652682</v>
      </c>
      <c r="AA62">
        <v>73.958333333333343</v>
      </c>
      <c r="AB62">
        <v>45.996800000000007</v>
      </c>
    </row>
    <row r="63" spans="18:28">
      <c r="V63">
        <v>37</v>
      </c>
      <c r="W63">
        <v>21.402129359272408</v>
      </c>
      <c r="X63">
        <v>-0.71772935927239701</v>
      </c>
      <c r="Y63">
        <v>-7.5700496514880491E-2</v>
      </c>
      <c r="AA63">
        <v>76.041666666666671</v>
      </c>
      <c r="AB63">
        <v>47.294000000000011</v>
      </c>
    </row>
    <row r="64" spans="18:28">
      <c r="V64">
        <v>38</v>
      </c>
      <c r="W64">
        <v>20.318171141658013</v>
      </c>
      <c r="X64">
        <v>-0.43217114165801718</v>
      </c>
      <c r="Y64">
        <v>-4.558204228412821E-2</v>
      </c>
      <c r="AA64">
        <v>78.125000000000014</v>
      </c>
      <c r="AB64">
        <v>48.128</v>
      </c>
    </row>
    <row r="65" spans="22:28">
      <c r="V65">
        <v>39</v>
      </c>
      <c r="W65">
        <v>19.234212924044044</v>
      </c>
      <c r="X65">
        <v>-5.3230129240440363</v>
      </c>
      <c r="Y65">
        <v>-0.561429898470027</v>
      </c>
      <c r="AA65">
        <v>80.208333333333343</v>
      </c>
      <c r="AB65">
        <v>50.620200000000011</v>
      </c>
    </row>
    <row r="66" spans="22:28">
      <c r="V66">
        <v>40</v>
      </c>
      <c r="W66">
        <v>18.150254706429649</v>
      </c>
      <c r="X66">
        <v>7.2177452935703457</v>
      </c>
      <c r="Y66">
        <v>0.76127149514284942</v>
      </c>
      <c r="AA66">
        <v>82.291666666666671</v>
      </c>
      <c r="AB66">
        <v>51.344400000000007</v>
      </c>
    </row>
    <row r="67" spans="22:28">
      <c r="V67">
        <v>41</v>
      </c>
      <c r="W67">
        <v>17.066296488815709</v>
      </c>
      <c r="X67">
        <v>0.29190351118430158</v>
      </c>
      <c r="Y67">
        <v>3.0787706320791763E-2</v>
      </c>
      <c r="AA67">
        <v>84.375000000000014</v>
      </c>
      <c r="AB67">
        <v>52.423999999999978</v>
      </c>
    </row>
    <row r="68" spans="22:28">
      <c r="V68">
        <v>42</v>
      </c>
      <c r="W68">
        <v>15.982338271201286</v>
      </c>
      <c r="X68">
        <v>0.76566172879870464</v>
      </c>
      <c r="Y68">
        <v>8.0756029112787078E-2</v>
      </c>
      <c r="AA68">
        <v>86.458333333333343</v>
      </c>
      <c r="AB68">
        <v>56.692000000000007</v>
      </c>
    </row>
    <row r="69" spans="22:28">
      <c r="V69">
        <v>43</v>
      </c>
      <c r="W69">
        <v>14.898380053586891</v>
      </c>
      <c r="X69">
        <v>-6.3347800535868828</v>
      </c>
      <c r="Y69">
        <v>-0.66814320631279633</v>
      </c>
      <c r="AA69">
        <v>88.541666666666671</v>
      </c>
      <c r="AB69">
        <v>59.187999999999988</v>
      </c>
    </row>
    <row r="70" spans="22:28">
      <c r="V70">
        <v>44</v>
      </c>
      <c r="W70">
        <v>13.814421835972468</v>
      </c>
      <c r="X70">
        <v>4.7895781640275175</v>
      </c>
      <c r="Y70">
        <v>0.50516735929720646</v>
      </c>
      <c r="AA70">
        <v>90.625000000000014</v>
      </c>
      <c r="AB70">
        <v>62.039600000000007</v>
      </c>
    </row>
    <row r="71" spans="22:28">
      <c r="V71">
        <v>45</v>
      </c>
      <c r="W71">
        <v>12.730463618358527</v>
      </c>
      <c r="X71">
        <v>1.3015363816414833</v>
      </c>
      <c r="Y71">
        <v>0.13727590915651497</v>
      </c>
      <c r="AA71">
        <v>92.708333333333343</v>
      </c>
      <c r="AB71">
        <v>65.95199999999997</v>
      </c>
    </row>
    <row r="72" spans="22:28">
      <c r="V72">
        <v>46</v>
      </c>
      <c r="W72">
        <v>11.646505400744132</v>
      </c>
      <c r="X72">
        <v>1.9634945992558528</v>
      </c>
      <c r="Y72">
        <v>0.20709410050974733</v>
      </c>
      <c r="AA72">
        <v>94.791666666666671</v>
      </c>
      <c r="AB72">
        <v>72.71599999999998</v>
      </c>
    </row>
    <row r="73" spans="22:28">
      <c r="V73">
        <v>47</v>
      </c>
      <c r="W73">
        <v>10.562547183130164</v>
      </c>
      <c r="X73">
        <v>-7.3465471831301556</v>
      </c>
      <c r="Y73">
        <v>-0.77485651415561063</v>
      </c>
      <c r="AA73">
        <v>96.875000000000014</v>
      </c>
      <c r="AB73">
        <v>79.47999999999999</v>
      </c>
    </row>
    <row r="74" spans="22:28" ht="16" thickBot="1">
      <c r="V74" s="108">
        <v>48</v>
      </c>
      <c r="W74" s="108">
        <v>9.4785889655157689</v>
      </c>
      <c r="X74" s="108">
        <v>2.3614110344842061</v>
      </c>
      <c r="Y74" s="108">
        <v>0.24906322345151258</v>
      </c>
      <c r="AA74" s="108">
        <v>98.958333333333343</v>
      </c>
      <c r="AB74" s="108">
        <v>86.244</v>
      </c>
    </row>
  </sheetData>
  <mergeCells count="9">
    <mergeCell ref="A10:A11"/>
    <mergeCell ref="E10:E11"/>
    <mergeCell ref="R1:S1"/>
    <mergeCell ref="D2:D11"/>
    <mergeCell ref="E2:E3"/>
    <mergeCell ref="G2:G13"/>
    <mergeCell ref="E4:E5"/>
    <mergeCell ref="E6:E7"/>
    <mergeCell ref="E8:E9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7923-E5A5-4797-B48B-F28CAED8FC70}">
  <dimension ref="A1:F198"/>
  <sheetViews>
    <sheetView tabSelected="1" topLeftCell="A210" workbookViewId="0">
      <selection activeCell="O234" sqref="O234"/>
    </sheetView>
  </sheetViews>
  <sheetFormatPr baseColWidth="10" defaultColWidth="8.83203125" defaultRowHeight="15"/>
  <cols>
    <col min="1" max="1" width="16.6640625" customWidth="1"/>
    <col min="2" max="2" width="24.6640625" bestFit="1" customWidth="1"/>
    <col min="3" max="5" width="13.5" bestFit="1" customWidth="1"/>
    <col min="6" max="6" width="24.83203125" customWidth="1"/>
  </cols>
  <sheetData>
    <row r="1" spans="1:6" ht="16">
      <c r="A1" s="63" t="s">
        <v>1009</v>
      </c>
      <c r="B1" s="63" t="s">
        <v>1008</v>
      </c>
      <c r="C1" s="81" t="s">
        <v>1004</v>
      </c>
      <c r="D1" s="81" t="s">
        <v>1005</v>
      </c>
      <c r="E1" s="81" t="s">
        <v>1006</v>
      </c>
      <c r="F1" s="82" t="s">
        <v>1007</v>
      </c>
    </row>
    <row r="2" spans="1:6" ht="15" customHeight="1">
      <c r="A2" s="5" t="s">
        <v>405</v>
      </c>
      <c r="B2" s="6" t="s">
        <v>406</v>
      </c>
      <c r="C2" s="83">
        <v>1</v>
      </c>
      <c r="D2" s="83">
        <v>1</v>
      </c>
      <c r="E2" s="84">
        <v>1</v>
      </c>
      <c r="F2" s="270" t="s">
        <v>407</v>
      </c>
    </row>
    <row r="3" spans="1:6" ht="15" customHeight="1">
      <c r="A3" s="5" t="s">
        <v>405</v>
      </c>
      <c r="B3" s="6" t="s">
        <v>408</v>
      </c>
      <c r="C3" s="83">
        <v>25</v>
      </c>
      <c r="D3" s="83">
        <v>28</v>
      </c>
      <c r="E3" s="85">
        <v>27.9</v>
      </c>
      <c r="F3" s="270" t="s">
        <v>968</v>
      </c>
    </row>
    <row r="4" spans="1:6" ht="15" customHeight="1">
      <c r="A4" s="5" t="s">
        <v>405</v>
      </c>
      <c r="B4" s="6" t="s">
        <v>408</v>
      </c>
      <c r="C4" s="86" t="s">
        <v>144</v>
      </c>
      <c r="D4" s="86" t="s">
        <v>144</v>
      </c>
      <c r="E4" s="84">
        <v>29.8</v>
      </c>
      <c r="F4" s="270" t="s">
        <v>969</v>
      </c>
    </row>
    <row r="5" spans="1:6" ht="15" customHeight="1">
      <c r="A5" s="5" t="s">
        <v>405</v>
      </c>
      <c r="B5" s="6" t="s">
        <v>408</v>
      </c>
      <c r="C5" s="86" t="s">
        <v>144</v>
      </c>
      <c r="D5" s="86" t="s">
        <v>144</v>
      </c>
      <c r="E5" s="84">
        <v>27</v>
      </c>
      <c r="F5" s="270" t="s">
        <v>970</v>
      </c>
    </row>
    <row r="6" spans="1:6" ht="15" customHeight="1">
      <c r="A6" s="5" t="s">
        <v>405</v>
      </c>
      <c r="B6" s="6" t="s">
        <v>409</v>
      </c>
      <c r="C6" s="83">
        <v>298</v>
      </c>
      <c r="D6" s="83">
        <v>265</v>
      </c>
      <c r="E6" s="84">
        <v>273</v>
      </c>
      <c r="F6" s="270" t="s">
        <v>971</v>
      </c>
    </row>
    <row r="7" spans="1:6" ht="15" customHeight="1">
      <c r="A7" s="5" t="s">
        <v>410</v>
      </c>
      <c r="B7" s="6" t="s">
        <v>411</v>
      </c>
      <c r="C7" s="83">
        <v>14800</v>
      </c>
      <c r="D7" s="83">
        <v>12400</v>
      </c>
      <c r="E7" s="84">
        <v>14600</v>
      </c>
      <c r="F7" s="270" t="s">
        <v>972</v>
      </c>
    </row>
    <row r="8" spans="1:6" ht="15" customHeight="1">
      <c r="A8" s="18" t="s">
        <v>410</v>
      </c>
      <c r="B8" s="10" t="s">
        <v>412</v>
      </c>
      <c r="C8" s="87">
        <v>675</v>
      </c>
      <c r="D8" s="87">
        <v>677</v>
      </c>
      <c r="E8" s="88">
        <v>771</v>
      </c>
      <c r="F8" s="270" t="s">
        <v>973</v>
      </c>
    </row>
    <row r="9" spans="1:6" ht="15" customHeight="1">
      <c r="A9" s="5" t="s">
        <v>410</v>
      </c>
      <c r="B9" s="6" t="s">
        <v>413</v>
      </c>
      <c r="C9" s="83">
        <v>92</v>
      </c>
      <c r="D9" s="83">
        <v>116</v>
      </c>
      <c r="E9" s="84">
        <v>135</v>
      </c>
      <c r="F9" s="270" t="s">
        <v>974</v>
      </c>
    </row>
    <row r="10" spans="1:6" ht="15" customHeight="1">
      <c r="A10" s="18" t="s">
        <v>410</v>
      </c>
      <c r="B10" s="10" t="s">
        <v>414</v>
      </c>
      <c r="C10" s="87">
        <v>3500</v>
      </c>
      <c r="D10" s="87">
        <v>3170</v>
      </c>
      <c r="E10" s="88">
        <v>3740</v>
      </c>
      <c r="F10" s="270" t="s">
        <v>975</v>
      </c>
    </row>
    <row r="11" spans="1:6" ht="15" customHeight="1">
      <c r="A11" s="5" t="s">
        <v>410</v>
      </c>
      <c r="B11" s="6" t="s">
        <v>415</v>
      </c>
      <c r="C11" s="83">
        <v>1100</v>
      </c>
      <c r="D11" s="83">
        <v>1120</v>
      </c>
      <c r="E11" s="84">
        <v>1260</v>
      </c>
      <c r="F11" s="270" t="s">
        <v>976</v>
      </c>
    </row>
    <row r="12" spans="1:6" ht="15" customHeight="1">
      <c r="A12" s="5" t="s">
        <v>410</v>
      </c>
      <c r="B12" s="6" t="s">
        <v>416</v>
      </c>
      <c r="C12" s="83">
        <v>1430</v>
      </c>
      <c r="D12" s="83">
        <v>1300</v>
      </c>
      <c r="E12" s="84">
        <v>1530</v>
      </c>
      <c r="F12" s="270" t="s">
        <v>977</v>
      </c>
    </row>
    <row r="13" spans="1:6" ht="15" customHeight="1">
      <c r="A13" s="5" t="s">
        <v>410</v>
      </c>
      <c r="B13" s="6" t="s">
        <v>417</v>
      </c>
      <c r="C13" s="83">
        <v>353</v>
      </c>
      <c r="D13" s="83">
        <v>328</v>
      </c>
      <c r="E13" s="84">
        <v>364</v>
      </c>
      <c r="F13" s="270" t="s">
        <v>978</v>
      </c>
    </row>
    <row r="14" spans="1:6" ht="15" customHeight="1">
      <c r="A14" s="5" t="s">
        <v>410</v>
      </c>
      <c r="B14" s="6" t="s">
        <v>418</v>
      </c>
      <c r="C14" s="83">
        <v>4470</v>
      </c>
      <c r="D14" s="83">
        <v>4800</v>
      </c>
      <c r="E14" s="84">
        <v>5810</v>
      </c>
      <c r="F14" s="270" t="s">
        <v>979</v>
      </c>
    </row>
    <row r="15" spans="1:6" ht="15" customHeight="1">
      <c r="A15" s="5" t="s">
        <v>410</v>
      </c>
      <c r="B15" s="6" t="s">
        <v>419</v>
      </c>
      <c r="C15" s="83">
        <v>53</v>
      </c>
      <c r="D15" s="83">
        <v>16</v>
      </c>
      <c r="E15" s="84">
        <v>21.5</v>
      </c>
      <c r="F15" s="270" t="s">
        <v>980</v>
      </c>
    </row>
    <row r="16" spans="1:6" ht="15" customHeight="1">
      <c r="A16" s="5" t="s">
        <v>410</v>
      </c>
      <c r="B16" s="6" t="s">
        <v>420</v>
      </c>
      <c r="C16" s="83">
        <v>124</v>
      </c>
      <c r="D16" s="83">
        <v>138</v>
      </c>
      <c r="E16" s="84">
        <v>164</v>
      </c>
      <c r="F16" s="270" t="s">
        <v>981</v>
      </c>
    </row>
    <row r="17" spans="1:6" ht="15" customHeight="1">
      <c r="A17" s="5" t="s">
        <v>410</v>
      </c>
      <c r="B17" s="6" t="s">
        <v>421</v>
      </c>
      <c r="C17" s="83">
        <v>12</v>
      </c>
      <c r="D17" s="83">
        <v>4</v>
      </c>
      <c r="E17" s="84">
        <v>4.84</v>
      </c>
      <c r="F17" s="270" t="s">
        <v>982</v>
      </c>
    </row>
    <row r="18" spans="1:6" ht="15" customHeight="1">
      <c r="A18" s="5" t="s">
        <v>410</v>
      </c>
      <c r="B18" s="6" t="s">
        <v>422</v>
      </c>
      <c r="C18" s="83">
        <v>3220</v>
      </c>
      <c r="D18" s="83">
        <v>3350</v>
      </c>
      <c r="E18" s="84">
        <v>3600</v>
      </c>
      <c r="F18" s="270" t="s">
        <v>983</v>
      </c>
    </row>
    <row r="19" spans="1:6" ht="15" customHeight="1">
      <c r="A19" s="5" t="s">
        <v>410</v>
      </c>
      <c r="B19" s="6" t="s">
        <v>423</v>
      </c>
      <c r="C19" s="83">
        <v>1340</v>
      </c>
      <c r="D19" s="83">
        <v>1210</v>
      </c>
      <c r="E19" s="84">
        <v>1350</v>
      </c>
      <c r="F19" s="270" t="s">
        <v>984</v>
      </c>
    </row>
    <row r="20" spans="1:6" ht="15" customHeight="1">
      <c r="A20" s="5" t="s">
        <v>410</v>
      </c>
      <c r="B20" s="6" t="s">
        <v>424</v>
      </c>
      <c r="C20" s="83">
        <v>1370</v>
      </c>
      <c r="D20" s="83">
        <v>1330</v>
      </c>
      <c r="E20" s="84">
        <v>1500</v>
      </c>
      <c r="F20" s="270" t="s">
        <v>985</v>
      </c>
    </row>
    <row r="21" spans="1:6" ht="15" customHeight="1">
      <c r="A21" s="5" t="s">
        <v>410</v>
      </c>
      <c r="B21" s="6" t="s">
        <v>425</v>
      </c>
      <c r="C21" s="83">
        <v>9810</v>
      </c>
      <c r="D21" s="83">
        <v>8060</v>
      </c>
      <c r="E21" s="84">
        <v>8690</v>
      </c>
      <c r="F21" s="270" t="s">
        <v>986</v>
      </c>
    </row>
    <row r="22" spans="1:6" ht="15" customHeight="1">
      <c r="A22" s="5" t="s">
        <v>410</v>
      </c>
      <c r="B22" s="6" t="s">
        <v>426</v>
      </c>
      <c r="C22" s="83">
        <v>693</v>
      </c>
      <c r="D22" s="83">
        <v>716</v>
      </c>
      <c r="E22" s="84">
        <v>787</v>
      </c>
      <c r="F22" s="270" t="s">
        <v>987</v>
      </c>
    </row>
    <row r="23" spans="1:6" ht="15" customHeight="1">
      <c r="A23" s="5" t="s">
        <v>410</v>
      </c>
      <c r="B23" t="s">
        <v>427</v>
      </c>
      <c r="C23" s="83">
        <v>1030</v>
      </c>
      <c r="D23" s="83">
        <v>858</v>
      </c>
      <c r="E23" s="84">
        <v>962</v>
      </c>
      <c r="F23" s="270" t="s">
        <v>988</v>
      </c>
    </row>
    <row r="24" spans="1:6" ht="15" customHeight="1">
      <c r="A24" s="5" t="s">
        <v>410</v>
      </c>
      <c r="B24" s="6" t="s">
        <v>428</v>
      </c>
      <c r="C24" s="83">
        <v>794</v>
      </c>
      <c r="D24" s="83">
        <v>804</v>
      </c>
      <c r="E24" s="84">
        <v>914</v>
      </c>
      <c r="F24" s="270" t="s">
        <v>989</v>
      </c>
    </row>
    <row r="25" spans="1:6" ht="15" customHeight="1">
      <c r="A25" s="5" t="s">
        <v>410</v>
      </c>
      <c r="B25" s="6" t="s">
        <v>429</v>
      </c>
      <c r="C25" s="83">
        <v>1640</v>
      </c>
      <c r="D25" s="83">
        <v>1650</v>
      </c>
      <c r="E25" s="84">
        <v>1600</v>
      </c>
      <c r="F25" s="270" t="s">
        <v>990</v>
      </c>
    </row>
    <row r="26" spans="1:6" ht="15" customHeight="1">
      <c r="A26" s="5" t="s">
        <v>430</v>
      </c>
      <c r="B26" s="6" t="s">
        <v>430</v>
      </c>
      <c r="C26" s="83">
        <v>22800</v>
      </c>
      <c r="D26" s="83">
        <v>23500</v>
      </c>
      <c r="E26" s="84">
        <v>24300</v>
      </c>
      <c r="F26" s="270" t="s">
        <v>991</v>
      </c>
    </row>
    <row r="27" spans="1:6" ht="15" customHeight="1">
      <c r="A27" s="5" t="s">
        <v>431</v>
      </c>
      <c r="B27" s="6" t="s">
        <v>431</v>
      </c>
      <c r="C27" s="83">
        <v>17200</v>
      </c>
      <c r="D27" s="83">
        <v>16100</v>
      </c>
      <c r="E27" s="84">
        <v>17400</v>
      </c>
      <c r="F27" s="270" t="s">
        <v>992</v>
      </c>
    </row>
    <row r="28" spans="1:6" ht="15" customHeight="1">
      <c r="A28" s="5" t="s">
        <v>432</v>
      </c>
      <c r="B28" s="6" t="s">
        <v>433</v>
      </c>
      <c r="C28" s="83">
        <v>7390</v>
      </c>
      <c r="D28" s="83">
        <v>6630</v>
      </c>
      <c r="E28" s="84">
        <v>7380</v>
      </c>
      <c r="F28" s="270" t="s">
        <v>993</v>
      </c>
    </row>
    <row r="29" spans="1:6" ht="15" customHeight="1">
      <c r="A29" s="5" t="s">
        <v>432</v>
      </c>
      <c r="B29" s="6" t="s">
        <v>434</v>
      </c>
      <c r="C29" s="83">
        <v>12200</v>
      </c>
      <c r="D29" s="83">
        <v>1110</v>
      </c>
      <c r="E29" s="84">
        <v>12400</v>
      </c>
      <c r="F29" s="270" t="s">
        <v>994</v>
      </c>
    </row>
    <row r="30" spans="1:6" ht="15" customHeight="1">
      <c r="A30" s="5" t="s">
        <v>432</v>
      </c>
      <c r="B30" s="6" t="s">
        <v>435</v>
      </c>
      <c r="C30" s="83">
        <v>8830</v>
      </c>
      <c r="D30" s="83">
        <v>8900</v>
      </c>
      <c r="E30" s="84">
        <v>9290</v>
      </c>
      <c r="F30" s="270" t="s">
        <v>995</v>
      </c>
    </row>
    <row r="31" spans="1:6" ht="15" customHeight="1">
      <c r="A31" s="5" t="s">
        <v>432</v>
      </c>
      <c r="B31" s="6" t="s">
        <v>436</v>
      </c>
      <c r="C31" s="83">
        <v>10300</v>
      </c>
      <c r="D31" s="83">
        <v>9540</v>
      </c>
      <c r="E31" s="84">
        <v>10200</v>
      </c>
      <c r="F31" s="270" t="s">
        <v>996</v>
      </c>
    </row>
    <row r="32" spans="1:6" ht="15" customHeight="1">
      <c r="A32" s="5" t="s">
        <v>432</v>
      </c>
      <c r="B32" s="6" t="s">
        <v>437</v>
      </c>
      <c r="C32" s="83">
        <v>8860</v>
      </c>
      <c r="D32" s="83">
        <v>9200</v>
      </c>
      <c r="E32" s="84">
        <v>10000</v>
      </c>
      <c r="F32" s="270" t="s">
        <v>997</v>
      </c>
    </row>
    <row r="33" spans="1:6" ht="15" customHeight="1">
      <c r="A33" s="5" t="s">
        <v>432</v>
      </c>
      <c r="B33" s="6" t="s">
        <v>438</v>
      </c>
      <c r="C33" s="83">
        <v>9160</v>
      </c>
      <c r="D33" s="83">
        <v>8550</v>
      </c>
      <c r="E33" s="84">
        <v>9220</v>
      </c>
      <c r="F33" s="270" t="s">
        <v>998</v>
      </c>
    </row>
    <row r="34" spans="1:6" ht="15" customHeight="1">
      <c r="A34" s="5" t="s">
        <v>432</v>
      </c>
      <c r="B34" s="6" t="s">
        <v>439</v>
      </c>
      <c r="C34" s="83">
        <v>9300</v>
      </c>
      <c r="D34" s="83">
        <v>7910</v>
      </c>
      <c r="E34" s="84">
        <v>8620</v>
      </c>
      <c r="F34" s="270" t="s">
        <v>999</v>
      </c>
    </row>
    <row r="35" spans="1:6" ht="15" customHeight="1">
      <c r="A35" s="5" t="s">
        <v>432</v>
      </c>
      <c r="B35" s="6" t="s">
        <v>440</v>
      </c>
      <c r="C35" s="83">
        <v>7500</v>
      </c>
      <c r="D35" s="83">
        <v>7190</v>
      </c>
      <c r="E35" s="84">
        <v>7480</v>
      </c>
      <c r="F35" s="270" t="s">
        <v>1000</v>
      </c>
    </row>
    <row r="36" spans="1:6" ht="15" customHeight="1">
      <c r="A36" s="5" t="s">
        <v>432</v>
      </c>
      <c r="B36" s="6" t="s">
        <v>441</v>
      </c>
      <c r="C36" s="83">
        <v>17700</v>
      </c>
      <c r="D36" s="83">
        <v>17400</v>
      </c>
      <c r="E36" s="84">
        <v>18500</v>
      </c>
      <c r="F36" s="270" t="s">
        <v>1001</v>
      </c>
    </row>
    <row r="37" spans="1:6" ht="15" customHeight="1">
      <c r="A37" s="5" t="s">
        <v>432</v>
      </c>
      <c r="B37" s="6" t="s">
        <v>442</v>
      </c>
      <c r="C37" s="83">
        <v>17340</v>
      </c>
      <c r="D37" s="83">
        <v>9200</v>
      </c>
      <c r="E37" s="85" t="s">
        <v>144</v>
      </c>
      <c r="F37" s="270" t="s">
        <v>1002</v>
      </c>
    </row>
    <row r="38" spans="1:6" ht="15" customHeight="1">
      <c r="A38" s="5" t="s">
        <v>405</v>
      </c>
      <c r="B38" s="6" t="s">
        <v>443</v>
      </c>
      <c r="C38" s="83">
        <v>14900</v>
      </c>
      <c r="D38" s="83">
        <v>12400</v>
      </c>
      <c r="E38" s="84">
        <v>14300</v>
      </c>
      <c r="F38" s="270" t="s">
        <v>1003</v>
      </c>
    </row>
    <row r="39" spans="1:6">
      <c r="A39" s="5" t="s">
        <v>405</v>
      </c>
      <c r="B39" s="6" t="s">
        <v>444</v>
      </c>
      <c r="C39" s="83">
        <v>6320</v>
      </c>
      <c r="D39" s="83">
        <v>5560</v>
      </c>
      <c r="E39" s="84">
        <v>6630</v>
      </c>
    </row>
    <row r="40" spans="1:6">
      <c r="A40" s="5" t="s">
        <v>405</v>
      </c>
      <c r="B40" s="6" t="s">
        <v>445</v>
      </c>
      <c r="C40" s="83">
        <v>756</v>
      </c>
      <c r="D40" s="83">
        <v>523</v>
      </c>
      <c r="E40" s="84">
        <v>616</v>
      </c>
    </row>
    <row r="41" spans="1:6">
      <c r="A41" s="5" t="s">
        <v>405</v>
      </c>
      <c r="B41" s="6" t="s">
        <v>446</v>
      </c>
      <c r="C41" s="83">
        <v>350</v>
      </c>
      <c r="D41" s="83">
        <v>491</v>
      </c>
      <c r="E41" s="84">
        <v>539</v>
      </c>
    </row>
    <row r="42" spans="1:6">
      <c r="A42" s="5" t="s">
        <v>405</v>
      </c>
      <c r="B42" s="6" t="s">
        <v>447</v>
      </c>
      <c r="C42" s="83">
        <v>708</v>
      </c>
      <c r="D42" s="83">
        <v>654</v>
      </c>
      <c r="E42" s="84">
        <v>747</v>
      </c>
    </row>
    <row r="43" spans="1:6">
      <c r="A43" s="5" t="s">
        <v>405</v>
      </c>
      <c r="B43" s="6" t="s">
        <v>448</v>
      </c>
      <c r="C43" s="83">
        <v>659</v>
      </c>
      <c r="D43" s="83">
        <v>812</v>
      </c>
      <c r="E43" s="84">
        <v>878</v>
      </c>
    </row>
    <row r="44" spans="1:6">
      <c r="A44" s="5" t="s">
        <v>405</v>
      </c>
      <c r="B44" s="6" t="s">
        <v>449</v>
      </c>
      <c r="C44" s="83">
        <v>359</v>
      </c>
      <c r="D44" s="83">
        <v>359</v>
      </c>
      <c r="E44" s="85" t="s">
        <v>144</v>
      </c>
    </row>
    <row r="45" spans="1:6">
      <c r="A45" s="5" t="s">
        <v>405</v>
      </c>
      <c r="B45" s="6" t="s">
        <v>450</v>
      </c>
      <c r="C45" s="83">
        <v>575</v>
      </c>
      <c r="D45" s="83">
        <v>530</v>
      </c>
      <c r="E45" s="84">
        <v>576</v>
      </c>
    </row>
    <row r="46" spans="1:6">
      <c r="A46" s="5" t="s">
        <v>405</v>
      </c>
      <c r="B46" s="6" t="s">
        <v>451</v>
      </c>
      <c r="C46" s="83">
        <v>580</v>
      </c>
      <c r="D46" s="83">
        <v>889</v>
      </c>
      <c r="E46" s="84">
        <v>980</v>
      </c>
    </row>
    <row r="47" spans="1:6">
      <c r="A47" s="5" t="s">
        <v>405</v>
      </c>
      <c r="B47" s="6" t="s">
        <v>452</v>
      </c>
      <c r="C47" s="83">
        <v>110</v>
      </c>
      <c r="D47" s="83">
        <v>413</v>
      </c>
      <c r="E47" s="84">
        <v>277</v>
      </c>
    </row>
    <row r="48" spans="1:6">
      <c r="A48" s="5" t="s">
        <v>405</v>
      </c>
      <c r="B48" s="6" t="s">
        <v>453</v>
      </c>
      <c r="C48" s="83">
        <v>297</v>
      </c>
      <c r="D48" s="83">
        <v>421</v>
      </c>
      <c r="E48" s="84">
        <v>460</v>
      </c>
    </row>
    <row r="49" spans="1:5">
      <c r="A49" s="5" t="s">
        <v>405</v>
      </c>
      <c r="B49" s="6" t="s">
        <v>454</v>
      </c>
      <c r="C49" s="83">
        <v>59</v>
      </c>
      <c r="D49" s="83">
        <v>57</v>
      </c>
      <c r="E49" s="84">
        <v>60.7</v>
      </c>
    </row>
    <row r="50" spans="1:5">
      <c r="A50" s="5" t="s">
        <v>405</v>
      </c>
      <c r="B50" s="6" t="s">
        <v>455</v>
      </c>
      <c r="C50" s="83">
        <v>1870</v>
      </c>
      <c r="D50" s="83">
        <v>2820</v>
      </c>
      <c r="E50" s="84">
        <v>3220</v>
      </c>
    </row>
    <row r="51" spans="1:5">
      <c r="A51" s="5" t="s">
        <v>405</v>
      </c>
      <c r="B51" s="6" t="s">
        <v>456</v>
      </c>
      <c r="C51" s="83">
        <v>2800</v>
      </c>
      <c r="D51" s="83">
        <v>5350</v>
      </c>
      <c r="E51" s="84">
        <v>6060</v>
      </c>
    </row>
    <row r="52" spans="1:5">
      <c r="A52" s="5" t="s">
        <v>405</v>
      </c>
      <c r="B52" s="6" t="s">
        <v>457</v>
      </c>
      <c r="C52" s="83">
        <v>1500</v>
      </c>
      <c r="D52" s="83">
        <v>2910</v>
      </c>
      <c r="E52" s="84">
        <v>3320</v>
      </c>
    </row>
    <row r="53" spans="1:5">
      <c r="A53" s="5" t="s">
        <v>405</v>
      </c>
      <c r="B53" s="6" t="s">
        <v>458</v>
      </c>
      <c r="C53" s="83">
        <v>1540</v>
      </c>
      <c r="D53" s="83">
        <v>6450</v>
      </c>
      <c r="E53" s="84">
        <v>7520</v>
      </c>
    </row>
    <row r="54" spans="1:5">
      <c r="A54" s="5" t="s">
        <v>405</v>
      </c>
      <c r="B54" s="6" t="s">
        <v>459</v>
      </c>
      <c r="C54" s="83">
        <v>989</v>
      </c>
      <c r="D54" s="83">
        <v>1790</v>
      </c>
      <c r="E54" s="84">
        <v>2590</v>
      </c>
    </row>
    <row r="55" spans="1:5">
      <c r="A55" s="5" t="s">
        <v>405</v>
      </c>
      <c r="B55" s="6" t="s">
        <v>460</v>
      </c>
      <c r="C55" s="83">
        <v>487</v>
      </c>
      <c r="D55" s="83">
        <v>979</v>
      </c>
      <c r="E55" s="84">
        <v>1100</v>
      </c>
    </row>
    <row r="56" spans="1:5">
      <c r="A56" s="5" t="s">
        <v>405</v>
      </c>
      <c r="B56" s="6" t="s">
        <v>461</v>
      </c>
      <c r="C56" s="83">
        <v>286</v>
      </c>
      <c r="D56" s="83">
        <v>828</v>
      </c>
      <c r="E56" s="84">
        <v>934</v>
      </c>
    </row>
    <row r="57" spans="1:5">
      <c r="A57" s="5" t="s">
        <v>405</v>
      </c>
      <c r="B57" s="6" t="s">
        <v>462</v>
      </c>
      <c r="C57" s="83">
        <v>11</v>
      </c>
      <c r="D57" s="83">
        <v>1</v>
      </c>
      <c r="E57" s="85" t="s">
        <v>144</v>
      </c>
    </row>
    <row r="58" spans="1:5">
      <c r="A58" s="5" t="s">
        <v>405</v>
      </c>
      <c r="B58" s="6" t="s">
        <v>463</v>
      </c>
      <c r="C58" s="83">
        <v>919</v>
      </c>
      <c r="D58" s="83">
        <v>3070</v>
      </c>
      <c r="E58" s="84">
        <v>3770</v>
      </c>
    </row>
    <row r="59" spans="1:5">
      <c r="A59" s="5" t="s">
        <v>405</v>
      </c>
      <c r="B59" s="6" t="s">
        <v>464</v>
      </c>
      <c r="C59" s="83">
        <v>552</v>
      </c>
      <c r="D59" s="83">
        <v>929</v>
      </c>
      <c r="E59" s="84">
        <v>1040</v>
      </c>
    </row>
    <row r="60" spans="1:5">
      <c r="A60" s="5" t="s">
        <v>405</v>
      </c>
      <c r="B60" s="6" t="s">
        <v>465</v>
      </c>
      <c r="C60" s="83">
        <v>374</v>
      </c>
      <c r="D60" s="83">
        <v>854</v>
      </c>
      <c r="E60" s="84">
        <v>963</v>
      </c>
    </row>
    <row r="61" spans="1:5">
      <c r="A61" s="5" t="s">
        <v>405</v>
      </c>
      <c r="B61" s="6" t="s">
        <v>466</v>
      </c>
      <c r="C61" s="83">
        <v>101</v>
      </c>
      <c r="D61" s="83">
        <v>387</v>
      </c>
      <c r="E61" s="84">
        <v>264</v>
      </c>
    </row>
    <row r="62" spans="1:5">
      <c r="A62" s="5" t="s">
        <v>405</v>
      </c>
      <c r="B62" s="6" t="s">
        <v>467</v>
      </c>
      <c r="C62" s="83">
        <v>265</v>
      </c>
      <c r="D62" s="83">
        <v>719</v>
      </c>
      <c r="E62" s="84">
        <v>831</v>
      </c>
    </row>
    <row r="63" spans="1:5">
      <c r="A63" s="5" t="s">
        <v>405</v>
      </c>
      <c r="B63" s="6" t="s">
        <v>468</v>
      </c>
      <c r="C63" s="83">
        <v>502</v>
      </c>
      <c r="D63" s="83">
        <v>446</v>
      </c>
      <c r="E63" s="84">
        <v>484</v>
      </c>
    </row>
    <row r="64" spans="1:5">
      <c r="A64" s="5" t="s">
        <v>405</v>
      </c>
      <c r="B64" s="6" t="s">
        <v>469</v>
      </c>
      <c r="C64" s="83">
        <v>11</v>
      </c>
      <c r="D64" s="83">
        <v>1</v>
      </c>
      <c r="E64" s="84">
        <v>1.6</v>
      </c>
    </row>
    <row r="65" spans="1:5">
      <c r="A65" s="5" t="s">
        <v>405</v>
      </c>
      <c r="B65" s="6" t="s">
        <v>470</v>
      </c>
      <c r="C65" s="83">
        <v>557</v>
      </c>
      <c r="D65" s="83">
        <v>627</v>
      </c>
      <c r="E65" s="84">
        <v>12.5</v>
      </c>
    </row>
    <row r="66" spans="1:5">
      <c r="A66" s="5" t="s">
        <v>405</v>
      </c>
      <c r="B66" s="6" t="s">
        <v>471</v>
      </c>
      <c r="C66" s="83">
        <v>10300</v>
      </c>
      <c r="D66" s="83">
        <v>9710</v>
      </c>
      <c r="E66" s="84">
        <v>10300</v>
      </c>
    </row>
    <row r="67" spans="1:5">
      <c r="A67" s="5" t="s">
        <v>405</v>
      </c>
      <c r="B67" s="6" t="s">
        <v>472</v>
      </c>
      <c r="C67" s="83">
        <v>1</v>
      </c>
      <c r="D67" s="83">
        <v>1</v>
      </c>
      <c r="E67" s="85" t="s">
        <v>144</v>
      </c>
    </row>
    <row r="68" spans="1:5">
      <c r="A68" s="5" t="s">
        <v>405</v>
      </c>
      <c r="B68" s="6" t="s">
        <v>473</v>
      </c>
      <c r="C68" s="83">
        <v>31</v>
      </c>
      <c r="D68" s="83">
        <v>16</v>
      </c>
      <c r="E68" s="84">
        <v>20.6</v>
      </c>
    </row>
    <row r="69" spans="1:5">
      <c r="A69" s="5" t="s">
        <v>405</v>
      </c>
      <c r="B69" s="6" t="s">
        <v>474</v>
      </c>
      <c r="C69" s="83">
        <v>8.6999999999999993</v>
      </c>
      <c r="D69" s="83">
        <v>9</v>
      </c>
      <c r="E69" s="84">
        <v>11.2</v>
      </c>
    </row>
    <row r="70" spans="1:5">
      <c r="A70" s="5" t="s">
        <v>405</v>
      </c>
      <c r="B70" s="6" t="s">
        <v>475</v>
      </c>
      <c r="C70" s="83">
        <v>13</v>
      </c>
      <c r="D70" s="83">
        <v>12</v>
      </c>
      <c r="E70" s="84">
        <v>5.54</v>
      </c>
    </row>
    <row r="71" spans="1:5">
      <c r="A71" s="5" t="s">
        <v>405</v>
      </c>
      <c r="B71" s="6" t="s">
        <v>476</v>
      </c>
      <c r="C71" s="83">
        <v>404</v>
      </c>
      <c r="D71" s="83">
        <v>376</v>
      </c>
      <c r="E71" s="84">
        <v>380</v>
      </c>
    </row>
    <row r="72" spans="1:5">
      <c r="A72" s="5" t="s">
        <v>405</v>
      </c>
      <c r="B72" s="6" t="s">
        <v>477</v>
      </c>
      <c r="C72" s="83">
        <v>0.4</v>
      </c>
      <c r="D72" s="83">
        <v>0.4</v>
      </c>
      <c r="E72" s="85" t="s">
        <v>144</v>
      </c>
    </row>
    <row r="73" spans="1:5">
      <c r="A73" s="5" t="s">
        <v>478</v>
      </c>
      <c r="B73" s="6" t="s">
        <v>479</v>
      </c>
      <c r="C73" s="83">
        <v>0</v>
      </c>
      <c r="D73" s="83">
        <v>0</v>
      </c>
      <c r="E73" s="89">
        <v>0</v>
      </c>
    </row>
    <row r="74" spans="1:5">
      <c r="A74" s="5" t="s">
        <v>478</v>
      </c>
      <c r="B74" s="6" t="s">
        <v>479</v>
      </c>
      <c r="C74" s="83">
        <v>16.12</v>
      </c>
      <c r="D74" s="83">
        <v>17.940000000000001</v>
      </c>
      <c r="E74" s="89">
        <v>17.940000000000001</v>
      </c>
    </row>
    <row r="75" spans="1:5">
      <c r="A75" s="5" t="s">
        <v>478</v>
      </c>
      <c r="B75" s="6" t="s">
        <v>479</v>
      </c>
      <c r="C75" s="83">
        <v>13.64</v>
      </c>
      <c r="D75" s="83">
        <v>15.18</v>
      </c>
      <c r="E75" s="89">
        <v>15.18</v>
      </c>
    </row>
    <row r="76" spans="1:5">
      <c r="A76" s="5" t="s">
        <v>478</v>
      </c>
      <c r="B76" s="6" t="s">
        <v>479</v>
      </c>
      <c r="C76" s="83">
        <v>18.599999999999998</v>
      </c>
      <c r="D76" s="83">
        <v>20.7</v>
      </c>
      <c r="E76" s="89">
        <v>20.7</v>
      </c>
    </row>
    <row r="77" spans="1:5">
      <c r="A77" s="5" t="s">
        <v>478</v>
      </c>
      <c r="B77" s="6" t="s">
        <v>479</v>
      </c>
      <c r="C77" s="83">
        <v>2100</v>
      </c>
      <c r="D77" s="83">
        <v>1902</v>
      </c>
      <c r="E77" s="89">
        <v>1902</v>
      </c>
    </row>
    <row r="78" spans="1:5">
      <c r="A78" s="5" t="s">
        <v>478</v>
      </c>
      <c r="B78" s="6" t="s">
        <v>479</v>
      </c>
      <c r="C78" s="83">
        <v>1330</v>
      </c>
      <c r="D78" s="83">
        <v>1204.5999999999999</v>
      </c>
      <c r="E78" s="89">
        <v>1204.5999999999999</v>
      </c>
    </row>
    <row r="79" spans="1:5">
      <c r="A79" s="5" t="s">
        <v>478</v>
      </c>
      <c r="B79" s="6" t="s">
        <v>479</v>
      </c>
      <c r="C79" s="83">
        <v>1766</v>
      </c>
      <c r="D79" s="83">
        <v>1780</v>
      </c>
      <c r="E79" s="89">
        <v>1780</v>
      </c>
    </row>
    <row r="80" spans="1:5">
      <c r="A80" s="5" t="s">
        <v>478</v>
      </c>
      <c r="B80" s="6" t="s">
        <v>479</v>
      </c>
      <c r="C80" s="83">
        <v>3443.7000000000003</v>
      </c>
      <c r="D80" s="83">
        <v>3471</v>
      </c>
      <c r="E80" s="89">
        <v>3471</v>
      </c>
    </row>
    <row r="81" spans="1:5">
      <c r="A81" s="5" t="s">
        <v>478</v>
      </c>
      <c r="B81" s="6" t="s">
        <v>479</v>
      </c>
      <c r="C81" s="83">
        <v>3921.6000000000004</v>
      </c>
      <c r="D81" s="83">
        <v>3942.8</v>
      </c>
      <c r="E81" s="89">
        <v>3942.8</v>
      </c>
    </row>
    <row r="82" spans="1:5">
      <c r="A82" s="5" t="s">
        <v>478</v>
      </c>
      <c r="B82" s="6" t="s">
        <v>479</v>
      </c>
      <c r="C82" s="83">
        <v>4386.18</v>
      </c>
      <c r="D82" s="83">
        <v>4064.16</v>
      </c>
      <c r="E82" s="89">
        <v>4064.16</v>
      </c>
    </row>
    <row r="83" spans="1:5">
      <c r="A83" s="5" t="s">
        <v>478</v>
      </c>
      <c r="B83" s="6" t="s">
        <v>479</v>
      </c>
      <c r="C83" s="83">
        <v>0</v>
      </c>
      <c r="D83" s="83">
        <v>0</v>
      </c>
      <c r="E83" s="89">
        <v>0</v>
      </c>
    </row>
    <row r="84" spans="1:5">
      <c r="A84" s="5" t="s">
        <v>478</v>
      </c>
      <c r="B84" s="6" t="s">
        <v>479</v>
      </c>
      <c r="C84" s="83">
        <v>2107</v>
      </c>
      <c r="D84" s="83">
        <v>1923.4</v>
      </c>
      <c r="E84" s="89">
        <v>1923.4</v>
      </c>
    </row>
    <row r="85" spans="1:5">
      <c r="A85" s="5" t="s">
        <v>478</v>
      </c>
      <c r="B85" s="6" t="s">
        <v>479</v>
      </c>
      <c r="C85" s="83">
        <v>2803.5</v>
      </c>
      <c r="D85" s="83">
        <v>2546.6999999999998</v>
      </c>
      <c r="E85" s="89">
        <v>2546.6999999999998</v>
      </c>
    </row>
    <row r="86" spans="1:5">
      <c r="A86" s="5" t="s">
        <v>478</v>
      </c>
      <c r="B86" s="6" t="s">
        <v>479</v>
      </c>
      <c r="C86" s="83">
        <v>1773.85</v>
      </c>
      <c r="D86" s="83">
        <v>1624.21</v>
      </c>
      <c r="E86" s="89">
        <v>1624.21</v>
      </c>
    </row>
    <row r="87" spans="1:5">
      <c r="A87" s="5" t="s">
        <v>478</v>
      </c>
      <c r="B87" s="6" t="s">
        <v>479</v>
      </c>
      <c r="C87" s="83">
        <v>1627.25</v>
      </c>
      <c r="D87" s="83">
        <v>1487.0499999999997</v>
      </c>
      <c r="E87" s="89">
        <v>1487.0499999999997</v>
      </c>
    </row>
    <row r="88" spans="1:5">
      <c r="A88" s="5" t="s">
        <v>478</v>
      </c>
      <c r="B88" s="6" t="s">
        <v>479</v>
      </c>
      <c r="C88" s="83">
        <v>1551.75</v>
      </c>
      <c r="D88" s="83">
        <v>1424.75</v>
      </c>
      <c r="E88" s="89">
        <v>1424.75</v>
      </c>
    </row>
    <row r="89" spans="1:5">
      <c r="A89" s="5" t="s">
        <v>478</v>
      </c>
      <c r="B89" s="6" t="s">
        <v>479</v>
      </c>
      <c r="C89" s="83">
        <v>1824.5</v>
      </c>
      <c r="D89" s="83">
        <v>1674.1</v>
      </c>
      <c r="E89" s="89">
        <v>1674.1</v>
      </c>
    </row>
    <row r="90" spans="1:5">
      <c r="A90" s="5" t="s">
        <v>478</v>
      </c>
      <c r="B90" s="6" t="s">
        <v>479</v>
      </c>
      <c r="C90" s="83">
        <v>1462.875</v>
      </c>
      <c r="D90" s="83">
        <v>1331.175</v>
      </c>
      <c r="E90" s="89">
        <v>1331.175</v>
      </c>
    </row>
    <row r="91" spans="1:5">
      <c r="A91" s="5" t="s">
        <v>478</v>
      </c>
      <c r="B91" s="6" t="s">
        <v>479</v>
      </c>
      <c r="C91" s="83">
        <v>1495.125</v>
      </c>
      <c r="D91" s="83">
        <v>1378.0250000000001</v>
      </c>
      <c r="E91" s="89">
        <v>1378.0250000000001</v>
      </c>
    </row>
    <row r="92" spans="1:5">
      <c r="A92" s="5" t="s">
        <v>478</v>
      </c>
      <c r="B92" s="6" t="s">
        <v>479</v>
      </c>
      <c r="C92" s="83">
        <v>1458.7249999999999</v>
      </c>
      <c r="D92" s="83">
        <v>1337.4650000000001</v>
      </c>
      <c r="E92" s="89">
        <v>1337.4650000000001</v>
      </c>
    </row>
    <row r="93" spans="1:5">
      <c r="A93" s="5" t="s">
        <v>478</v>
      </c>
      <c r="B93" s="6" t="s">
        <v>479</v>
      </c>
      <c r="C93" s="83">
        <v>2301.2000000000003</v>
      </c>
      <c r="D93" s="83">
        <v>2429.9</v>
      </c>
      <c r="E93" s="89">
        <v>2429.9</v>
      </c>
    </row>
    <row r="94" spans="1:5">
      <c r="A94" s="5" t="s">
        <v>478</v>
      </c>
      <c r="B94" s="6" t="s">
        <v>479</v>
      </c>
      <c r="C94" s="83">
        <v>0</v>
      </c>
      <c r="D94" s="83">
        <v>0</v>
      </c>
      <c r="E94" s="89">
        <v>0</v>
      </c>
    </row>
    <row r="95" spans="1:5">
      <c r="A95" s="5" t="s">
        <v>478</v>
      </c>
      <c r="B95" s="6" t="s">
        <v>479</v>
      </c>
      <c r="C95" s="83">
        <v>0</v>
      </c>
      <c r="D95" s="83">
        <v>0</v>
      </c>
      <c r="E95" s="89">
        <v>0</v>
      </c>
    </row>
    <row r="96" spans="1:5">
      <c r="A96" s="5" t="s">
        <v>478</v>
      </c>
      <c r="B96" s="6" t="s">
        <v>479</v>
      </c>
      <c r="C96" s="83">
        <v>2087.5</v>
      </c>
      <c r="D96" s="83">
        <v>1923.5</v>
      </c>
      <c r="E96" s="89">
        <v>1923.5</v>
      </c>
    </row>
    <row r="97" spans="1:5">
      <c r="A97" s="5" t="s">
        <v>478</v>
      </c>
      <c r="B97" s="6" t="s">
        <v>479</v>
      </c>
      <c r="C97" s="83">
        <v>2228.75</v>
      </c>
      <c r="D97" s="83">
        <v>2048.15</v>
      </c>
      <c r="E97" s="89">
        <v>2048.15</v>
      </c>
    </row>
    <row r="98" spans="1:5">
      <c r="A98" s="5" t="s">
        <v>478</v>
      </c>
      <c r="B98" s="6" t="s">
        <v>479</v>
      </c>
      <c r="C98" s="83">
        <v>13.64</v>
      </c>
      <c r="D98" s="83">
        <v>15.18</v>
      </c>
      <c r="E98" s="89">
        <v>15.18</v>
      </c>
    </row>
    <row r="99" spans="1:5">
      <c r="A99" s="5" t="s">
        <v>478</v>
      </c>
      <c r="B99" s="6" t="s">
        <v>479</v>
      </c>
      <c r="C99" s="83">
        <v>3.7199999999999998</v>
      </c>
      <c r="D99" s="83">
        <v>4.1399999999999997</v>
      </c>
      <c r="E99" s="89">
        <v>4.1399999999999997</v>
      </c>
    </row>
    <row r="100" spans="1:5">
      <c r="A100" s="5" t="s">
        <v>478</v>
      </c>
      <c r="B100" s="6" t="s">
        <v>479</v>
      </c>
      <c r="C100" s="83">
        <v>1559</v>
      </c>
      <c r="D100" s="83">
        <v>1645</v>
      </c>
      <c r="E100" s="89">
        <v>445</v>
      </c>
    </row>
    <row r="101" spans="1:5">
      <c r="A101" s="5" t="s">
        <v>478</v>
      </c>
      <c r="B101" s="6" t="s">
        <v>479</v>
      </c>
      <c r="C101" s="83">
        <v>2053.1</v>
      </c>
      <c r="D101" s="83">
        <v>1945</v>
      </c>
      <c r="E101" s="89">
        <v>1945</v>
      </c>
    </row>
    <row r="102" spans="1:5">
      <c r="A102" s="5" t="s">
        <v>478</v>
      </c>
      <c r="B102" s="6" t="s">
        <v>479</v>
      </c>
      <c r="C102" s="83">
        <v>0</v>
      </c>
      <c r="D102" s="83">
        <v>0</v>
      </c>
      <c r="E102" s="89">
        <v>0</v>
      </c>
    </row>
    <row r="103" spans="1:5">
      <c r="A103" s="5" t="s">
        <v>478</v>
      </c>
      <c r="B103" s="6" t="s">
        <v>479</v>
      </c>
      <c r="C103" s="83">
        <v>0</v>
      </c>
      <c r="D103" s="83">
        <v>0</v>
      </c>
      <c r="E103" s="89">
        <v>0</v>
      </c>
    </row>
    <row r="104" spans="1:5">
      <c r="A104" s="5" t="s">
        <v>478</v>
      </c>
      <c r="B104" s="6" t="s">
        <v>479</v>
      </c>
      <c r="C104" s="83">
        <v>22.32</v>
      </c>
      <c r="D104" s="83">
        <v>24.84</v>
      </c>
      <c r="E104" s="89">
        <v>24.84</v>
      </c>
    </row>
    <row r="105" spans="1:5">
      <c r="A105" s="5" t="s">
        <v>478</v>
      </c>
      <c r="B105" s="6" t="s">
        <v>479</v>
      </c>
      <c r="C105" s="83">
        <v>93</v>
      </c>
      <c r="D105" s="83">
        <v>103.5</v>
      </c>
      <c r="E105" s="89">
        <v>103.5</v>
      </c>
    </row>
    <row r="106" spans="1:5">
      <c r="A106" s="5" t="s">
        <v>478</v>
      </c>
      <c r="B106" s="6" t="s">
        <v>479</v>
      </c>
      <c r="C106" s="83">
        <v>843.69999999999993</v>
      </c>
      <c r="D106" s="83">
        <v>767</v>
      </c>
      <c r="E106" s="89">
        <v>767</v>
      </c>
    </row>
    <row r="107" spans="1:5">
      <c r="A107" s="5" t="s">
        <v>478</v>
      </c>
      <c r="B107" s="6" t="s">
        <v>479</v>
      </c>
      <c r="C107" s="83">
        <v>2346</v>
      </c>
      <c r="D107" s="83">
        <v>2127.2200000000003</v>
      </c>
      <c r="E107" s="89">
        <v>2127.2200000000003</v>
      </c>
    </row>
    <row r="108" spans="1:5">
      <c r="A108" s="5" t="s">
        <v>478</v>
      </c>
      <c r="B108" s="6" t="s">
        <v>479</v>
      </c>
      <c r="C108" s="83">
        <v>3026.69</v>
      </c>
      <c r="D108" s="83">
        <v>2742.2000000000003</v>
      </c>
      <c r="E108" s="89">
        <v>2742.2000000000003</v>
      </c>
    </row>
    <row r="109" spans="1:5">
      <c r="A109" s="5" t="s">
        <v>478</v>
      </c>
      <c r="B109" s="6" t="s">
        <v>479</v>
      </c>
      <c r="C109" s="83">
        <v>1809.3400000000001</v>
      </c>
      <c r="D109" s="83">
        <v>1642.5500000000002</v>
      </c>
      <c r="E109" s="89">
        <v>1642.5500000000002</v>
      </c>
    </row>
    <row r="110" spans="1:5">
      <c r="A110" s="5" t="s">
        <v>478</v>
      </c>
      <c r="B110" s="6" t="s">
        <v>479</v>
      </c>
      <c r="C110" s="83">
        <v>3.1</v>
      </c>
      <c r="D110" s="83">
        <v>3.45</v>
      </c>
      <c r="E110" s="89">
        <v>3.45</v>
      </c>
    </row>
    <row r="111" spans="1:5">
      <c r="A111" s="5" t="s">
        <v>478</v>
      </c>
      <c r="B111" s="6" t="s">
        <v>479</v>
      </c>
      <c r="C111" s="83">
        <v>2966.7</v>
      </c>
      <c r="D111" s="83">
        <v>2687.9</v>
      </c>
      <c r="E111" s="89">
        <v>2687.9</v>
      </c>
    </row>
    <row r="112" spans="1:5">
      <c r="A112" s="5" t="s">
        <v>478</v>
      </c>
      <c r="B112" s="6" t="s">
        <v>479</v>
      </c>
      <c r="C112" s="83">
        <v>2383.9</v>
      </c>
      <c r="D112" s="83">
        <v>2161.4499999999998</v>
      </c>
      <c r="E112" s="89">
        <v>2161.4499999999998</v>
      </c>
    </row>
    <row r="113" spans="1:5">
      <c r="A113" s="5" t="s">
        <v>478</v>
      </c>
      <c r="B113" s="6" t="s">
        <v>479</v>
      </c>
      <c r="C113" s="83">
        <v>1258.4000000000001</v>
      </c>
      <c r="D113" s="83">
        <v>1144</v>
      </c>
      <c r="E113" s="89">
        <v>1144</v>
      </c>
    </row>
    <row r="114" spans="1:5">
      <c r="A114" s="5" t="s">
        <v>478</v>
      </c>
      <c r="B114" s="6" t="s">
        <v>479</v>
      </c>
      <c r="C114" s="83">
        <v>2630.6</v>
      </c>
      <c r="D114" s="83">
        <v>2384.6</v>
      </c>
      <c r="E114" s="89">
        <v>2384.6</v>
      </c>
    </row>
    <row r="115" spans="1:5">
      <c r="A115" s="5" t="s">
        <v>478</v>
      </c>
      <c r="B115" s="6" t="s">
        <v>479</v>
      </c>
      <c r="C115" s="83">
        <v>3189.5</v>
      </c>
      <c r="D115" s="83">
        <v>2889.5</v>
      </c>
      <c r="E115" s="89">
        <v>2889.5</v>
      </c>
    </row>
    <row r="116" spans="1:5">
      <c r="A116" s="5" t="s">
        <v>478</v>
      </c>
      <c r="B116" s="6" t="s">
        <v>479</v>
      </c>
      <c r="C116" s="83">
        <v>3142.95</v>
      </c>
      <c r="D116" s="83">
        <v>2847.17</v>
      </c>
      <c r="E116" s="89">
        <v>2847.17</v>
      </c>
    </row>
    <row r="117" spans="1:5">
      <c r="A117" s="5" t="s">
        <v>478</v>
      </c>
      <c r="B117" s="6" t="s">
        <v>479</v>
      </c>
      <c r="C117" s="83">
        <v>2525.6000000000004</v>
      </c>
      <c r="D117" s="83">
        <v>2289.5</v>
      </c>
      <c r="E117" s="89">
        <v>2289.5</v>
      </c>
    </row>
    <row r="118" spans="1:5">
      <c r="A118" s="5" t="s">
        <v>478</v>
      </c>
      <c r="B118" s="6" t="s">
        <v>479</v>
      </c>
      <c r="C118" s="83">
        <v>3084.5</v>
      </c>
      <c r="D118" s="83">
        <v>2794.3999999999996</v>
      </c>
      <c r="E118" s="89">
        <v>2794.3999999999996</v>
      </c>
    </row>
    <row r="119" spans="1:5">
      <c r="A119" s="5" t="s">
        <v>478</v>
      </c>
      <c r="B119" s="6" t="s">
        <v>479</v>
      </c>
      <c r="C119" s="83">
        <v>2728.95</v>
      </c>
      <c r="D119" s="83">
        <v>2473.17</v>
      </c>
      <c r="E119" s="89">
        <v>2470</v>
      </c>
    </row>
    <row r="120" spans="1:5">
      <c r="A120" s="5" t="s">
        <v>478</v>
      </c>
      <c r="B120" s="6" t="s">
        <v>479</v>
      </c>
      <c r="C120" s="83">
        <v>2591.9899999999998</v>
      </c>
      <c r="D120" s="83">
        <v>2349.5</v>
      </c>
      <c r="E120" s="89">
        <v>2349.5</v>
      </c>
    </row>
    <row r="121" spans="1:5">
      <c r="A121" s="5" t="s">
        <v>478</v>
      </c>
      <c r="B121" s="6" t="s">
        <v>479</v>
      </c>
      <c r="C121" s="83">
        <v>2280.25</v>
      </c>
      <c r="D121" s="83">
        <v>2273.75</v>
      </c>
      <c r="E121" s="89">
        <v>2273.75</v>
      </c>
    </row>
    <row r="122" spans="1:5">
      <c r="A122" s="5" t="s">
        <v>478</v>
      </c>
      <c r="B122" s="6" t="s">
        <v>479</v>
      </c>
      <c r="C122" s="83">
        <v>2439.6</v>
      </c>
      <c r="D122" s="83">
        <v>2211.85</v>
      </c>
      <c r="E122" s="89">
        <v>2211.85</v>
      </c>
    </row>
    <row r="123" spans="1:5">
      <c r="A123" s="5" t="s">
        <v>478</v>
      </c>
      <c r="B123" s="6" t="s">
        <v>479</v>
      </c>
      <c r="C123" s="83">
        <v>1505.125</v>
      </c>
      <c r="D123" s="83">
        <v>1430.7449999999999</v>
      </c>
      <c r="E123" s="89">
        <v>1430.7449999999999</v>
      </c>
    </row>
    <row r="124" spans="1:5">
      <c r="A124" s="5" t="s">
        <v>478</v>
      </c>
      <c r="B124" s="6" t="s">
        <v>479</v>
      </c>
      <c r="C124" s="83">
        <v>1508.4</v>
      </c>
      <c r="D124" s="83">
        <v>1370.67</v>
      </c>
      <c r="E124" s="89">
        <v>1370.67</v>
      </c>
    </row>
    <row r="125" spans="1:5">
      <c r="A125" s="5" t="s">
        <v>478</v>
      </c>
      <c r="B125" s="6" t="s">
        <v>479</v>
      </c>
      <c r="C125" s="83">
        <v>2138.25</v>
      </c>
      <c r="D125" s="83">
        <v>2024.05</v>
      </c>
      <c r="E125" s="89">
        <v>2024.05</v>
      </c>
    </row>
    <row r="126" spans="1:5">
      <c r="A126" s="5" t="s">
        <v>478</v>
      </c>
      <c r="B126" s="6" t="s">
        <v>479</v>
      </c>
      <c r="C126" s="83">
        <v>3606.5</v>
      </c>
      <c r="D126" s="83">
        <v>3416.75</v>
      </c>
      <c r="E126" s="89">
        <v>3416.75</v>
      </c>
    </row>
    <row r="127" spans="1:5">
      <c r="A127" s="5" t="s">
        <v>478</v>
      </c>
      <c r="B127" s="6" t="s">
        <v>479</v>
      </c>
      <c r="C127" s="83">
        <v>12.4</v>
      </c>
      <c r="D127" s="83">
        <v>13.8</v>
      </c>
      <c r="E127" s="89">
        <v>13.8</v>
      </c>
    </row>
    <row r="128" spans="1:5">
      <c r="A128" s="5" t="s">
        <v>478</v>
      </c>
      <c r="B128" s="6" t="s">
        <v>479</v>
      </c>
      <c r="C128" s="83">
        <v>94.24</v>
      </c>
      <c r="D128" s="83">
        <v>104.88</v>
      </c>
      <c r="E128" s="89">
        <v>104.88</v>
      </c>
    </row>
    <row r="129" spans="1:5">
      <c r="A129" s="5" t="s">
        <v>478</v>
      </c>
      <c r="B129" s="6" t="s">
        <v>479</v>
      </c>
      <c r="C129" s="83">
        <v>35.96</v>
      </c>
      <c r="D129" s="83">
        <v>40.019999999999996</v>
      </c>
      <c r="E129" s="89">
        <v>40.019999999999996</v>
      </c>
    </row>
    <row r="130" spans="1:5">
      <c r="A130" s="5" t="s">
        <v>478</v>
      </c>
      <c r="B130" s="6" t="s">
        <v>479</v>
      </c>
      <c r="C130" s="83">
        <v>0</v>
      </c>
      <c r="D130" s="83">
        <v>0</v>
      </c>
      <c r="E130" s="89">
        <v>0</v>
      </c>
    </row>
    <row r="131" spans="1:5">
      <c r="A131" s="5" t="s">
        <v>478</v>
      </c>
      <c r="B131" s="6" t="s">
        <v>479</v>
      </c>
      <c r="C131" s="83">
        <v>0</v>
      </c>
      <c r="D131" s="83">
        <v>0</v>
      </c>
      <c r="E131" s="89">
        <v>0</v>
      </c>
    </row>
    <row r="132" spans="1:5">
      <c r="A132" s="5" t="s">
        <v>478</v>
      </c>
      <c r="B132" s="6" t="s">
        <v>479</v>
      </c>
      <c r="C132" s="83">
        <v>0</v>
      </c>
      <c r="D132" s="83">
        <v>0</v>
      </c>
      <c r="E132" s="89">
        <v>0</v>
      </c>
    </row>
    <row r="133" spans="1:5">
      <c r="A133" s="5" t="s">
        <v>478</v>
      </c>
      <c r="B133" s="6" t="s">
        <v>479</v>
      </c>
      <c r="C133" s="83">
        <v>0</v>
      </c>
      <c r="D133" s="83">
        <v>0</v>
      </c>
      <c r="E133" s="89">
        <v>0</v>
      </c>
    </row>
    <row r="134" spans="1:5">
      <c r="A134" s="5" t="s">
        <v>478</v>
      </c>
      <c r="B134" s="6" t="s">
        <v>479</v>
      </c>
      <c r="C134" s="83">
        <v>3245.4</v>
      </c>
      <c r="D134" s="83">
        <v>3075.44</v>
      </c>
      <c r="E134" s="89">
        <v>3075.44</v>
      </c>
    </row>
    <row r="135" spans="1:5">
      <c r="A135" s="5" t="s">
        <v>478</v>
      </c>
      <c r="B135" s="6" t="s">
        <v>479</v>
      </c>
      <c r="C135" s="83">
        <v>24.8</v>
      </c>
      <c r="D135" s="83">
        <v>27.6</v>
      </c>
      <c r="E135" s="89">
        <v>27.6</v>
      </c>
    </row>
    <row r="136" spans="1:5">
      <c r="A136" s="5" t="s">
        <v>478</v>
      </c>
      <c r="B136" s="6" t="s">
        <v>479</v>
      </c>
      <c r="C136" s="83">
        <v>0</v>
      </c>
      <c r="D136" s="83">
        <v>0</v>
      </c>
      <c r="E136" s="89">
        <v>0</v>
      </c>
    </row>
    <row r="137" spans="1:5">
      <c r="A137" s="5" t="s">
        <v>478</v>
      </c>
      <c r="B137" s="6" t="s">
        <v>479</v>
      </c>
      <c r="C137" s="83">
        <v>0</v>
      </c>
      <c r="D137" s="83">
        <v>0</v>
      </c>
      <c r="E137" s="89">
        <v>0</v>
      </c>
    </row>
    <row r="138" spans="1:5">
      <c r="A138" s="5" t="s">
        <v>478</v>
      </c>
      <c r="B138" s="6" t="s">
        <v>479</v>
      </c>
      <c r="C138" s="83">
        <v>0</v>
      </c>
      <c r="D138" s="83">
        <v>0</v>
      </c>
      <c r="E138" s="89">
        <v>0</v>
      </c>
    </row>
    <row r="139" spans="1:5">
      <c r="A139" s="5" t="s">
        <v>478</v>
      </c>
      <c r="B139" s="6" t="s">
        <v>479</v>
      </c>
      <c r="C139" s="83">
        <v>1805.05</v>
      </c>
      <c r="D139" s="83">
        <v>1638.65</v>
      </c>
      <c r="E139" s="89">
        <v>1638.65</v>
      </c>
    </row>
    <row r="140" spans="1:5">
      <c r="A140" s="5" t="s">
        <v>478</v>
      </c>
      <c r="B140" s="6" t="s">
        <v>479</v>
      </c>
      <c r="C140" s="83">
        <v>2264.4349999999999</v>
      </c>
      <c r="D140" s="83">
        <v>2058.645</v>
      </c>
      <c r="E140" s="89">
        <v>2058.645</v>
      </c>
    </row>
    <row r="141" spans="1:5">
      <c r="A141" s="5" t="s">
        <v>478</v>
      </c>
      <c r="B141" s="6" t="s">
        <v>479</v>
      </c>
      <c r="C141" s="83">
        <v>1982.5</v>
      </c>
      <c r="D141" s="83">
        <v>1828.3999999999999</v>
      </c>
      <c r="E141" s="89">
        <v>1828.3999999999999</v>
      </c>
    </row>
    <row r="142" spans="1:5">
      <c r="A142" s="5" t="s">
        <v>478</v>
      </c>
      <c r="B142" s="6" t="s">
        <v>479</v>
      </c>
      <c r="C142" s="83">
        <v>144.15199999999999</v>
      </c>
      <c r="D142" s="83">
        <v>155.76400000000001</v>
      </c>
      <c r="E142" s="89">
        <v>155.76400000000001</v>
      </c>
    </row>
    <row r="143" spans="1:5">
      <c r="A143" s="5" t="s">
        <v>478</v>
      </c>
      <c r="B143" s="6" t="s">
        <v>479</v>
      </c>
      <c r="C143" s="83">
        <v>0</v>
      </c>
      <c r="D143" s="83">
        <v>0</v>
      </c>
      <c r="E143" s="89">
        <v>0</v>
      </c>
    </row>
    <row r="144" spans="1:5">
      <c r="A144" s="5" t="s">
        <v>478</v>
      </c>
      <c r="B144" s="6" t="s">
        <v>479</v>
      </c>
      <c r="C144" s="83">
        <v>1887.97</v>
      </c>
      <c r="D144" s="83">
        <v>1754.2100000000003</v>
      </c>
      <c r="E144" s="89">
        <v>1754.2100000000003</v>
      </c>
    </row>
    <row r="145" spans="1:5">
      <c r="A145" s="5" t="s">
        <v>478</v>
      </c>
      <c r="B145" s="6" t="s">
        <v>479</v>
      </c>
      <c r="C145" s="83">
        <v>0</v>
      </c>
      <c r="D145" s="83">
        <v>0</v>
      </c>
      <c r="E145" s="89">
        <v>0</v>
      </c>
    </row>
    <row r="146" spans="1:5">
      <c r="A146" s="5" t="s">
        <v>478</v>
      </c>
      <c r="B146" s="6" t="s">
        <v>479</v>
      </c>
      <c r="C146" s="83">
        <v>87.2</v>
      </c>
      <c r="D146" s="83">
        <v>88.14</v>
      </c>
      <c r="E146" s="89">
        <v>88.14</v>
      </c>
    </row>
    <row r="147" spans="1:5">
      <c r="A147" s="5" t="s">
        <v>478</v>
      </c>
      <c r="B147" s="6" t="s">
        <v>479</v>
      </c>
      <c r="C147" s="83">
        <v>292.52499999999998</v>
      </c>
      <c r="D147" s="83">
        <v>294.755</v>
      </c>
      <c r="E147" s="89">
        <v>294.755</v>
      </c>
    </row>
    <row r="148" spans="1:5">
      <c r="A148" s="5" t="s">
        <v>478</v>
      </c>
      <c r="B148" s="6" t="s">
        <v>479</v>
      </c>
      <c r="C148" s="83">
        <v>128.69999999999999</v>
      </c>
      <c r="D148" s="83">
        <v>117</v>
      </c>
      <c r="E148" s="89">
        <v>117</v>
      </c>
    </row>
    <row r="149" spans="1:5">
      <c r="A149" s="5" t="s">
        <v>478</v>
      </c>
      <c r="B149" s="6" t="s">
        <v>479</v>
      </c>
      <c r="C149" s="90"/>
      <c r="D149" s="90"/>
      <c r="E149" s="84">
        <v>460.36</v>
      </c>
    </row>
    <row r="150" spans="1:5">
      <c r="A150" s="5" t="s">
        <v>478</v>
      </c>
      <c r="B150" s="6" t="s">
        <v>479</v>
      </c>
      <c r="C150" s="90"/>
      <c r="D150" s="90"/>
      <c r="E150" s="84">
        <v>571.31000000000006</v>
      </c>
    </row>
    <row r="151" spans="1:5">
      <c r="A151" s="5" t="s">
        <v>478</v>
      </c>
      <c r="B151" s="6" t="s">
        <v>479</v>
      </c>
      <c r="C151" s="90"/>
      <c r="D151" s="90"/>
      <c r="E151" s="84">
        <v>713.96</v>
      </c>
    </row>
    <row r="152" spans="1:5">
      <c r="A152" s="5" t="s">
        <v>478</v>
      </c>
      <c r="B152" s="6" t="s">
        <v>479</v>
      </c>
      <c r="C152" s="90"/>
      <c r="D152" s="90"/>
      <c r="E152" s="84">
        <v>1273.22</v>
      </c>
    </row>
    <row r="153" spans="1:5">
      <c r="A153" s="5" t="s">
        <v>478</v>
      </c>
      <c r="B153" s="6" t="s">
        <v>479</v>
      </c>
      <c r="C153" s="90"/>
      <c r="D153" s="90"/>
      <c r="E153" s="84">
        <v>1281.6010000000001</v>
      </c>
    </row>
    <row r="154" spans="1:5">
      <c r="A154" s="5" t="s">
        <v>478</v>
      </c>
      <c r="B154" s="6" t="s">
        <v>479</v>
      </c>
      <c r="C154" s="90"/>
      <c r="D154" s="90"/>
      <c r="E154" s="84">
        <v>1295.8140000000001</v>
      </c>
    </row>
    <row r="155" spans="1:5">
      <c r="A155" s="5" t="s">
        <v>478</v>
      </c>
      <c r="B155" s="6" t="s">
        <v>479</v>
      </c>
      <c r="C155" s="90"/>
      <c r="D155" s="90"/>
      <c r="E155" s="84">
        <v>1146.4000000000001</v>
      </c>
    </row>
    <row r="156" spans="1:5">
      <c r="A156" s="5" t="s">
        <v>478</v>
      </c>
      <c r="B156" s="6" t="s">
        <v>479</v>
      </c>
      <c r="C156" s="90"/>
      <c r="D156" s="90"/>
      <c r="E156" s="84">
        <v>546</v>
      </c>
    </row>
    <row r="157" spans="1:5">
      <c r="A157" s="5" t="s">
        <v>478</v>
      </c>
      <c r="B157" s="6" t="s">
        <v>479</v>
      </c>
      <c r="C157" s="90"/>
      <c r="D157" s="90"/>
      <c r="E157" s="84">
        <v>132.6</v>
      </c>
    </row>
    <row r="158" spans="1:5">
      <c r="A158" s="5" t="s">
        <v>478</v>
      </c>
      <c r="B158" s="6" t="s">
        <v>479</v>
      </c>
      <c r="C158" s="90"/>
      <c r="D158" s="90"/>
      <c r="E158" s="84">
        <v>145.6</v>
      </c>
    </row>
    <row r="159" spans="1:5">
      <c r="A159" s="5" t="s">
        <v>478</v>
      </c>
      <c r="B159" s="6" t="s">
        <v>479</v>
      </c>
      <c r="C159" s="90"/>
      <c r="D159" s="90"/>
      <c r="E159" s="84">
        <v>1944.77</v>
      </c>
    </row>
    <row r="160" spans="1:5">
      <c r="A160" s="5" t="s">
        <v>478</v>
      </c>
      <c r="B160" s="6" t="s">
        <v>479</v>
      </c>
      <c r="C160" s="90"/>
      <c r="D160" s="90"/>
      <c r="E160" s="84">
        <v>675.49</v>
      </c>
    </row>
    <row r="161" spans="1:5">
      <c r="A161" s="5" t="s">
        <v>478</v>
      </c>
      <c r="B161" s="6" t="s">
        <v>479</v>
      </c>
      <c r="C161" s="90"/>
      <c r="D161" s="90"/>
      <c r="E161" s="84">
        <v>2018.325</v>
      </c>
    </row>
    <row r="162" spans="1:5">
      <c r="A162" s="5" t="s">
        <v>478</v>
      </c>
      <c r="B162" s="6" t="s">
        <v>479</v>
      </c>
      <c r="C162" s="90"/>
      <c r="D162" s="90"/>
      <c r="E162" s="84">
        <v>1636.2999999999997</v>
      </c>
    </row>
    <row r="163" spans="1:5">
      <c r="A163" s="5" t="s">
        <v>478</v>
      </c>
      <c r="B163" s="6" t="s">
        <v>479</v>
      </c>
      <c r="C163" s="90"/>
      <c r="D163" s="90"/>
      <c r="E163" s="84">
        <v>236.95</v>
      </c>
    </row>
    <row r="164" spans="1:5">
      <c r="A164" s="5" t="s">
        <v>478</v>
      </c>
      <c r="B164" s="6" t="s">
        <v>479</v>
      </c>
      <c r="C164" s="90"/>
      <c r="D164" s="90"/>
      <c r="E164" s="84">
        <v>466.45300000000003</v>
      </c>
    </row>
    <row r="165" spans="1:5">
      <c r="A165" s="5" t="s">
        <v>478</v>
      </c>
      <c r="B165" s="6" t="s">
        <v>479</v>
      </c>
      <c r="C165" s="90"/>
      <c r="D165" s="90"/>
      <c r="E165" s="84">
        <v>145.55500000000001</v>
      </c>
    </row>
    <row r="166" spans="1:5">
      <c r="A166" s="5" t="s">
        <v>478</v>
      </c>
      <c r="B166" s="6" t="s">
        <v>479</v>
      </c>
      <c r="C166" s="90"/>
      <c r="D166" s="90"/>
      <c r="E166" s="84">
        <v>145.55500000000001</v>
      </c>
    </row>
    <row r="167" spans="1:5">
      <c r="A167" s="5" t="s">
        <v>478</v>
      </c>
      <c r="B167" s="6" t="s">
        <v>479</v>
      </c>
      <c r="C167" s="90"/>
      <c r="D167" s="90"/>
      <c r="E167" s="84">
        <v>625.62</v>
      </c>
    </row>
    <row r="168" spans="1:5">
      <c r="A168" s="5" t="s">
        <v>478</v>
      </c>
      <c r="B168" s="6" t="s">
        <v>479</v>
      </c>
      <c r="C168" s="90"/>
      <c r="D168" s="90"/>
      <c r="E168" s="84">
        <v>138.41999999999999</v>
      </c>
    </row>
    <row r="169" spans="1:5">
      <c r="A169" s="5" t="s">
        <v>478</v>
      </c>
      <c r="B169" s="6" t="s">
        <v>479</v>
      </c>
      <c r="C169" s="90"/>
      <c r="D169" s="90"/>
      <c r="E169" s="84">
        <v>1564.3949999999998</v>
      </c>
    </row>
    <row r="170" spans="1:5">
      <c r="A170" s="5" t="s">
        <v>478</v>
      </c>
      <c r="B170" s="6" t="s">
        <v>479</v>
      </c>
      <c r="C170" s="90"/>
      <c r="D170" s="90"/>
      <c r="E170" s="84">
        <v>460.36</v>
      </c>
    </row>
    <row r="171" spans="1:5">
      <c r="A171" s="5" t="s">
        <v>478</v>
      </c>
      <c r="B171" s="6" t="s">
        <v>479</v>
      </c>
      <c r="C171" s="90"/>
      <c r="D171" s="90"/>
      <c r="E171" s="84">
        <v>142.16999999999999</v>
      </c>
    </row>
    <row r="172" spans="1:5">
      <c r="A172" s="5" t="s">
        <v>478</v>
      </c>
      <c r="B172" s="6" t="s">
        <v>479</v>
      </c>
      <c r="C172" s="90"/>
      <c r="D172" s="90"/>
      <c r="E172" s="84">
        <v>1911.64</v>
      </c>
    </row>
    <row r="173" spans="1:5">
      <c r="A173" s="5" t="s">
        <v>478</v>
      </c>
      <c r="B173" s="6" t="s">
        <v>479</v>
      </c>
      <c r="C173" s="90"/>
      <c r="D173" s="90"/>
      <c r="E173" s="84">
        <v>1242.06</v>
      </c>
    </row>
    <row r="174" spans="1:5">
      <c r="A174" s="5" t="s">
        <v>478</v>
      </c>
      <c r="B174" s="6" t="s">
        <v>479</v>
      </c>
      <c r="C174" s="90"/>
      <c r="D174" s="90"/>
      <c r="E174" s="84">
        <v>694.17499999999995</v>
      </c>
    </row>
    <row r="175" spans="1:5">
      <c r="A175" s="5" t="s">
        <v>478</v>
      </c>
      <c r="B175" s="6" t="s">
        <v>479</v>
      </c>
      <c r="C175" s="90"/>
      <c r="D175" s="90"/>
      <c r="E175" s="84">
        <v>2567</v>
      </c>
    </row>
    <row r="176" spans="1:5">
      <c r="A176" s="5" t="s">
        <v>478</v>
      </c>
      <c r="B176" s="6" t="s">
        <v>479</v>
      </c>
      <c r="C176" s="90"/>
      <c r="D176" s="90"/>
      <c r="E176" s="84">
        <v>2060.33</v>
      </c>
    </row>
    <row r="177" spans="1:5">
      <c r="A177" s="5" t="s">
        <v>478</v>
      </c>
      <c r="B177" s="6" t="s">
        <v>479</v>
      </c>
      <c r="C177" s="90"/>
      <c r="D177" s="90"/>
      <c r="E177" s="84">
        <v>1376.72</v>
      </c>
    </row>
    <row r="178" spans="1:5">
      <c r="A178" s="5" t="s">
        <v>478</v>
      </c>
      <c r="B178" s="6" t="s">
        <v>479</v>
      </c>
      <c r="C178" s="90"/>
      <c r="D178" s="90"/>
      <c r="E178" s="84">
        <v>1239.69</v>
      </c>
    </row>
    <row r="179" spans="1:5">
      <c r="A179" s="5" t="s">
        <v>478</v>
      </c>
      <c r="B179" s="6" t="s">
        <v>479</v>
      </c>
      <c r="C179" s="90"/>
      <c r="D179" s="90"/>
      <c r="E179" s="84">
        <v>142.16999999999999</v>
      </c>
    </row>
    <row r="180" spans="1:5">
      <c r="A180" s="5" t="s">
        <v>478</v>
      </c>
      <c r="B180" s="6" t="s">
        <v>479</v>
      </c>
      <c r="C180" s="83">
        <v>32.488</v>
      </c>
      <c r="D180" s="83">
        <v>36.155999999999999</v>
      </c>
      <c r="E180" s="89">
        <v>36.155999999999999</v>
      </c>
    </row>
    <row r="181" spans="1:5">
      <c r="A181" s="5" t="s">
        <v>478</v>
      </c>
      <c r="B181" s="6" t="s">
        <v>479</v>
      </c>
      <c r="C181" s="83">
        <v>0</v>
      </c>
      <c r="D181" s="83">
        <v>0</v>
      </c>
      <c r="E181" s="89">
        <v>0</v>
      </c>
    </row>
    <row r="182" spans="1:5">
      <c r="A182" s="5" t="s">
        <v>478</v>
      </c>
      <c r="B182" s="6" t="s">
        <v>479</v>
      </c>
      <c r="C182" s="83">
        <v>0</v>
      </c>
      <c r="D182" s="83">
        <v>0</v>
      </c>
      <c r="E182" s="89">
        <v>0</v>
      </c>
    </row>
    <row r="183" spans="1:5">
      <c r="A183" s="5" t="s">
        <v>478</v>
      </c>
      <c r="B183" s="6" t="s">
        <v>479</v>
      </c>
      <c r="C183" s="83">
        <v>5934.8</v>
      </c>
      <c r="D183" s="83">
        <v>4972.4000000000005</v>
      </c>
      <c r="E183" s="89">
        <v>4972.4000000000005</v>
      </c>
    </row>
    <row r="184" spans="1:5">
      <c r="A184" s="5" t="s">
        <v>478</v>
      </c>
      <c r="B184" s="6" t="s">
        <v>479</v>
      </c>
      <c r="C184" s="83">
        <v>325.34999999999997</v>
      </c>
      <c r="D184" s="83">
        <v>326.31399999999996</v>
      </c>
      <c r="E184" s="89">
        <v>326.31399999999996</v>
      </c>
    </row>
    <row r="185" spans="1:5">
      <c r="A185" s="5" t="s">
        <v>478</v>
      </c>
      <c r="B185" s="6" t="s">
        <v>479</v>
      </c>
      <c r="C185" s="83">
        <v>0</v>
      </c>
      <c r="D185" s="83">
        <v>0</v>
      </c>
      <c r="E185" s="89">
        <v>0</v>
      </c>
    </row>
    <row r="186" spans="1:5">
      <c r="A186" s="5" t="s">
        <v>478</v>
      </c>
      <c r="B186" s="6" t="s">
        <v>479</v>
      </c>
      <c r="C186" s="83">
        <v>0</v>
      </c>
      <c r="D186" s="83">
        <v>0</v>
      </c>
      <c r="E186" s="89">
        <v>0</v>
      </c>
    </row>
    <row r="187" spans="1:5">
      <c r="A187" s="5" t="s">
        <v>478</v>
      </c>
      <c r="B187" s="6" t="s">
        <v>479</v>
      </c>
      <c r="C187" s="83">
        <v>3985</v>
      </c>
      <c r="D187" s="83">
        <v>3985</v>
      </c>
      <c r="E187" s="89">
        <v>3985</v>
      </c>
    </row>
    <row r="188" spans="1:5">
      <c r="A188" s="5" t="s">
        <v>478</v>
      </c>
      <c r="B188" s="6" t="s">
        <v>479</v>
      </c>
      <c r="C188" s="83">
        <v>13214</v>
      </c>
      <c r="D188" s="83">
        <v>5513.1</v>
      </c>
      <c r="E188" s="89">
        <v>11607</v>
      </c>
    </row>
    <row r="189" spans="1:5">
      <c r="A189" s="5" t="s">
        <v>478</v>
      </c>
      <c r="B189" s="6" t="s">
        <v>479</v>
      </c>
      <c r="C189" s="83">
        <v>13396</v>
      </c>
      <c r="D189" s="83">
        <v>6303.4</v>
      </c>
      <c r="E189" s="89">
        <v>11698</v>
      </c>
    </row>
    <row r="190" spans="1:5">
      <c r="A190" s="5" t="s">
        <v>478</v>
      </c>
      <c r="B190" s="6" t="s">
        <v>479</v>
      </c>
      <c r="C190" s="83">
        <v>4944.8</v>
      </c>
      <c r="D190" s="83">
        <v>4984.0000000000009</v>
      </c>
      <c r="E190" s="89">
        <v>4984.0000000000009</v>
      </c>
    </row>
    <row r="191" spans="1:5">
      <c r="A191" s="5" t="s">
        <v>478</v>
      </c>
      <c r="B191" s="6" t="s">
        <v>479</v>
      </c>
      <c r="C191" s="83">
        <v>0</v>
      </c>
      <c r="D191" s="83">
        <v>0</v>
      </c>
      <c r="E191" s="89">
        <v>0</v>
      </c>
    </row>
    <row r="192" spans="1:5">
      <c r="A192" s="5" t="s">
        <v>478</v>
      </c>
      <c r="B192" s="6" t="s">
        <v>479</v>
      </c>
      <c r="C192" s="83">
        <v>0</v>
      </c>
      <c r="D192" s="83">
        <v>0</v>
      </c>
      <c r="E192" s="89">
        <v>0</v>
      </c>
    </row>
    <row r="193" spans="1:5">
      <c r="A193" s="5" t="s">
        <v>478</v>
      </c>
      <c r="B193" s="6" t="s">
        <v>479</v>
      </c>
      <c r="C193" s="83">
        <v>189.3</v>
      </c>
      <c r="D193" s="83">
        <v>196.1</v>
      </c>
      <c r="E193" s="89">
        <v>196.1</v>
      </c>
    </row>
    <row r="194" spans="1:5">
      <c r="A194" s="5" t="s">
        <v>478</v>
      </c>
      <c r="B194" s="6" t="s">
        <v>479</v>
      </c>
      <c r="C194" s="90"/>
      <c r="D194" s="90"/>
      <c r="E194" s="84">
        <v>572</v>
      </c>
    </row>
    <row r="195" spans="1:5">
      <c r="A195" s="5" t="s">
        <v>478</v>
      </c>
      <c r="B195" s="6" t="s">
        <v>479</v>
      </c>
      <c r="C195" s="90"/>
      <c r="D195" s="90"/>
      <c r="E195" s="84">
        <v>539.5</v>
      </c>
    </row>
    <row r="196" spans="1:5">
      <c r="A196" s="5" t="s">
        <v>478</v>
      </c>
      <c r="B196" s="6" t="s">
        <v>479</v>
      </c>
      <c r="C196" s="90"/>
      <c r="D196" s="90"/>
      <c r="E196" s="84">
        <v>0</v>
      </c>
    </row>
    <row r="197" spans="1:5">
      <c r="A197" s="5" t="s">
        <v>478</v>
      </c>
      <c r="B197" s="6" t="s">
        <v>479</v>
      </c>
      <c r="C197" s="90"/>
      <c r="D197" s="90"/>
      <c r="E197" s="84">
        <v>402</v>
      </c>
    </row>
    <row r="198" spans="1:5">
      <c r="A198" s="5" t="s">
        <v>478</v>
      </c>
      <c r="B198" s="6" t="s">
        <v>479</v>
      </c>
      <c r="C198" s="90"/>
      <c r="D198" s="90"/>
      <c r="E198" s="84">
        <v>129.82000000000002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11CD-E02B-4AC5-AE82-55DE7860D3BC}">
  <sheetPr>
    <tabColor theme="9" tint="-0.499984740745262"/>
  </sheetPr>
  <dimension ref="A1:K13"/>
  <sheetViews>
    <sheetView showGridLines="0" zoomScale="85" zoomScaleNormal="85" workbookViewId="0">
      <selection activeCell="B12" sqref="B12"/>
    </sheetView>
  </sheetViews>
  <sheetFormatPr baseColWidth="10" defaultColWidth="8.83203125" defaultRowHeight="15"/>
  <cols>
    <col min="1" max="1" width="14.6640625" bestFit="1" customWidth="1"/>
    <col min="2" max="2" width="15.5" bestFit="1" customWidth="1"/>
    <col min="3" max="3" width="18.5" bestFit="1" customWidth="1"/>
    <col min="4" max="4" width="19.33203125" bestFit="1" customWidth="1"/>
    <col min="5" max="5" width="12.5" bestFit="1" customWidth="1"/>
    <col min="6" max="6" width="10" customWidth="1"/>
    <col min="7" max="7" width="22.5" bestFit="1" customWidth="1"/>
    <col min="8" max="8" width="2.6640625" customWidth="1"/>
    <col min="9" max="9" width="19.5" bestFit="1" customWidth="1"/>
    <col min="10" max="10" width="34.5" bestFit="1" customWidth="1"/>
    <col min="11" max="11" width="35.6640625" bestFit="1" customWidth="1"/>
  </cols>
  <sheetData>
    <row r="1" spans="1:11">
      <c r="A1" s="1" t="s">
        <v>784</v>
      </c>
      <c r="B1" s="1" t="s">
        <v>789</v>
      </c>
      <c r="C1" s="1" t="s">
        <v>790</v>
      </c>
      <c r="D1" s="1" t="s">
        <v>791</v>
      </c>
      <c r="E1" s="1" t="s">
        <v>792</v>
      </c>
      <c r="F1" s="1" t="s">
        <v>883</v>
      </c>
      <c r="G1" s="1" t="s">
        <v>17</v>
      </c>
      <c r="I1" s="1" t="s">
        <v>884</v>
      </c>
      <c r="J1" s="1" t="s">
        <v>886</v>
      </c>
      <c r="K1" s="1" t="s">
        <v>885</v>
      </c>
    </row>
    <row r="2" spans="1:11">
      <c r="A2" s="16" t="s">
        <v>565</v>
      </c>
      <c r="B2" s="153">
        <v>0</v>
      </c>
      <c r="C2" s="153">
        <v>0</v>
      </c>
      <c r="D2" s="153">
        <f>(-'Fatores de Conversão'!$B$11*(44/12)*SUM(Carbonização!$C$2:$C$4))/SUM(Carbonização!$D$2:$D$4)</f>
        <v>-5.4427114858703813</v>
      </c>
      <c r="E2" s="153">
        <v>0</v>
      </c>
      <c r="F2" s="153">
        <f>SUM(B2:E2)</f>
        <v>-5.4427114858703813</v>
      </c>
      <c r="G2" s="6" t="s">
        <v>828</v>
      </c>
      <c r="I2" s="219" t="s">
        <v>406</v>
      </c>
      <c r="J2" s="153">
        <f>((SUM('Florestal (Combustíveis)'!J:J)/1000)/SUM(Carbonização!$D$2:$D$4))+(SUM('Florestal (Combustíveis)'!Q:Q)/SUM(Carbonização!$D$2:$D$4))+((SUM('Florestal (Fertilizantes)'!N:N)/1000)/SUM(Carbonização!$D$2:$D$4))+(SUM('Florestal (Fertilizantes)'!R:R)/SUM(Carbonização!$D$2:$D$4))+(SUM('Florestal (Energia Elétrica)'!$P$2:$P$3,'Florestal (Energia Elétrica)'!$P$5:$P$6)/SUM(Carbonização!$D$2:$D$4))</f>
        <v>0.93493099943339875</v>
      </c>
      <c r="K2" s="153">
        <f>J2</f>
        <v>0.93493099943339875</v>
      </c>
    </row>
    <row r="3" spans="1:11">
      <c r="A3" s="16" t="s">
        <v>785</v>
      </c>
      <c r="B3" s="153">
        <f>SUM('Florestal (Combustíveis)'!T:T)/SUM(Carbonização!$D$2:$D$4)</f>
        <v>0.36158267871414262</v>
      </c>
      <c r="C3" s="153">
        <f>SUM('Florestal (Combustíveis)'!U:U)/SUM(Carbonização!$D$2:$D$4)</f>
        <v>2.8725847024249265E-2</v>
      </c>
      <c r="D3" s="153">
        <v>0</v>
      </c>
      <c r="E3" s="153">
        <f>SUM('Florestal (Combustíveis)'!S:S)/SUM(Carbonização!$D$2:$D$4)</f>
        <v>-5.5254195986164235E-4</v>
      </c>
      <c r="F3" s="153">
        <f t="shared" ref="F3:F6" si="0">SUM(B3:E3)</f>
        <v>0.38975598377853021</v>
      </c>
      <c r="G3" s="6" t="s">
        <v>828</v>
      </c>
      <c r="I3" s="219" t="s">
        <v>408</v>
      </c>
      <c r="J3" s="153">
        <f>(SUM('Florestal (Combustíveis)'!L:L)/(SUM(Carbonização!$D$2:$D$4)*1000))+((SUM('Florestal (Energia Elétrica)'!$C$4:$H$4)*Combustão_Estacionária!$G$35/1000)/SUM(Carbonização!$D$2:$D$4))</f>
        <v>3.3089219396966518E-5</v>
      </c>
      <c r="K3" s="153">
        <f>J3*GWP_Quioto!$E$3</f>
        <v>9.2318922117536582E-4</v>
      </c>
    </row>
    <row r="4" spans="1:11">
      <c r="A4" s="16" t="s">
        <v>786</v>
      </c>
      <c r="B4" s="153">
        <f>SUM('Florestal (Fertilizantes)'!U:U)/SUM(Carbonização!$D$2:$D$4)</f>
        <v>0.71658012891867662</v>
      </c>
      <c r="C4" s="153">
        <f>SUM('Florestal (Fertilizantes)'!S:S)/SUM(Carbonização!$D$2:$D$4)</f>
        <v>3.6972930936785681E-4</v>
      </c>
      <c r="D4" s="153">
        <v>0</v>
      </c>
      <c r="E4" s="153">
        <f>SUM('Florestal (Fertilizantes)'!T:T)/SUM(Carbonização!$D$2:$D$4)</f>
        <v>1.1050249133090246E-3</v>
      </c>
      <c r="F4" s="153">
        <f t="shared" si="0"/>
        <v>0.71805488314135346</v>
      </c>
      <c r="G4" s="6" t="s">
        <v>828</v>
      </c>
      <c r="I4" s="219" t="s">
        <v>889</v>
      </c>
      <c r="J4" s="153">
        <f>SUM(Carbonização!H:H)/(SUM(Carbonização!$D$2:$D$4)*1000)</f>
        <v>4.9094588302815191E-2</v>
      </c>
      <c r="K4" s="153">
        <f>J4*GWP_Quioto!$E$3</f>
        <v>1.3697390136485437</v>
      </c>
    </row>
    <row r="5" spans="1:11">
      <c r="A5" s="16" t="s">
        <v>787</v>
      </c>
      <c r="B5" s="153">
        <f>SUM('Florestal (Energia Elétrica)'!P:P)/SUM(Carbonização!$D$2:$D$4)</f>
        <v>2.3002737198718386E-3</v>
      </c>
      <c r="C5" s="153">
        <f>SUM('Florestal (Energia Elétrica)'!W:W)/SUM(Carbonização!$D$2:$D$4)</f>
        <v>2.9392793966521846E-3</v>
      </c>
      <c r="D5" s="153">
        <v>0</v>
      </c>
      <c r="E5" s="153">
        <v>0</v>
      </c>
      <c r="F5" s="153">
        <f t="shared" si="0"/>
        <v>5.2395531165240232E-3</v>
      </c>
      <c r="G5" s="6" t="s">
        <v>828</v>
      </c>
      <c r="I5" s="219" t="s">
        <v>409</v>
      </c>
      <c r="J5" s="153">
        <f>(SUM('Florestal (Combustíveis)'!M:M)/(SUM(Carbonização!$D$2:$D$4)*1000))+(SUM('Florestal (Fertilizantes)'!O:O)/(SUM(Carbonização!$D$2:$D$4)*1000))+((SUM('Florestal (Energia Elétrica)'!$C$4:$H$4)*Combustão_Estacionária!$H$35/1000)/SUM(Carbonização!$D$2:$D$4))</f>
        <v>5.2970290365610595E-4</v>
      </c>
      <c r="K5" s="153">
        <f>J5*GWP_Quioto!$E$6</f>
        <v>0.14460889269811691</v>
      </c>
    </row>
    <row r="6" spans="1:11">
      <c r="A6" s="165" t="s">
        <v>788</v>
      </c>
      <c r="B6" s="197">
        <v>0</v>
      </c>
      <c r="C6" s="197">
        <f>(SUM(Carbonização!$J$2:$J$4)/SUM(Carbonização!$D$2:$D$4))+'Balanço de Carbono'!$B$15</f>
        <v>2.2174534856032779</v>
      </c>
      <c r="D6" s="197">
        <v>0</v>
      </c>
      <c r="E6" s="197">
        <v>0</v>
      </c>
      <c r="F6" s="153">
        <f t="shared" si="0"/>
        <v>2.2174534856032779</v>
      </c>
      <c r="G6" s="148" t="s">
        <v>828</v>
      </c>
      <c r="I6" s="219" t="s">
        <v>632</v>
      </c>
      <c r="J6" s="225">
        <f>J2+(J3*GWP_Quioto!$E$3)+(J5*GWP_Quioto!$E$6)</f>
        <v>1.080463081352691</v>
      </c>
      <c r="K6" s="225">
        <f>SUM(K2:K3,K5)</f>
        <v>1.080463081352691</v>
      </c>
    </row>
    <row r="7" spans="1:11">
      <c r="A7" s="217" t="s">
        <v>83</v>
      </c>
      <c r="B7" s="198">
        <f>SUM(B2:B6)</f>
        <v>1.080463081352691</v>
      </c>
      <c r="C7" s="198">
        <f>SUM(C2:C6)</f>
        <v>2.2494883413335471</v>
      </c>
      <c r="D7" s="198">
        <f>SUM(D2:D6)</f>
        <v>-5.4427114858703813</v>
      </c>
      <c r="E7" s="198">
        <f>SUM(E2:E6)</f>
        <v>5.5248295344738222E-4</v>
      </c>
      <c r="F7" s="198">
        <f>SUM(F2:F6)</f>
        <v>-2.1122075802306965</v>
      </c>
      <c r="G7" s="149" t="s">
        <v>828</v>
      </c>
    </row>
    <row r="9" spans="1:11">
      <c r="A9" s="1" t="s">
        <v>882</v>
      </c>
      <c r="B9" s="1" t="s">
        <v>789</v>
      </c>
      <c r="C9" s="1" t="s">
        <v>790</v>
      </c>
      <c r="D9" s="1" t="s">
        <v>791</v>
      </c>
      <c r="E9" s="1" t="s">
        <v>792</v>
      </c>
      <c r="F9" s="1" t="s">
        <v>883</v>
      </c>
      <c r="G9" s="1" t="s">
        <v>17</v>
      </c>
    </row>
    <row r="10" spans="1:11">
      <c r="A10" s="5" t="s">
        <v>868</v>
      </c>
      <c r="B10" s="153">
        <f>(SUM('Florestal (Combustíveis)'!N:N)/SUM(Carbonização!$D$2:$D$4))+(SUM('Florestal (Fertilizantes)'!P:P)/SUM(Carbonização!$D$2:$D$4))</f>
        <v>0.5325420943084469</v>
      </c>
      <c r="C10" s="153">
        <f>(SUM('Florestal (Combustíveis)'!O:O)/SUM(Carbonização!$D$2:$D$4))+(SUM(Carbonização!J:J)/SUM(Carbonização!$D$2:$D$4))+'Balanço de Carbono'!$B$15</f>
        <v>2.246116573625387</v>
      </c>
      <c r="D10" s="153">
        <f>(-'Fatores de Conversão'!$B$11*(44/12)*SUM(Carbonização!$C$2:$C$4))/SUM(Carbonização!$D$2:$D$4)</f>
        <v>-5.4427114858703813</v>
      </c>
      <c r="E10" s="153">
        <v>0</v>
      </c>
      <c r="F10" s="153">
        <f>SUM(B10:E10)</f>
        <v>-2.6640528179365477</v>
      </c>
      <c r="G10" s="6" t="s">
        <v>828</v>
      </c>
    </row>
    <row r="11" spans="1:11">
      <c r="A11" s="5" t="s">
        <v>881</v>
      </c>
      <c r="B11" s="153">
        <f>SUM('Florestal (Energia Elétrica)'!P:P)/SUM(Carbonização!$D$2:$D$4)</f>
        <v>2.3002737198718386E-3</v>
      </c>
      <c r="C11" s="153">
        <f>(SUM('Florestal (Energia Elétrica)'!W:W)/SUM(Carbonização!$D$2:$D$4))</f>
        <v>2.9392793966521846E-3</v>
      </c>
      <c r="D11" s="153">
        <v>0</v>
      </c>
      <c r="E11" s="153">
        <v>0</v>
      </c>
      <c r="F11" s="153">
        <f t="shared" ref="F11:F12" si="1">SUM(B11:E11)</f>
        <v>5.2395531165240232E-3</v>
      </c>
      <c r="G11" s="6" t="s">
        <v>828</v>
      </c>
    </row>
    <row r="12" spans="1:11">
      <c r="A12" s="5" t="s">
        <v>869</v>
      </c>
      <c r="B12" s="153">
        <f>(SUM('Florestal (Combustíveis)'!Q:Q)/SUM(Carbonização!$D$2:$D$4))+(SUM('Florestal (Fertilizantes)'!R:R)/SUM(Carbonização!$D$2:$D$4))</f>
        <v>0.54562071332437223</v>
      </c>
      <c r="C12" s="153">
        <f>(SUM('Florestal (Combustíveis)'!R:R)/SUM(Carbonização!$D$2:$D$4))+(SUM('Florestal (Fertilizantes)'!S:S))/SUM(Carbonização!$D$2:$D$4)</f>
        <v>4.3248831150812103E-4</v>
      </c>
      <c r="D12" s="153">
        <v>0</v>
      </c>
      <c r="E12" s="153">
        <f>(SUM('Florestal (Combustíveis)'!S:S)/SUM(Carbonização!$D$2:$D$4))+(SUM('Florestal (Fertilizantes)'!T:T)/SUM(Carbonização!$D$2:$D$4))</f>
        <v>5.5248295344738222E-4</v>
      </c>
      <c r="F12" s="153">
        <f t="shared" si="1"/>
        <v>0.54660568458932768</v>
      </c>
      <c r="G12" s="6" t="s">
        <v>828</v>
      </c>
    </row>
    <row r="13" spans="1:11">
      <c r="A13" s="217" t="s">
        <v>83</v>
      </c>
      <c r="B13" s="198">
        <f>SUM(B8:B12)</f>
        <v>1.080463081352691</v>
      </c>
      <c r="C13" s="198">
        <f t="shared" ref="C13:F13" si="2">SUM(C8:C12)</f>
        <v>2.2494883413335471</v>
      </c>
      <c r="D13" s="198">
        <f t="shared" si="2"/>
        <v>-5.4427114858703813</v>
      </c>
      <c r="E13" s="198">
        <f t="shared" si="2"/>
        <v>5.5248295344738222E-4</v>
      </c>
      <c r="F13" s="198">
        <f t="shared" si="2"/>
        <v>-2.1122075802306961</v>
      </c>
      <c r="G13" s="149" t="s">
        <v>828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Z30"/>
  <sheetViews>
    <sheetView showGridLines="0" topLeftCell="K1" workbookViewId="0">
      <selection activeCell="Q5" sqref="Q5"/>
    </sheetView>
  </sheetViews>
  <sheetFormatPr baseColWidth="10" defaultColWidth="8.83203125" defaultRowHeight="15"/>
  <cols>
    <col min="1" max="1" width="16.83203125" bestFit="1" customWidth="1"/>
    <col min="2" max="2" width="17.83203125" bestFit="1" customWidth="1"/>
    <col min="3" max="3" width="27.33203125" bestFit="1" customWidth="1"/>
    <col min="4" max="4" width="35.83203125" bestFit="1" customWidth="1"/>
    <col min="5" max="5" width="46" bestFit="1" customWidth="1"/>
    <col min="6" max="6" width="15.83203125" bestFit="1" customWidth="1"/>
    <col min="7" max="7" width="19.1640625" bestFit="1" customWidth="1"/>
    <col min="9" max="9" width="17.5" bestFit="1" customWidth="1"/>
    <col min="10" max="10" width="22.1640625" bestFit="1" customWidth="1"/>
    <col min="11" max="11" width="32.83203125" bestFit="1" customWidth="1"/>
    <col min="12" max="13" width="22.1640625" bestFit="1" customWidth="1"/>
    <col min="14" max="14" width="36.33203125" bestFit="1" customWidth="1"/>
    <col min="15" max="15" width="39.33203125" bestFit="1" customWidth="1"/>
    <col min="16" max="16" width="13.6640625" bestFit="1" customWidth="1"/>
    <col min="17" max="17" width="38.6640625" bestFit="1" customWidth="1"/>
    <col min="18" max="18" width="37" bestFit="1" customWidth="1"/>
    <col min="19" max="19" width="37" customWidth="1"/>
    <col min="20" max="20" width="31.1640625" bestFit="1" customWidth="1"/>
    <col min="21" max="21" width="31.1640625" customWidth="1"/>
    <col min="22" max="22" width="33.5" bestFit="1" customWidth="1"/>
    <col min="23" max="23" width="27" bestFit="1" customWidth="1"/>
    <col min="24" max="24" width="32.83203125" bestFit="1" customWidth="1"/>
    <col min="25" max="25" width="43.5" bestFit="1" customWidth="1"/>
    <col min="26" max="26" width="59.1640625" bestFit="1" customWidth="1"/>
  </cols>
  <sheetData>
    <row r="1" spans="1:26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658</v>
      </c>
      <c r="G1" s="1" t="s">
        <v>659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660</v>
      </c>
      <c r="P1" s="2" t="s">
        <v>11</v>
      </c>
      <c r="Q1" s="2" t="s">
        <v>657</v>
      </c>
      <c r="R1" s="2" t="s">
        <v>656</v>
      </c>
      <c r="S1" s="2" t="s">
        <v>829</v>
      </c>
      <c r="T1" s="2" t="s">
        <v>848</v>
      </c>
      <c r="U1" s="2" t="s">
        <v>849</v>
      </c>
      <c r="V1" s="1" t="s">
        <v>12</v>
      </c>
      <c r="W1" s="3" t="s">
        <v>13</v>
      </c>
      <c r="X1" s="1" t="s">
        <v>14</v>
      </c>
      <c r="Y1" s="1" t="s">
        <v>15</v>
      </c>
      <c r="Z1" s="1" t="s">
        <v>16</v>
      </c>
    </row>
    <row r="2" spans="1:26">
      <c r="A2" s="5" t="s">
        <v>18</v>
      </c>
      <c r="B2" s="7" t="s">
        <v>19</v>
      </c>
      <c r="C2" s="8" t="s">
        <v>22</v>
      </c>
      <c r="D2" s="8" t="s">
        <v>31</v>
      </c>
      <c r="E2" s="9" t="str">
        <f>IF(D2="Gasolina Automotiva", 'Fatores de Emissão'!$A$16,IF(D2="Óleo Diesel",'Fatores de Emissão'!$A$19,"Acetileno"))</f>
        <v>Gasolina (27% de etanol)</v>
      </c>
      <c r="F2" s="156">
        <f>IF(D2="Gasolina Automotiva",0.27,0)</f>
        <v>0.27</v>
      </c>
      <c r="G2" s="156">
        <f>IF(D2="Óleo Diesel",0.1,0)</f>
        <v>0</v>
      </c>
      <c r="H2" s="9">
        <v>34643.955000000009</v>
      </c>
      <c r="I2" s="10" t="s">
        <v>108</v>
      </c>
      <c r="J2" s="6">
        <f>IF(D2="Gasolina Automotiva",(H2/1000)*(1-0.27)*(_xlfn.XLOOKUP(D2,Combustão_Móvel!$A$16:$A$20,Combustão_Móvel!$E$16:$E$20))*(_xlfn.XLOOKUP(D2,Combustão_Móvel!$A$16:$A$20,Combustão_Móvel!$D$16:$D$20)),IF(D2="Óleo Diesel",(H2/1000)*(1-0.1)*(_xlfn.XLOOKUP(D2,Combustão_Móvel!$A$16:$A$20,Combustão_Móvel!$E$16:$E$20))*(_xlfn.XLOOKUP(D2,Combustão_Móvel!$A$16:$A$20,Combustão_Móvel!$D$16:$D$20))))*1000</f>
        <v>56503.921993318821</v>
      </c>
      <c r="K2" s="6">
        <f>IF(D2="Gasolina Automotiva",(H2/1000)*(0.27)*(Combustão_Móvel!$D$18)*(Combustão_Móvel!$E$18),IF(D2="Óleo Diesel",(H2/1000)*(0.1)*(Combustão_Móvel!$D$20)*(Combustão_Móvel!$E$20)))*1000</f>
        <v>16648.537816029606</v>
      </c>
      <c r="L2" s="6">
        <f>IF(D2="Gasolina Automotiva",(H2/1000)*(((1-0.27)*(_xlfn.XLOOKUP(D2,Combustão_Móvel!$A$16:$A$20,Combustão_Móvel!$D$16:$D$20))*(_xlfn.XLOOKUP(D2,Combustão_Móvel!$A$16:$A$20,Combustão_Móvel!$F$16:$F$20)))+((0.27)*(Combustão_Móvel!$D$18)*(Combustão_Móvel!$F$18))),IF(D2="Óleo Diesel",(H2/1000)*(((1-0.1)*(_xlfn.XLOOKUP(D2,Combustão_Móvel!$A$16:$A$20,Combustão_Móvel!$F$16:$F$20))*(_xlfn.XLOOKUP(D2,Combustão_Móvel!$A$16:$A$20,Combustão_Móvel!$D$16:$D$20)))+((0.1)*(Combustão_Móvel!$D$20)*(Combustão_Móvel!$F$20)))))*1000</f>
        <v>68.992937509548028</v>
      </c>
      <c r="M2" s="6">
        <f>IF(D2="Gasolina Automotiva",(H2/1000)*(((1-0.27)*(_xlfn.XLOOKUP(D2,Combustão_Móvel!$A$16:$A$20,Combustão_Móvel!$D$16:$D$20))*(_xlfn.XLOOKUP(D2,Combustão_Móvel!$A$16:$A$20,Combustão_Móvel!$G$16:$G$20)))+((0.27)*(Combustão_Móvel!$D$18)*(Combustão_Móvel!$G$18))),IF(D2="Óleo Diesel",(H2/1000)*(((1-0.1)*(_xlfn.XLOOKUP(D2,Combustão_Móvel!$A$16:$A$20,Combustão_Móvel!$G$16:$G$20))*(_xlfn.XLOOKUP(D2,Combustão_Móvel!$A$16:$A$20,Combustão_Móvel!$D$16:$D$20)))+((0.1)*(Combustão_Móvel!$D$20)*(Combustão_Móvel!$G$20)))))*1000</f>
        <v>1.7561963105076006</v>
      </c>
      <c r="N2" s="6">
        <f>(J2+(L2*GWP_Quioto!$E$3)+(M2*GWP_Quioto!$E$6))/1000</f>
        <v>58.908266542603783</v>
      </c>
      <c r="O2" s="6">
        <f>K2/1000</f>
        <v>16.648537816029606</v>
      </c>
      <c r="P2" s="6">
        <f>IF(D2="Gasolina Automotiva",(H2*((Densidades!$B$33*0.73)+(Densidades!$B$3*0.27))/1000),IF(D2="Óleo Diesel",(H2*((Densidades!$B$44*0.9)+(Densidades!$B$6*0.1))/1000),IF(D2="Acetileno",H2,"")))</f>
        <v>26164.154134650005</v>
      </c>
      <c r="Q2" s="6">
        <f>(P2*(_xlfn.XLOOKUP(E2,'Fatores de Emissão'!A:A,'Fatores de Emissão'!B:B)))/1000</f>
        <v>16.717039404213025</v>
      </c>
      <c r="R2" s="6">
        <f>(P2*(_xlfn.XLOOKUP(E2,'Fatores de Emissão'!A:A,'Fatores de Emissão'!C:C)))/1000</f>
        <v>0.15862272596617241</v>
      </c>
      <c r="S2" s="6">
        <f>(P2*(_xlfn.XLOOKUP(E2,'Fatores de Emissão'!A:A,'Fatores de Emissão'!E:E)))/1000</f>
        <v>-2.2484693146949772</v>
      </c>
      <c r="T2" s="6">
        <f>Q2+N2</f>
        <v>75.625305946816809</v>
      </c>
      <c r="U2" s="6">
        <f>O2+R2</f>
        <v>16.807160541995778</v>
      </c>
      <c r="V2" s="6"/>
      <c r="W2" s="6"/>
      <c r="X2" s="6"/>
      <c r="Y2" s="6"/>
      <c r="Z2" s="6" t="s">
        <v>699</v>
      </c>
    </row>
    <row r="3" spans="1:26">
      <c r="A3" s="5" t="s">
        <v>18</v>
      </c>
      <c r="B3" s="7" t="s">
        <v>19</v>
      </c>
      <c r="C3" s="8" t="s">
        <v>23</v>
      </c>
      <c r="D3" s="8" t="s">
        <v>31</v>
      </c>
      <c r="E3" s="9" t="str">
        <f>IF(D3="Gasolina Automotiva", 'Fatores de Emissão'!$A$16,IF(D3="Óleo Diesel",'Fatores de Emissão'!$A$19,"Acetileno"))</f>
        <v>Gasolina (27% de etanol)</v>
      </c>
      <c r="F3" s="156">
        <f t="shared" ref="F3:F30" si="0">IF(D3="Gasolina Automotiva",0.27,0)</f>
        <v>0.27</v>
      </c>
      <c r="G3" s="156">
        <f t="shared" ref="G3:G30" si="1">IF(D3="Óleo Diesel",0.1,0)</f>
        <v>0</v>
      </c>
      <c r="H3" s="9">
        <v>1118.95</v>
      </c>
      <c r="I3" s="10" t="s">
        <v>108</v>
      </c>
      <c r="J3" s="6">
        <f>IF(D3="Gasolina Automotiva",(H3/1000)*(1-0.27)*(_xlfn.XLOOKUP(D3,Combustão_Móvel!$A$16:$A$20,Combustão_Móvel!$E$16:$E$20))*(_xlfn.XLOOKUP(D3,Combustão_Móvel!$A$16:$A$20,Combustão_Móvel!$D$16:$D$20)),IF(D3="Óleo Diesel",(H3/1000)*(1-0.1)*(_xlfn.XLOOKUP(D3,Combustão_Móvel!$A$16:$A$20,Combustão_Móvel!$E$16:$E$20))*(_xlfn.XLOOKUP(D3,Combustão_Móvel!$A$16:$A$20,Combustão_Móvel!$D$16:$D$20))))*1000</f>
        <v>1824.9955443720005</v>
      </c>
      <c r="K3" s="6">
        <f>IF(D3="Gasolina Automotiva",(H3/1000)*(0.27)*(Combustão_Móvel!$D$18)*(Combustão_Móvel!$E$18),IF(D3="Óleo Diesel",(H3/1000)*(0.1)*(Combustão_Móvel!$D$20)*(Combustão_Móvel!$E$20)))*1000</f>
        <v>537.72386522400018</v>
      </c>
      <c r="L3" s="6">
        <f>IF(D3="Gasolina Automotiva",(H3/1000)*(((1-0.27)*(_xlfn.XLOOKUP(D3,Combustão_Móvel!$A$16:$A$20,Combustão_Móvel!$D$16:$D$20))*(_xlfn.XLOOKUP(D3,Combustão_Móvel!$A$16:$A$20,Combustão_Móvel!$F$16:$F$20)))+((0.27)*(Combustão_Móvel!$D$18)*(Combustão_Móvel!$F$18))),IF(D3="Óleo Diesel",(H3/1000)*(((1-0.1)*(_xlfn.XLOOKUP(D3,Combustão_Móvel!$A$16:$A$20,Combustão_Móvel!$F$16:$F$20))*(_xlfn.XLOOKUP(D3,Combustão_Móvel!$A$16:$A$20,Combustão_Móvel!$D$16:$D$20)))+((0.1)*(Combustão_Móvel!$D$20)*(Combustão_Móvel!$F$20)))))*1000</f>
        <v>2.2283728121200004</v>
      </c>
      <c r="M3" s="6">
        <f>IF(D3="Gasolina Automotiva",(H3/1000)*(((1-0.27)*(_xlfn.XLOOKUP(D3,Combustão_Móvel!$A$16:$A$20,Combustão_Móvel!$D$16:$D$20))*(_xlfn.XLOOKUP(D3,Combustão_Móvel!$A$16:$A$20,Combustão_Móvel!$G$16:$G$20)))+((0.27)*(Combustão_Móvel!$D$18)*(Combustão_Móvel!$G$18))),IF(D3="Óleo Diesel",(H3/1000)*(((1-0.1)*(_xlfn.XLOOKUP(D3,Combustão_Móvel!$A$16:$A$20,Combustão_Móvel!$G$16:$G$20))*(_xlfn.XLOOKUP(D3,Combustão_Móvel!$A$16:$A$20,Combustão_Móvel!$D$16:$D$20)))+((0.1)*(Combustão_Móvel!$D$20)*(Combustão_Móvel!$G$20)))))*1000</f>
        <v>5.6722619044000007E-2</v>
      </c>
      <c r="N3" s="6">
        <f>(J3+(L3*GWP_Quioto!$E$3)+(M3*GWP_Quioto!$E$6))/1000</f>
        <v>1.9026524208291604</v>
      </c>
      <c r="O3" s="6">
        <f t="shared" ref="O3:O30" si="2">K3/1000</f>
        <v>0.53772386522400017</v>
      </c>
      <c r="P3" s="6">
        <f>IF(D3="Gasolina Automotiva",(H3*((Densidades!$B$33*0.73)+(Densidades!$B$3*0.27))/1000),IF(D3="Óleo Diesel",(H3*((Densidades!$B$44*0.9)+(Densidades!$B$6*0.1))/1000),IF(D3="Acetileno",H3,"")))</f>
        <v>845.06460850000008</v>
      </c>
      <c r="Q3" s="6">
        <f>(P3*(_xlfn.XLOOKUP(E3,'Fatores de Emissão'!A:A,'Fatores de Emissão'!B:B)))/1000</f>
        <v>0.53993636815843227</v>
      </c>
      <c r="R3" s="6">
        <f>(P3*(_xlfn.XLOOKUP(E3,'Fatores de Emissão'!A:A,'Fatores de Emissão'!C:C)))/1000</f>
        <v>5.1232862766346565E-3</v>
      </c>
      <c r="S3" s="6">
        <f>(P3*(_xlfn.XLOOKUP(E3,'Fatores de Emissão'!A:A,'Fatores de Emissão'!E:E)))/1000</f>
        <v>-7.2622330206754515E-2</v>
      </c>
      <c r="T3" s="6">
        <f t="shared" ref="T3:T30" si="3">Q3+N3</f>
        <v>2.4425887889875928</v>
      </c>
      <c r="U3" s="6">
        <f t="shared" ref="U3:U30" si="4">O3+R3</f>
        <v>0.54284715150063478</v>
      </c>
      <c r="V3" s="6"/>
      <c r="W3" s="6"/>
      <c r="X3" s="6"/>
      <c r="Y3" s="6"/>
      <c r="Z3" s="6" t="s">
        <v>699</v>
      </c>
    </row>
    <row r="4" spans="1:26">
      <c r="A4" s="5" t="s">
        <v>18</v>
      </c>
      <c r="B4" s="7" t="s">
        <v>19</v>
      </c>
      <c r="C4" s="8" t="s">
        <v>24</v>
      </c>
      <c r="D4" s="8" t="s">
        <v>31</v>
      </c>
      <c r="E4" s="9" t="str">
        <f>IF(D4="Gasolina Automotiva", 'Fatores de Emissão'!$A$16,IF(D4="Óleo Diesel",'Fatores de Emissão'!$A$19,"Acetileno"))</f>
        <v>Gasolina (27% de etanol)</v>
      </c>
      <c r="F4" s="156">
        <f t="shared" si="0"/>
        <v>0.27</v>
      </c>
      <c r="G4" s="156">
        <f t="shared" si="1"/>
        <v>0</v>
      </c>
      <c r="H4" s="9">
        <v>249.59000000000003</v>
      </c>
      <c r="I4" s="10" t="s">
        <v>108</v>
      </c>
      <c r="J4" s="6">
        <f>IF(D4="Gasolina Automotiva",(H4/1000)*(1-0.27)*(_xlfn.XLOOKUP(D4,Combustão_Móvel!$A$16:$A$20,Combustão_Móvel!$E$16:$E$20))*(_xlfn.XLOOKUP(D4,Combustão_Móvel!$A$16:$A$20,Combustão_Móvel!$D$16:$D$20)),IF(D4="Óleo Diesel",(H4/1000)*(1-0.1)*(_xlfn.XLOOKUP(D4,Combustão_Móvel!$A$16:$A$20,Combustão_Móvel!$E$16:$E$20))*(_xlfn.XLOOKUP(D4,Combustão_Móvel!$A$16:$A$20,Combustão_Móvel!$D$16:$D$20))))*1000</f>
        <v>407.07863436240012</v>
      </c>
      <c r="K4" s="6">
        <f>IF(D4="Gasolina Automotiva",(H4/1000)*(0.27)*(Combustão_Móvel!$D$18)*(Combustão_Móvel!$E$18),IF(D4="Óleo Diesel",(H4/1000)*(0.1)*(Combustão_Móvel!$D$20)*(Combustão_Móvel!$E$20)))*1000</f>
        <v>119.94324994080004</v>
      </c>
      <c r="L4" s="6">
        <f>IF(D4="Gasolina Automotiva",(H4/1000)*(((1-0.27)*(_xlfn.XLOOKUP(D4,Combustão_Móvel!$A$16:$A$20,Combustão_Móvel!$D$16:$D$20))*(_xlfn.XLOOKUP(D4,Combustão_Móvel!$A$16:$A$20,Combustão_Móvel!$F$16:$F$20)))+((0.27)*(Combustão_Móvel!$D$18)*(Combustão_Móvel!$F$18))),IF(D4="Óleo Diesel",(H4/1000)*(((1-0.1)*(_xlfn.XLOOKUP(D4,Combustão_Móvel!$A$16:$A$20,Combustão_Móvel!$F$16:$F$20))*(_xlfn.XLOOKUP(D4,Combustão_Móvel!$A$16:$A$20,Combustão_Móvel!$D$16:$D$20)))+((0.1)*(Combustão_Móvel!$D$20)*(Combustão_Móvel!$F$20)))))*1000</f>
        <v>0.49705489090400012</v>
      </c>
      <c r="M4" s="6">
        <f>IF(D4="Gasolina Automotiva",(H4/1000)*(((1-0.27)*(_xlfn.XLOOKUP(D4,Combustão_Móvel!$A$16:$A$20,Combustão_Móvel!$D$16:$D$20))*(_xlfn.XLOOKUP(D4,Combustão_Móvel!$A$16:$A$20,Combustão_Móvel!$G$16:$G$20)))+((0.27)*(Combustão_Móvel!$D$18)*(Combustão_Móvel!$G$18))),IF(D4="Óleo Diesel",(H4/1000)*(((1-0.1)*(_xlfn.XLOOKUP(D4,Combustão_Móvel!$A$16:$A$20,Combustão_Móvel!$G$16:$G$20))*(_xlfn.XLOOKUP(D4,Combustão_Móvel!$A$16:$A$20,Combustão_Móvel!$D$16:$D$20)))+((0.1)*(Combustão_Móvel!$D$20)*(Combustão_Móvel!$G$20)))))*1000</f>
        <v>1.2652395984800001E-2</v>
      </c>
      <c r="N4" s="6">
        <f>(J4+(L4*GWP_Quioto!$E$3)+(M4*GWP_Quioto!$E$6))/1000</f>
        <v>0.4244005699224721</v>
      </c>
      <c r="O4" s="6">
        <f t="shared" si="2"/>
        <v>0.11994324994080005</v>
      </c>
      <c r="P4" s="6">
        <f>IF(D4="Gasolina Automotiva",(H4*((Densidades!$B$33*0.73)+(Densidades!$B$3*0.27))/1000),IF(D4="Óleo Diesel",(H4*((Densidades!$B$44*0.9)+(Densidades!$B$6*0.1))/1000),IF(D4="Acetileno",H4,"")))</f>
        <v>188.4978557</v>
      </c>
      <c r="Q4" s="6">
        <f>(P4*(_xlfn.XLOOKUP(E4,'Fatores de Emissão'!A:A,'Fatores de Emissão'!B:B)))/1000</f>
        <v>0.12043676493915108</v>
      </c>
      <c r="R4" s="6">
        <f>(P4*(_xlfn.XLOOKUP(E4,'Fatores de Emissão'!A:A,'Fatores de Emissão'!C:C)))/1000</f>
        <v>1.1427865604229357E-3</v>
      </c>
      <c r="S4" s="6">
        <f>(P4*(_xlfn.XLOOKUP(E4,'Fatores de Emissão'!A:A,'Fatores de Emissão'!E:E)))/1000</f>
        <v>-1.6198943113011181E-2</v>
      </c>
      <c r="T4" s="6">
        <f t="shared" si="3"/>
        <v>0.54483733486162322</v>
      </c>
      <c r="U4" s="6">
        <f t="shared" si="4"/>
        <v>0.12108603650122299</v>
      </c>
      <c r="V4" s="6"/>
      <c r="W4" s="6"/>
      <c r="X4" s="6"/>
      <c r="Y4" s="6"/>
      <c r="Z4" s="6" t="s">
        <v>699</v>
      </c>
    </row>
    <row r="5" spans="1:26">
      <c r="A5" s="5" t="s">
        <v>18</v>
      </c>
      <c r="B5" s="7" t="s">
        <v>19</v>
      </c>
      <c r="C5" s="8" t="s">
        <v>25</v>
      </c>
      <c r="D5" s="8" t="s">
        <v>31</v>
      </c>
      <c r="E5" s="9" t="str">
        <f>IF(D5="Gasolina Automotiva", 'Fatores de Emissão'!$A$16,IF(D5="Óleo Diesel",'Fatores de Emissão'!$A$19,"Acetileno"))</f>
        <v>Gasolina (27% de etanol)</v>
      </c>
      <c r="F5" s="156">
        <f t="shared" si="0"/>
        <v>0.27</v>
      </c>
      <c r="G5" s="156">
        <f t="shared" si="1"/>
        <v>0</v>
      </c>
      <c r="H5" s="11">
        <v>0</v>
      </c>
      <c r="I5" s="12" t="s">
        <v>108</v>
      </c>
      <c r="J5" s="6">
        <f>IF(D5="Gasolina Automotiva",(H5/1000)*(1-0.27)*(_xlfn.XLOOKUP(D5,Combustão_Móvel!$A$16:$A$20,Combustão_Móvel!$E$16:$E$20))*(_xlfn.XLOOKUP(D5,Combustão_Móvel!$A$16:$A$20,Combustão_Móvel!$D$16:$D$20)),IF(D5="Óleo Diesel",(H5/1000)*(1-0.1)*(_xlfn.XLOOKUP(D5,Combustão_Móvel!$A$16:$A$20,Combustão_Móvel!$E$16:$E$20))*(_xlfn.XLOOKUP(D5,Combustão_Móvel!$A$16:$A$20,Combustão_Móvel!$D$16:$D$20))))*1000</f>
        <v>0</v>
      </c>
      <c r="K5" s="6">
        <f>IF(D5="Gasolina Automotiva",(H5/1000)*(0.27)*(Combustão_Móvel!$D$18)*(Combustão_Móvel!$E$18),IF(D5="Óleo Diesel",(H5/1000)*(0.1)*(Combustão_Móvel!$D$20)*(Combustão_Móvel!$E$20)))*1000</f>
        <v>0</v>
      </c>
      <c r="L5" s="6">
        <f>IF(D5="Gasolina Automotiva",(H5/1000)*(((1-0.27)*(_xlfn.XLOOKUP(D5,Combustão_Móvel!$A$16:$A$20,Combustão_Móvel!$D$16:$D$20))*(_xlfn.XLOOKUP(D5,Combustão_Móvel!$A$16:$A$20,Combustão_Móvel!$F$16:$F$20)))+((0.27)*(Combustão_Móvel!$D$18)*(Combustão_Móvel!$F$18))),IF(D5="Óleo Diesel",(H5/1000)*(((1-0.1)*(_xlfn.XLOOKUP(D5,Combustão_Móvel!$A$16:$A$20,Combustão_Móvel!$F$16:$F$20))*(_xlfn.XLOOKUP(D5,Combustão_Móvel!$A$16:$A$20,Combustão_Móvel!$D$16:$D$20)))+((0.1)*(Combustão_Móvel!$D$20)*(Combustão_Móvel!$F$20)))))*1000</f>
        <v>0</v>
      </c>
      <c r="M5" s="6">
        <f>IF(D5="Gasolina Automotiva",(H5/1000)*(((1-0.27)*(_xlfn.XLOOKUP(D5,Combustão_Móvel!$A$16:$A$20,Combustão_Móvel!$D$16:$D$20))*(_xlfn.XLOOKUP(D5,Combustão_Móvel!$A$16:$A$20,Combustão_Móvel!$G$16:$G$20)))+((0.27)*(Combustão_Móvel!$D$18)*(Combustão_Móvel!$G$18))),IF(D5="Óleo Diesel",(H5/1000)*(((1-0.1)*(_xlfn.XLOOKUP(D5,Combustão_Móvel!$A$16:$A$20,Combustão_Móvel!$G$16:$G$20))*(_xlfn.XLOOKUP(D5,Combustão_Móvel!$A$16:$A$20,Combustão_Móvel!$D$16:$D$20)))+((0.1)*(Combustão_Móvel!$D$20)*(Combustão_Móvel!$G$20)))))*1000</f>
        <v>0</v>
      </c>
      <c r="N5" s="6">
        <f>(J5+(L5*GWP_Quioto!$E$3)+(M5*GWP_Quioto!$E$6))/1000</f>
        <v>0</v>
      </c>
      <c r="O5" s="6">
        <f t="shared" si="2"/>
        <v>0</v>
      </c>
      <c r="P5" s="6">
        <f>IF(D5="Gasolina Automotiva",(H5*((Densidades!$B$33*0.73)+(Densidades!$B$3*0.27))/1000),IF(D5="Óleo Diesel",(H5*((Densidades!$B$44*0.9)+(Densidades!$B$6*0.1))/1000),IF(D5="Acetileno",H5,"")))</f>
        <v>0</v>
      </c>
      <c r="Q5" s="6">
        <f>(P5*(_xlfn.XLOOKUP(E5,'Fatores de Emissão'!A:A,'Fatores de Emissão'!B:B)))/1000</f>
        <v>0</v>
      </c>
      <c r="R5" s="6">
        <f>(P5*(_xlfn.XLOOKUP(E5,'Fatores de Emissão'!A:A,'Fatores de Emissão'!C:C)))/1000</f>
        <v>0</v>
      </c>
      <c r="S5" s="6">
        <f>(P5*(_xlfn.XLOOKUP(E5,'Fatores de Emissão'!A:A,'Fatores de Emissão'!E:E)))/1000</f>
        <v>0</v>
      </c>
      <c r="T5" s="6">
        <f t="shared" si="3"/>
        <v>0</v>
      </c>
      <c r="U5" s="6">
        <f t="shared" si="4"/>
        <v>0</v>
      </c>
      <c r="V5" s="6"/>
      <c r="W5" s="6"/>
      <c r="X5" s="6"/>
      <c r="Y5" s="6"/>
      <c r="Z5" s="6" t="s">
        <v>699</v>
      </c>
    </row>
    <row r="6" spans="1:26">
      <c r="A6" s="5" t="s">
        <v>18</v>
      </c>
      <c r="B6" s="7" t="s">
        <v>19</v>
      </c>
      <c r="C6" s="8" t="s">
        <v>26</v>
      </c>
      <c r="D6" s="8" t="s">
        <v>31</v>
      </c>
      <c r="E6" s="9" t="str">
        <f>IF(D6="Gasolina Automotiva", 'Fatores de Emissão'!$A$16,IF(D6="Óleo Diesel",'Fatores de Emissão'!$A$19,"Acetileno"))</f>
        <v>Gasolina (27% de etanol)</v>
      </c>
      <c r="F6" s="156">
        <f t="shared" si="0"/>
        <v>0.27</v>
      </c>
      <c r="G6" s="156">
        <f t="shared" si="1"/>
        <v>0</v>
      </c>
      <c r="H6" s="11">
        <v>0</v>
      </c>
      <c r="I6" s="12" t="s">
        <v>108</v>
      </c>
      <c r="J6" s="6">
        <f>IF(D6="Gasolina Automotiva",(H6/1000)*(1-0.27)*(_xlfn.XLOOKUP(D6,Combustão_Móvel!$A$16:$A$20,Combustão_Móvel!$E$16:$E$20))*(_xlfn.XLOOKUP(D6,Combustão_Móvel!$A$16:$A$20,Combustão_Móvel!$D$16:$D$20)),IF(D6="Óleo Diesel",(H6/1000)*(1-0.1)*(_xlfn.XLOOKUP(D6,Combustão_Móvel!$A$16:$A$20,Combustão_Móvel!$E$16:$E$20))*(_xlfn.XLOOKUP(D6,Combustão_Móvel!$A$16:$A$20,Combustão_Móvel!$D$16:$D$20))))*1000</f>
        <v>0</v>
      </c>
      <c r="K6" s="6">
        <f>IF(D6="Gasolina Automotiva",(H6/1000)*(0.27)*(Combustão_Móvel!$D$18)*(Combustão_Móvel!$E$18),IF(D6="Óleo Diesel",(H6/1000)*(0.1)*(Combustão_Móvel!$D$20)*(Combustão_Móvel!$E$20)))*1000</f>
        <v>0</v>
      </c>
      <c r="L6" s="6">
        <f>IF(D6="Gasolina Automotiva",(H6/1000)*(((1-0.27)*(_xlfn.XLOOKUP(D6,Combustão_Móvel!$A$16:$A$20,Combustão_Móvel!$D$16:$D$20))*(_xlfn.XLOOKUP(D6,Combustão_Móvel!$A$16:$A$20,Combustão_Móvel!$F$16:$F$20)))+((0.27)*(Combustão_Móvel!$D$18)*(Combustão_Móvel!$F$18))),IF(D6="Óleo Diesel",(H6/1000)*(((1-0.1)*(_xlfn.XLOOKUP(D6,Combustão_Móvel!$A$16:$A$20,Combustão_Móvel!$F$16:$F$20))*(_xlfn.XLOOKUP(D6,Combustão_Móvel!$A$16:$A$20,Combustão_Móvel!$D$16:$D$20)))+((0.1)*(Combustão_Móvel!$D$20)*(Combustão_Móvel!$F$20)))))*1000</f>
        <v>0</v>
      </c>
      <c r="M6" s="6">
        <f>IF(D6="Gasolina Automotiva",(H6/1000)*(((1-0.27)*(_xlfn.XLOOKUP(D6,Combustão_Móvel!$A$16:$A$20,Combustão_Móvel!$D$16:$D$20))*(_xlfn.XLOOKUP(D6,Combustão_Móvel!$A$16:$A$20,Combustão_Móvel!$G$16:$G$20)))+((0.27)*(Combustão_Móvel!$D$18)*(Combustão_Móvel!$G$18))),IF(D6="Óleo Diesel",(H6/1000)*(((1-0.1)*(_xlfn.XLOOKUP(D6,Combustão_Móvel!$A$16:$A$20,Combustão_Móvel!$G$16:$G$20))*(_xlfn.XLOOKUP(D6,Combustão_Móvel!$A$16:$A$20,Combustão_Móvel!$D$16:$D$20)))+((0.1)*(Combustão_Móvel!$D$20)*(Combustão_Móvel!$G$20)))))*1000</f>
        <v>0</v>
      </c>
      <c r="N6" s="6">
        <f>(J6+(L6*GWP_Quioto!$E$3)+(M6*GWP_Quioto!$E$6))/1000</f>
        <v>0</v>
      </c>
      <c r="O6" s="6">
        <f t="shared" si="2"/>
        <v>0</v>
      </c>
      <c r="P6" s="6">
        <f>IF(D6="Gasolina Automotiva",(H6*((Densidades!$B$33*0.73)+(Densidades!$B$3*0.27))/1000),IF(D6="Óleo Diesel",(H6*((Densidades!$B$44*0.9)+(Densidades!$B$6*0.1))/1000),IF(D6="Acetileno",H6,"")))</f>
        <v>0</v>
      </c>
      <c r="Q6" s="6">
        <f>(P6*(_xlfn.XLOOKUP(E6,'Fatores de Emissão'!A:A,'Fatores de Emissão'!B:B)))/1000</f>
        <v>0</v>
      </c>
      <c r="R6" s="6">
        <f>(P6*(_xlfn.XLOOKUP(E6,'Fatores de Emissão'!A:A,'Fatores de Emissão'!C:C)))/1000</f>
        <v>0</v>
      </c>
      <c r="S6" s="6">
        <f>(P6*(_xlfn.XLOOKUP(E6,'Fatores de Emissão'!A:A,'Fatores de Emissão'!E:E)))/1000</f>
        <v>0</v>
      </c>
      <c r="T6" s="6">
        <f t="shared" si="3"/>
        <v>0</v>
      </c>
      <c r="U6" s="6">
        <f t="shared" si="4"/>
        <v>0</v>
      </c>
      <c r="V6" s="6"/>
      <c r="W6" s="6"/>
      <c r="X6" s="6"/>
      <c r="Y6" s="6"/>
      <c r="Z6" s="6" t="s">
        <v>699</v>
      </c>
    </row>
    <row r="7" spans="1:26">
      <c r="A7" s="5" t="s">
        <v>18</v>
      </c>
      <c r="B7" s="7" t="s">
        <v>19</v>
      </c>
      <c r="C7" s="8" t="s">
        <v>27</v>
      </c>
      <c r="D7" s="8" t="s">
        <v>31</v>
      </c>
      <c r="E7" s="9" t="str">
        <f>IF(D7="Gasolina Automotiva", 'Fatores de Emissão'!$A$16,IF(D7="Óleo Diesel",'Fatores de Emissão'!$A$19,"Acetileno"))</f>
        <v>Gasolina (27% de etanol)</v>
      </c>
      <c r="F7" s="156">
        <f t="shared" si="0"/>
        <v>0.27</v>
      </c>
      <c r="G7" s="156">
        <f t="shared" si="1"/>
        <v>0</v>
      </c>
      <c r="H7" s="11">
        <v>0</v>
      </c>
      <c r="I7" s="12" t="s">
        <v>108</v>
      </c>
      <c r="J7" s="6">
        <f>IF(D7="Gasolina Automotiva",(H7/1000)*(1-0.27)*(_xlfn.XLOOKUP(D7,Combustão_Móvel!$A$16:$A$20,Combustão_Móvel!$E$16:$E$20))*(_xlfn.XLOOKUP(D7,Combustão_Móvel!$A$16:$A$20,Combustão_Móvel!$D$16:$D$20)),IF(D7="Óleo Diesel",(H7/1000)*(1-0.1)*(_xlfn.XLOOKUP(D7,Combustão_Móvel!$A$16:$A$20,Combustão_Móvel!$E$16:$E$20))*(_xlfn.XLOOKUP(D7,Combustão_Móvel!$A$16:$A$20,Combustão_Móvel!$D$16:$D$20))))*1000</f>
        <v>0</v>
      </c>
      <c r="K7" s="6">
        <f>IF(D7="Gasolina Automotiva",(H7/1000)*(0.27)*(Combustão_Móvel!$D$18)*(Combustão_Móvel!$E$18),IF(D7="Óleo Diesel",(H7/1000)*(0.1)*(Combustão_Móvel!$D$20)*(Combustão_Móvel!$E$20)))*1000</f>
        <v>0</v>
      </c>
      <c r="L7" s="6">
        <f>IF(D7="Gasolina Automotiva",(H7/1000)*(((1-0.27)*(_xlfn.XLOOKUP(D7,Combustão_Móvel!$A$16:$A$20,Combustão_Móvel!$D$16:$D$20))*(_xlfn.XLOOKUP(D7,Combustão_Móvel!$A$16:$A$20,Combustão_Móvel!$F$16:$F$20)))+((0.27)*(Combustão_Móvel!$D$18)*(Combustão_Móvel!$F$18))),IF(D7="Óleo Diesel",(H7/1000)*(((1-0.1)*(_xlfn.XLOOKUP(D7,Combustão_Móvel!$A$16:$A$20,Combustão_Móvel!$F$16:$F$20))*(_xlfn.XLOOKUP(D7,Combustão_Móvel!$A$16:$A$20,Combustão_Móvel!$D$16:$D$20)))+((0.1)*(Combustão_Móvel!$D$20)*(Combustão_Móvel!$F$20)))))*1000</f>
        <v>0</v>
      </c>
      <c r="M7" s="6">
        <f>IF(D7="Gasolina Automotiva",(H7/1000)*(((1-0.27)*(_xlfn.XLOOKUP(D7,Combustão_Móvel!$A$16:$A$20,Combustão_Móvel!$D$16:$D$20))*(_xlfn.XLOOKUP(D7,Combustão_Móvel!$A$16:$A$20,Combustão_Móvel!$G$16:$G$20)))+((0.27)*(Combustão_Móvel!$D$18)*(Combustão_Móvel!$G$18))),IF(D7="Óleo Diesel",(H7/1000)*(((1-0.1)*(_xlfn.XLOOKUP(D7,Combustão_Móvel!$A$16:$A$20,Combustão_Móvel!$G$16:$G$20))*(_xlfn.XLOOKUP(D7,Combustão_Móvel!$A$16:$A$20,Combustão_Móvel!$D$16:$D$20)))+((0.1)*(Combustão_Móvel!$D$20)*(Combustão_Móvel!$G$20)))))*1000</f>
        <v>0</v>
      </c>
      <c r="N7" s="6">
        <f>(J7+(L7*GWP_Quioto!$E$3)+(M7*GWP_Quioto!$E$6))/1000</f>
        <v>0</v>
      </c>
      <c r="O7" s="6">
        <f t="shared" si="2"/>
        <v>0</v>
      </c>
      <c r="P7" s="6">
        <f>IF(D7="Gasolina Automotiva",(H7*((Densidades!$B$33*0.73)+(Densidades!$B$3*0.27))/1000),IF(D7="Óleo Diesel",(H7*((Densidades!$B$44*0.9)+(Densidades!$B$6*0.1))/1000),IF(D7="Acetileno",H7,"")))</f>
        <v>0</v>
      </c>
      <c r="Q7" s="6">
        <f>(P7*(_xlfn.XLOOKUP(E7,'Fatores de Emissão'!A:A,'Fatores de Emissão'!B:B)))/1000</f>
        <v>0</v>
      </c>
      <c r="R7" s="6">
        <f>(P7*(_xlfn.XLOOKUP(E7,'Fatores de Emissão'!A:A,'Fatores de Emissão'!C:C)))/1000</f>
        <v>0</v>
      </c>
      <c r="S7" s="6">
        <f>(P7*(_xlfn.XLOOKUP(E7,'Fatores de Emissão'!A:A,'Fatores de Emissão'!E:E)))/1000</f>
        <v>0</v>
      </c>
      <c r="T7" s="6">
        <f t="shared" si="3"/>
        <v>0</v>
      </c>
      <c r="U7" s="6">
        <f t="shared" si="4"/>
        <v>0</v>
      </c>
      <c r="V7" s="6"/>
      <c r="W7" s="6"/>
      <c r="X7" s="6"/>
      <c r="Y7" s="6"/>
      <c r="Z7" s="6" t="s">
        <v>699</v>
      </c>
    </row>
    <row r="8" spans="1:26">
      <c r="A8" s="5" t="s">
        <v>18</v>
      </c>
      <c r="B8" s="7" t="s">
        <v>19</v>
      </c>
      <c r="C8" s="8" t="s">
        <v>22</v>
      </c>
      <c r="D8" s="8" t="s">
        <v>32</v>
      </c>
      <c r="E8" s="9" t="str">
        <f>IF(D8="Gasolina Automotiva", 'Fatores de Emissão'!$A$16,IF(D8="Óleo Diesel",'Fatores de Emissão'!$A$19,"Acetileno"))</f>
        <v>Óleo Diesel (10% Biodiesel)</v>
      </c>
      <c r="F8" s="156">
        <f t="shared" si="0"/>
        <v>0</v>
      </c>
      <c r="G8" s="156">
        <f t="shared" si="1"/>
        <v>0.1</v>
      </c>
      <c r="H8" s="9">
        <v>105628.21309999999</v>
      </c>
      <c r="I8" s="10" t="s">
        <v>108</v>
      </c>
      <c r="J8" s="6">
        <f>IF(D8="Gasolina Automotiva",(H8/1000)*(1-0.27)*(_xlfn.XLOOKUP(D8,Combustão_Móvel!$A$16:$A$20,Combustão_Móvel!$E$16:$E$20))*(_xlfn.XLOOKUP(D8,Combustão_Móvel!$A$16:$A$20,Combustão_Móvel!$D$16:$D$20)),IF(D8="Óleo Diesel",(H8/1000)*(1-0.1)*(_xlfn.XLOOKUP(D8,Combustão_Móvel!$A$16:$A$20,Combustão_Móvel!$E$16:$E$20))*(_xlfn.XLOOKUP(D8,Combustão_Móvel!$A$16:$A$20,Combustão_Móvel!$D$16:$D$20))))*1000</f>
        <v>250074.26637318448</v>
      </c>
      <c r="K8" s="6">
        <f>IF(D8="Gasolina Automotiva",(H8/1000)*(0.27)*(Combustão_Móvel!$D$18)*(Combustão_Móvel!$E$18),IF(D8="Óleo Diesel",(H8/1000)*(0.1)*(Combustão_Móvel!$D$20)*(Combustão_Móvel!$E$20)))*1000</f>
        <v>24781.640247632131</v>
      </c>
      <c r="L8" s="6">
        <f>IF(D8="Gasolina Automotiva",(H8/1000)*(((1-0.27)*(_xlfn.XLOOKUP(D8,Combustão_Móvel!$A$16:$A$20,Combustão_Móvel!$D$16:$D$20))*(_xlfn.XLOOKUP(D8,Combustão_Móvel!$A$16:$A$20,Combustão_Móvel!$F$16:$F$20)))+((0.27)*(Combustão_Móvel!$D$18)*(Combustão_Móvel!$F$18))),IF(D8="Óleo Diesel",(H8/1000)*(((1-0.1)*(_xlfn.XLOOKUP(D8,Combustão_Móvel!$A$16:$A$20,Combustão_Móvel!$F$16:$F$20))*(_xlfn.XLOOKUP(D8,Combustão_Móvel!$A$16:$A$20,Combustão_Móvel!$D$16:$D$20)))+((0.1)*(Combustão_Móvel!$D$20)*(Combustão_Móvel!$F$20)))))*1000</f>
        <v>15.05557834748006</v>
      </c>
      <c r="M8" s="6">
        <f>IF(D8="Gasolina Automotiva",(H8/1000)*(((1-0.27)*(_xlfn.XLOOKUP(D8,Combustão_Móvel!$A$16:$A$20,Combustão_Móvel!$D$16:$D$20))*(_xlfn.XLOOKUP(D8,Combustão_Móvel!$A$16:$A$20,Combustão_Móvel!$G$16:$G$20)))+((0.27)*(Combustão_Móvel!$D$18)*(Combustão_Móvel!$G$18))),IF(D8="Óleo Diesel",(H8/1000)*(((1-0.1)*(_xlfn.XLOOKUP(D8,Combustão_Móvel!$A$16:$A$20,Combustão_Móvel!$G$16:$G$20))*(_xlfn.XLOOKUP(D8,Combustão_Móvel!$A$16:$A$20,Combustão_Móvel!$D$16:$D$20)))+((0.1)*(Combustão_Móvel!$D$20)*(Combustão_Móvel!$G$20)))))*1000</f>
        <v>96.729906184790678</v>
      </c>
      <c r="N8" s="6">
        <f>(J8+(L8*GWP_Quioto!$E$3)+(M8*GWP_Quioto!$E$6))/1000</f>
        <v>276.90158139752702</v>
      </c>
      <c r="O8" s="6">
        <f t="shared" si="2"/>
        <v>24.781640247632129</v>
      </c>
      <c r="P8" s="6">
        <f>IF(D8="Gasolina Automotiva",(H8*((Densidades!$B$33*0.73)+(Densidades!$B$3*0.27))/1000),IF(D8="Óleo Diesel",(H8*((Densidades!$B$44*0.9)+(Densidades!$B$6*0.1))/1000),IF(D8="Acetileno",H8,"")))</f>
        <v>89150.211856399997</v>
      </c>
      <c r="Q8" s="6">
        <f>(P8*(_xlfn.XLOOKUP(E8,'Fatores de Emissão'!A:A,'Fatores de Emissão'!B:B)))/1000</f>
        <v>69.843973740466495</v>
      </c>
      <c r="R8" s="6">
        <f>(P8*(_xlfn.XLOOKUP(E8,'Fatores de Emissão'!A:A,'Fatores de Emissão'!C:C)))/1000</f>
        <v>2.3131079851746741E-2</v>
      </c>
      <c r="S8" s="6">
        <f>(P8*(_xlfn.XLOOKUP(E8,'Fatores de Emissão'!A:A,'Fatores de Emissão'!E:E)))/1000</f>
        <v>1.248588560661811E-2</v>
      </c>
      <c r="T8" s="6">
        <f t="shared" si="3"/>
        <v>346.74555513799351</v>
      </c>
      <c r="U8" s="6">
        <f t="shared" si="4"/>
        <v>24.804771327483877</v>
      </c>
      <c r="V8" s="6"/>
      <c r="W8" s="6"/>
      <c r="X8" s="6"/>
      <c r="Y8" s="6"/>
      <c r="Z8" s="6" t="s">
        <v>699</v>
      </c>
    </row>
    <row r="9" spans="1:26">
      <c r="A9" s="5" t="s">
        <v>18</v>
      </c>
      <c r="B9" s="7" t="s">
        <v>19</v>
      </c>
      <c r="C9" s="8" t="s">
        <v>23</v>
      </c>
      <c r="D9" s="8" t="s">
        <v>32</v>
      </c>
      <c r="E9" s="9" t="str">
        <f>IF(D9="Gasolina Automotiva", 'Fatores de Emissão'!$A$16,IF(D9="Óleo Diesel",'Fatores de Emissão'!$A$19,"Acetileno"))</f>
        <v>Óleo Diesel (10% Biodiesel)</v>
      </c>
      <c r="F9" s="156">
        <f t="shared" si="0"/>
        <v>0</v>
      </c>
      <c r="G9" s="156">
        <f t="shared" si="1"/>
        <v>0.1</v>
      </c>
      <c r="H9" s="9">
        <v>59952.3</v>
      </c>
      <c r="I9" s="10" t="s">
        <v>108</v>
      </c>
      <c r="J9" s="6">
        <f>IF(D9="Gasolina Automotiva",(H9/1000)*(1-0.27)*(_xlfn.XLOOKUP(D9,Combustão_Móvel!$A$16:$A$20,Combustão_Móvel!$E$16:$E$20))*(_xlfn.XLOOKUP(D9,Combustão_Móvel!$A$16:$A$20,Combustão_Móvel!$D$16:$D$20)),IF(D9="Óleo Diesel",(H9/1000)*(1-0.1)*(_xlfn.XLOOKUP(D9,Combustão_Móvel!$A$16:$A$20,Combustão_Móvel!$E$16:$E$20))*(_xlfn.XLOOKUP(D9,Combustão_Móvel!$A$16:$A$20,Combustão_Móvel!$D$16:$D$20))))*1000</f>
        <v>141936.77048850001</v>
      </c>
      <c r="K9" s="6">
        <f>IF(D9="Gasolina Automotiva",(H9/1000)*(0.27)*(Combustão_Móvel!$D$18)*(Combustão_Móvel!$E$18),IF(D9="Óleo Diesel",(H9/1000)*(0.1)*(Combustão_Móvel!$D$20)*(Combustão_Móvel!$E$20)))*1000</f>
        <v>14065.525554347523</v>
      </c>
      <c r="L9" s="6">
        <f>IF(D9="Gasolina Automotiva",(H9/1000)*(((1-0.27)*(_xlfn.XLOOKUP(D9,Combustão_Móvel!$A$16:$A$20,Combustão_Móvel!$D$16:$D$20))*(_xlfn.XLOOKUP(D9,Combustão_Móvel!$A$16:$A$20,Combustão_Móvel!$F$16:$F$20)))+((0.27)*(Combustão_Móvel!$D$18)*(Combustão_Móvel!$F$18))),IF(D9="Óleo Diesel",(H9/1000)*(((1-0.1)*(_xlfn.XLOOKUP(D9,Combustão_Móvel!$A$16:$A$20,Combustão_Móvel!$F$16:$F$20))*(_xlfn.XLOOKUP(D9,Combustão_Móvel!$A$16:$A$20,Combustão_Móvel!$D$16:$D$20)))+((0.1)*(Combustão_Móvel!$D$20)*(Combustão_Móvel!$F$20)))))*1000</f>
        <v>8.5452221832732</v>
      </c>
      <c r="M9" s="6">
        <f>IF(D9="Gasolina Automotiva",(H9/1000)*(((1-0.27)*(_xlfn.XLOOKUP(D9,Combustão_Móvel!$A$16:$A$20,Combustão_Móvel!$D$16:$D$20))*(_xlfn.XLOOKUP(D9,Combustão_Móvel!$A$16:$A$20,Combustão_Móvel!$G$16:$G$20)))+((0.27)*(Combustão_Móvel!$D$18)*(Combustão_Móvel!$G$18))),IF(D9="Óleo Diesel",(H9/1000)*(((1-0.1)*(_xlfn.XLOOKUP(D9,Combustão_Móvel!$A$16:$A$20,Combustão_Móvel!$G$16:$G$20))*(_xlfn.XLOOKUP(D9,Combustão_Móvel!$A$16:$A$20,Combustão_Móvel!$D$16:$D$20)))+((0.1)*(Combustão_Móvel!$D$20)*(Combustão_Móvel!$G$20)))))*1000</f>
        <v>54.90181254010465</v>
      </c>
      <c r="N9" s="6">
        <f>(J9+(L9*GWP_Quioto!$E$3)+(M9*GWP_Quioto!$E$6))/1000</f>
        <v>157.16337701086189</v>
      </c>
      <c r="O9" s="6">
        <f t="shared" si="2"/>
        <v>14.065525554347523</v>
      </c>
      <c r="P9" s="6">
        <f>IF(D9="Gasolina Automotiva",(H9*((Densidades!$B$33*0.73)+(Densidades!$B$3*0.27))/1000),IF(D9="Óleo Diesel",(H9*((Densidades!$B$44*0.9)+(Densidades!$B$6*0.1))/1000),IF(D9="Acetileno",H9,"")))</f>
        <v>50599.741200000004</v>
      </c>
      <c r="Q9" s="6">
        <f>(P9*(_xlfn.XLOOKUP(E9,'Fatores de Emissão'!A:A,'Fatores de Emissão'!B:B)))/1000</f>
        <v>39.64193603196123</v>
      </c>
      <c r="R9" s="6">
        <f>(P9*(_xlfn.XLOOKUP(E9,'Fatores de Emissão'!A:A,'Fatores de Emissão'!C:C)))/1000</f>
        <v>1.3128703003647386E-2</v>
      </c>
      <c r="S9" s="6">
        <f>(P9*(_xlfn.XLOOKUP(E9,'Fatores de Emissão'!A:A,'Fatores de Emissão'!E:E)))/1000</f>
        <v>7.0867198988302394E-3</v>
      </c>
      <c r="T9" s="6">
        <f t="shared" si="3"/>
        <v>196.80531304282312</v>
      </c>
      <c r="U9" s="6">
        <f t="shared" si="4"/>
        <v>14.078654257351172</v>
      </c>
      <c r="V9" s="6"/>
      <c r="W9" s="6"/>
      <c r="X9" s="6"/>
      <c r="Y9" s="6"/>
      <c r="Z9" s="6" t="s">
        <v>699</v>
      </c>
    </row>
    <row r="10" spans="1:26">
      <c r="A10" s="5" t="s">
        <v>18</v>
      </c>
      <c r="B10" s="7" t="s">
        <v>19</v>
      </c>
      <c r="C10" s="8" t="s">
        <v>24</v>
      </c>
      <c r="D10" s="8" t="s">
        <v>32</v>
      </c>
      <c r="E10" s="9" t="str">
        <f>IF(D10="Gasolina Automotiva", 'Fatores de Emissão'!$A$16,IF(D10="Óleo Diesel",'Fatores de Emissão'!$A$19,"Acetileno"))</f>
        <v>Óleo Diesel (10% Biodiesel)</v>
      </c>
      <c r="F10" s="156">
        <f t="shared" si="0"/>
        <v>0</v>
      </c>
      <c r="G10" s="156">
        <f t="shared" si="1"/>
        <v>0.1</v>
      </c>
      <c r="H10" s="9">
        <v>10523.220000000001</v>
      </c>
      <c r="I10" s="10" t="s">
        <v>108</v>
      </c>
      <c r="J10" s="6">
        <f>IF(D10="Gasolina Automotiva",(H10/1000)*(1-0.27)*(_xlfn.XLOOKUP(D10,Combustão_Móvel!$A$16:$A$20,Combustão_Móvel!$E$16:$E$20))*(_xlfn.XLOOKUP(D10,Combustão_Móvel!$A$16:$A$20,Combustão_Móvel!$D$16:$D$20)),IF(D10="Óleo Diesel",(H10/1000)*(1-0.1)*(_xlfn.XLOOKUP(D10,Combustão_Móvel!$A$16:$A$20,Combustão_Móvel!$E$16:$E$20))*(_xlfn.XLOOKUP(D10,Combustão_Móvel!$A$16:$A$20,Combustão_Móvel!$D$16:$D$20))))*1000</f>
        <v>24913.670733900002</v>
      </c>
      <c r="K10" s="6">
        <f>IF(D10="Gasolina Automotiva",(H10/1000)*(0.27)*(Combustão_Móvel!$D$18)*(Combustão_Móvel!$E$18),IF(D10="Óleo Diesel",(H10/1000)*(0.1)*(Combustão_Móvel!$D$20)*(Combustão_Móvel!$E$20)))*1000</f>
        <v>2468.8730845025289</v>
      </c>
      <c r="L10" s="6">
        <f>IF(D10="Gasolina Automotiva",(H10/1000)*(((1-0.27)*(_xlfn.XLOOKUP(D10,Combustão_Móvel!$A$16:$A$20,Combustão_Móvel!$D$16:$D$20))*(_xlfn.XLOOKUP(D10,Combustão_Móvel!$A$16:$A$20,Combustão_Móvel!$F$16:$F$20)))+((0.27)*(Combustão_Móvel!$D$18)*(Combustão_Móvel!$F$18))),IF(D10="Óleo Diesel",(H10/1000)*(((1-0.1)*(_xlfn.XLOOKUP(D10,Combustão_Móvel!$A$16:$A$20,Combustão_Móvel!$F$16:$F$20))*(_xlfn.XLOOKUP(D10,Combustão_Móvel!$A$16:$A$20,Combustão_Móvel!$D$16:$D$20)))+((0.1)*(Combustão_Móvel!$D$20)*(Combustão_Móvel!$F$20)))))*1000</f>
        <v>1.4999133141424803</v>
      </c>
      <c r="M10" s="6">
        <f>IF(D10="Gasolina Automotiva",(H10/1000)*(((1-0.27)*(_xlfn.XLOOKUP(D10,Combustão_Móvel!$A$16:$A$20,Combustão_Móvel!$D$16:$D$20))*(_xlfn.XLOOKUP(D10,Combustão_Móvel!$A$16:$A$20,Combustão_Móvel!$G$16:$G$20)))+((0.27)*(Combustão_Móvel!$D$18)*(Combustão_Móvel!$G$18))),IF(D10="Óleo Diesel",(H10/1000)*(((1-0.1)*(_xlfn.XLOOKUP(D10,Combustão_Móvel!$A$16:$A$20,Combustão_Móvel!$G$16:$G$20))*(_xlfn.XLOOKUP(D10,Combustão_Móvel!$A$16:$A$20,Combustão_Móvel!$D$16:$D$20)))+((0.1)*(Combustão_Móvel!$D$20)*(Combustão_Móvel!$G$20)))))*1000</f>
        <v>9.6367253926584979</v>
      </c>
      <c r="N10" s="6">
        <f>(J10+(L10*GWP_Quioto!$E$3)+(M10*GWP_Quioto!$E$6))/1000</f>
        <v>27.586344347560349</v>
      </c>
      <c r="O10" s="6">
        <f t="shared" si="2"/>
        <v>2.4688730845025288</v>
      </c>
      <c r="P10" s="6">
        <f>IF(D10="Gasolina Automotiva",(H10*((Densidades!$B$33*0.73)+(Densidades!$B$3*0.27))/1000),IF(D10="Óleo Diesel",(H10*((Densidades!$B$44*0.9)+(Densidades!$B$6*0.1))/1000),IF(D10="Acetileno",H10,"")))</f>
        <v>8881.5976800000008</v>
      </c>
      <c r="Q10" s="6">
        <f>(P10*(_xlfn.XLOOKUP(E10,'Fatores de Emissão'!A:A,'Fatores de Emissão'!B:B)))/1000</f>
        <v>6.9582120133882288</v>
      </c>
      <c r="R10" s="6">
        <f>(P10*(_xlfn.XLOOKUP(E10,'Fatores de Emissão'!A:A,'Fatores de Emissão'!C:C)))/1000</f>
        <v>2.3044358602095703E-3</v>
      </c>
      <c r="S10" s="6">
        <f>(P10*(_xlfn.XLOOKUP(E10,'Fatores de Emissão'!A:A,'Fatores de Emissão'!E:E)))/1000</f>
        <v>1.2439074493183473E-3</v>
      </c>
      <c r="T10" s="6">
        <f t="shared" si="3"/>
        <v>34.544556360948576</v>
      </c>
      <c r="U10" s="6">
        <f t="shared" si="4"/>
        <v>2.4711775203627386</v>
      </c>
      <c r="V10" s="6"/>
      <c r="W10" s="6"/>
      <c r="X10" s="6"/>
      <c r="Y10" s="6"/>
      <c r="Z10" s="6" t="s">
        <v>699</v>
      </c>
    </row>
    <row r="11" spans="1:26">
      <c r="A11" s="5" t="s">
        <v>18</v>
      </c>
      <c r="B11" s="7" t="s">
        <v>19</v>
      </c>
      <c r="C11" s="8" t="s">
        <v>25</v>
      </c>
      <c r="D11" s="8" t="s">
        <v>32</v>
      </c>
      <c r="E11" s="9" t="str">
        <f>IF(D11="Gasolina Automotiva", 'Fatores de Emissão'!$A$16,IF(D11="Óleo Diesel",'Fatores de Emissão'!$A$19,"Acetileno"))</f>
        <v>Óleo Diesel (10% Biodiesel)</v>
      </c>
      <c r="F11" s="156">
        <f t="shared" si="0"/>
        <v>0</v>
      </c>
      <c r="G11" s="156">
        <f t="shared" si="1"/>
        <v>0.1</v>
      </c>
      <c r="H11" s="9">
        <v>193977.26</v>
      </c>
      <c r="I11" s="10" t="s">
        <v>108</v>
      </c>
      <c r="J11" s="6">
        <f>IF(D11="Gasolina Automotiva",(H11/1000)*(1-0.27)*(_xlfn.XLOOKUP(D11,Combustão_Móvel!$A$16:$A$20,Combustão_Móvel!$E$16:$E$20))*(_xlfn.XLOOKUP(D11,Combustão_Móvel!$A$16:$A$20,Combustão_Móvel!$D$16:$D$20)),IF(D11="Óleo Diesel",(H11/1000)*(1-0.1)*(_xlfn.XLOOKUP(D11,Combustão_Móvel!$A$16:$A$20,Combustão_Móvel!$E$16:$E$20))*(_xlfn.XLOOKUP(D11,Combustão_Móvel!$A$16:$A$20,Combustão_Móvel!$D$16:$D$20))))*1000</f>
        <v>459240.19316369999</v>
      </c>
      <c r="K11" s="6">
        <f>IF(D11="Gasolina Automotiva",(H11/1000)*(0.27)*(Combustão_Móvel!$D$18)*(Combustão_Móvel!$E$18),IF(D11="Óleo Diesel",(H11/1000)*(0.1)*(Combustão_Móvel!$D$20)*(Combustão_Móvel!$E$20)))*1000</f>
        <v>45509.381750029832</v>
      </c>
      <c r="L11" s="6">
        <f>IF(D11="Gasolina Automotiva",(H11/1000)*(((1-0.27)*(_xlfn.XLOOKUP(D11,Combustão_Móvel!$A$16:$A$20,Combustão_Móvel!$D$16:$D$20))*(_xlfn.XLOOKUP(D11,Combustão_Móvel!$A$16:$A$20,Combustão_Móvel!$F$16:$F$20)))+((0.27)*(Combustão_Móvel!$D$18)*(Combustão_Móvel!$F$18))),IF(D11="Óleo Diesel",(H11/1000)*(((1-0.1)*(_xlfn.XLOOKUP(D11,Combustão_Móvel!$A$16:$A$20,Combustão_Móvel!$F$16:$F$20))*(_xlfn.XLOOKUP(D11,Combustão_Móvel!$A$16:$A$20,Combustão_Móvel!$D$16:$D$20)))+((0.1)*(Combustão_Móvel!$D$20)*(Combustão_Móvel!$F$20)))))*1000</f>
        <v>27.648293480025838</v>
      </c>
      <c r="M11" s="6">
        <f>IF(D11="Gasolina Automotiva",(H11/1000)*(((1-0.27)*(_xlfn.XLOOKUP(D11,Combustão_Móvel!$A$16:$A$20,Combustão_Móvel!$D$16:$D$20))*(_xlfn.XLOOKUP(D11,Combustão_Móvel!$A$16:$A$20,Combustão_Móvel!$G$16:$G$20)))+((0.27)*(Combustão_Móvel!$D$18)*(Combustão_Móvel!$G$18))),IF(D11="Óleo Diesel",(H11/1000)*(((1-0.1)*(_xlfn.XLOOKUP(D11,Combustão_Móvel!$A$16:$A$20,Combustão_Móvel!$G$16:$G$20))*(_xlfn.XLOOKUP(D11,Combustão_Móvel!$A$16:$A$20,Combustão_Móvel!$D$16:$D$20)))+((0.1)*(Combustão_Móvel!$D$20)*(Combustão_Móvel!$G$20)))))*1000</f>
        <v>177.63627359689519</v>
      </c>
      <c r="N11" s="6">
        <f>(J11+(L11*GWP_Quioto!$E$3)+(M11*GWP_Quioto!$E$6))/1000</f>
        <v>508.50628324374509</v>
      </c>
      <c r="O11" s="6">
        <f t="shared" si="2"/>
        <v>45.509381750029831</v>
      </c>
      <c r="P11" s="6">
        <f>IF(D11="Gasolina Automotiva",(H11*((Densidades!$B$33*0.73)+(Densidades!$B$3*0.27))/1000),IF(D11="Óleo Diesel",(H11*((Densidades!$B$44*0.9)+(Densidades!$B$6*0.1))/1000),IF(D11="Acetileno",H11,"")))</f>
        <v>163716.80744</v>
      </c>
      <c r="Q11" s="6">
        <f>(P11*(_xlfn.XLOOKUP(E11,'Fatores de Emissão'!A:A,'Fatores de Emissão'!B:B)))/1000</f>
        <v>128.26253759363883</v>
      </c>
      <c r="R11" s="6">
        <f>(P11*(_xlfn.XLOOKUP(E11,'Fatores de Emissão'!A:A,'Fatores de Emissão'!C:C)))/1000</f>
        <v>4.2478267489342185E-2</v>
      </c>
      <c r="S11" s="6">
        <f>(P11*(_xlfn.XLOOKUP(E11,'Fatores de Emissão'!A:A,'Fatores de Emissão'!E:E)))/1000</f>
        <v>2.2929270576150823E-2</v>
      </c>
      <c r="T11" s="6">
        <f t="shared" si="3"/>
        <v>636.76882083738394</v>
      </c>
      <c r="U11" s="6">
        <f t="shared" si="4"/>
        <v>45.551860017519175</v>
      </c>
      <c r="V11" s="6"/>
      <c r="W11" s="6"/>
      <c r="X11" s="6"/>
      <c r="Y11" s="6"/>
      <c r="Z11" s="6" t="s">
        <v>699</v>
      </c>
    </row>
    <row r="12" spans="1:26">
      <c r="A12" s="5" t="s">
        <v>18</v>
      </c>
      <c r="B12" s="7" t="s">
        <v>19</v>
      </c>
      <c r="C12" s="8" t="s">
        <v>26</v>
      </c>
      <c r="D12" s="8" t="s">
        <v>32</v>
      </c>
      <c r="E12" s="9" t="str">
        <f>IF(D12="Gasolina Automotiva", 'Fatores de Emissão'!$A$16,IF(D12="Óleo Diesel",'Fatores de Emissão'!$A$19,"Acetileno"))</f>
        <v>Óleo Diesel (10% Biodiesel)</v>
      </c>
      <c r="F12" s="156">
        <f t="shared" si="0"/>
        <v>0</v>
      </c>
      <c r="G12" s="156">
        <f t="shared" si="1"/>
        <v>0.1</v>
      </c>
      <c r="H12" s="9">
        <v>192598.52</v>
      </c>
      <c r="I12" s="10" t="s">
        <v>108</v>
      </c>
      <c r="J12" s="6">
        <f>IF(D12="Gasolina Automotiva",(H12/1000)*(1-0.27)*(_xlfn.XLOOKUP(D12,Combustão_Móvel!$A$16:$A$20,Combustão_Móvel!$E$16:$E$20))*(_xlfn.XLOOKUP(D12,Combustão_Móvel!$A$16:$A$20,Combustão_Móvel!$D$16:$D$20)),IF(D12="Óleo Diesel",(H12/1000)*(1-0.1)*(_xlfn.XLOOKUP(D12,Combustão_Móvel!$A$16:$A$20,Combustão_Móvel!$E$16:$E$20))*(_xlfn.XLOOKUP(D12,Combustão_Móvel!$A$16:$A$20,Combustão_Móvel!$D$16:$D$20))))*1000</f>
        <v>455976.03310739994</v>
      </c>
      <c r="K12" s="6">
        <f>IF(D12="Gasolina Automotiva",(H12/1000)*(0.27)*(Combustão_Móvel!$D$18)*(Combustão_Móvel!$E$18),IF(D12="Óleo Diesel",(H12/1000)*(0.1)*(Combustão_Móvel!$D$20)*(Combustão_Móvel!$E$20)))*1000</f>
        <v>45185.912880565258</v>
      </c>
      <c r="L12" s="6">
        <f>IF(D12="Gasolina Automotiva",(H12/1000)*(((1-0.27)*(_xlfn.XLOOKUP(D12,Combustão_Móvel!$A$16:$A$20,Combustão_Móvel!$D$16:$D$20))*(_xlfn.XLOOKUP(D12,Combustão_Móvel!$A$16:$A$20,Combustão_Móvel!$F$16:$F$20)))+((0.27)*(Combustão_Móvel!$D$18)*(Combustão_Móvel!$F$18))),IF(D12="Óleo Diesel",(H12/1000)*(((1-0.1)*(_xlfn.XLOOKUP(D12,Combustão_Móvel!$A$16:$A$20,Combustão_Móvel!$F$16:$F$20))*(_xlfn.XLOOKUP(D12,Combustão_Móvel!$A$16:$A$20,Combustão_Móvel!$D$16:$D$20)))+((0.1)*(Combustão_Móvel!$D$20)*(Combustão_Móvel!$F$20)))))*1000</f>
        <v>27.451776588547677</v>
      </c>
      <c r="M12" s="6">
        <f>IF(D12="Gasolina Automotiva",(H12/1000)*(((1-0.27)*(_xlfn.XLOOKUP(D12,Combustão_Móvel!$A$16:$A$20,Combustão_Móvel!$D$16:$D$20))*(_xlfn.XLOOKUP(D12,Combustão_Móvel!$A$16:$A$20,Combustão_Móvel!$G$16:$G$20)))+((0.27)*(Combustão_Móvel!$D$18)*(Combustão_Móvel!$G$18))),IF(D12="Óleo Diesel",(H12/1000)*(((1-0.1)*(_xlfn.XLOOKUP(D12,Combustão_Móvel!$A$16:$A$20,Combustão_Móvel!$G$16:$G$20))*(_xlfn.XLOOKUP(D12,Combustão_Móvel!$A$16:$A$20,Combustão_Móvel!$D$16:$D$20)))+((0.1)*(Combustão_Móvel!$D$20)*(Combustão_Móvel!$G$20)))))*1000</f>
        <v>176.37368108548952</v>
      </c>
      <c r="N12" s="6">
        <f>(J12+(L12*GWP_Quioto!$E$3)+(M12*GWP_Quioto!$E$6))/1000</f>
        <v>504.89195261055909</v>
      </c>
      <c r="O12" s="6">
        <f t="shared" si="2"/>
        <v>45.185912880565255</v>
      </c>
      <c r="P12" s="6">
        <f>IF(D12="Gasolina Automotiva",(H12*((Densidades!$B$33*0.73)+(Densidades!$B$3*0.27))/1000),IF(D12="Óleo Diesel",(H12*((Densidades!$B$44*0.9)+(Densidades!$B$6*0.1))/1000),IF(D12="Acetileno",H12,"")))</f>
        <v>162553.15088</v>
      </c>
      <c r="Q12" s="6">
        <f>(P12*(_xlfn.XLOOKUP(E12,'Fatores de Emissão'!A:A,'Fatores de Emissão'!B:B)))/1000</f>
        <v>127.35088077839225</v>
      </c>
      <c r="R12" s="6">
        <f>(P12*(_xlfn.XLOOKUP(E12,'Fatores de Emissão'!A:A,'Fatores de Emissão'!C:C)))/1000</f>
        <v>4.2176342993046824E-2</v>
      </c>
      <c r="S12" s="6">
        <f>(P12*(_xlfn.XLOOKUP(E12,'Fatores de Emissão'!A:A,'Fatores de Emissão'!E:E)))/1000</f>
        <v>2.2766295274230575E-2</v>
      </c>
      <c r="T12" s="6">
        <f t="shared" si="3"/>
        <v>632.24283338895134</v>
      </c>
      <c r="U12" s="6">
        <f t="shared" si="4"/>
        <v>45.2280892235583</v>
      </c>
      <c r="V12" s="6"/>
      <c r="W12" s="6"/>
      <c r="X12" s="6"/>
      <c r="Y12" s="6"/>
      <c r="Z12" s="6" t="s">
        <v>699</v>
      </c>
    </row>
    <row r="13" spans="1:26">
      <c r="A13" s="5" t="s">
        <v>18</v>
      </c>
      <c r="B13" s="7" t="s">
        <v>19</v>
      </c>
      <c r="C13" s="8" t="s">
        <v>27</v>
      </c>
      <c r="D13" s="8" t="s">
        <v>32</v>
      </c>
      <c r="E13" s="9" t="str">
        <f>IF(D13="Gasolina Automotiva", 'Fatores de Emissão'!$A$16,IF(D13="Óleo Diesel",'Fatores de Emissão'!$A$19,"Acetileno"))</f>
        <v>Óleo Diesel (10% Biodiesel)</v>
      </c>
      <c r="F13" s="156">
        <f t="shared" si="0"/>
        <v>0</v>
      </c>
      <c r="G13" s="156">
        <f t="shared" si="1"/>
        <v>0.1</v>
      </c>
      <c r="H13" s="9">
        <v>5331.01</v>
      </c>
      <c r="I13" s="10" t="s">
        <v>108</v>
      </c>
      <c r="J13" s="6">
        <f>IF(D13="Gasolina Automotiva",(H13/1000)*(1-0.27)*(_xlfn.XLOOKUP(D13,Combustão_Móvel!$A$16:$A$20,Combustão_Móvel!$E$16:$E$20))*(_xlfn.XLOOKUP(D13,Combustão_Móvel!$A$16:$A$20,Combustão_Móvel!$D$16:$D$20)),IF(D13="Óleo Diesel",(H13/1000)*(1-0.1)*(_xlfn.XLOOKUP(D13,Combustão_Móvel!$A$16:$A$20,Combustão_Móvel!$E$16:$E$20))*(_xlfn.XLOOKUP(D13,Combustão_Móvel!$A$16:$A$20,Combustão_Móvel!$D$16:$D$20))))*1000</f>
        <v>12621.139519949998</v>
      </c>
      <c r="K13" s="6">
        <f>IF(D13="Gasolina Automotiva",(H13/1000)*(0.27)*(Combustão_Móvel!$D$18)*(Combustão_Móvel!$E$18),IF(D13="Óleo Diesel",(H13/1000)*(0.1)*(Combustão_Móvel!$D$20)*(Combustão_Móvel!$E$20)))*1000</f>
        <v>1250.7186110538241</v>
      </c>
      <c r="L13" s="6">
        <f>IF(D13="Gasolina Automotiva",(H13/1000)*(((1-0.27)*(_xlfn.XLOOKUP(D13,Combustão_Móvel!$A$16:$A$20,Combustão_Móvel!$D$16:$D$20))*(_xlfn.XLOOKUP(D13,Combustão_Móvel!$A$16:$A$20,Combustão_Móvel!$F$16:$F$20)))+((0.27)*(Combustão_Móvel!$D$18)*(Combustão_Móvel!$F$18))),IF(D13="Óleo Diesel",(H13/1000)*(((1-0.1)*(_xlfn.XLOOKUP(D13,Combustão_Móvel!$A$16:$A$20,Combustão_Móvel!$F$16:$F$20))*(_xlfn.XLOOKUP(D13,Combustão_Móvel!$A$16:$A$20,Combustão_Móvel!$D$16:$D$20)))+((0.1)*(Combustão_Móvel!$D$20)*(Combustão_Móvel!$F$20)))))*1000</f>
        <v>0.75984849474084004</v>
      </c>
      <c r="M13" s="6">
        <f>IF(D13="Gasolina Automotiva",(H13/1000)*(((1-0.27)*(_xlfn.XLOOKUP(D13,Combustão_Móvel!$A$16:$A$20,Combustão_Móvel!$D$16:$D$20))*(_xlfn.XLOOKUP(D13,Combustão_Móvel!$A$16:$A$20,Combustão_Móvel!$G$16:$G$20)))+((0.27)*(Combustão_Móvel!$D$18)*(Combustão_Móvel!$G$18))),IF(D13="Óleo Diesel",(H13/1000)*(((1-0.1)*(_xlfn.XLOOKUP(D13,Combustão_Móvel!$A$16:$A$20,Combustão_Móvel!$G$16:$G$20))*(_xlfn.XLOOKUP(D13,Combustão_Móvel!$A$16:$A$20,Combustão_Móvel!$D$16:$D$20)))+((0.1)*(Combustão_Móvel!$D$20)*(Combustão_Móvel!$G$20)))))*1000</f>
        <v>4.881916317963169</v>
      </c>
      <c r="N13" s="6">
        <f>(J13+(L13*GWP_Quioto!$E$3)+(M13*GWP_Quioto!$E$6))/1000</f>
        <v>13.975102447757212</v>
      </c>
      <c r="O13" s="6">
        <f t="shared" si="2"/>
        <v>1.2507186110538242</v>
      </c>
      <c r="P13" s="6">
        <f>IF(D13="Gasolina Automotiva",(H13*((Densidades!$B$33*0.73)+(Densidades!$B$3*0.27))/1000),IF(D13="Óleo Diesel",(H13*((Densidades!$B$44*0.9)+(Densidades!$B$6*0.1))/1000),IF(D13="Acetileno",H13,"")))</f>
        <v>4499.3724400000001</v>
      </c>
      <c r="Q13" s="6">
        <f>(P13*(_xlfn.XLOOKUP(E13,'Fatores de Emissão'!A:A,'Fatores de Emissão'!B:B)))/1000</f>
        <v>3.5249949944496817</v>
      </c>
      <c r="R13" s="6">
        <f>(P13*(_xlfn.XLOOKUP(E13,'Fatores de Emissão'!A:A,'Fatores de Emissão'!C:C)))/1000</f>
        <v>1.1674155453497905E-3</v>
      </c>
      <c r="S13" s="6">
        <f>(P13*(_xlfn.XLOOKUP(E13,'Fatores de Emissão'!A:A,'Fatores de Emissão'!E:E)))/1000</f>
        <v>6.3015721912025049E-4</v>
      </c>
      <c r="T13" s="6">
        <f t="shared" si="3"/>
        <v>17.500097442206894</v>
      </c>
      <c r="U13" s="6">
        <f t="shared" si="4"/>
        <v>1.251886026599174</v>
      </c>
      <c r="V13" s="6"/>
      <c r="W13" s="6"/>
      <c r="X13" s="6"/>
      <c r="Y13" s="6"/>
      <c r="Z13" s="6" t="s">
        <v>699</v>
      </c>
    </row>
    <row r="14" spans="1:26">
      <c r="A14" s="5" t="s">
        <v>20</v>
      </c>
      <c r="B14" s="7" t="s">
        <v>19</v>
      </c>
      <c r="C14" s="8" t="s">
        <v>22</v>
      </c>
      <c r="D14" s="8" t="s">
        <v>31</v>
      </c>
      <c r="E14" s="9" t="str">
        <f>IF(D14="Gasolina Automotiva", 'Fatores de Emissão'!$A$16,IF(D14="Óleo Diesel",'Fatores de Emissão'!$A$19,"Acetileno"))</f>
        <v>Gasolina (27% de etanol)</v>
      </c>
      <c r="F14" s="156">
        <f t="shared" si="0"/>
        <v>0.27</v>
      </c>
      <c r="G14" s="156">
        <f t="shared" si="1"/>
        <v>0</v>
      </c>
      <c r="H14" s="9">
        <v>24147.382899999993</v>
      </c>
      <c r="I14" s="10" t="s">
        <v>108</v>
      </c>
      <c r="J14" s="6">
        <f>IF(D14="Gasolina Automotiva",(H14/1000)*(1-0.27)*(_xlfn.XLOOKUP(D14,Combustão_Móvel!$A$16:$A$20,Combustão_Móvel!$E$16:$E$20))*(_xlfn.XLOOKUP(D14,Combustão_Móvel!$A$16:$A$20,Combustão_Móvel!$D$16:$D$20)),IF(D14="Óleo Diesel",(H14/1000)*(1-0.1)*(_xlfn.XLOOKUP(D14,Combustão_Móvel!$A$16:$A$20,Combustão_Móvel!$E$16:$E$20))*(_xlfn.XLOOKUP(D14,Combustão_Móvel!$A$16:$A$20,Combustão_Móvel!$D$16:$D$20))))*1000</f>
        <v>39384.124581745928</v>
      </c>
      <c r="K14" s="6">
        <f>IF(D14="Gasolina Automotiva",(H14/1000)*(0.27)*(Combustão_Móvel!$D$18)*(Combustão_Móvel!$E$18),IF(D14="Óleo Diesel",(H14/1000)*(0.1)*(Combustão_Móvel!$D$20)*(Combustão_Móvel!$E$20)))*1000</f>
        <v>11604.293371492846</v>
      </c>
      <c r="L14" s="6">
        <f>IF(D14="Gasolina Automotiva",(H14/1000)*(((1-0.27)*(_xlfn.XLOOKUP(D14,Combustão_Móvel!$A$16:$A$20,Combustão_Móvel!$D$16:$D$20))*(_xlfn.XLOOKUP(D14,Combustão_Móvel!$A$16:$A$20,Combustão_Móvel!$F$16:$F$20)))+((0.27)*(Combustão_Móvel!$D$18)*(Combustão_Móvel!$F$18))),IF(D14="Óleo Diesel",(H14/1000)*(((1-0.1)*(_xlfn.XLOOKUP(D14,Combustão_Móvel!$A$16:$A$20,Combustão_Móvel!$F$16:$F$20))*(_xlfn.XLOOKUP(D14,Combustão_Móvel!$A$16:$A$20,Combustão_Móvel!$D$16:$D$20)))+((0.1)*(Combustão_Móvel!$D$20)*(Combustão_Móvel!$F$20)))))*1000</f>
        <v>48.089165323036227</v>
      </c>
      <c r="M14" s="6">
        <f>IF(D14="Gasolina Automotiva",(H14/1000)*(((1-0.27)*(_xlfn.XLOOKUP(D14,Combustão_Móvel!$A$16:$A$20,Combustão_Móvel!$D$16:$D$20))*(_xlfn.XLOOKUP(D14,Combustão_Móvel!$A$16:$A$20,Combustão_Móvel!$G$16:$G$20)))+((0.27)*(Combustão_Móvel!$D$18)*(Combustão_Móvel!$G$18))),IF(D14="Óleo Diesel",(H14/1000)*(((1-0.1)*(_xlfn.XLOOKUP(D14,Combustão_Móvel!$A$16:$A$20,Combustão_Móvel!$G$16:$G$20))*(_xlfn.XLOOKUP(D14,Combustão_Móvel!$A$16:$A$20,Combustão_Móvel!$D$16:$D$20)))+((0.1)*(Combustão_Móvel!$D$20)*(Combustão_Móvel!$G$20)))))*1000</f>
        <v>1.2240965200824876</v>
      </c>
      <c r="N14" s="6">
        <f>(J14+(L14*GWP_Quioto!$E$3)+(M14*GWP_Quioto!$E$6))/1000</f>
        <v>41.059990644241161</v>
      </c>
      <c r="O14" s="6">
        <f t="shared" si="2"/>
        <v>11.604293371492846</v>
      </c>
      <c r="P14" s="6">
        <f>IF(D14="Gasolina Automotiva",(H14*((Densidades!$B$33*0.73)+(Densidades!$B$3*0.27))/1000),IF(D14="Óleo Diesel",(H14*((Densidades!$B$44*0.9)+(Densidades!$B$6*0.1))/1000),IF(D14="Acetileno",H14,"")))</f>
        <v>18236.827987566998</v>
      </c>
      <c r="Q14" s="6">
        <f>(P14*(_xlfn.XLOOKUP(E14,'Fatores de Emissão'!A:A,'Fatores de Emissão'!B:B)))/1000</f>
        <v>11.652040058587987</v>
      </c>
      <c r="R14" s="6">
        <f>(P14*(_xlfn.XLOOKUP(E14,'Fatores de Emissão'!A:A,'Fatores de Emissão'!C:C)))/1000</f>
        <v>0.11056254115752477</v>
      </c>
      <c r="S14" s="6">
        <f>(P14*(_xlfn.XLOOKUP(E14,'Fatores de Emissão'!A:A,'Fatores de Emissão'!E:E)))/1000</f>
        <v>-1.5672185661492803</v>
      </c>
      <c r="T14" s="6">
        <f t="shared" si="3"/>
        <v>52.712030702829146</v>
      </c>
      <c r="U14" s="6">
        <f t="shared" si="4"/>
        <v>11.71485591265037</v>
      </c>
      <c r="V14" s="6"/>
      <c r="W14" s="6"/>
      <c r="X14" s="6"/>
      <c r="Y14" s="6"/>
      <c r="Z14" s="6" t="s">
        <v>699</v>
      </c>
    </row>
    <row r="15" spans="1:26">
      <c r="A15" s="5" t="s">
        <v>20</v>
      </c>
      <c r="B15" s="7" t="s">
        <v>19</v>
      </c>
      <c r="C15" s="8" t="s">
        <v>23</v>
      </c>
      <c r="D15" s="8" t="s">
        <v>31</v>
      </c>
      <c r="E15" s="9" t="str">
        <f>IF(D15="Gasolina Automotiva", 'Fatores de Emissão'!$A$16,IF(D15="Óleo Diesel",'Fatores de Emissão'!$A$19,"Acetileno"))</f>
        <v>Gasolina (27% de etanol)</v>
      </c>
      <c r="F15" s="156">
        <f t="shared" si="0"/>
        <v>0.27</v>
      </c>
      <c r="G15" s="156">
        <f t="shared" si="1"/>
        <v>0</v>
      </c>
      <c r="H15" s="9">
        <v>2922.2599999999993</v>
      </c>
      <c r="I15" s="10" t="s">
        <v>108</v>
      </c>
      <c r="J15" s="6">
        <f>IF(D15="Gasolina Automotiva",(H15/1000)*(1-0.27)*(_xlfn.XLOOKUP(D15,Combustão_Móvel!$A$16:$A$20,Combustão_Móvel!$E$16:$E$20))*(_xlfn.XLOOKUP(D15,Combustão_Móvel!$A$16:$A$20,Combustão_Móvel!$D$16:$D$20)),IF(D15="Óleo Diesel",(H15/1000)*(1-0.1)*(_xlfn.XLOOKUP(D15,Combustão_Móvel!$A$16:$A$20,Combustão_Móvel!$E$16:$E$20))*(_xlfn.XLOOKUP(D15,Combustão_Móvel!$A$16:$A$20,Combustão_Móvel!$D$16:$D$20))))*1000</f>
        <v>4766.1749671535981</v>
      </c>
      <c r="K15" s="6">
        <f>IF(D15="Gasolina Automotiva",(H15/1000)*(0.27)*(Combustão_Móvel!$D$18)*(Combustão_Móvel!$E$18),IF(D15="Óleo Diesel",(H15/1000)*(0.1)*(Combustão_Móvel!$D$20)*(Combustão_Móvel!$E$20)))*1000</f>
        <v>1404.3245385311998</v>
      </c>
      <c r="L15" s="6">
        <f>IF(D15="Gasolina Automotiva",(H15/1000)*(((1-0.27)*(_xlfn.XLOOKUP(D15,Combustão_Móvel!$A$16:$A$20,Combustão_Móvel!$D$16:$D$20))*(_xlfn.XLOOKUP(D15,Combustão_Móvel!$A$16:$A$20,Combustão_Móvel!$F$16:$F$20)))+((0.27)*(Combustão_Móvel!$D$18)*(Combustão_Móvel!$F$18))),IF(D15="Óleo Diesel",(H15/1000)*(((1-0.1)*(_xlfn.XLOOKUP(D15,Combustão_Móvel!$A$16:$A$20,Combustão_Móvel!$F$16:$F$20))*(_xlfn.XLOOKUP(D15,Combustão_Móvel!$A$16:$A$20,Combustão_Móvel!$D$16:$D$20)))+((0.1)*(Combustão_Móvel!$D$20)*(Combustão_Móvel!$F$20)))))*1000</f>
        <v>5.8196387094559983</v>
      </c>
      <c r="M15" s="6">
        <f>IF(D15="Gasolina Automotiva",(H15/1000)*(((1-0.27)*(_xlfn.XLOOKUP(D15,Combustão_Móvel!$A$16:$A$20,Combustão_Móvel!$D$16:$D$20))*(_xlfn.XLOOKUP(D15,Combustão_Móvel!$A$16:$A$20,Combustão_Móvel!$G$16:$G$20)))+((0.27)*(Combustão_Móvel!$D$18)*(Combustão_Móvel!$G$18))),IF(D15="Óleo Diesel",(H15/1000)*(((1-0.1)*(_xlfn.XLOOKUP(D15,Combustão_Móvel!$A$16:$A$20,Combustão_Móvel!$G$16:$G$20))*(_xlfn.XLOOKUP(D15,Combustão_Móvel!$A$16:$A$20,Combustão_Móvel!$D$16:$D$20)))+((0.1)*(Combustão_Móvel!$D$20)*(Combustão_Móvel!$G$20)))))*1000</f>
        <v>0.14813730794719995</v>
      </c>
      <c r="N15" s="6">
        <f>(J15+(L15*GWP_Quioto!$E$3)+(M15*GWP_Quioto!$E$6))/1000</f>
        <v>4.9689843722170064</v>
      </c>
      <c r="O15" s="6">
        <f t="shared" si="2"/>
        <v>1.4043245385311998</v>
      </c>
      <c r="P15" s="6">
        <f>IF(D15="Gasolina Automotiva",(H15*((Densidades!$B$33*0.73)+(Densidades!$B$3*0.27))/1000),IF(D15="Óleo Diesel",(H15*((Densidades!$B$44*0.9)+(Densidades!$B$6*0.1))/1000),IF(D15="Acetileno",H15,"")))</f>
        <v>2206.9784197999993</v>
      </c>
      <c r="Q15" s="6">
        <f>(P15*(_xlfn.XLOOKUP(E15,'Fatores de Emissão'!A:A,'Fatores de Emissão'!B:B)))/1000</f>
        <v>1.4101027313237049</v>
      </c>
      <c r="R15" s="6">
        <f>(P15*(_xlfn.XLOOKUP(E15,'Fatores de Emissão'!A:A,'Fatores de Emissão'!C:C)))/1000</f>
        <v>1.338002105076937E-2</v>
      </c>
      <c r="S15" s="6">
        <f>(P15*(_xlfn.XLOOKUP(E15,'Fatores de Emissão'!A:A,'Fatores de Emissão'!E:E)))/1000</f>
        <v>-0.18966113827247902</v>
      </c>
      <c r="T15" s="6">
        <f t="shared" si="3"/>
        <v>6.3790871035407113</v>
      </c>
      <c r="U15" s="6">
        <f t="shared" si="4"/>
        <v>1.4177045595819691</v>
      </c>
      <c r="V15" s="6"/>
      <c r="W15" s="6"/>
      <c r="X15" s="6"/>
      <c r="Y15" s="6"/>
      <c r="Z15" s="6" t="s">
        <v>699</v>
      </c>
    </row>
    <row r="16" spans="1:26">
      <c r="A16" s="5" t="s">
        <v>20</v>
      </c>
      <c r="B16" s="7" t="s">
        <v>19</v>
      </c>
      <c r="C16" s="8" t="s">
        <v>24</v>
      </c>
      <c r="D16" s="8" t="s">
        <v>31</v>
      </c>
      <c r="E16" s="9" t="str">
        <f>IF(D16="Gasolina Automotiva", 'Fatores de Emissão'!$A$16,IF(D16="Óleo Diesel",'Fatores de Emissão'!$A$19,"Acetileno"))</f>
        <v>Gasolina (27% de etanol)</v>
      </c>
      <c r="F16" s="156">
        <f t="shared" si="0"/>
        <v>0.27</v>
      </c>
      <c r="G16" s="156">
        <f t="shared" si="1"/>
        <v>0</v>
      </c>
      <c r="H16" s="11">
        <v>0</v>
      </c>
      <c r="I16" s="12" t="s">
        <v>108</v>
      </c>
      <c r="J16" s="6">
        <f>IF(D16="Gasolina Automotiva",(H16/1000)*(1-0.27)*(_xlfn.XLOOKUP(D16,Combustão_Móvel!$A$16:$A$20,Combustão_Móvel!$E$16:$E$20))*(_xlfn.XLOOKUP(D16,Combustão_Móvel!$A$16:$A$20,Combustão_Móvel!$D$16:$D$20)),IF(D16="Óleo Diesel",(H16/1000)*(1-0.1)*(_xlfn.XLOOKUP(D16,Combustão_Móvel!$A$16:$A$20,Combustão_Móvel!$E$16:$E$20))*(_xlfn.XLOOKUP(D16,Combustão_Móvel!$A$16:$A$20,Combustão_Móvel!$D$16:$D$20))))*1000</f>
        <v>0</v>
      </c>
      <c r="K16" s="6">
        <f>IF(D16="Gasolina Automotiva",(H16/1000)*(0.27)*(Combustão_Móvel!$D$18)*(Combustão_Móvel!$E$18),IF(D16="Óleo Diesel",(H16/1000)*(0.1)*(Combustão_Móvel!$D$20)*(Combustão_Móvel!$E$20)))*1000</f>
        <v>0</v>
      </c>
      <c r="L16" s="6">
        <f>IF(D16="Gasolina Automotiva",(H16/1000)*(((1-0.27)*(_xlfn.XLOOKUP(D16,Combustão_Móvel!$A$16:$A$20,Combustão_Móvel!$D$16:$D$20))*(_xlfn.XLOOKUP(D16,Combustão_Móvel!$A$16:$A$20,Combustão_Móvel!$F$16:$F$20)))+((0.27)*(Combustão_Móvel!$D$18)*(Combustão_Móvel!$F$18))),IF(D16="Óleo Diesel",(H16/1000)*(((1-0.1)*(_xlfn.XLOOKUP(D16,Combustão_Móvel!$A$16:$A$20,Combustão_Móvel!$F$16:$F$20))*(_xlfn.XLOOKUP(D16,Combustão_Móvel!$A$16:$A$20,Combustão_Móvel!$D$16:$D$20)))+((0.1)*(Combustão_Móvel!$D$20)*(Combustão_Móvel!$F$20)))))*1000</f>
        <v>0</v>
      </c>
      <c r="M16" s="6">
        <f>IF(D16="Gasolina Automotiva",(H16/1000)*(((1-0.27)*(_xlfn.XLOOKUP(D16,Combustão_Móvel!$A$16:$A$20,Combustão_Móvel!$D$16:$D$20))*(_xlfn.XLOOKUP(D16,Combustão_Móvel!$A$16:$A$20,Combustão_Móvel!$G$16:$G$20)))+((0.27)*(Combustão_Móvel!$D$18)*(Combustão_Móvel!$G$18))),IF(D16="Óleo Diesel",(H16/1000)*(((1-0.1)*(_xlfn.XLOOKUP(D16,Combustão_Móvel!$A$16:$A$20,Combustão_Móvel!$G$16:$G$20))*(_xlfn.XLOOKUP(D16,Combustão_Móvel!$A$16:$A$20,Combustão_Móvel!$D$16:$D$20)))+((0.1)*(Combustão_Móvel!$D$20)*(Combustão_Móvel!$G$20)))))*1000</f>
        <v>0</v>
      </c>
      <c r="N16" s="6">
        <f>(J16+(L16*GWP_Quioto!$E$3)+(M16*GWP_Quioto!$E$6))/1000</f>
        <v>0</v>
      </c>
      <c r="O16" s="6">
        <f t="shared" si="2"/>
        <v>0</v>
      </c>
      <c r="P16" s="6">
        <f>IF(D16="Gasolina Automotiva",(H16*((Densidades!$B$33*0.73)+(Densidades!$B$3*0.27))/1000),IF(D16="Óleo Diesel",(H16*((Densidades!$B$44*0.9)+(Densidades!$B$6*0.1))/1000),IF(D16="Acetileno",H16,"")))</f>
        <v>0</v>
      </c>
      <c r="Q16" s="6">
        <f>(P16*(_xlfn.XLOOKUP(E16,'Fatores de Emissão'!A:A,'Fatores de Emissão'!B:B)))/1000</f>
        <v>0</v>
      </c>
      <c r="R16" s="6">
        <f>(P16*(_xlfn.XLOOKUP(E16,'Fatores de Emissão'!A:A,'Fatores de Emissão'!C:C)))/1000</f>
        <v>0</v>
      </c>
      <c r="S16" s="6">
        <f>(P16*(_xlfn.XLOOKUP(E16,'Fatores de Emissão'!A:A,'Fatores de Emissão'!E:E)))/1000</f>
        <v>0</v>
      </c>
      <c r="T16" s="6">
        <f t="shared" si="3"/>
        <v>0</v>
      </c>
      <c r="U16" s="6">
        <f t="shared" si="4"/>
        <v>0</v>
      </c>
      <c r="V16" s="6"/>
      <c r="W16" s="6"/>
      <c r="X16" s="6"/>
      <c r="Y16" s="6"/>
      <c r="Z16" s="6" t="s">
        <v>699</v>
      </c>
    </row>
    <row r="17" spans="1:26">
      <c r="A17" s="5" t="s">
        <v>20</v>
      </c>
      <c r="B17" s="7" t="s">
        <v>19</v>
      </c>
      <c r="C17" s="8" t="s">
        <v>25</v>
      </c>
      <c r="D17" s="8" t="s">
        <v>31</v>
      </c>
      <c r="E17" s="9" t="str">
        <f>IF(D17="Gasolina Automotiva", 'Fatores de Emissão'!$A$16,IF(D17="Óleo Diesel",'Fatores de Emissão'!$A$19,"Acetileno"))</f>
        <v>Gasolina (27% de etanol)</v>
      </c>
      <c r="F17" s="156">
        <f t="shared" si="0"/>
        <v>0.27</v>
      </c>
      <c r="G17" s="156">
        <f t="shared" si="1"/>
        <v>0</v>
      </c>
      <c r="H17" s="11">
        <v>0</v>
      </c>
      <c r="I17" s="12" t="s">
        <v>108</v>
      </c>
      <c r="J17" s="6">
        <f>IF(D17="Gasolina Automotiva",(H17/1000)*(1-0.27)*(_xlfn.XLOOKUP(D17,Combustão_Móvel!$A$16:$A$20,Combustão_Móvel!$E$16:$E$20))*(_xlfn.XLOOKUP(D17,Combustão_Móvel!$A$16:$A$20,Combustão_Móvel!$D$16:$D$20)),IF(D17="Óleo Diesel",(H17/1000)*(1-0.1)*(_xlfn.XLOOKUP(D17,Combustão_Móvel!$A$16:$A$20,Combustão_Móvel!$E$16:$E$20))*(_xlfn.XLOOKUP(D17,Combustão_Móvel!$A$16:$A$20,Combustão_Móvel!$D$16:$D$20))))*1000</f>
        <v>0</v>
      </c>
      <c r="K17" s="6">
        <f>IF(D17="Gasolina Automotiva",(H17/1000)*(0.27)*(Combustão_Móvel!$D$18)*(Combustão_Móvel!$E$18),IF(D17="Óleo Diesel",(H17/1000)*(0.1)*(Combustão_Móvel!$D$20)*(Combustão_Móvel!$E$20)))*1000</f>
        <v>0</v>
      </c>
      <c r="L17" s="6">
        <f>IF(D17="Gasolina Automotiva",(H17/1000)*(((1-0.27)*(_xlfn.XLOOKUP(D17,Combustão_Móvel!$A$16:$A$20,Combustão_Móvel!$D$16:$D$20))*(_xlfn.XLOOKUP(D17,Combustão_Móvel!$A$16:$A$20,Combustão_Móvel!$F$16:$F$20)))+((0.27)*(Combustão_Móvel!$D$18)*(Combustão_Móvel!$F$18))),IF(D17="Óleo Diesel",(H17/1000)*(((1-0.1)*(_xlfn.XLOOKUP(D17,Combustão_Móvel!$A$16:$A$20,Combustão_Móvel!$F$16:$F$20))*(_xlfn.XLOOKUP(D17,Combustão_Móvel!$A$16:$A$20,Combustão_Móvel!$D$16:$D$20)))+((0.1)*(Combustão_Móvel!$D$20)*(Combustão_Móvel!$F$20)))))*1000</f>
        <v>0</v>
      </c>
      <c r="M17" s="6">
        <f>IF(D17="Gasolina Automotiva",(H17/1000)*(((1-0.27)*(_xlfn.XLOOKUP(D17,Combustão_Móvel!$A$16:$A$20,Combustão_Móvel!$D$16:$D$20))*(_xlfn.XLOOKUP(D17,Combustão_Móvel!$A$16:$A$20,Combustão_Móvel!$G$16:$G$20)))+((0.27)*(Combustão_Móvel!$D$18)*(Combustão_Móvel!$G$18))),IF(D17="Óleo Diesel",(H17/1000)*(((1-0.1)*(_xlfn.XLOOKUP(D17,Combustão_Móvel!$A$16:$A$20,Combustão_Móvel!$G$16:$G$20))*(_xlfn.XLOOKUP(D17,Combustão_Móvel!$A$16:$A$20,Combustão_Móvel!$D$16:$D$20)))+((0.1)*(Combustão_Móvel!$D$20)*(Combustão_Móvel!$G$20)))))*1000</f>
        <v>0</v>
      </c>
      <c r="N17" s="6">
        <f>(J17+(L17*GWP_Quioto!$E$3)+(M17*GWP_Quioto!$E$6))/1000</f>
        <v>0</v>
      </c>
      <c r="O17" s="6">
        <f t="shared" si="2"/>
        <v>0</v>
      </c>
      <c r="P17" s="6">
        <f>IF(D17="Gasolina Automotiva",(H17*((Densidades!$B$33*0.73)+(Densidades!$B$3*0.27))/1000),IF(D17="Óleo Diesel",(H17*((Densidades!$B$44*0.9)+(Densidades!$B$6*0.1))/1000),IF(D17="Acetileno",H17,"")))</f>
        <v>0</v>
      </c>
      <c r="Q17" s="6">
        <f>(P17*(_xlfn.XLOOKUP(E17,'Fatores de Emissão'!A:A,'Fatores de Emissão'!B:B)))/1000</f>
        <v>0</v>
      </c>
      <c r="R17" s="6">
        <f>(P17*(_xlfn.XLOOKUP(E17,'Fatores de Emissão'!A:A,'Fatores de Emissão'!C:C)))/1000</f>
        <v>0</v>
      </c>
      <c r="S17" s="6">
        <f>(P17*(_xlfn.XLOOKUP(E17,'Fatores de Emissão'!A:A,'Fatores de Emissão'!E:E)))/1000</f>
        <v>0</v>
      </c>
      <c r="T17" s="6">
        <f t="shared" si="3"/>
        <v>0</v>
      </c>
      <c r="U17" s="6">
        <f t="shared" si="4"/>
        <v>0</v>
      </c>
      <c r="V17" s="6"/>
      <c r="W17" s="6"/>
      <c r="X17" s="6"/>
      <c r="Y17" s="6"/>
      <c r="Z17" s="6" t="s">
        <v>699</v>
      </c>
    </row>
    <row r="18" spans="1:26">
      <c r="A18" s="5" t="s">
        <v>20</v>
      </c>
      <c r="B18" s="7" t="s">
        <v>19</v>
      </c>
      <c r="C18" s="8" t="s">
        <v>26</v>
      </c>
      <c r="D18" s="8" t="s">
        <v>31</v>
      </c>
      <c r="E18" s="9" t="str">
        <f>IF(D18="Gasolina Automotiva", 'Fatores de Emissão'!$A$16,IF(D18="Óleo Diesel",'Fatores de Emissão'!$A$19,"Acetileno"))</f>
        <v>Gasolina (27% de etanol)</v>
      </c>
      <c r="F18" s="156">
        <f t="shared" si="0"/>
        <v>0.27</v>
      </c>
      <c r="G18" s="156">
        <f t="shared" si="1"/>
        <v>0</v>
      </c>
      <c r="H18" s="11">
        <v>0</v>
      </c>
      <c r="I18" s="12" t="s">
        <v>108</v>
      </c>
      <c r="J18" s="6">
        <f>IF(D18="Gasolina Automotiva",(H18/1000)*(1-0.27)*(_xlfn.XLOOKUP(D18,Combustão_Móvel!$A$16:$A$20,Combustão_Móvel!$E$16:$E$20))*(_xlfn.XLOOKUP(D18,Combustão_Móvel!$A$16:$A$20,Combustão_Móvel!$D$16:$D$20)),IF(D18="Óleo Diesel",(H18/1000)*(1-0.1)*(_xlfn.XLOOKUP(D18,Combustão_Móvel!$A$16:$A$20,Combustão_Móvel!$E$16:$E$20))*(_xlfn.XLOOKUP(D18,Combustão_Móvel!$A$16:$A$20,Combustão_Móvel!$D$16:$D$20))))*1000</f>
        <v>0</v>
      </c>
      <c r="K18" s="6">
        <f>IF(D18="Gasolina Automotiva",(H18/1000)*(0.27)*(Combustão_Móvel!$D$18)*(Combustão_Móvel!$E$18),IF(D18="Óleo Diesel",(H18/1000)*(0.1)*(Combustão_Móvel!$D$20)*(Combustão_Móvel!$E$20)))*1000</f>
        <v>0</v>
      </c>
      <c r="L18" s="6">
        <f>IF(D18="Gasolina Automotiva",(H18/1000)*(((1-0.27)*(_xlfn.XLOOKUP(D18,Combustão_Móvel!$A$16:$A$20,Combustão_Móvel!$D$16:$D$20))*(_xlfn.XLOOKUP(D18,Combustão_Móvel!$A$16:$A$20,Combustão_Móvel!$F$16:$F$20)))+((0.27)*(Combustão_Móvel!$D$18)*(Combustão_Móvel!$F$18))),IF(D18="Óleo Diesel",(H18/1000)*(((1-0.1)*(_xlfn.XLOOKUP(D18,Combustão_Móvel!$A$16:$A$20,Combustão_Móvel!$F$16:$F$20))*(_xlfn.XLOOKUP(D18,Combustão_Móvel!$A$16:$A$20,Combustão_Móvel!$D$16:$D$20)))+((0.1)*(Combustão_Móvel!$D$20)*(Combustão_Móvel!$F$20)))))*1000</f>
        <v>0</v>
      </c>
      <c r="M18" s="6">
        <f>IF(D18="Gasolina Automotiva",(H18/1000)*(((1-0.27)*(_xlfn.XLOOKUP(D18,Combustão_Móvel!$A$16:$A$20,Combustão_Móvel!$D$16:$D$20))*(_xlfn.XLOOKUP(D18,Combustão_Móvel!$A$16:$A$20,Combustão_Móvel!$G$16:$G$20)))+((0.27)*(Combustão_Móvel!$D$18)*(Combustão_Móvel!$G$18))),IF(D18="Óleo Diesel",(H18/1000)*(((1-0.1)*(_xlfn.XLOOKUP(D18,Combustão_Móvel!$A$16:$A$20,Combustão_Móvel!$G$16:$G$20))*(_xlfn.XLOOKUP(D18,Combustão_Móvel!$A$16:$A$20,Combustão_Móvel!$D$16:$D$20)))+((0.1)*(Combustão_Móvel!$D$20)*(Combustão_Móvel!$G$20)))))*1000</f>
        <v>0</v>
      </c>
      <c r="N18" s="6">
        <f>(J18+(L18*GWP_Quioto!$E$3)+(M18*GWP_Quioto!$E$6))/1000</f>
        <v>0</v>
      </c>
      <c r="O18" s="6">
        <f t="shared" si="2"/>
        <v>0</v>
      </c>
      <c r="P18" s="6">
        <f>IF(D18="Gasolina Automotiva",(H18*((Densidades!$B$33*0.73)+(Densidades!$B$3*0.27))/1000),IF(D18="Óleo Diesel",(H18*((Densidades!$B$44*0.9)+(Densidades!$B$6*0.1))/1000),IF(D18="Acetileno",H18,"")))</f>
        <v>0</v>
      </c>
      <c r="Q18" s="6">
        <f>(P18*(_xlfn.XLOOKUP(E18,'Fatores de Emissão'!A:A,'Fatores de Emissão'!B:B)))/1000</f>
        <v>0</v>
      </c>
      <c r="R18" s="6">
        <f>(P18*(_xlfn.XLOOKUP(E18,'Fatores de Emissão'!A:A,'Fatores de Emissão'!C:C)))/1000</f>
        <v>0</v>
      </c>
      <c r="S18" s="6">
        <f>(P18*(_xlfn.XLOOKUP(E18,'Fatores de Emissão'!A:A,'Fatores de Emissão'!E:E)))/1000</f>
        <v>0</v>
      </c>
      <c r="T18" s="6">
        <f t="shared" si="3"/>
        <v>0</v>
      </c>
      <c r="U18" s="6">
        <f t="shared" si="4"/>
        <v>0</v>
      </c>
      <c r="V18" s="6"/>
      <c r="W18" s="6"/>
      <c r="X18" s="6"/>
      <c r="Y18" s="6"/>
      <c r="Z18" s="6" t="s">
        <v>699</v>
      </c>
    </row>
    <row r="19" spans="1:26">
      <c r="A19" s="5" t="s">
        <v>20</v>
      </c>
      <c r="B19" s="7" t="s">
        <v>19</v>
      </c>
      <c r="C19" s="8" t="s">
        <v>27</v>
      </c>
      <c r="D19" s="8" t="s">
        <v>31</v>
      </c>
      <c r="E19" s="9" t="str">
        <f>IF(D19="Gasolina Automotiva", 'Fatores de Emissão'!$A$16,IF(D19="Óleo Diesel",'Fatores de Emissão'!$A$19,"Acetileno"))</f>
        <v>Gasolina (27% de etanol)</v>
      </c>
      <c r="F19" s="156">
        <f t="shared" si="0"/>
        <v>0.27</v>
      </c>
      <c r="G19" s="156">
        <f t="shared" si="1"/>
        <v>0</v>
      </c>
      <c r="H19" s="11">
        <v>0</v>
      </c>
      <c r="I19" s="12" t="s">
        <v>108</v>
      </c>
      <c r="J19" s="6">
        <f>IF(D19="Gasolina Automotiva",(H19/1000)*(1-0.27)*(_xlfn.XLOOKUP(D19,Combustão_Móvel!$A$16:$A$20,Combustão_Móvel!$E$16:$E$20))*(_xlfn.XLOOKUP(D19,Combustão_Móvel!$A$16:$A$20,Combustão_Móvel!$D$16:$D$20)),IF(D19="Óleo Diesel",(H19/1000)*(1-0.1)*(_xlfn.XLOOKUP(D19,Combustão_Móvel!$A$16:$A$20,Combustão_Móvel!$E$16:$E$20))*(_xlfn.XLOOKUP(D19,Combustão_Móvel!$A$16:$A$20,Combustão_Móvel!$D$16:$D$20))))*1000</f>
        <v>0</v>
      </c>
      <c r="K19" s="6">
        <f>IF(D19="Gasolina Automotiva",(H19/1000)*(0.27)*(Combustão_Móvel!$D$18)*(Combustão_Móvel!$E$18),IF(D19="Óleo Diesel",(H19/1000)*(0.1)*(Combustão_Móvel!$D$20)*(Combustão_Móvel!$E$20)))*1000</f>
        <v>0</v>
      </c>
      <c r="L19" s="6">
        <f>IF(D19="Gasolina Automotiva",(H19/1000)*(((1-0.27)*(_xlfn.XLOOKUP(D19,Combustão_Móvel!$A$16:$A$20,Combustão_Móvel!$D$16:$D$20))*(_xlfn.XLOOKUP(D19,Combustão_Móvel!$A$16:$A$20,Combustão_Móvel!$F$16:$F$20)))+((0.27)*(Combustão_Móvel!$D$18)*(Combustão_Móvel!$F$18))),IF(D19="Óleo Diesel",(H19/1000)*(((1-0.1)*(_xlfn.XLOOKUP(D19,Combustão_Móvel!$A$16:$A$20,Combustão_Móvel!$F$16:$F$20))*(_xlfn.XLOOKUP(D19,Combustão_Móvel!$A$16:$A$20,Combustão_Móvel!$D$16:$D$20)))+((0.1)*(Combustão_Móvel!$D$20)*(Combustão_Móvel!$F$20)))))*1000</f>
        <v>0</v>
      </c>
      <c r="M19" s="6">
        <f>IF(D19="Gasolina Automotiva",(H19/1000)*(((1-0.27)*(_xlfn.XLOOKUP(D19,Combustão_Móvel!$A$16:$A$20,Combustão_Móvel!$D$16:$D$20))*(_xlfn.XLOOKUP(D19,Combustão_Móvel!$A$16:$A$20,Combustão_Móvel!$G$16:$G$20)))+((0.27)*(Combustão_Móvel!$D$18)*(Combustão_Móvel!$G$18))),IF(D19="Óleo Diesel",(H19/1000)*(((1-0.1)*(_xlfn.XLOOKUP(D19,Combustão_Móvel!$A$16:$A$20,Combustão_Móvel!$G$16:$G$20))*(_xlfn.XLOOKUP(D19,Combustão_Móvel!$A$16:$A$20,Combustão_Móvel!$D$16:$D$20)))+((0.1)*(Combustão_Móvel!$D$20)*(Combustão_Móvel!$G$20)))))*1000</f>
        <v>0</v>
      </c>
      <c r="N19" s="6">
        <f>(J19+(L19*GWP_Quioto!$E$3)+(M19*GWP_Quioto!$E$6))/1000</f>
        <v>0</v>
      </c>
      <c r="O19" s="6">
        <f t="shared" si="2"/>
        <v>0</v>
      </c>
      <c r="P19" s="6">
        <f>IF(D19="Gasolina Automotiva",(H19*((Densidades!$B$33*0.73)+(Densidades!$B$3*0.27))/1000),IF(D19="Óleo Diesel",(H19*((Densidades!$B$44*0.9)+(Densidades!$B$6*0.1))/1000),IF(D19="Acetileno",H19,"")))</f>
        <v>0</v>
      </c>
      <c r="Q19" s="6">
        <f>(P19*(_xlfn.XLOOKUP(E19,'Fatores de Emissão'!A:A,'Fatores de Emissão'!B:B)))/1000</f>
        <v>0</v>
      </c>
      <c r="R19" s="6">
        <f>(P19*(_xlfn.XLOOKUP(E19,'Fatores de Emissão'!A:A,'Fatores de Emissão'!C:C)))/1000</f>
        <v>0</v>
      </c>
      <c r="S19" s="6">
        <f>(P19*(_xlfn.XLOOKUP(E19,'Fatores de Emissão'!A:A,'Fatores de Emissão'!E:E)))/1000</f>
        <v>0</v>
      </c>
      <c r="T19" s="6">
        <f t="shared" si="3"/>
        <v>0</v>
      </c>
      <c r="U19" s="6">
        <f t="shared" si="4"/>
        <v>0</v>
      </c>
      <c r="V19" s="6"/>
      <c r="W19" s="6"/>
      <c r="X19" s="6"/>
      <c r="Y19" s="6"/>
      <c r="Z19" s="6" t="s">
        <v>699</v>
      </c>
    </row>
    <row r="20" spans="1:26">
      <c r="A20" s="5" t="s">
        <v>20</v>
      </c>
      <c r="B20" s="7" t="s">
        <v>19</v>
      </c>
      <c r="C20" s="8" t="s">
        <v>22</v>
      </c>
      <c r="D20" s="8" t="s">
        <v>32</v>
      </c>
      <c r="E20" s="9" t="str">
        <f>IF(D20="Gasolina Automotiva", 'Fatores de Emissão'!$A$16,IF(D20="Óleo Diesel",'Fatores de Emissão'!$A$19,"Acetileno"))</f>
        <v>Óleo Diesel (10% Biodiesel)</v>
      </c>
      <c r="F20" s="156">
        <f t="shared" si="0"/>
        <v>0</v>
      </c>
      <c r="G20" s="156">
        <f t="shared" si="1"/>
        <v>0.1</v>
      </c>
      <c r="H20" s="9">
        <v>45135.07</v>
      </c>
      <c r="I20" s="10" t="s">
        <v>108</v>
      </c>
      <c r="J20" s="6">
        <f>IF(D20="Gasolina Automotiva",(H20/1000)*(1-0.27)*(_xlfn.XLOOKUP(D20,Combustão_Móvel!$A$16:$A$20,Combustão_Móvel!$E$16:$E$20))*(_xlfn.XLOOKUP(D20,Combustão_Móvel!$A$16:$A$20,Combustão_Móvel!$D$16:$D$20)),IF(D20="Óleo Diesel",(H20/1000)*(1-0.1)*(_xlfn.XLOOKUP(D20,Combustão_Móvel!$A$16:$A$20,Combustão_Móvel!$E$16:$E$20))*(_xlfn.XLOOKUP(D20,Combustão_Móvel!$A$16:$A$20,Combustão_Móvel!$D$16:$D$20))))*1000</f>
        <v>106857.05254964999</v>
      </c>
      <c r="K20" s="6">
        <f>IF(D20="Gasolina Automotiva",(H20/1000)*(0.27)*(Combustão_Móvel!$D$18)*(Combustão_Móvel!$E$18),IF(D20="Óleo Diesel",(H20/1000)*(0.1)*(Combustão_Móvel!$D$20)*(Combustão_Móvel!$E$20)))*1000</f>
        <v>10589.226443059968</v>
      </c>
      <c r="L20" s="6">
        <f>IF(D20="Gasolina Automotiva",(H20/1000)*(((1-0.27)*(_xlfn.XLOOKUP(D20,Combustão_Móvel!$A$16:$A$20,Combustão_Móvel!$D$16:$D$20))*(_xlfn.XLOOKUP(D20,Combustão_Móvel!$A$16:$A$20,Combustão_Móvel!$F$16:$F$20)))+((0.27)*(Combustão_Móvel!$D$18)*(Combustão_Móvel!$F$18))),IF(D20="Óleo Diesel",(H20/1000)*(((1-0.1)*(_xlfn.XLOOKUP(D20,Combustão_Móvel!$A$16:$A$20,Combustão_Móvel!$F$16:$F$20))*(_xlfn.XLOOKUP(D20,Combustão_Móvel!$A$16:$A$20,Combustão_Móvel!$D$16:$D$20)))+((0.1)*(Combustão_Móvel!$D$20)*(Combustão_Móvel!$F$20)))))*1000</f>
        <v>6.4332678046978797</v>
      </c>
      <c r="M20" s="6">
        <f>IF(D20="Gasolina Automotiva",(H20/1000)*(((1-0.27)*(_xlfn.XLOOKUP(D20,Combustão_Móvel!$A$16:$A$20,Combustão_Móvel!$D$16:$D$20))*(_xlfn.XLOOKUP(D20,Combustão_Móvel!$A$16:$A$20,Combustão_Móvel!$G$16:$G$20)))+((0.27)*(Combustão_Móvel!$D$18)*(Combustão_Móvel!$G$18))),IF(D20="Óleo Diesel",(H20/1000)*(((1-0.1)*(_xlfn.XLOOKUP(D20,Combustão_Móvel!$A$16:$A$20,Combustão_Móvel!$G$16:$G$20))*(_xlfn.XLOOKUP(D20,Combustão_Móvel!$A$16:$A$20,Combustão_Móvel!$D$16:$D$20)))+((0.1)*(Combustão_Móvel!$D$20)*(Combustão_Móvel!$G$20)))))*1000</f>
        <v>41.332812121044583</v>
      </c>
      <c r="N20" s="6">
        <f>(J20+(L20*GWP_Quioto!$E$3)+(M20*GWP_Quioto!$E$6))/1000</f>
        <v>118.32039843044623</v>
      </c>
      <c r="O20" s="6">
        <f t="shared" si="2"/>
        <v>10.589226443059967</v>
      </c>
      <c r="P20" s="6">
        <f>IF(D20="Gasolina Automotiva",(H20*((Densidades!$B$33*0.73)+(Densidades!$B$3*0.27))/1000),IF(D20="Óleo Diesel",(H20*((Densidades!$B$44*0.9)+(Densidades!$B$6*0.1))/1000),IF(D20="Acetileno",H20,"")))</f>
        <v>38093.999080000001</v>
      </c>
      <c r="Q20" s="6">
        <f>(P20*(_xlfn.XLOOKUP(E20,'Fatores de Emissão'!A:A,'Fatores de Emissão'!B:B)))/1000</f>
        <v>29.844418942027122</v>
      </c>
      <c r="R20" s="6">
        <f>(P20*(_xlfn.XLOOKUP(E20,'Fatores de Emissão'!A:A,'Fatores de Emissão'!C:C)))/1000</f>
        <v>9.8839398835213164E-3</v>
      </c>
      <c r="S20" s="6">
        <f>(P20*(_xlfn.XLOOKUP(E20,'Fatores de Emissão'!A:A,'Fatores de Emissão'!E:E)))/1000</f>
        <v>5.3352348234195473E-3</v>
      </c>
      <c r="T20" s="6">
        <f t="shared" si="3"/>
        <v>148.16481737247335</v>
      </c>
      <c r="U20" s="6">
        <f t="shared" si="4"/>
        <v>10.599110382943488</v>
      </c>
      <c r="V20" s="6"/>
      <c r="W20" s="6"/>
      <c r="X20" s="6"/>
      <c r="Y20" s="6"/>
      <c r="Z20" s="6" t="s">
        <v>699</v>
      </c>
    </row>
    <row r="21" spans="1:26">
      <c r="A21" s="5" t="s">
        <v>20</v>
      </c>
      <c r="B21" s="7" t="s">
        <v>19</v>
      </c>
      <c r="C21" s="8" t="s">
        <v>23</v>
      </c>
      <c r="D21" s="8" t="s">
        <v>32</v>
      </c>
      <c r="E21" s="9" t="str">
        <f>IF(D21="Gasolina Automotiva", 'Fatores de Emissão'!$A$16,IF(D21="Óleo Diesel",'Fatores de Emissão'!$A$19,"Acetileno"))</f>
        <v>Óleo Diesel (10% Biodiesel)</v>
      </c>
      <c r="F21" s="156">
        <f t="shared" si="0"/>
        <v>0</v>
      </c>
      <c r="G21" s="156">
        <f t="shared" si="1"/>
        <v>0.1</v>
      </c>
      <c r="H21" s="9">
        <v>29540.539999999997</v>
      </c>
      <c r="I21" s="10" t="s">
        <v>108</v>
      </c>
      <c r="J21" s="6">
        <f>IF(D21="Gasolina Automotiva",(H21/1000)*(1-0.27)*(_xlfn.XLOOKUP(D21,Combustão_Móvel!$A$16:$A$20,Combustão_Móvel!$E$16:$E$20))*(_xlfn.XLOOKUP(D21,Combustão_Móvel!$A$16:$A$20,Combustão_Móvel!$D$16:$D$20)),IF(D21="Óleo Diesel",(H21/1000)*(1-0.1)*(_xlfn.XLOOKUP(D21,Combustão_Móvel!$A$16:$A$20,Combustão_Móvel!$E$16:$E$20))*(_xlfn.XLOOKUP(D21,Combustão_Móvel!$A$16:$A$20,Combustão_Móvel!$D$16:$D$20))))*1000</f>
        <v>69937.080747299988</v>
      </c>
      <c r="K21" s="6">
        <f>IF(D21="Gasolina Automotiva",(H21/1000)*(0.27)*(Combustão_Móvel!$D$18)*(Combustão_Móvel!$E$18),IF(D21="Óleo Diesel",(H21/1000)*(0.1)*(Combustão_Móvel!$D$20)*(Combustão_Móvel!$E$20)))*1000</f>
        <v>6930.5634689448962</v>
      </c>
      <c r="L21" s="6">
        <f>IF(D21="Gasolina Automotiva",(H21/1000)*(((1-0.27)*(_xlfn.XLOOKUP(D21,Combustão_Móvel!$A$16:$A$20,Combustão_Móvel!$D$16:$D$20))*(_xlfn.XLOOKUP(D21,Combustão_Móvel!$A$16:$A$20,Combustão_Móvel!$F$16:$F$20)))+((0.27)*(Combustão_Móvel!$D$18)*(Combustão_Móvel!$F$18))),IF(D21="Óleo Diesel",(H21/1000)*(((1-0.1)*(_xlfn.XLOOKUP(D21,Combustão_Móvel!$A$16:$A$20,Combustão_Móvel!$F$16:$F$20))*(_xlfn.XLOOKUP(D21,Combustão_Móvel!$A$16:$A$20,Combustão_Móvel!$D$16:$D$20)))+((0.1)*(Combustão_Móvel!$D$20)*(Combustão_Móvel!$F$20)))))*1000</f>
        <v>4.2105219935493601</v>
      </c>
      <c r="M21" s="6">
        <f>IF(D21="Gasolina Automotiva",(H21/1000)*(((1-0.27)*(_xlfn.XLOOKUP(D21,Combustão_Móvel!$A$16:$A$20,Combustão_Móvel!$D$16:$D$20))*(_xlfn.XLOOKUP(D21,Combustão_Móvel!$A$16:$A$20,Combustão_Móvel!$G$16:$G$20)))+((0.27)*(Combustão_Móvel!$D$18)*(Combustão_Móvel!$G$18))),IF(D21="Óleo Diesel",(H21/1000)*(((1-0.1)*(_xlfn.XLOOKUP(D21,Combustão_Móvel!$A$16:$A$20,Combustão_Móvel!$G$16:$G$20))*(_xlfn.XLOOKUP(D21,Combustão_Móvel!$A$16:$A$20,Combustão_Móvel!$D$16:$D$20)))+((0.1)*(Combustão_Móvel!$D$20)*(Combustão_Móvel!$G$20)))))*1000</f>
        <v>27.051992824519871</v>
      </c>
      <c r="N21" s="6">
        <f>(J21+(L21*GWP_Quioto!$E$3)+(M21*GWP_Quioto!$E$6))/1000</f>
        <v>77.439748352013936</v>
      </c>
      <c r="O21" s="6">
        <f t="shared" si="2"/>
        <v>6.9305634689448965</v>
      </c>
      <c r="P21" s="6">
        <f>IF(D21="Gasolina Automotiva",(H21*((Densidades!$B$33*0.73)+(Densidades!$B$3*0.27))/1000),IF(D21="Óleo Diesel",(H21*((Densidades!$B$44*0.9)+(Densidades!$B$6*0.1))/1000),IF(D21="Acetileno",H21,"")))</f>
        <v>24932.215759999999</v>
      </c>
      <c r="Q21" s="6">
        <f>(P21*(_xlfn.XLOOKUP(E21,'Fatores de Emissão'!A:A,'Fatores de Emissão'!B:B)))/1000</f>
        <v>19.532931964738502</v>
      </c>
      <c r="R21" s="6">
        <f>(P21*(_xlfn.XLOOKUP(E21,'Fatores de Emissão'!A:A,'Fatores de Emissão'!C:C)))/1000</f>
        <v>6.468959092934979E-3</v>
      </c>
      <c r="S21" s="6">
        <f>(P21*(_xlfn.XLOOKUP(E21,'Fatores de Emissão'!A:A,'Fatores de Emissão'!E:E)))/1000</f>
        <v>3.4918682459253543E-3</v>
      </c>
      <c r="T21" s="6">
        <f t="shared" si="3"/>
        <v>96.972680316752445</v>
      </c>
      <c r="U21" s="6">
        <f t="shared" si="4"/>
        <v>6.9370324280378313</v>
      </c>
      <c r="V21" s="6"/>
      <c r="W21" s="6"/>
      <c r="X21" s="6"/>
      <c r="Y21" s="6"/>
      <c r="Z21" s="6" t="s">
        <v>699</v>
      </c>
    </row>
    <row r="22" spans="1:26">
      <c r="A22" s="5" t="s">
        <v>20</v>
      </c>
      <c r="B22" s="7" t="s">
        <v>19</v>
      </c>
      <c r="C22" s="8" t="s">
        <v>24</v>
      </c>
      <c r="D22" s="8" t="s">
        <v>32</v>
      </c>
      <c r="E22" s="9" t="str">
        <f>IF(D22="Gasolina Automotiva", 'Fatores de Emissão'!$A$16,IF(D22="Óleo Diesel",'Fatores de Emissão'!$A$19,"Acetileno"))</f>
        <v>Óleo Diesel (10% Biodiesel)</v>
      </c>
      <c r="F22" s="156">
        <f t="shared" si="0"/>
        <v>0</v>
      </c>
      <c r="G22" s="156">
        <f t="shared" si="1"/>
        <v>0.1</v>
      </c>
      <c r="H22" s="11">
        <v>0</v>
      </c>
      <c r="I22" s="12" t="s">
        <v>108</v>
      </c>
      <c r="J22" s="6">
        <f>IF(D22="Gasolina Automotiva",(H22/1000)*(1-0.27)*(_xlfn.XLOOKUP(D22,Combustão_Móvel!$A$16:$A$20,Combustão_Móvel!$E$16:$E$20))*(_xlfn.XLOOKUP(D22,Combustão_Móvel!$A$16:$A$20,Combustão_Móvel!$D$16:$D$20)),IF(D22="Óleo Diesel",(H22/1000)*(1-0.1)*(_xlfn.XLOOKUP(D22,Combustão_Móvel!$A$16:$A$20,Combustão_Móvel!$E$16:$E$20))*(_xlfn.XLOOKUP(D22,Combustão_Móvel!$A$16:$A$20,Combustão_Móvel!$D$16:$D$20))))*1000</f>
        <v>0</v>
      </c>
      <c r="K22" s="6">
        <f>IF(D22="Gasolina Automotiva",(H22/1000)*(0.27)*(Combustão_Móvel!$D$18)*(Combustão_Móvel!$E$18),IF(D22="Óleo Diesel",(H22/1000)*(0.1)*(Combustão_Móvel!$D$20)*(Combustão_Móvel!$E$20)))*1000</f>
        <v>0</v>
      </c>
      <c r="L22" s="6">
        <f>IF(D22="Gasolina Automotiva",(H22/1000)*(((1-0.27)*(_xlfn.XLOOKUP(D22,Combustão_Móvel!$A$16:$A$20,Combustão_Móvel!$D$16:$D$20))*(_xlfn.XLOOKUP(D22,Combustão_Móvel!$A$16:$A$20,Combustão_Móvel!$F$16:$F$20)))+((0.27)*(Combustão_Móvel!$D$18)*(Combustão_Móvel!$F$18))),IF(D22="Óleo Diesel",(H22/1000)*(((1-0.1)*(_xlfn.XLOOKUP(D22,Combustão_Móvel!$A$16:$A$20,Combustão_Móvel!$F$16:$F$20))*(_xlfn.XLOOKUP(D22,Combustão_Móvel!$A$16:$A$20,Combustão_Móvel!$D$16:$D$20)))+((0.1)*(Combustão_Móvel!$D$20)*(Combustão_Móvel!$F$20)))))*1000</f>
        <v>0</v>
      </c>
      <c r="M22" s="6">
        <f>IF(D22="Gasolina Automotiva",(H22/1000)*(((1-0.27)*(_xlfn.XLOOKUP(D22,Combustão_Móvel!$A$16:$A$20,Combustão_Móvel!$D$16:$D$20))*(_xlfn.XLOOKUP(D22,Combustão_Móvel!$A$16:$A$20,Combustão_Móvel!$G$16:$G$20)))+((0.27)*(Combustão_Móvel!$D$18)*(Combustão_Móvel!$G$18))),IF(D22="Óleo Diesel",(H22/1000)*(((1-0.1)*(_xlfn.XLOOKUP(D22,Combustão_Móvel!$A$16:$A$20,Combustão_Móvel!$G$16:$G$20))*(_xlfn.XLOOKUP(D22,Combustão_Móvel!$A$16:$A$20,Combustão_Móvel!$D$16:$D$20)))+((0.1)*(Combustão_Móvel!$D$20)*(Combustão_Móvel!$G$20)))))*1000</f>
        <v>0</v>
      </c>
      <c r="N22" s="6">
        <f>(J22+(L22*GWP_Quioto!$E$3)+(M22*GWP_Quioto!$E$6))/1000</f>
        <v>0</v>
      </c>
      <c r="O22" s="6">
        <f t="shared" si="2"/>
        <v>0</v>
      </c>
      <c r="P22" s="6">
        <f>IF(D22="Gasolina Automotiva",(H22*((Densidades!$B$33*0.73)+(Densidades!$B$3*0.27))/1000),IF(D22="Óleo Diesel",(H22*((Densidades!$B$44*0.9)+(Densidades!$B$6*0.1))/1000),IF(D22="Acetileno",H22,"")))</f>
        <v>0</v>
      </c>
      <c r="Q22" s="6">
        <f>(P22*(_xlfn.XLOOKUP(E22,'Fatores de Emissão'!A:A,'Fatores de Emissão'!B:B)))/1000</f>
        <v>0</v>
      </c>
      <c r="R22" s="6">
        <f>(P22*(_xlfn.XLOOKUP(E22,'Fatores de Emissão'!A:A,'Fatores de Emissão'!C:C)))/1000</f>
        <v>0</v>
      </c>
      <c r="S22" s="6">
        <f>(P22*(_xlfn.XLOOKUP(E22,'Fatores de Emissão'!A:A,'Fatores de Emissão'!E:E)))/1000</f>
        <v>0</v>
      </c>
      <c r="T22" s="6">
        <f t="shared" si="3"/>
        <v>0</v>
      </c>
      <c r="U22" s="6">
        <f t="shared" si="4"/>
        <v>0</v>
      </c>
      <c r="V22" s="6"/>
      <c r="W22" s="6"/>
      <c r="X22" s="6"/>
      <c r="Y22" s="6"/>
      <c r="Z22" s="6" t="s">
        <v>699</v>
      </c>
    </row>
    <row r="23" spans="1:26">
      <c r="A23" s="5" t="s">
        <v>20</v>
      </c>
      <c r="B23" s="7" t="s">
        <v>19</v>
      </c>
      <c r="C23" s="8" t="s">
        <v>25</v>
      </c>
      <c r="D23" s="8" t="s">
        <v>32</v>
      </c>
      <c r="E23" s="9" t="str">
        <f>IF(D23="Gasolina Automotiva", 'Fatores de Emissão'!$A$16,IF(D23="Óleo Diesel",'Fatores de Emissão'!$A$19,"Acetileno"))</f>
        <v>Óleo Diesel (10% Biodiesel)</v>
      </c>
      <c r="F23" s="156">
        <f t="shared" si="0"/>
        <v>0</v>
      </c>
      <c r="G23" s="156">
        <f t="shared" si="1"/>
        <v>0.1</v>
      </c>
      <c r="H23" s="9">
        <v>54259.35</v>
      </c>
      <c r="I23" s="10" t="s">
        <v>108</v>
      </c>
      <c r="J23" s="6">
        <f>IF(D23="Gasolina Automotiva",(H23/1000)*(1-0.27)*(_xlfn.XLOOKUP(D23,Combustão_Móvel!$A$16:$A$20,Combustão_Móvel!$E$16:$E$20))*(_xlfn.XLOOKUP(D23,Combustão_Móvel!$A$16:$A$20,Combustão_Móvel!$D$16:$D$20)),IF(D23="Óleo Diesel",(H23/1000)*(1-0.1)*(_xlfn.XLOOKUP(D23,Combustão_Móvel!$A$16:$A$20,Combustão_Móvel!$E$16:$E$20))*(_xlfn.XLOOKUP(D23,Combustão_Móvel!$A$16:$A$20,Combustão_Móvel!$D$16:$D$20))))*1000</f>
        <v>128458.73982825001</v>
      </c>
      <c r="K23" s="6">
        <f>IF(D23="Gasolina Automotiva",(H23/1000)*(0.27)*(Combustão_Móvel!$D$18)*(Combustão_Móvel!$E$18),IF(D23="Óleo Diesel",(H23/1000)*(0.1)*(Combustão_Móvel!$D$20)*(Combustão_Móvel!$E$20)))*1000</f>
        <v>12729.891496861441</v>
      </c>
      <c r="L23" s="6">
        <f>IF(D23="Gasolina Automotiva",(H23/1000)*(((1-0.27)*(_xlfn.XLOOKUP(D23,Combustão_Móvel!$A$16:$A$20,Combustão_Móvel!$D$16:$D$20))*(_xlfn.XLOOKUP(D23,Combustão_Móvel!$A$16:$A$20,Combustão_Móvel!$F$16:$F$20)))+((0.27)*(Combustão_Móvel!$D$18)*(Combustão_Móvel!$F$18))),IF(D23="Óleo Diesel",(H23/1000)*(((1-0.1)*(_xlfn.XLOOKUP(D23,Combustão_Móvel!$A$16:$A$20,Combustão_Móvel!$F$16:$F$20))*(_xlfn.XLOOKUP(D23,Combustão_Móvel!$A$16:$A$20,Combustão_Móvel!$D$16:$D$20)))+((0.1)*(Combustão_Móvel!$D$20)*(Combustão_Móvel!$F$20)))))*1000</f>
        <v>7.7337850469453997</v>
      </c>
      <c r="M23" s="6">
        <f>IF(D23="Gasolina Automotiva",(H23/1000)*(((1-0.27)*(_xlfn.XLOOKUP(D23,Combustão_Móvel!$A$16:$A$20,Combustão_Móvel!$D$16:$D$20))*(_xlfn.XLOOKUP(D23,Combustão_Móvel!$A$16:$A$20,Combustão_Móvel!$G$16:$G$20)))+((0.27)*(Combustão_Móvel!$D$18)*(Combustão_Móvel!$G$18))),IF(D23="Óleo Diesel",(H23/1000)*(((1-0.1)*(_xlfn.XLOOKUP(D23,Combustão_Móvel!$A$16:$A$20,Combustão_Móvel!$G$16:$G$20))*(_xlfn.XLOOKUP(D23,Combustão_Móvel!$A$16:$A$20,Combustão_Móvel!$D$16:$D$20)))+((0.1)*(Combustão_Móvel!$D$20)*(Combustão_Móvel!$G$20)))))*1000</f>
        <v>49.68844668591408</v>
      </c>
      <c r="N23" s="6">
        <f>(J23+(L23*GWP_Quioto!$E$3)+(M23*GWP_Quioto!$E$6))/1000</f>
        <v>142.23945837631433</v>
      </c>
      <c r="O23" s="6">
        <f t="shared" si="2"/>
        <v>12.729891496861441</v>
      </c>
      <c r="P23" s="6">
        <f>IF(D23="Gasolina Automotiva",(H23*((Densidades!$B$33*0.73)+(Densidades!$B$3*0.27))/1000),IF(D23="Óleo Diesel",(H23*((Densidades!$B$44*0.9)+(Densidades!$B$6*0.1))/1000),IF(D23="Acetileno",H23,"")))</f>
        <v>45794.8914</v>
      </c>
      <c r="Q23" s="6">
        <f>(P23*(_xlfn.XLOOKUP(E23,'Fatores de Emissão'!A:A,'Fatores de Emissão'!B:B)))/1000</f>
        <v>35.877617403098725</v>
      </c>
      <c r="R23" s="6">
        <f>(P23*(_xlfn.XLOOKUP(E23,'Fatores de Emissão'!A:A,'Fatores de Emissão'!C:C)))/1000</f>
        <v>1.1882027734064493E-2</v>
      </c>
      <c r="S23" s="6">
        <f>(P23*(_xlfn.XLOOKUP(E23,'Fatores de Emissão'!A:A,'Fatores de Emissão'!E:E)))/1000</f>
        <v>6.4137792101820034E-3</v>
      </c>
      <c r="T23" s="6">
        <f t="shared" si="3"/>
        <v>178.11707577941306</v>
      </c>
      <c r="U23" s="6">
        <f t="shared" si="4"/>
        <v>12.741773524595505</v>
      </c>
      <c r="V23" s="6"/>
      <c r="W23" s="6"/>
      <c r="X23" s="6"/>
      <c r="Y23" s="6"/>
      <c r="Z23" s="6" t="s">
        <v>699</v>
      </c>
    </row>
    <row r="24" spans="1:26">
      <c r="A24" s="5" t="s">
        <v>20</v>
      </c>
      <c r="B24" s="7" t="s">
        <v>19</v>
      </c>
      <c r="C24" s="8" t="s">
        <v>26</v>
      </c>
      <c r="D24" s="8" t="s">
        <v>32</v>
      </c>
      <c r="E24" s="9" t="str">
        <f>IF(D24="Gasolina Automotiva", 'Fatores de Emissão'!$A$16,IF(D24="Óleo Diesel",'Fatores de Emissão'!$A$19,"Acetileno"))</f>
        <v>Óleo Diesel (10% Biodiesel)</v>
      </c>
      <c r="F24" s="156">
        <f t="shared" si="0"/>
        <v>0</v>
      </c>
      <c r="G24" s="156">
        <f t="shared" si="1"/>
        <v>0.1</v>
      </c>
      <c r="H24" s="9">
        <v>48535.899999999994</v>
      </c>
      <c r="I24" s="10" t="s">
        <v>108</v>
      </c>
      <c r="J24" s="6">
        <f>IF(D24="Gasolina Automotiva",(H24/1000)*(1-0.27)*(_xlfn.XLOOKUP(D24,Combustão_Móvel!$A$16:$A$20,Combustão_Móvel!$E$16:$E$20))*(_xlfn.XLOOKUP(D24,Combustão_Móvel!$A$16:$A$20,Combustão_Móvel!$D$16:$D$20)),IF(D24="Óleo Diesel",(H24/1000)*(1-0.1)*(_xlfn.XLOOKUP(D24,Combustão_Móvel!$A$16:$A$20,Combustão_Móvel!$E$16:$E$20))*(_xlfn.XLOOKUP(D24,Combustão_Móvel!$A$16:$A$20,Combustão_Móvel!$D$16:$D$20))))*1000</f>
        <v>114908.50057049998</v>
      </c>
      <c r="K24" s="6">
        <f>IF(D24="Gasolina Automotiva",(H24/1000)*(0.27)*(Combustão_Móvel!$D$18)*(Combustão_Móvel!$E$18),IF(D24="Óleo Diesel",(H24/1000)*(0.1)*(Combustão_Móvel!$D$20)*(Combustão_Móvel!$E$20)))*1000</f>
        <v>11387.101775132161</v>
      </c>
      <c r="L24" s="6">
        <f>IF(D24="Gasolina Automotiva",(H24/1000)*(((1-0.27)*(_xlfn.XLOOKUP(D24,Combustão_Móvel!$A$16:$A$20,Combustão_Móvel!$D$16:$D$20))*(_xlfn.XLOOKUP(D24,Combustão_Móvel!$A$16:$A$20,Combustão_Móvel!$F$16:$F$20)))+((0.27)*(Combustão_Móvel!$D$18)*(Combustão_Móvel!$F$18))),IF(D24="Óleo Diesel",(H24/1000)*(((1-0.1)*(_xlfn.XLOOKUP(D24,Combustão_Móvel!$A$16:$A$20,Combustão_Móvel!$F$16:$F$20))*(_xlfn.XLOOKUP(D24,Combustão_Móvel!$A$16:$A$20,Combustão_Móvel!$D$16:$D$20)))+((0.1)*(Combustão_Móvel!$D$20)*(Combustão_Móvel!$F$20)))))*1000</f>
        <v>6.9180006332555983</v>
      </c>
      <c r="M24" s="6">
        <f>IF(D24="Gasolina Automotiva",(H24/1000)*(((1-0.27)*(_xlfn.XLOOKUP(D24,Combustão_Móvel!$A$16:$A$20,Combustão_Móvel!$D$16:$D$20))*(_xlfn.XLOOKUP(D24,Combustão_Móvel!$A$16:$A$20,Combustão_Móvel!$G$16:$G$20)))+((0.27)*(Combustão_Móvel!$D$18)*(Combustão_Móvel!$G$18))),IF(D24="Óleo Diesel",(H24/1000)*(((1-0.1)*(_xlfn.XLOOKUP(D24,Combustão_Móvel!$A$16:$A$20,Combustão_Móvel!$G$16:$G$20))*(_xlfn.XLOOKUP(D24,Combustão_Móvel!$A$16:$A$20,Combustão_Móvel!$D$16:$D$20)))+((0.1)*(Combustão_Móvel!$D$20)*(Combustão_Móvel!$G$20)))))*1000</f>
        <v>44.447150205501117</v>
      </c>
      <c r="N24" s="6">
        <f>(J24+(L24*GWP_Quioto!$E$3)+(M24*GWP_Quioto!$E$6))/1000</f>
        <v>127.23558479426961</v>
      </c>
      <c r="O24" s="6">
        <f t="shared" si="2"/>
        <v>11.387101775132162</v>
      </c>
      <c r="P24" s="6">
        <f>IF(D24="Gasolina Automotiva",(H24*((Densidades!$B$33*0.73)+(Densidades!$B$3*0.27))/1000),IF(D24="Óleo Diesel",(H24*((Densidades!$B$44*0.9)+(Densidades!$B$6*0.1))/1000),IF(D24="Acetileno",H24,"")))</f>
        <v>40964.299599999991</v>
      </c>
      <c r="Q24" s="6">
        <f>(P24*(_xlfn.XLOOKUP(E24,'Fatores de Emissão'!A:A,'Fatores de Emissão'!B:B)))/1000</f>
        <v>32.093131423709629</v>
      </c>
      <c r="R24" s="6">
        <f>(P24*(_xlfn.XLOOKUP(E24,'Fatores de Emissão'!A:A,'Fatores de Emissão'!C:C)))/1000</f>
        <v>1.0628673397262974E-2</v>
      </c>
      <c r="S24" s="6">
        <f>(P24*(_xlfn.XLOOKUP(E24,'Fatores de Emissão'!A:A,'Fatores de Emissão'!E:E)))/1000</f>
        <v>5.7372332393858866E-3</v>
      </c>
      <c r="T24" s="6">
        <f t="shared" si="3"/>
        <v>159.32871621797923</v>
      </c>
      <c r="U24" s="6">
        <f t="shared" si="4"/>
        <v>11.397730448529426</v>
      </c>
      <c r="V24" s="6"/>
      <c r="W24" s="6"/>
      <c r="X24" s="6"/>
      <c r="Y24" s="6"/>
      <c r="Z24" s="6" t="s">
        <v>699</v>
      </c>
    </row>
    <row r="25" spans="1:26">
      <c r="A25" s="5" t="s">
        <v>20</v>
      </c>
      <c r="B25" s="7" t="s">
        <v>19</v>
      </c>
      <c r="C25" s="8" t="s">
        <v>27</v>
      </c>
      <c r="D25" s="8" t="s">
        <v>32</v>
      </c>
      <c r="E25" s="9" t="str">
        <f>IF(D25="Gasolina Automotiva", 'Fatores de Emissão'!$A$16,IF(D25="Óleo Diesel",'Fatores de Emissão'!$A$19,"Acetileno"))</f>
        <v>Óleo Diesel (10% Biodiesel)</v>
      </c>
      <c r="F25" s="156">
        <f t="shared" si="0"/>
        <v>0</v>
      </c>
      <c r="G25" s="156">
        <f t="shared" si="1"/>
        <v>0.1</v>
      </c>
      <c r="H25" s="11">
        <v>0</v>
      </c>
      <c r="I25" s="12" t="s">
        <v>108</v>
      </c>
      <c r="J25" s="6">
        <f>IF(D25="Gasolina Automotiva",(H25/1000)*(1-0.27)*(_xlfn.XLOOKUP(D25,Combustão_Móvel!$A$16:$A$20,Combustão_Móvel!$E$16:$E$20))*(_xlfn.XLOOKUP(D25,Combustão_Móvel!$A$16:$A$20,Combustão_Móvel!$D$16:$D$20)),IF(D25="Óleo Diesel",(H25/1000)*(1-0.1)*(_xlfn.XLOOKUP(D25,Combustão_Móvel!$A$16:$A$20,Combustão_Móvel!$E$16:$E$20))*(_xlfn.XLOOKUP(D25,Combustão_Móvel!$A$16:$A$20,Combustão_Móvel!$D$16:$D$20))))*1000</f>
        <v>0</v>
      </c>
      <c r="K25" s="6">
        <f>IF(D25="Gasolina Automotiva",(H25/1000)*(0.27)*(Combustão_Móvel!$D$18)*(Combustão_Móvel!$E$18),IF(D25="Óleo Diesel",(H25/1000)*(0.1)*(Combustão_Móvel!$D$20)*(Combustão_Móvel!$E$20)))*1000</f>
        <v>0</v>
      </c>
      <c r="L25" s="6">
        <f>IF(D25="Gasolina Automotiva",(H25/1000)*(((1-0.27)*(_xlfn.XLOOKUP(D25,Combustão_Móvel!$A$16:$A$20,Combustão_Móvel!$D$16:$D$20))*(_xlfn.XLOOKUP(D25,Combustão_Móvel!$A$16:$A$20,Combustão_Móvel!$F$16:$F$20)))+((0.27)*(Combustão_Móvel!$D$18)*(Combustão_Móvel!$F$18))),IF(D25="Óleo Diesel",(H25/1000)*(((1-0.1)*(_xlfn.XLOOKUP(D25,Combustão_Móvel!$A$16:$A$20,Combustão_Móvel!$F$16:$F$20))*(_xlfn.XLOOKUP(D25,Combustão_Móvel!$A$16:$A$20,Combustão_Móvel!$D$16:$D$20)))+((0.1)*(Combustão_Móvel!$D$20)*(Combustão_Móvel!$F$20)))))*1000</f>
        <v>0</v>
      </c>
      <c r="M25" s="6">
        <f>IF(D25="Gasolina Automotiva",(H25/1000)*(((1-0.27)*(_xlfn.XLOOKUP(D25,Combustão_Móvel!$A$16:$A$20,Combustão_Móvel!$D$16:$D$20))*(_xlfn.XLOOKUP(D25,Combustão_Móvel!$A$16:$A$20,Combustão_Móvel!$G$16:$G$20)))+((0.27)*(Combustão_Móvel!$D$18)*(Combustão_Móvel!$G$18))),IF(D25="Óleo Diesel",(H25/1000)*(((1-0.1)*(_xlfn.XLOOKUP(D25,Combustão_Móvel!$A$16:$A$20,Combustão_Móvel!$G$16:$G$20))*(_xlfn.XLOOKUP(D25,Combustão_Móvel!$A$16:$A$20,Combustão_Móvel!$D$16:$D$20)))+((0.1)*(Combustão_Móvel!$D$20)*(Combustão_Móvel!$G$20)))))*1000</f>
        <v>0</v>
      </c>
      <c r="N25" s="6">
        <f>(J25+(L25*GWP_Quioto!$E$3)+(M25*GWP_Quioto!$E$6))/1000</f>
        <v>0</v>
      </c>
      <c r="O25" s="6">
        <f t="shared" si="2"/>
        <v>0</v>
      </c>
      <c r="P25" s="6">
        <f>IF(D25="Gasolina Automotiva",(H25*((Densidades!$B$33*0.73)+(Densidades!$B$3*0.27))/1000),IF(D25="Óleo Diesel",(H25*((Densidades!$B$44*0.9)+(Densidades!$B$6*0.1))/1000),IF(D25="Acetileno",H25,"")))</f>
        <v>0</v>
      </c>
      <c r="Q25" s="6">
        <f>(P25*(_xlfn.XLOOKUP(E25,'Fatores de Emissão'!A:A,'Fatores de Emissão'!B:B)))/1000</f>
        <v>0</v>
      </c>
      <c r="R25" s="6">
        <f>(P25*(_xlfn.XLOOKUP(E25,'Fatores de Emissão'!A:A,'Fatores de Emissão'!C:C)))/1000</f>
        <v>0</v>
      </c>
      <c r="S25" s="6">
        <f>(P25*(_xlfn.XLOOKUP(E25,'Fatores de Emissão'!A:A,'Fatores de Emissão'!E:E)))/1000</f>
        <v>0</v>
      </c>
      <c r="T25" s="6">
        <f t="shared" si="3"/>
        <v>0</v>
      </c>
      <c r="U25" s="6">
        <f t="shared" si="4"/>
        <v>0</v>
      </c>
      <c r="V25" s="6"/>
      <c r="W25" s="6"/>
      <c r="X25" s="6"/>
      <c r="Y25" s="6"/>
      <c r="Z25" s="6" t="s">
        <v>699</v>
      </c>
    </row>
    <row r="26" spans="1:26">
      <c r="A26" s="5" t="s">
        <v>21</v>
      </c>
      <c r="B26" s="7" t="s">
        <v>19</v>
      </c>
      <c r="C26" s="8" t="s">
        <v>22</v>
      </c>
      <c r="D26" s="8" t="s">
        <v>31</v>
      </c>
      <c r="E26" s="9" t="str">
        <f>IF(D26="Gasolina Automotiva", 'Fatores de Emissão'!$A$16,IF(D26="Óleo Diesel",'Fatores de Emissão'!$A$19,"Acetileno"))</f>
        <v>Gasolina (27% de etanol)</v>
      </c>
      <c r="F26" s="156">
        <f t="shared" si="0"/>
        <v>0.27</v>
      </c>
      <c r="G26" s="156">
        <f t="shared" si="1"/>
        <v>0</v>
      </c>
      <c r="H26" s="9">
        <v>2706.4318000000003</v>
      </c>
      <c r="I26" s="10" t="s">
        <v>108</v>
      </c>
      <c r="J26" s="6">
        <f>IF(D26="Gasolina Automotiva",(H26/1000)*(1-0.27)*(_xlfn.XLOOKUP(D26,Combustão_Móvel!$A$16:$A$20,Combustão_Móvel!$E$16:$E$20))*(_xlfn.XLOOKUP(D26,Combustão_Móvel!$A$16:$A$20,Combustão_Móvel!$D$16:$D$20)),IF(D26="Óleo Diesel",(H26/1000)*(1-0.1)*(_xlfn.XLOOKUP(D26,Combustão_Móvel!$A$16:$A$20,Combustão_Móvel!$E$16:$E$20))*(_xlfn.XLOOKUP(D26,Combustão_Móvel!$A$16:$A$20,Combustão_Móvel!$D$16:$D$20))))*1000</f>
        <v>4414.1614693656484</v>
      </c>
      <c r="K26" s="6">
        <f>IF(D26="Gasolina Automotiva",(H26/1000)*(0.27)*(Combustão_Móvel!$D$18)*(Combustão_Móvel!$E$18),IF(D26="Óleo Diesel",(H26/1000)*(0.1)*(Combustão_Móvel!$D$20)*(Combustão_Móvel!$E$20)))*1000</f>
        <v>1300.6058970116164</v>
      </c>
      <c r="L26" s="6">
        <f>IF(D26="Gasolina Automotiva",(H26/1000)*(((1-0.27)*(_xlfn.XLOOKUP(D26,Combustão_Móvel!$A$16:$A$20,Combustão_Móvel!$D$16:$D$20))*(_xlfn.XLOOKUP(D26,Combustão_Móvel!$A$16:$A$20,Combustão_Móvel!$F$16:$F$20)))+((0.27)*(Combustão_Móvel!$D$18)*(Combustão_Móvel!$F$18))),IF(D26="Óleo Diesel",(H26/1000)*(((1-0.1)*(_xlfn.XLOOKUP(D26,Combustão_Móvel!$A$16:$A$20,Combustão_Móvel!$F$16:$F$20))*(_xlfn.XLOOKUP(D26,Combustão_Móvel!$A$16:$A$20,Combustão_Móvel!$D$16:$D$20)))+((0.1)*(Combustão_Móvel!$D$20)*(Combustão_Móvel!$F$20)))))*1000</f>
        <v>5.3898199570820804</v>
      </c>
      <c r="M26" s="6">
        <f>IF(D26="Gasolina Automotiva",(H26/1000)*(((1-0.27)*(_xlfn.XLOOKUP(D26,Combustão_Móvel!$A$16:$A$20,Combustão_Móvel!$D$16:$D$20))*(_xlfn.XLOOKUP(D26,Combustão_Móvel!$A$16:$A$20,Combustão_Móvel!$G$16:$G$20)))+((0.27)*(Combustão_Móvel!$D$18)*(Combustão_Móvel!$G$18))),IF(D26="Óleo Diesel",(H26/1000)*(((1-0.1)*(_xlfn.XLOOKUP(D26,Combustão_Móvel!$A$16:$A$20,Combustão_Móvel!$G$16:$G$20))*(_xlfn.XLOOKUP(D26,Combustão_Móvel!$A$16:$A$20,Combustão_Móvel!$D$16:$D$20)))+((0.1)*(Combustão_Móvel!$D$20)*(Combustão_Móvel!$G$20)))))*1000</f>
        <v>0.13719638943649601</v>
      </c>
      <c r="N26" s="6">
        <f>(J26+(L26*GWP_Quioto!$E$3)+(M26*GWP_Quioto!$E$6))/1000</f>
        <v>4.6019920604844016</v>
      </c>
      <c r="O26" s="6">
        <f t="shared" si="2"/>
        <v>1.3006058970116163</v>
      </c>
      <c r="P26" s="6">
        <f>IF(D26="Gasolina Automotiva",(H26*((Densidades!$B$33*0.73)+(Densidades!$B$3*0.27))/1000),IF(D26="Óleo Diesel",(H26*((Densidades!$B$44*0.9)+(Densidades!$B$6*0.1))/1000),IF(D26="Acetileno",H26,"")))</f>
        <v>2043.9784883140003</v>
      </c>
      <c r="Q26" s="6">
        <f>(P26*(_xlfn.XLOOKUP(E26,'Fatores de Emissão'!A:A,'Fatores de Emissão'!B:B)))/1000</f>
        <v>1.3059573321064288</v>
      </c>
      <c r="R26" s="6">
        <f>(P26*(_xlfn.XLOOKUP(E26,'Fatores de Emissão'!A:A,'Fatores de Emissão'!C:C)))/1000</f>
        <v>1.2391818132702653E-2</v>
      </c>
      <c r="S26" s="6">
        <f>(P26*(_xlfn.XLOOKUP(E26,'Fatores de Emissão'!A:A,'Fatores de Emissão'!E:E)))/1000</f>
        <v>-0.17565341066326556</v>
      </c>
      <c r="T26" s="6">
        <f t="shared" si="3"/>
        <v>5.9079493925908304</v>
      </c>
      <c r="U26" s="6">
        <f t="shared" si="4"/>
        <v>1.3129977151443191</v>
      </c>
      <c r="V26" s="6"/>
      <c r="W26" s="6"/>
      <c r="X26" s="6"/>
      <c r="Y26" s="6"/>
      <c r="Z26" s="6" t="s">
        <v>699</v>
      </c>
    </row>
    <row r="27" spans="1:26">
      <c r="A27" s="5" t="s">
        <v>21</v>
      </c>
      <c r="B27" s="7" t="s">
        <v>19</v>
      </c>
      <c r="C27" s="8" t="s">
        <v>23</v>
      </c>
      <c r="D27" s="8" t="s">
        <v>32</v>
      </c>
      <c r="E27" s="9" t="str">
        <f>IF(D27="Gasolina Automotiva", 'Fatores de Emissão'!$A$16,IF(D27="Óleo Diesel",'Fatores de Emissão'!$A$19,"Acetileno"))</f>
        <v>Óleo Diesel (10% Biodiesel)</v>
      </c>
      <c r="F27" s="156">
        <f t="shared" si="0"/>
        <v>0</v>
      </c>
      <c r="G27" s="156">
        <f t="shared" si="1"/>
        <v>0.1</v>
      </c>
      <c r="H27" s="9">
        <v>10877.7973</v>
      </c>
      <c r="I27" s="10" t="s">
        <v>108</v>
      </c>
      <c r="J27" s="6">
        <f>IF(D27="Gasolina Automotiva",(H27/1000)*(1-0.27)*(_xlfn.XLOOKUP(D27,Combustão_Móvel!$A$16:$A$20,Combustão_Móvel!$E$16:$E$20))*(_xlfn.XLOOKUP(D27,Combustão_Móvel!$A$16:$A$20,Combustão_Móvel!$D$16:$D$20)),IF(D27="Óleo Diesel",(H27/1000)*(1-0.1)*(_xlfn.XLOOKUP(D27,Combustão_Móvel!$A$16:$A$20,Combustão_Móvel!$E$16:$E$20))*(_xlfn.XLOOKUP(D27,Combustão_Móvel!$A$16:$A$20,Combustão_Móvel!$D$16:$D$20))))*1000</f>
        <v>25753.130718763503</v>
      </c>
      <c r="K27" s="6">
        <f>IF(D27="Gasolina Automotiva",(H27/1000)*(0.27)*(Combustão_Móvel!$D$18)*(Combustão_Móvel!$E$18),IF(D27="Óleo Diesel",(H27/1000)*(0.1)*(Combustão_Móvel!$D$20)*(Combustão_Móvel!$E$20)))*1000</f>
        <v>2552.0611535864759</v>
      </c>
      <c r="L27" s="6">
        <f>IF(D27="Gasolina Automotiva",(H27/1000)*(((1-0.27)*(_xlfn.XLOOKUP(D27,Combustão_Móvel!$A$16:$A$20,Combustão_Móvel!$D$16:$D$20))*(_xlfn.XLOOKUP(D27,Combustão_Móvel!$A$16:$A$20,Combustão_Móvel!$F$16:$F$20)))+((0.27)*(Combustão_Móvel!$D$18)*(Combustão_Móvel!$F$18))),IF(D27="Óleo Diesel",(H27/1000)*(((1-0.1)*(_xlfn.XLOOKUP(D27,Combustão_Móvel!$A$16:$A$20,Combustão_Móvel!$F$16:$F$20))*(_xlfn.XLOOKUP(D27,Combustão_Móvel!$A$16:$A$20,Combustão_Móvel!$D$16:$D$20)))+((0.1)*(Combustão_Móvel!$D$20)*(Combustão_Móvel!$F$20)))))*1000</f>
        <v>1.5504525229742534</v>
      </c>
      <c r="M27" s="6">
        <f>IF(D27="Gasolina Automotiva",(H27/1000)*(((1-0.27)*(_xlfn.XLOOKUP(D27,Combustão_Móvel!$A$16:$A$20,Combustão_Móvel!$D$16:$D$20))*(_xlfn.XLOOKUP(D27,Combustão_Móvel!$A$16:$A$20,Combustão_Móvel!$G$16:$G$20)))+((0.27)*(Combustão_Móvel!$D$18)*(Combustão_Móvel!$G$18))),IF(D27="Óleo Diesel",(H27/1000)*(((1-0.1)*(_xlfn.XLOOKUP(D27,Combustão_Móvel!$A$16:$A$20,Combustão_Móvel!$G$16:$G$20))*(_xlfn.XLOOKUP(D27,Combustão_Móvel!$A$16:$A$20,Combustão_Móvel!$D$16:$D$20)))+((0.1)*(Combustão_Móvel!$D$20)*(Combustão_Móvel!$G$20)))))*1000</f>
        <v>9.961432475715803</v>
      </c>
      <c r="N27" s="6">
        <f>(J27+(L27*GWP_Quioto!$E$3)+(M27*GWP_Quioto!$E$6))/1000</f>
        <v>28.515859410024898</v>
      </c>
      <c r="O27" s="6">
        <f t="shared" si="2"/>
        <v>2.5520611535864761</v>
      </c>
      <c r="P27" s="6">
        <f>IF(D27="Gasolina Automotiva",(H27*((Densidades!$B$33*0.73)+(Densidades!$B$3*0.27))/1000),IF(D27="Óleo Diesel",(H27*((Densidades!$B$44*0.9)+(Densidades!$B$6*0.1))/1000),IF(D27="Acetileno",H27,"")))</f>
        <v>9180.8609211999992</v>
      </c>
      <c r="Q27" s="6">
        <f>(P27*(_xlfn.XLOOKUP(E27,'Fatores de Emissão'!A:A,'Fatores de Emissão'!B:B)))/1000</f>
        <v>7.1926672493839359</v>
      </c>
      <c r="R27" s="6">
        <f>(P27*(_xlfn.XLOOKUP(E27,'Fatores de Emissão'!A:A,'Fatores de Emissão'!C:C)))/1000</f>
        <v>2.3820832576160948E-3</v>
      </c>
      <c r="S27" s="6">
        <f>(P27*(_xlfn.XLOOKUP(E27,'Fatores de Emissão'!A:A,'Fatores de Emissão'!E:E)))/1000</f>
        <v>1.2858206037358339E-3</v>
      </c>
      <c r="T27" s="6">
        <f t="shared" si="3"/>
        <v>35.708526659408832</v>
      </c>
      <c r="U27" s="6">
        <f t="shared" si="4"/>
        <v>2.5544432368440924</v>
      </c>
      <c r="V27" s="6"/>
      <c r="W27" s="6"/>
      <c r="X27" s="6"/>
      <c r="Y27" s="6"/>
      <c r="Z27" s="6" t="s">
        <v>699</v>
      </c>
    </row>
    <row r="28" spans="1:26">
      <c r="A28" s="5" t="s">
        <v>21</v>
      </c>
      <c r="B28" s="7" t="s">
        <v>19</v>
      </c>
      <c r="C28" s="8" t="s">
        <v>28</v>
      </c>
      <c r="D28" s="8" t="s">
        <v>32</v>
      </c>
      <c r="E28" s="9" t="str">
        <f>IF(D28="Gasolina Automotiva", 'Fatores de Emissão'!$A$16,IF(D28="Óleo Diesel",'Fatores de Emissão'!$A$19,"Acetileno"))</f>
        <v>Óleo Diesel (10% Biodiesel)</v>
      </c>
      <c r="F28" s="156">
        <f t="shared" si="0"/>
        <v>0</v>
      </c>
      <c r="G28" s="156">
        <f t="shared" si="1"/>
        <v>0.1</v>
      </c>
      <c r="H28" s="9">
        <f>7500*4.3</f>
        <v>32250</v>
      </c>
      <c r="I28" s="10" t="s">
        <v>108</v>
      </c>
      <c r="J28" s="6">
        <f>IF(D28="Gasolina Automotiva",(H28/1000)*(1-0.27)*(_xlfn.XLOOKUP(D28,Combustão_Móvel!$A$16:$A$20,Combustão_Móvel!$E$16:$E$20))*(_xlfn.XLOOKUP(D28,Combustão_Móvel!$A$16:$A$20,Combustão_Móvel!$D$16:$D$20)),IF(D28="Óleo Diesel",(H28/1000)*(1-0.1)*(_xlfn.XLOOKUP(D28,Combustão_Móvel!$A$16:$A$20,Combustão_Móvel!$E$16:$E$20))*(_xlfn.XLOOKUP(D28,Combustão_Móvel!$A$16:$A$20,Combustão_Móvel!$D$16:$D$20))))*1000</f>
        <v>76351.71375000001</v>
      </c>
      <c r="K28" s="6">
        <f>IF(D28="Gasolina Automotiva",(H28/1000)*(0.27)*(Combustão_Móvel!$D$18)*(Combustão_Móvel!$E$18),IF(D28="Óleo Diesel",(H28/1000)*(0.1)*(Combustão_Móvel!$D$20)*(Combustão_Móvel!$E$20)))*1000</f>
        <v>7566.2351424000008</v>
      </c>
      <c r="L28" s="6">
        <f>IF(D28="Gasolina Automotiva",(H28/1000)*(((1-0.27)*(_xlfn.XLOOKUP(D28,Combustão_Móvel!$A$16:$A$20,Combustão_Móvel!$D$16:$D$20))*(_xlfn.XLOOKUP(D28,Combustão_Móvel!$A$16:$A$20,Combustão_Móvel!$F$16:$F$20)))+((0.27)*(Combustão_Móvel!$D$18)*(Combustão_Móvel!$F$18))),IF(D28="Óleo Diesel",(H28/1000)*(((1-0.1)*(_xlfn.XLOOKUP(D28,Combustão_Móvel!$A$16:$A$20,Combustão_Móvel!$F$16:$F$20))*(_xlfn.XLOOKUP(D28,Combustão_Móvel!$A$16:$A$20,Combustão_Móvel!$D$16:$D$20)))+((0.1)*(Combustão_Móvel!$D$20)*(Combustão_Móvel!$F$20)))))*1000</f>
        <v>4.5967113089999998</v>
      </c>
      <c r="M28" s="6">
        <f>IF(D28="Gasolina Automotiva",(H28/1000)*(((1-0.27)*(_xlfn.XLOOKUP(D28,Combustão_Móvel!$A$16:$A$20,Combustão_Móvel!$D$16:$D$20))*(_xlfn.XLOOKUP(D28,Combustão_Móvel!$A$16:$A$20,Combustão_Móvel!$G$16:$G$20)))+((0.27)*(Combustão_Móvel!$D$18)*(Combustão_Móvel!$G$18))),IF(D28="Óleo Diesel",(H28/1000)*(((1-0.1)*(_xlfn.XLOOKUP(D28,Combustão_Móvel!$A$16:$A$20,Combustão_Móvel!$G$16:$G$20))*(_xlfn.XLOOKUP(D28,Combustão_Móvel!$A$16:$A$20,Combustão_Móvel!$D$16:$D$20)))+((0.1)*(Combustão_Móvel!$D$20)*(Combustão_Móvel!$G$20)))))*1000</f>
        <v>29.533203136800005</v>
      </c>
      <c r="N28" s="6">
        <f>(J28+(L28*GWP_Quioto!$E$3)+(M28*GWP_Quioto!$E$6))/1000</f>
        <v>84.542526451867516</v>
      </c>
      <c r="O28" s="6">
        <f t="shared" si="2"/>
        <v>7.5662351424000009</v>
      </c>
      <c r="P28" s="6">
        <f>IF(D28="Gasolina Automotiva",(H28*((Densidades!$B$33*0.73)+(Densidades!$B$3*0.27))/1000),IF(D28="Óleo Diesel",(H28*((Densidades!$B$44*0.9)+(Densidades!$B$6*0.1))/1000),IF(D28="Acetileno",H28,"")))</f>
        <v>27219</v>
      </c>
      <c r="Q28" s="6">
        <f>(P28*(_xlfn.XLOOKUP(E28,'Fatores de Emissão'!A:A,'Fatores de Emissão'!B:B)))/1000</f>
        <v>21.324493589582882</v>
      </c>
      <c r="R28" s="6">
        <f>(P28*(_xlfn.XLOOKUP(E28,'Fatores de Emissão'!A:A,'Fatores de Emissão'!C:C)))/1000</f>
        <v>7.0622923869080615E-3</v>
      </c>
      <c r="S28" s="6">
        <f>(P28*(_xlfn.XLOOKUP(E28,'Fatores de Emissão'!A:A,'Fatores de Emissão'!E:E)))/1000</f>
        <v>3.8121425989874483E-3</v>
      </c>
      <c r="T28" s="6">
        <f t="shared" si="3"/>
        <v>105.8670200414504</v>
      </c>
      <c r="U28" s="6">
        <f t="shared" si="4"/>
        <v>7.5732974347869089</v>
      </c>
      <c r="V28" s="6"/>
      <c r="W28" s="6"/>
      <c r="X28" s="6"/>
      <c r="Y28" s="6"/>
      <c r="Z28" s="6" t="s">
        <v>699</v>
      </c>
    </row>
    <row r="29" spans="1:26">
      <c r="A29" s="5" t="s">
        <v>18</v>
      </c>
      <c r="B29" s="7" t="s">
        <v>29</v>
      </c>
      <c r="C29" s="8" t="s">
        <v>30</v>
      </c>
      <c r="D29" s="8" t="s">
        <v>33</v>
      </c>
      <c r="E29" s="9" t="str">
        <f>IF(D29="Gasolina Automotiva", 'Fatores de Emissão'!$A$16,IF(D29="Óleo Diesel",'Fatores de Emissão'!$A$19,"Acetileno"))</f>
        <v>Acetileno</v>
      </c>
      <c r="F29" s="156">
        <f t="shared" si="0"/>
        <v>0</v>
      </c>
      <c r="G29" s="156">
        <f t="shared" si="1"/>
        <v>0</v>
      </c>
      <c r="H29" s="9">
        <v>54</v>
      </c>
      <c r="I29" s="10" t="s">
        <v>34</v>
      </c>
      <c r="J29" s="6">
        <f>H29*Combustão_Estacionária!$H$2</f>
        <v>182.76923076923077</v>
      </c>
      <c r="K29" s="6">
        <f>IF(D29="Gasolina Automotiva",(H29/1000)*(0.27)*(Combustão_Móvel!$D$18)*(Combustão_Móvel!$E$18),IF(D29="Óleo Diesel",(H29/1000)*(0.1)*(Combustão_Móvel!$D$20)*(Combustão_Móvel!$E$20)))*1000</f>
        <v>0</v>
      </c>
      <c r="L29" s="6">
        <f>IF(D29="Gasolina Automotiva",(H29/1000)*(((1-0.27)*(_xlfn.XLOOKUP(D29,Combustão_Móvel!$A$16:$A$20,Combustão_Móvel!$D$16:$D$20))*(_xlfn.XLOOKUP(D29,Combustão_Móvel!$A$16:$A$20,Combustão_Móvel!$F$16:$F$20)))+((0.27)*(Combustão_Móvel!$D$18)*(Combustão_Móvel!$F$18))),IF(D29="Óleo Diesel",(H29/1000)*(((1-0.1)*(_xlfn.XLOOKUP(D29,Combustão_Móvel!$A$16:$A$20,Combustão_Móvel!$F$16:$F$20))*(_xlfn.XLOOKUP(D29,Combustão_Móvel!$A$16:$A$20,Combustão_Móvel!$D$16:$D$20)))+((0.1)*(Combustão_Móvel!$D$20)*(Combustão_Móvel!$F$20)))))*1000</f>
        <v>0</v>
      </c>
      <c r="M29" s="6">
        <f>IF(D29="Gasolina Automotiva",(H29/1000)*(((1-0.27)*(_xlfn.XLOOKUP(D29,Combustão_Móvel!$A$16:$A$20,Combustão_Móvel!$D$16:$D$20))*(_xlfn.XLOOKUP(D29,Combustão_Móvel!$A$16:$A$20,Combustão_Móvel!$G$16:$G$20)))+((0.27)*(Combustão_Móvel!$D$18)*(Combustão_Móvel!$G$18))),IF(D29="Óleo Diesel",(H29/1000)*(((1-0.1)*(_xlfn.XLOOKUP(D29,Combustão_Móvel!$A$16:$A$20,Combustão_Móvel!$G$16:$G$20))*(_xlfn.XLOOKUP(D29,Combustão_Móvel!$A$16:$A$20,Combustão_Móvel!$D$16:$D$20)))+((0.1)*(Combustão_Móvel!$D$20)*(Combustão_Móvel!$G$20)))))*1000</f>
        <v>0</v>
      </c>
      <c r="N29" s="6">
        <f>(J29+(L29*GWP_Quioto!$E$3)+(M29*GWP_Quioto!$E$6))/1000</f>
        <v>0.18276923076923077</v>
      </c>
      <c r="O29" s="6">
        <f t="shared" si="2"/>
        <v>0</v>
      </c>
      <c r="P29" s="6">
        <f>IF(D29="Gasolina Automotiva",(H29*((Densidades!$B$33*0.73)+(Densidades!$B$3*0.27))/1000),IF(D29="Óleo Diesel",(H29*((Densidades!$B$44*0.9)+(Densidades!$B$6*0.1))/1000),IF(D29="Acetileno",H29,"")))</f>
        <v>54</v>
      </c>
      <c r="Q29" s="6">
        <f>(P29*(_xlfn.XLOOKUP(E29,'Fatores de Emissão'!A:A,'Fatores de Emissão'!B:B)))/1000</f>
        <v>0.13634508218537034</v>
      </c>
      <c r="R29" s="6">
        <f>(P29*(_xlfn.XLOOKUP(E29,'Fatores de Emissão'!A:A,'Fatores de Emissão'!C:C)))/1000</f>
        <v>3.0633067164829194E-4</v>
      </c>
      <c r="S29" s="6">
        <f>(P29*(_xlfn.XLOOKUP(E29,'Fatores de Emissão'!A:A,'Fatores de Emissão'!E:E)))/1000</f>
        <v>4.1416724814525988E-4</v>
      </c>
      <c r="T29" s="6">
        <f t="shared" si="3"/>
        <v>0.31911431295460113</v>
      </c>
      <c r="U29" s="6">
        <f t="shared" si="4"/>
        <v>3.0633067164829194E-4</v>
      </c>
      <c r="V29" s="6"/>
      <c r="W29" s="6"/>
      <c r="X29" s="6"/>
      <c r="Y29" s="6"/>
      <c r="Z29" s="6" t="s">
        <v>699</v>
      </c>
    </row>
    <row r="30" spans="1:26">
      <c r="A30" s="5" t="s">
        <v>20</v>
      </c>
      <c r="B30" s="7" t="s">
        <v>29</v>
      </c>
      <c r="C30" s="8" t="s">
        <v>30</v>
      </c>
      <c r="D30" s="8" t="s">
        <v>33</v>
      </c>
      <c r="E30" s="9" t="str">
        <f>IF(D30="Gasolina Automotiva", 'Fatores de Emissão'!$A$16,IF(D30="Óleo Diesel",'Fatores de Emissão'!$A$19,"Acetileno"))</f>
        <v>Acetileno</v>
      </c>
      <c r="F30" s="156">
        <f t="shared" si="0"/>
        <v>0</v>
      </c>
      <c r="G30" s="156">
        <f t="shared" si="1"/>
        <v>0</v>
      </c>
      <c r="H30" s="9">
        <v>18</v>
      </c>
      <c r="I30" s="10" t="s">
        <v>34</v>
      </c>
      <c r="J30" s="6">
        <f>H30*Combustão_Estacionária!$H$2</f>
        <v>60.92307692307692</v>
      </c>
      <c r="K30" s="6">
        <f>IF(D30="Gasolina Automotiva",(H30/1000)*(0.27)*(Combustão_Móvel!$D$18)*(Combustão_Móvel!$E$18),IF(D30="Óleo Diesel",(H30/1000)*(0.1)*(Combustão_Móvel!$D$20)*(Combustão_Móvel!$E$20)))*1000</f>
        <v>0</v>
      </c>
      <c r="L30" s="6">
        <f>IF(D30="Gasolina Automotiva",(H30/1000)*(((1-0.27)*(_xlfn.XLOOKUP(D30,Combustão_Móvel!$A$16:$A$20,Combustão_Móvel!$D$16:$D$20))*(_xlfn.XLOOKUP(D30,Combustão_Móvel!$A$16:$A$20,Combustão_Móvel!$F$16:$F$20)))+((0.27)*(Combustão_Móvel!$D$18)*(Combustão_Móvel!$F$18))),IF(D30="Óleo Diesel",(H30/1000)*(((1-0.1)*(_xlfn.XLOOKUP(D30,Combustão_Móvel!$A$16:$A$20,Combustão_Móvel!$F$16:$F$20))*(_xlfn.XLOOKUP(D30,Combustão_Móvel!$A$16:$A$20,Combustão_Móvel!$D$16:$D$20)))+((0.1)*(Combustão_Móvel!$D$20)*(Combustão_Móvel!$F$20)))))*1000</f>
        <v>0</v>
      </c>
      <c r="M30" s="6">
        <f>IF(D30="Gasolina Automotiva",(H30/1000)*(((1-0.27)*(_xlfn.XLOOKUP(D30,Combustão_Móvel!$A$16:$A$20,Combustão_Móvel!$D$16:$D$20))*(_xlfn.XLOOKUP(D30,Combustão_Móvel!$A$16:$A$20,Combustão_Móvel!$G$16:$G$20)))+((0.27)*(Combustão_Móvel!$D$18)*(Combustão_Móvel!$G$18))),IF(D30="Óleo Diesel",(H30/1000)*(((1-0.1)*(_xlfn.XLOOKUP(D30,Combustão_Móvel!$A$16:$A$20,Combustão_Móvel!$G$16:$G$20))*(_xlfn.XLOOKUP(D30,Combustão_Móvel!$A$16:$A$20,Combustão_Móvel!$D$16:$D$20)))+((0.1)*(Combustão_Móvel!$D$20)*(Combustão_Móvel!$G$20)))))*1000</f>
        <v>0</v>
      </c>
      <c r="N30" s="6">
        <f>(J30+(L30*GWP_Quioto!$E$3)+(M30*GWP_Quioto!$E$6))/1000</f>
        <v>6.092307692307692E-2</v>
      </c>
      <c r="O30" s="6">
        <f t="shared" si="2"/>
        <v>0</v>
      </c>
      <c r="P30" s="6">
        <f>IF(D30="Gasolina Automotiva",(H30*((Densidades!$B$33*0.73)+(Densidades!$B$3*0.27))/1000),IF(D30="Óleo Diesel",(H30*((Densidades!$B$44*0.9)+(Densidades!$B$6*0.1))/1000),IF(D30="Acetileno",H30,"")))</f>
        <v>18</v>
      </c>
      <c r="Q30" s="6">
        <f>(P30*(_xlfn.XLOOKUP(E30,'Fatores de Emissão'!A:A,'Fatores de Emissão'!B:B)))/1000</f>
        <v>4.5448360728456774E-2</v>
      </c>
      <c r="R30" s="6">
        <f>(P30*(_xlfn.XLOOKUP(E30,'Fatores de Emissão'!A:A,'Fatores de Emissão'!C:C)))/1000</f>
        <v>1.0211022388276397E-4</v>
      </c>
      <c r="S30" s="6">
        <f>(P30*(_xlfn.XLOOKUP(E30,'Fatores de Emissão'!A:A,'Fatores de Emissão'!E:E)))/1000</f>
        <v>1.3805574938175331E-4</v>
      </c>
      <c r="T30" s="6">
        <f t="shared" si="3"/>
        <v>0.1063714376515337</v>
      </c>
      <c r="U30" s="6">
        <f t="shared" si="4"/>
        <v>1.0211022388276397E-4</v>
      </c>
      <c r="V30" s="6"/>
      <c r="W30" s="6"/>
      <c r="X30" s="6"/>
      <c r="Y30" s="6"/>
      <c r="Z30" s="6" t="s">
        <v>699</v>
      </c>
    </row>
  </sheetData>
  <dataValidations count="2">
    <dataValidation type="list" allowBlank="1" showInputMessage="1" showErrorMessage="1" sqref="D2:D28" xr:uid="{C78729C1-519D-4196-8486-79AEE22C0A24}">
      <formula1>"Óleo Diesel,Gasolina Automotiva,Álcool Etílico Anidro,Álcool Etílico Hidratado,Biodiesel,GLP,Graxa,Lubrificantes,Gasolina de Aviação,Querosene de Aviação,Óleo Combustível Pesado,Acetileno"</formula1>
    </dataValidation>
    <dataValidation type="list" allowBlank="1" showInputMessage="1" showErrorMessage="1" sqref="I2:I28" xr:uid="{A60A7638-CE6F-4312-A761-D6175A7D71BD}">
      <formula1>"L,m3,kg,ton,kWh,MWh,MJ"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1767-F677-4AFE-9F0D-3BF67E1A27D3}">
  <sheetPr>
    <tabColor theme="9" tint="-0.499984740745262"/>
  </sheetPr>
  <dimension ref="A1:Y19"/>
  <sheetViews>
    <sheetView showGridLines="0" topLeftCell="Q1" workbookViewId="0">
      <selection activeCell="R23" sqref="R23"/>
    </sheetView>
  </sheetViews>
  <sheetFormatPr baseColWidth="10" defaultColWidth="8.83203125" defaultRowHeight="15"/>
  <cols>
    <col min="1" max="1" width="18.83203125" bestFit="1" customWidth="1"/>
    <col min="2" max="2" width="29.33203125" bestFit="1" customWidth="1"/>
    <col min="3" max="3" width="31.5" bestFit="1" customWidth="1"/>
    <col min="4" max="4" width="21.5" bestFit="1" customWidth="1"/>
    <col min="5" max="5" width="34.5" bestFit="1" customWidth="1"/>
    <col min="6" max="6" width="15.33203125" bestFit="1" customWidth="1"/>
    <col min="7" max="7" width="16" bestFit="1" customWidth="1"/>
    <col min="8" max="8" width="19.6640625" bestFit="1" customWidth="1"/>
    <col min="9" max="9" width="21" bestFit="1" customWidth="1"/>
    <col min="10" max="10" width="23.83203125" bestFit="1" customWidth="1"/>
    <col min="11" max="11" width="26.6640625" bestFit="1" customWidth="1"/>
    <col min="12" max="12" width="60.5" bestFit="1" customWidth="1"/>
    <col min="13" max="13" width="28.33203125" bestFit="1" customWidth="1"/>
    <col min="14" max="15" width="16.1640625" bestFit="1" customWidth="1"/>
    <col min="16" max="16" width="20" bestFit="1" customWidth="1"/>
    <col min="17" max="17" width="85.6640625" bestFit="1" customWidth="1"/>
    <col min="18" max="18" width="32.6640625" bestFit="1" customWidth="1"/>
    <col min="19" max="19" width="35.6640625" bestFit="1" customWidth="1"/>
    <col min="20" max="20" width="32.6640625" bestFit="1" customWidth="1"/>
    <col min="21" max="21" width="21.83203125" bestFit="1" customWidth="1"/>
    <col min="22" max="22" width="33.5" bestFit="1" customWidth="1"/>
    <col min="23" max="23" width="27" bestFit="1" customWidth="1"/>
    <col min="24" max="24" width="32.83203125" bestFit="1" customWidth="1"/>
    <col min="25" max="25" width="59.1640625" bestFit="1" customWidth="1"/>
  </cols>
  <sheetData>
    <row r="1" spans="1:25">
      <c r="A1" s="1" t="s">
        <v>35</v>
      </c>
      <c r="B1" s="22" t="s">
        <v>45</v>
      </c>
      <c r="C1" s="22" t="s">
        <v>46</v>
      </c>
      <c r="D1" s="22" t="s">
        <v>47</v>
      </c>
      <c r="E1" s="22" t="s">
        <v>48</v>
      </c>
      <c r="F1" s="22" t="s">
        <v>36</v>
      </c>
      <c r="G1" s="22" t="s">
        <v>37</v>
      </c>
      <c r="H1" s="22" t="s">
        <v>38</v>
      </c>
      <c r="I1" s="22" t="s">
        <v>17</v>
      </c>
      <c r="J1" s="22" t="s">
        <v>50</v>
      </c>
      <c r="K1" s="22" t="s">
        <v>68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768</v>
      </c>
      <c r="R1" s="2" t="s">
        <v>777</v>
      </c>
      <c r="S1" s="2" t="s">
        <v>778</v>
      </c>
      <c r="T1" s="2" t="s">
        <v>779</v>
      </c>
      <c r="U1" s="2" t="s">
        <v>44</v>
      </c>
      <c r="V1" s="2" t="s">
        <v>12</v>
      </c>
      <c r="W1" s="3" t="s">
        <v>13</v>
      </c>
      <c r="X1" s="2" t="s">
        <v>14</v>
      </c>
      <c r="Y1" s="2" t="s">
        <v>16</v>
      </c>
    </row>
    <row r="2" spans="1:25">
      <c r="A2" s="178" t="s">
        <v>18</v>
      </c>
      <c r="B2" s="4" t="s">
        <v>52</v>
      </c>
      <c r="C2" s="193" t="s">
        <v>53</v>
      </c>
      <c r="D2" s="157">
        <v>0.15</v>
      </c>
      <c r="E2" s="193" t="s">
        <v>54</v>
      </c>
      <c r="F2" s="145">
        <v>0</v>
      </c>
      <c r="G2" s="145">
        <v>0</v>
      </c>
      <c r="H2" s="15">
        <v>313</v>
      </c>
      <c r="I2" s="195" t="s">
        <v>55</v>
      </c>
      <c r="J2" s="193" t="s">
        <v>56</v>
      </c>
      <c r="K2" s="196">
        <f>H2*1000</f>
        <v>313000</v>
      </c>
      <c r="L2" s="196">
        <f>((F2*Fatores_Fertilizantes!$B$16)+(G2*Fatores_Fertilizantes!$B$17))*K2</f>
        <v>0</v>
      </c>
      <c r="M2" s="196">
        <f>K2*D2</f>
        <v>46950</v>
      </c>
      <c r="N2" s="196">
        <f>IF(E2="Calcítico",L2*Fatores_Fertilizantes!$B$14,IF(E2="Dolomítico",L2*Fatores_Fertilizantes!$B$15,0))</f>
        <v>0</v>
      </c>
      <c r="O2" s="196">
        <f>M2*Fatores_Fertilizantes!$B$8</f>
        <v>1013.7175714285714</v>
      </c>
      <c r="P2" s="196">
        <f>(N2+(O2*GWP_Quioto!$E$6))/1000</f>
        <v>276.74489699999998</v>
      </c>
      <c r="Q2" s="16" t="s">
        <v>830</v>
      </c>
      <c r="R2" s="196">
        <f>$K2*_xlfn.XLOOKUP($Q2,'Fatores de Emissão'!$A:$A,'Fatores de Emissão'!B:B)/1000</f>
        <v>444.35519233438595</v>
      </c>
      <c r="S2" s="196">
        <f>$K2*_xlfn.XLOOKUP($Q2,'Fatores de Emissão'!$A:$A,'Fatores de Emissão'!C:C)/1000</f>
        <v>0.32353409208013123</v>
      </c>
      <c r="T2" s="196">
        <f>$K2*_xlfn.XLOOKUP($Q2,'Fatores de Emissão'!$A:$A,'Fatores de Emissão'!E:E)/1000</f>
        <v>0.76426896732879901</v>
      </c>
      <c r="U2" s="196">
        <f>R2+P2</f>
        <v>721.10008933438598</v>
      </c>
      <c r="V2" s="6"/>
      <c r="W2" s="6"/>
      <c r="X2" s="6"/>
      <c r="Y2" s="6" t="s">
        <v>699</v>
      </c>
    </row>
    <row r="3" spans="1:25">
      <c r="A3" s="178" t="s">
        <v>18</v>
      </c>
      <c r="B3" s="4" t="s">
        <v>57</v>
      </c>
      <c r="C3" s="193" t="s">
        <v>54</v>
      </c>
      <c r="D3" s="157">
        <v>0</v>
      </c>
      <c r="E3" s="193" t="s">
        <v>54</v>
      </c>
      <c r="F3" s="145">
        <v>0</v>
      </c>
      <c r="G3" s="145">
        <v>0</v>
      </c>
      <c r="H3" s="15">
        <v>71</v>
      </c>
      <c r="I3" s="195" t="s">
        <v>55</v>
      </c>
      <c r="J3" s="193" t="s">
        <v>56</v>
      </c>
      <c r="K3" s="196">
        <f t="shared" ref="K3:K18" si="0">H3*1000</f>
        <v>71000</v>
      </c>
      <c r="L3" s="196">
        <f>((F3*Fatores_Fertilizantes!$B$16)+(G3*Fatores_Fertilizantes!$B$17))*K3</f>
        <v>0</v>
      </c>
      <c r="M3" s="196">
        <f t="shared" ref="M3:M18" si="1">K3*D3</f>
        <v>0</v>
      </c>
      <c r="N3" s="196">
        <f>IF(E3="Calcítico",L3*Fatores_Fertilizantes!$B$14,IF(E3="Dolomítico",L3*Fatores_Fertilizantes!$B$15,0))</f>
        <v>0</v>
      </c>
      <c r="O3" s="196">
        <f>M3*Fatores_Fertilizantes!$B$8</f>
        <v>0</v>
      </c>
      <c r="P3" s="196">
        <f>(N3+(O3*GWP_Quioto!$E$6))/1000</f>
        <v>0</v>
      </c>
      <c r="Q3" s="16" t="s">
        <v>769</v>
      </c>
      <c r="R3" s="196">
        <f>$K3*_xlfn.XLOOKUP($Q3,'Fatores de Emissão'!$A:$A,'Fatores de Emissão'!B:B)/1000</f>
        <v>35.550008696548694</v>
      </c>
      <c r="S3" s="196">
        <f>$K3*_xlfn.XLOOKUP($Q3,'Fatores de Emissão'!$A:$A,'Fatores de Emissão'!C:C)/1000</f>
        <v>7.1524863034736888E-2</v>
      </c>
      <c r="T3" s="196">
        <f>$K3*_xlfn.XLOOKUP($Q3,'Fatores de Emissão'!$A:$A,'Fatores de Emissão'!E:E)/1000</f>
        <v>5.3803689592233986E-2</v>
      </c>
      <c r="U3" s="196">
        <f t="shared" ref="U3:U18" si="2">R3+P3</f>
        <v>35.550008696548694</v>
      </c>
      <c r="V3" s="6"/>
      <c r="W3" s="6"/>
      <c r="X3" s="6"/>
      <c r="Y3" s="6" t="s">
        <v>699</v>
      </c>
    </row>
    <row r="4" spans="1:25">
      <c r="A4" s="178" t="s">
        <v>18</v>
      </c>
      <c r="B4" s="4" t="s">
        <v>58</v>
      </c>
      <c r="C4" s="193" t="s">
        <v>53</v>
      </c>
      <c r="D4" s="157">
        <v>7.0000000000000007E-2</v>
      </c>
      <c r="E4" s="193" t="s">
        <v>54</v>
      </c>
      <c r="F4" s="145">
        <v>0</v>
      </c>
      <c r="G4" s="145">
        <v>0</v>
      </c>
      <c r="H4" s="15">
        <v>292.5</v>
      </c>
      <c r="I4" s="195" t="s">
        <v>55</v>
      </c>
      <c r="J4" s="193" t="s">
        <v>56</v>
      </c>
      <c r="K4" s="196">
        <f t="shared" si="0"/>
        <v>292500</v>
      </c>
      <c r="L4" s="196">
        <f>((F4*Fatores_Fertilizantes!$B$16)+(G4*Fatores_Fertilizantes!$B$17))*K4</f>
        <v>0</v>
      </c>
      <c r="M4" s="196">
        <f t="shared" si="1"/>
        <v>20475.000000000004</v>
      </c>
      <c r="N4" s="196">
        <f>IF(E4="Calcítico",L4*Fatores_Fertilizantes!$B$14,IF(E4="Dolomítico",L4*Fatores_Fertilizantes!$B$15,0))</f>
        <v>0</v>
      </c>
      <c r="O4" s="196">
        <f>M4*Fatores_Fertilizantes!$B$8</f>
        <v>442.08450000000005</v>
      </c>
      <c r="P4" s="196">
        <f>(N4+(O4*GWP_Quioto!$E$6))/1000</f>
        <v>120.6890685</v>
      </c>
      <c r="Q4" s="16" t="s">
        <v>830</v>
      </c>
      <c r="R4" s="196">
        <f>$K4*_xlfn.XLOOKUP($Q4,'Fatores de Emissão'!$A:$A,'Fatores de Emissão'!B:B)/1000</f>
        <v>415.25205673421044</v>
      </c>
      <c r="S4" s="196">
        <f>$K4*_xlfn.XLOOKUP($Q4,'Fatores de Emissão'!$A:$A,'Fatores de Emissão'!C:C)/1000</f>
        <v>0.30234415953175203</v>
      </c>
      <c r="T4" s="196">
        <f>$K4*_xlfn.XLOOKUP($Q4,'Fatores de Emissão'!$A:$A,'Fatores de Emissão'!E:E)/1000</f>
        <v>0.71421301259959646</v>
      </c>
      <c r="U4" s="196">
        <f t="shared" si="2"/>
        <v>535.9411252342104</v>
      </c>
      <c r="V4" s="6"/>
      <c r="W4" s="6"/>
      <c r="X4" s="6"/>
      <c r="Y4" s="6" t="s">
        <v>699</v>
      </c>
    </row>
    <row r="5" spans="1:25">
      <c r="A5" s="178" t="s">
        <v>18</v>
      </c>
      <c r="B5" s="4" t="s">
        <v>59</v>
      </c>
      <c r="C5" s="193" t="s">
        <v>54</v>
      </c>
      <c r="D5" s="157">
        <v>0</v>
      </c>
      <c r="E5" s="193" t="s">
        <v>54</v>
      </c>
      <c r="F5" s="145">
        <v>0</v>
      </c>
      <c r="G5" s="145">
        <v>0</v>
      </c>
      <c r="H5" s="15">
        <v>26.5</v>
      </c>
      <c r="I5" s="195" t="s">
        <v>55</v>
      </c>
      <c r="J5" s="193" t="s">
        <v>56</v>
      </c>
      <c r="K5" s="196">
        <f t="shared" si="0"/>
        <v>26500</v>
      </c>
      <c r="L5" s="196">
        <f>((F5*Fatores_Fertilizantes!$B$16)+(G5*Fatores_Fertilizantes!$B$17))*K5</f>
        <v>0</v>
      </c>
      <c r="M5" s="196">
        <f t="shared" si="1"/>
        <v>0</v>
      </c>
      <c r="N5" s="196">
        <f>IF(E5="Calcítico",L5*Fatores_Fertilizantes!$B$14,IF(E5="Dolomítico",L5*Fatores_Fertilizantes!$B$15,0))</f>
        <v>0</v>
      </c>
      <c r="O5" s="196">
        <f>M5*Fatores_Fertilizantes!$B$8</f>
        <v>0</v>
      </c>
      <c r="P5" s="196">
        <f>(N5+(O5*GWP_Quioto!$E$6))/1000</f>
        <v>0</v>
      </c>
      <c r="Q5" s="16" t="s">
        <v>770</v>
      </c>
      <c r="R5" s="196">
        <f>$K5*_xlfn.XLOOKUP($Q5,'Fatores de Emissão'!$A:$A,'Fatores de Emissão'!B:B)/1000</f>
        <v>3.5674057050644703</v>
      </c>
      <c r="S5" s="196">
        <f>$K5*_xlfn.XLOOKUP($Q5,'Fatores de Emissão'!$A:$A,'Fatores de Emissão'!C:C)/1000</f>
        <v>4.6379959080046116E-4</v>
      </c>
      <c r="T5" s="196">
        <f>$K5*_xlfn.XLOOKUP($Q5,'Fatores de Emissão'!$A:$A,'Fatores de Emissão'!E:E)/1000</f>
        <v>1.4640389741824218E-4</v>
      </c>
      <c r="U5" s="196">
        <f t="shared" si="2"/>
        <v>3.5674057050644703</v>
      </c>
      <c r="V5" s="6"/>
      <c r="W5" s="6"/>
      <c r="X5" s="6"/>
      <c r="Y5" s="6" t="s">
        <v>699</v>
      </c>
    </row>
    <row r="6" spans="1:25">
      <c r="A6" s="178" t="s">
        <v>18</v>
      </c>
      <c r="B6" s="4" t="s">
        <v>60</v>
      </c>
      <c r="C6" s="193" t="s">
        <v>61</v>
      </c>
      <c r="D6" s="157">
        <v>0.46</v>
      </c>
      <c r="E6" s="193" t="s">
        <v>54</v>
      </c>
      <c r="F6" s="145">
        <v>0</v>
      </c>
      <c r="G6" s="145">
        <v>0</v>
      </c>
      <c r="H6" s="15">
        <v>15</v>
      </c>
      <c r="I6" s="195" t="s">
        <v>55</v>
      </c>
      <c r="J6" s="193" t="s">
        <v>56</v>
      </c>
      <c r="K6" s="196">
        <f t="shared" si="0"/>
        <v>15000</v>
      </c>
      <c r="L6" s="196">
        <f>((F6*Fatores_Fertilizantes!$B$16)+(G6*Fatores_Fertilizantes!$B$17))*K6</f>
        <v>0</v>
      </c>
      <c r="M6" s="196">
        <f t="shared" si="1"/>
        <v>6900</v>
      </c>
      <c r="N6" s="196">
        <f>IF(E6="Calcítico",L6*Fatores_Fertilizantes!$B$14,IF(E6="Dolomítico",L6*Fatores_Fertilizantes!$B$15,0))</f>
        <v>0</v>
      </c>
      <c r="O6" s="196">
        <f>M6*Fatores_Fertilizantes!$B$8</f>
        <v>148.98085714285713</v>
      </c>
      <c r="P6" s="196">
        <f>(N6+(O6*GWP_Quioto!$E$6))/1000</f>
        <v>40.671773999999999</v>
      </c>
      <c r="Q6" s="16" t="s">
        <v>771</v>
      </c>
      <c r="R6" s="196">
        <f>$K6*_xlfn.XLOOKUP($Q6,'Fatores de Emissão'!$A:$A,'Fatores de Emissão'!B:B)/1000</f>
        <v>25.258453669677451</v>
      </c>
      <c r="S6" s="196">
        <f>$K6*_xlfn.XLOOKUP($Q6,'Fatores de Emissão'!$A:$A,'Fatores de Emissão'!C:C)/1000</f>
        <v>1.2500839076763824E-2</v>
      </c>
      <c r="T6" s="196">
        <f>$K6*_xlfn.XLOOKUP($Q6,'Fatores de Emissão'!$A:$A,'Fatores de Emissão'!E:E)/1000</f>
        <v>8.8964081977910853E-3</v>
      </c>
      <c r="U6" s="196">
        <f t="shared" si="2"/>
        <v>65.93022766967745</v>
      </c>
      <c r="V6" s="6"/>
      <c r="W6" s="6"/>
      <c r="X6" s="6"/>
      <c r="Y6" s="6" t="s">
        <v>699</v>
      </c>
    </row>
    <row r="7" spans="1:25">
      <c r="A7" s="178" t="s">
        <v>18</v>
      </c>
      <c r="B7" s="4" t="s">
        <v>62</v>
      </c>
      <c r="C7" s="193" t="s">
        <v>53</v>
      </c>
      <c r="D7" s="157">
        <v>0.13</v>
      </c>
      <c r="E7" s="193" t="s">
        <v>54</v>
      </c>
      <c r="F7" s="145">
        <v>0</v>
      </c>
      <c r="G7" s="145">
        <v>0</v>
      </c>
      <c r="H7" s="15">
        <v>175</v>
      </c>
      <c r="I7" s="195" t="s">
        <v>55</v>
      </c>
      <c r="J7" s="193" t="s">
        <v>56</v>
      </c>
      <c r="K7" s="196">
        <f t="shared" si="0"/>
        <v>175000</v>
      </c>
      <c r="L7" s="196">
        <f>((F7*Fatores_Fertilizantes!$B$16)+(G7*Fatores_Fertilizantes!$B$17))*K7</f>
        <v>0</v>
      </c>
      <c r="M7" s="196">
        <f t="shared" si="1"/>
        <v>22750</v>
      </c>
      <c r="N7" s="196">
        <f>IF(E7="Calcítico",L7*Fatores_Fertilizantes!$B$14,IF(E7="Dolomítico",L7*Fatores_Fertilizantes!$B$15,0))</f>
        <v>0</v>
      </c>
      <c r="O7" s="196">
        <f>M7*Fatores_Fertilizantes!$B$8</f>
        <v>491.20499999999998</v>
      </c>
      <c r="P7" s="196">
        <f>(N7+(O7*GWP_Quioto!$E$6))/1000</f>
        <v>134.09896499999999</v>
      </c>
      <c r="Q7" s="16" t="s">
        <v>830</v>
      </c>
      <c r="R7" s="196">
        <f>$K7*_xlfn.XLOOKUP($Q7,'Fatores de Emissão'!$A:$A,'Fatores de Emissão'!B:B)/1000</f>
        <v>248.44140146491225</v>
      </c>
      <c r="S7" s="196">
        <f>$K7*_xlfn.XLOOKUP($Q7,'Fatores de Emissão'!$A:$A,'Fatores de Emissão'!C:C)/1000</f>
        <v>0.18088966809592003</v>
      </c>
      <c r="T7" s="196">
        <f>$K7*_xlfn.XLOOKUP($Q7,'Fatores de Emissão'!$A:$A,'Fatores de Emissão'!E:E)/1000</f>
        <v>0.42730693061514324</v>
      </c>
      <c r="U7" s="196">
        <f t="shared" si="2"/>
        <v>382.54036646491227</v>
      </c>
      <c r="V7" s="6"/>
      <c r="W7" s="6"/>
      <c r="X7" s="6"/>
      <c r="Y7" s="6" t="s">
        <v>699</v>
      </c>
    </row>
    <row r="8" spans="1:25">
      <c r="A8" s="178" t="s">
        <v>18</v>
      </c>
      <c r="B8" s="16" t="s">
        <v>63</v>
      </c>
      <c r="C8" s="194" t="s">
        <v>54</v>
      </c>
      <c r="D8" s="157">
        <v>0</v>
      </c>
      <c r="E8" s="193" t="s">
        <v>65</v>
      </c>
      <c r="F8" s="145">
        <v>0.52</v>
      </c>
      <c r="G8" s="145">
        <v>0.09</v>
      </c>
      <c r="H8" s="5">
        <v>410.61</v>
      </c>
      <c r="I8" s="195" t="s">
        <v>55</v>
      </c>
      <c r="J8" s="193" t="s">
        <v>56</v>
      </c>
      <c r="K8" s="196">
        <f t="shared" si="0"/>
        <v>410610</v>
      </c>
      <c r="L8" s="196">
        <f>((F8*Fatores_Fertilizantes!$B$16)+(G8*Fatores_Fertilizantes!$B$17))*K8</f>
        <v>473843.94000000006</v>
      </c>
      <c r="M8" s="196">
        <f t="shared" si="1"/>
        <v>0</v>
      </c>
      <c r="N8" s="196">
        <f>IF(E8="Calcítico",L8*Fatores_Fertilizantes!$B$14,IF(E8="Dolomítico",L8*Fatores_Fertilizantes!$B$15,0))</f>
        <v>208491.33360000001</v>
      </c>
      <c r="O8" s="196">
        <f>M8*Fatores_Fertilizantes!$B$8</f>
        <v>0</v>
      </c>
      <c r="P8" s="196">
        <f>(N8+(O8*GWP_Quioto!$E$6))/1000</f>
        <v>208.49133360000002</v>
      </c>
      <c r="Q8" s="160" t="s">
        <v>774</v>
      </c>
      <c r="R8" s="196">
        <f>$K8*_xlfn.XLOOKUP($Q8,'Fatores de Emissão'!$A:$A,'Fatores de Emissão'!B:B)/1000</f>
        <v>1.3108514386108898</v>
      </c>
      <c r="S8" s="196">
        <f>$K8*_xlfn.XLOOKUP($Q8,'Fatores de Emissão'!$A:$A,'Fatores de Emissão'!C:C)/1000</f>
        <v>7.5353636989029837E-4</v>
      </c>
      <c r="T8" s="196">
        <f>$K8*_xlfn.XLOOKUP($Q8,'Fatores de Emissão'!$A:$A,'Fatores de Emissão'!E:E)/1000</f>
        <v>5.5322128786882134E-4</v>
      </c>
      <c r="U8" s="196">
        <f t="shared" si="2"/>
        <v>209.8021850386109</v>
      </c>
      <c r="V8" s="6"/>
      <c r="W8" s="6"/>
      <c r="X8" s="6"/>
      <c r="Y8" s="6" t="s">
        <v>699</v>
      </c>
    </row>
    <row r="9" spans="1:25">
      <c r="A9" s="178" t="s">
        <v>20</v>
      </c>
      <c r="B9" s="4" t="s">
        <v>57</v>
      </c>
      <c r="C9" s="194" t="s">
        <v>54</v>
      </c>
      <c r="D9" s="157">
        <v>0</v>
      </c>
      <c r="E9" s="193" t="s">
        <v>54</v>
      </c>
      <c r="F9" s="145">
        <v>0</v>
      </c>
      <c r="G9" s="145">
        <v>0</v>
      </c>
      <c r="H9" s="5">
        <v>153</v>
      </c>
      <c r="I9" s="195" t="s">
        <v>55</v>
      </c>
      <c r="J9" s="193" t="s">
        <v>56</v>
      </c>
      <c r="K9" s="196">
        <f t="shared" si="0"/>
        <v>153000</v>
      </c>
      <c r="L9" s="196">
        <f>((F9*Fatores_Fertilizantes!$B$16)+(G9*Fatores_Fertilizantes!$B$17))*K9</f>
        <v>0</v>
      </c>
      <c r="M9" s="196">
        <f t="shared" si="1"/>
        <v>0</v>
      </c>
      <c r="N9" s="196">
        <f>IF(E9="Calcítico",L9*Fatores_Fertilizantes!$B$14,IF(E9="Dolomítico",L9*Fatores_Fertilizantes!$B$15,0))</f>
        <v>0</v>
      </c>
      <c r="O9" s="196">
        <f>M9*Fatores_Fertilizantes!$B$8</f>
        <v>0</v>
      </c>
      <c r="P9" s="196">
        <f>(N9+(O9*GWP_Quioto!$E$6))/1000</f>
        <v>0</v>
      </c>
      <c r="Q9" s="16" t="s">
        <v>769</v>
      </c>
      <c r="R9" s="196">
        <f>$K9*_xlfn.XLOOKUP($Q9,'Fatores de Emissão'!$A:$A,'Fatores de Emissão'!B:B)/1000</f>
        <v>76.607765219323241</v>
      </c>
      <c r="S9" s="196">
        <f>$K9*_xlfn.XLOOKUP($Q9,'Fatores de Emissão'!$A:$A,'Fatores de Emissão'!C:C)/1000</f>
        <v>0.15413104287767243</v>
      </c>
      <c r="T9" s="196">
        <f>$K9*_xlfn.XLOOKUP($Q9,'Fatores de Emissão'!$A:$A,'Fatores de Emissão'!E:E)/1000</f>
        <v>0.11594316207903943</v>
      </c>
      <c r="U9" s="196">
        <f t="shared" si="2"/>
        <v>76.607765219323241</v>
      </c>
      <c r="V9" s="6"/>
      <c r="W9" s="6"/>
      <c r="X9" s="6"/>
      <c r="Y9" s="6" t="s">
        <v>699</v>
      </c>
    </row>
    <row r="10" spans="1:25">
      <c r="A10" s="178" t="s">
        <v>20</v>
      </c>
      <c r="B10" s="4" t="s">
        <v>58</v>
      </c>
      <c r="C10" s="194" t="s">
        <v>53</v>
      </c>
      <c r="D10" s="158">
        <v>7.0000000000000007E-2</v>
      </c>
      <c r="E10" s="193" t="s">
        <v>54</v>
      </c>
      <c r="F10" s="145">
        <v>0</v>
      </c>
      <c r="G10" s="145">
        <v>0</v>
      </c>
      <c r="H10" s="5">
        <v>70</v>
      </c>
      <c r="I10" s="195" t="s">
        <v>55</v>
      </c>
      <c r="J10" s="193" t="s">
        <v>56</v>
      </c>
      <c r="K10" s="196">
        <f t="shared" si="0"/>
        <v>70000</v>
      </c>
      <c r="L10" s="196">
        <f>((F10*Fatores_Fertilizantes!$B$16)+(G10*Fatores_Fertilizantes!$B$17))*K10</f>
        <v>0</v>
      </c>
      <c r="M10" s="196">
        <f t="shared" si="1"/>
        <v>4900.0000000000009</v>
      </c>
      <c r="N10" s="196">
        <f>IF(E10="Calcítico",L10*Fatores_Fertilizantes!$B$14,IF(E10="Dolomítico",L10*Fatores_Fertilizantes!$B$15,0))</f>
        <v>0</v>
      </c>
      <c r="O10" s="196">
        <f>M10*Fatores_Fertilizantes!$B$8</f>
        <v>105.79800000000002</v>
      </c>
      <c r="P10" s="196">
        <f>(N10+(O10*GWP_Quioto!$E$6))/1000</f>
        <v>28.882854000000002</v>
      </c>
      <c r="Q10" s="16" t="s">
        <v>830</v>
      </c>
      <c r="R10" s="196">
        <f>$K10*_xlfn.XLOOKUP($Q10,'Fatores de Emissão'!$A:$A,'Fatores de Emissão'!B:B)/1000</f>
        <v>99.37656058596491</v>
      </c>
      <c r="S10" s="196">
        <f>$K10*_xlfn.XLOOKUP($Q10,'Fatores de Emissão'!$A:$A,'Fatores de Emissão'!C:C)/1000</f>
        <v>7.235586723836801E-2</v>
      </c>
      <c r="T10" s="196">
        <f>$K10*_xlfn.XLOOKUP($Q10,'Fatores de Emissão'!$A:$A,'Fatores de Emissão'!E:E)/1000</f>
        <v>0.17092277224605729</v>
      </c>
      <c r="U10" s="196">
        <f t="shared" si="2"/>
        <v>128.25941458596492</v>
      </c>
      <c r="V10" s="6"/>
      <c r="W10" s="6"/>
      <c r="X10" s="6"/>
      <c r="Y10" s="6" t="s">
        <v>699</v>
      </c>
    </row>
    <row r="11" spans="1:25">
      <c r="A11" s="178" t="s">
        <v>20</v>
      </c>
      <c r="B11" s="4" t="s">
        <v>64</v>
      </c>
      <c r="C11" s="194" t="s">
        <v>54</v>
      </c>
      <c r="D11" s="157">
        <v>0</v>
      </c>
      <c r="E11" s="193" t="s">
        <v>54</v>
      </c>
      <c r="F11" s="145">
        <v>0</v>
      </c>
      <c r="G11" s="145">
        <v>0</v>
      </c>
      <c r="H11" s="5">
        <v>131.85</v>
      </c>
      <c r="I11" s="195" t="s">
        <v>55</v>
      </c>
      <c r="J11" s="193" t="s">
        <v>56</v>
      </c>
      <c r="K11" s="196">
        <f t="shared" si="0"/>
        <v>131850</v>
      </c>
      <c r="L11" s="196">
        <f>((F11*Fatores_Fertilizantes!$B$16)+(G11*Fatores_Fertilizantes!$B$17))*K11</f>
        <v>0</v>
      </c>
      <c r="M11" s="196">
        <f t="shared" si="1"/>
        <v>0</v>
      </c>
      <c r="N11" s="196">
        <f>IF(E11="Calcítico",L11*Fatores_Fertilizantes!$B$14,IF(E11="Dolomítico",L11*Fatores_Fertilizantes!$B$15,0))</f>
        <v>0</v>
      </c>
      <c r="O11" s="196">
        <f>M11*Fatores_Fertilizantes!$B$8</f>
        <v>0</v>
      </c>
      <c r="P11" s="196">
        <f>(N11+(O11*GWP_Quioto!$E$6))/1000</f>
        <v>0</v>
      </c>
      <c r="Q11" s="16" t="s">
        <v>772</v>
      </c>
      <c r="R11" s="196">
        <f>$K11*_xlfn.XLOOKUP($Q11,'Fatores de Emissão'!$A:$A,'Fatores de Emissão'!B:B)/1000</f>
        <v>1261.9548952534035</v>
      </c>
      <c r="S11" s="196">
        <f>$K11*_xlfn.XLOOKUP($Q11,'Fatores de Emissão'!$A:$A,'Fatores de Emissão'!C:C)/1000</f>
        <v>0.93192465692427051</v>
      </c>
      <c r="T11" s="196">
        <f>$K11*_xlfn.XLOOKUP($Q11,'Fatores de Emissão'!$A:$A,'Fatores de Emissão'!E:E)/1000</f>
        <v>4.0322078169645792</v>
      </c>
      <c r="U11" s="196">
        <f t="shared" si="2"/>
        <v>1261.9548952534035</v>
      </c>
      <c r="V11" s="6"/>
      <c r="W11" s="6"/>
      <c r="X11" s="6"/>
      <c r="Y11" s="6" t="s">
        <v>699</v>
      </c>
    </row>
    <row r="12" spans="1:25">
      <c r="A12" s="178" t="s">
        <v>20</v>
      </c>
      <c r="B12" s="4" t="s">
        <v>59</v>
      </c>
      <c r="C12" s="194" t="s">
        <v>54</v>
      </c>
      <c r="D12" s="157">
        <v>0</v>
      </c>
      <c r="E12" s="193" t="s">
        <v>54</v>
      </c>
      <c r="F12" s="145">
        <v>0</v>
      </c>
      <c r="G12" s="145">
        <v>0</v>
      </c>
      <c r="H12" s="5">
        <v>49</v>
      </c>
      <c r="I12" s="195" t="s">
        <v>55</v>
      </c>
      <c r="J12" s="193" t="s">
        <v>56</v>
      </c>
      <c r="K12" s="196">
        <f t="shared" si="0"/>
        <v>49000</v>
      </c>
      <c r="L12" s="196">
        <f>((F12*Fatores_Fertilizantes!$B$16)+(G12*Fatores_Fertilizantes!$B$17))*K12</f>
        <v>0</v>
      </c>
      <c r="M12" s="196">
        <f t="shared" si="1"/>
        <v>0</v>
      </c>
      <c r="N12" s="196">
        <f>IF(E12="Calcítico",L12*Fatores_Fertilizantes!$B$14,IF(E12="Dolomítico",L12*Fatores_Fertilizantes!$B$15,0))</f>
        <v>0</v>
      </c>
      <c r="O12" s="196">
        <f>M12*Fatores_Fertilizantes!$B$8</f>
        <v>0</v>
      </c>
      <c r="P12" s="196">
        <f>(N12+(O12*GWP_Quioto!$E$6))/1000</f>
        <v>0</v>
      </c>
      <c r="Q12" s="16" t="s">
        <v>770</v>
      </c>
      <c r="R12" s="196">
        <f>$K12*_xlfn.XLOOKUP($Q12,'Fatores de Emissão'!$A:$A,'Fatores de Emissão'!B:B)/1000</f>
        <v>6.5963350772890195</v>
      </c>
      <c r="S12" s="196">
        <f>$K12*_xlfn.XLOOKUP($Q12,'Fatores de Emissão'!$A:$A,'Fatores de Emissão'!C:C)/1000</f>
        <v>8.5759169619707915E-4</v>
      </c>
      <c r="T12" s="196">
        <f>$K12*_xlfn.XLOOKUP($Q12,'Fatores de Emissão'!$A:$A,'Fatores de Emissão'!E:E)/1000</f>
        <v>2.7070909333939117E-4</v>
      </c>
      <c r="U12" s="196">
        <f t="shared" si="2"/>
        <v>6.5963350772890195</v>
      </c>
      <c r="V12" s="6"/>
      <c r="W12" s="6"/>
      <c r="X12" s="6"/>
      <c r="Y12" s="6" t="s">
        <v>699</v>
      </c>
    </row>
    <row r="13" spans="1:25">
      <c r="A13" s="178" t="s">
        <v>20</v>
      </c>
      <c r="B13" s="16" t="s">
        <v>63</v>
      </c>
      <c r="C13" s="194" t="s">
        <v>54</v>
      </c>
      <c r="D13" s="159">
        <v>0</v>
      </c>
      <c r="E13" s="194" t="s">
        <v>65</v>
      </c>
      <c r="F13" s="146">
        <v>0.52</v>
      </c>
      <c r="G13" s="146">
        <v>0.09</v>
      </c>
      <c r="H13" s="5">
        <v>1462</v>
      </c>
      <c r="I13" s="195" t="s">
        <v>55</v>
      </c>
      <c r="J13" s="193" t="s">
        <v>56</v>
      </c>
      <c r="K13" s="196">
        <f t="shared" si="0"/>
        <v>1462000</v>
      </c>
      <c r="L13" s="196">
        <f>((F13*Fatores_Fertilizantes!$B$16)+(G13*Fatores_Fertilizantes!$B$17))*K13</f>
        <v>1687148.0000000002</v>
      </c>
      <c r="M13" s="196">
        <f t="shared" si="1"/>
        <v>0</v>
      </c>
      <c r="N13" s="196">
        <f>IF(E13="Calcítico",L13*Fatores_Fertilizantes!$B$14,IF(E13="Dolomítico",L13*Fatores_Fertilizantes!$B$15,0))</f>
        <v>742345.12</v>
      </c>
      <c r="O13" s="196">
        <f>M13*Fatores_Fertilizantes!$B$8</f>
        <v>0</v>
      </c>
      <c r="P13" s="196">
        <f>(N13+(O13*GWP_Quioto!$E$6))/1000</f>
        <v>742.34511999999995</v>
      </c>
      <c r="Q13" s="160" t="s">
        <v>774</v>
      </c>
      <c r="R13" s="196">
        <f>$K13*_xlfn.XLOOKUP($Q13,'Fatores de Emissão'!$A:$A,'Fatores de Emissão'!B:B)/1000</f>
        <v>4.6673602767811806</v>
      </c>
      <c r="S13" s="196">
        <f>$K13*_xlfn.XLOOKUP($Q13,'Fatores de Emissão'!$A:$A,'Fatores de Emissão'!C:C)/1000</f>
        <v>2.6830086280889803E-3</v>
      </c>
      <c r="T13" s="196">
        <f>$K13*_xlfn.XLOOKUP($Q13,'Fatores de Emissão'!$A:$A,'Fatores de Emissão'!E:E)/1000</f>
        <v>1.9697755117123713E-3</v>
      </c>
      <c r="U13" s="196">
        <f t="shared" si="2"/>
        <v>747.01248027678116</v>
      </c>
      <c r="V13" s="6"/>
      <c r="W13" s="6"/>
      <c r="X13" s="6"/>
      <c r="Y13" s="6" t="s">
        <v>699</v>
      </c>
    </row>
    <row r="14" spans="1:25">
      <c r="A14" s="178" t="s">
        <v>20</v>
      </c>
      <c r="B14" s="16" t="s">
        <v>66</v>
      </c>
      <c r="C14" s="194" t="s">
        <v>54</v>
      </c>
      <c r="D14" s="157">
        <v>0</v>
      </c>
      <c r="E14" s="193" t="s">
        <v>54</v>
      </c>
      <c r="F14" s="145">
        <v>0</v>
      </c>
      <c r="G14" s="145">
        <v>0</v>
      </c>
      <c r="H14" s="5">
        <v>1948.5</v>
      </c>
      <c r="I14" s="195" t="s">
        <v>55</v>
      </c>
      <c r="J14" s="193" t="s">
        <v>56</v>
      </c>
      <c r="K14" s="196">
        <f t="shared" si="0"/>
        <v>1948500</v>
      </c>
      <c r="L14" s="196">
        <f>((F14*Fatores_Fertilizantes!$B$16)+(G14*Fatores_Fertilizantes!$B$17))*K14</f>
        <v>0</v>
      </c>
      <c r="M14" s="196">
        <f t="shared" si="1"/>
        <v>0</v>
      </c>
      <c r="N14" s="196">
        <f>IF(E14="Calcítico",L14*Fatores_Fertilizantes!$B$14,IF(E14="Dolomítico",L14*Fatores_Fertilizantes!$B$15,0))</f>
        <v>0</v>
      </c>
      <c r="O14" s="196">
        <f>M14*Fatores_Fertilizantes!$B$8</f>
        <v>0</v>
      </c>
      <c r="P14" s="196">
        <f>(N14+(O14*GWP_Quioto!$E$6))/1000</f>
        <v>0</v>
      </c>
      <c r="Q14" s="16" t="s">
        <v>775</v>
      </c>
      <c r="R14" s="196">
        <f>$K14*_xlfn.XLOOKUP($Q14,'Fatores de Emissão'!$A:$A,'Fatores de Emissão'!B:B)/1000</f>
        <v>68.894039096609106</v>
      </c>
      <c r="S14" s="196">
        <f>$K14*_xlfn.XLOOKUP($Q14,'Fatores de Emissão'!$A:$A,'Fatores de Emissão'!C:C)/1000</f>
        <v>2.8935912006022323E-2</v>
      </c>
      <c r="T14" s="196">
        <f>$K14*_xlfn.XLOOKUP($Q14,'Fatores de Emissão'!$A:$A,'Fatores de Emissão'!E:E)/1000</f>
        <v>3.8642675940074762E-2</v>
      </c>
      <c r="U14" s="196">
        <f t="shared" si="2"/>
        <v>68.894039096609106</v>
      </c>
      <c r="V14" s="6"/>
      <c r="W14" s="6"/>
      <c r="X14" s="6"/>
      <c r="Y14" s="6" t="s">
        <v>699</v>
      </c>
    </row>
    <row r="15" spans="1:25">
      <c r="A15" s="178" t="s">
        <v>21</v>
      </c>
      <c r="B15" s="4" t="s">
        <v>64</v>
      </c>
      <c r="C15" s="194" t="s">
        <v>54</v>
      </c>
      <c r="D15" s="157">
        <v>0</v>
      </c>
      <c r="E15" s="193" t="s">
        <v>54</v>
      </c>
      <c r="F15" s="145">
        <v>0</v>
      </c>
      <c r="G15" s="145">
        <v>0</v>
      </c>
      <c r="H15" s="5">
        <v>37</v>
      </c>
      <c r="I15" s="195" t="s">
        <v>55</v>
      </c>
      <c r="J15" s="193" t="s">
        <v>56</v>
      </c>
      <c r="K15" s="196">
        <f t="shared" si="0"/>
        <v>37000</v>
      </c>
      <c r="L15" s="196">
        <f>((F15*Fatores_Fertilizantes!$B$16)+(G15*Fatores_Fertilizantes!$B$17))*K15</f>
        <v>0</v>
      </c>
      <c r="M15" s="196">
        <f t="shared" si="1"/>
        <v>0</v>
      </c>
      <c r="N15" s="196">
        <f>IF(E15="Calcítico",L15*Fatores_Fertilizantes!$B$14,IF(E15="Dolomítico",L15*Fatores_Fertilizantes!$B$15,0))</f>
        <v>0</v>
      </c>
      <c r="O15" s="196">
        <f>M15*Fatores_Fertilizantes!$B$8</f>
        <v>0</v>
      </c>
      <c r="P15" s="196">
        <f>(N15+(O15*GWP_Quioto!$E$6))/1000</f>
        <v>0</v>
      </c>
      <c r="Q15" s="16" t="s">
        <v>772</v>
      </c>
      <c r="R15" s="196">
        <f>$K15*_xlfn.XLOOKUP($Q15,'Fatores de Emissão'!$A:$A,'Fatores de Emissão'!B:B)/1000</f>
        <v>354.13220420459561</v>
      </c>
      <c r="S15" s="196">
        <f>$K15*_xlfn.XLOOKUP($Q15,'Fatores de Emissão'!$A:$A,'Fatores de Emissão'!C:C)/1000</f>
        <v>0.26151848544708389</v>
      </c>
      <c r="T15" s="196">
        <f>$K15*_xlfn.XLOOKUP($Q15,'Fatores de Emissão'!$A:$A,'Fatores de Emissão'!E:E)/1000</f>
        <v>1.131525894787178</v>
      </c>
      <c r="U15" s="196">
        <f t="shared" si="2"/>
        <v>354.13220420459561</v>
      </c>
      <c r="V15" s="6"/>
      <c r="W15" s="6"/>
      <c r="X15" s="6"/>
      <c r="Y15" s="6" t="s">
        <v>699</v>
      </c>
    </row>
    <row r="16" spans="1:25">
      <c r="A16" s="178" t="s">
        <v>21</v>
      </c>
      <c r="B16" s="4" t="s">
        <v>57</v>
      </c>
      <c r="C16" s="193" t="s">
        <v>54</v>
      </c>
      <c r="D16" s="157">
        <v>0</v>
      </c>
      <c r="E16" s="193" t="s">
        <v>54</v>
      </c>
      <c r="F16" s="145">
        <v>0</v>
      </c>
      <c r="G16" s="145">
        <v>0</v>
      </c>
      <c r="H16" s="15">
        <v>106</v>
      </c>
      <c r="I16" s="195" t="s">
        <v>55</v>
      </c>
      <c r="J16" s="193" t="s">
        <v>56</v>
      </c>
      <c r="K16" s="196">
        <f t="shared" si="0"/>
        <v>106000</v>
      </c>
      <c r="L16" s="196">
        <f>((F16*Fatores_Fertilizantes!$B$16)+(G16*Fatores_Fertilizantes!$B$17))*K16</f>
        <v>0</v>
      </c>
      <c r="M16" s="196">
        <f t="shared" si="1"/>
        <v>0</v>
      </c>
      <c r="N16" s="196">
        <f>IF(E16="Calcítico",L16*Fatores_Fertilizantes!$B$14,IF(E16="Dolomítico",L16*Fatores_Fertilizantes!$B$15,0))</f>
        <v>0</v>
      </c>
      <c r="O16" s="196">
        <f>M16*Fatores_Fertilizantes!$B$8</f>
        <v>0</v>
      </c>
      <c r="P16" s="196">
        <f>(N16+(O16*GWP_Quioto!$E$6))/1000</f>
        <v>0</v>
      </c>
      <c r="Q16" s="16" t="s">
        <v>769</v>
      </c>
      <c r="R16" s="196">
        <f>$K16*_xlfn.XLOOKUP($Q16,'Fatores de Emissão'!$A:$A,'Fatores de Emissão'!B:B)/1000</f>
        <v>53.074660870903678</v>
      </c>
      <c r="S16" s="196">
        <f>$K16*_xlfn.XLOOKUP($Q16,'Fatores de Emissão'!$A:$A,'Fatores de Emissão'!C:C)/1000</f>
        <v>0.10678359833355083</v>
      </c>
      <c r="T16" s="196">
        <f>$K16*_xlfn.XLOOKUP($Q16,'Fatores de Emissão'!$A:$A,'Fatores de Emissão'!E:E)/1000</f>
        <v>8.032663516587045E-2</v>
      </c>
      <c r="U16" s="196">
        <f t="shared" si="2"/>
        <v>53.074660870903678</v>
      </c>
      <c r="V16" s="6"/>
      <c r="W16" s="6"/>
      <c r="X16" s="6"/>
      <c r="Y16" s="6" t="s">
        <v>699</v>
      </c>
    </row>
    <row r="17" spans="1:25">
      <c r="A17" s="178" t="s">
        <v>21</v>
      </c>
      <c r="B17" s="4" t="s">
        <v>52</v>
      </c>
      <c r="C17" s="193" t="s">
        <v>53</v>
      </c>
      <c r="D17" s="157">
        <v>0.15</v>
      </c>
      <c r="E17" s="193" t="s">
        <v>54</v>
      </c>
      <c r="F17" s="145">
        <v>0</v>
      </c>
      <c r="G17" s="145">
        <v>0</v>
      </c>
      <c r="H17" s="15">
        <v>300</v>
      </c>
      <c r="I17" s="195" t="s">
        <v>55</v>
      </c>
      <c r="J17" s="193" t="s">
        <v>56</v>
      </c>
      <c r="K17" s="196">
        <f t="shared" si="0"/>
        <v>300000</v>
      </c>
      <c r="L17" s="196">
        <f>((F17*Fatores_Fertilizantes!$B$16)+(G17*Fatores_Fertilizantes!$B$17))*K17</f>
        <v>0</v>
      </c>
      <c r="M17" s="196">
        <f t="shared" si="1"/>
        <v>45000</v>
      </c>
      <c r="N17" s="196">
        <f>IF(E17="Calcítico",L17*Fatores_Fertilizantes!$B$14,IF(E17="Dolomítico",L17*Fatores_Fertilizantes!$B$15,0))</f>
        <v>0</v>
      </c>
      <c r="O17" s="196">
        <f>M17*Fatores_Fertilizantes!$B$8</f>
        <v>971.61428571428564</v>
      </c>
      <c r="P17" s="196">
        <f>(N17+(O17*GWP_Quioto!$E$6))/1000</f>
        <v>265.25069999999994</v>
      </c>
      <c r="Q17" s="16" t="s">
        <v>830</v>
      </c>
      <c r="R17" s="196">
        <f>$K17*_xlfn.XLOOKUP($Q17,'Fatores de Emissão'!$A:$A,'Fatores de Emissão'!B:B)/1000</f>
        <v>425.899545368421</v>
      </c>
      <c r="S17" s="196">
        <f>$K17*_xlfn.XLOOKUP($Q17,'Fatores de Emissão'!$A:$A,'Fatores de Emissão'!C:C)/1000</f>
        <v>0.31009657387872003</v>
      </c>
      <c r="T17" s="196">
        <f>$K17*_xlfn.XLOOKUP($Q17,'Fatores de Emissão'!$A:$A,'Fatores de Emissão'!E:E)/1000</f>
        <v>0.73252616676881699</v>
      </c>
      <c r="U17" s="196">
        <f t="shared" si="2"/>
        <v>691.15024536842088</v>
      </c>
      <c r="V17" s="6"/>
      <c r="W17" s="6"/>
      <c r="X17" s="6"/>
      <c r="Y17" s="6" t="s">
        <v>699</v>
      </c>
    </row>
    <row r="18" spans="1:25">
      <c r="A18" s="178" t="s">
        <v>21</v>
      </c>
      <c r="B18" s="4" t="s">
        <v>67</v>
      </c>
      <c r="C18" s="193" t="s">
        <v>53</v>
      </c>
      <c r="D18" s="157">
        <v>0.15</v>
      </c>
      <c r="E18" s="193" t="s">
        <v>54</v>
      </c>
      <c r="F18" s="145">
        <v>0</v>
      </c>
      <c r="G18" s="145">
        <v>0</v>
      </c>
      <c r="H18" s="15">
        <v>32</v>
      </c>
      <c r="I18" s="195" t="s">
        <v>55</v>
      </c>
      <c r="J18" s="193" t="s">
        <v>56</v>
      </c>
      <c r="K18" s="196">
        <f t="shared" si="0"/>
        <v>32000</v>
      </c>
      <c r="L18" s="196">
        <f>((F18*Fatores_Fertilizantes!$B$16)+(G18*Fatores_Fertilizantes!$B$17))*K18</f>
        <v>0</v>
      </c>
      <c r="M18" s="196">
        <f t="shared" si="1"/>
        <v>4800</v>
      </c>
      <c r="N18" s="196">
        <f>IF(E18="Calcítico",L18*Fatores_Fertilizantes!$B$14,IF(E18="Dolomítico",L18*Fatores_Fertilizantes!$B$15,0))</f>
        <v>0</v>
      </c>
      <c r="O18" s="196">
        <f>M18*Fatores_Fertilizantes!$B$8</f>
        <v>103.63885714285713</v>
      </c>
      <c r="P18" s="196">
        <f>(N18+(O18*GWP_Quioto!$E$6))/1000</f>
        <v>28.293407999999996</v>
      </c>
      <c r="Q18" s="16" t="s">
        <v>830</v>
      </c>
      <c r="R18" s="196">
        <f>$K18*_xlfn.XLOOKUP($Q18,'Fatores de Emissão'!$A:$A,'Fatores de Emissão'!B:B)/1000</f>
        <v>45.429284839298241</v>
      </c>
      <c r="S18" s="196">
        <f>$K18*_xlfn.XLOOKUP($Q18,'Fatores de Emissão'!$A:$A,'Fatores de Emissão'!C:C)/1000</f>
        <v>3.3076967880396803E-2</v>
      </c>
      <c r="T18" s="196">
        <f>$K18*_xlfn.XLOOKUP($Q18,'Fatores de Emissão'!$A:$A,'Fatores de Emissão'!E:E)/1000</f>
        <v>7.8136124455340475E-2</v>
      </c>
      <c r="U18" s="196">
        <f t="shared" si="2"/>
        <v>73.722692839298233</v>
      </c>
      <c r="V18" s="6"/>
      <c r="W18" s="6"/>
      <c r="X18" s="6"/>
      <c r="Y18" s="6" t="s">
        <v>699</v>
      </c>
    </row>
    <row r="19" spans="1:25">
      <c r="A19" s="17"/>
      <c r="B19" s="17"/>
      <c r="C19" s="17"/>
      <c r="D19" s="17"/>
      <c r="E19" s="17"/>
      <c r="F19" s="17"/>
      <c r="G19" s="17"/>
      <c r="H19" s="17"/>
      <c r="I19" s="17"/>
      <c r="J19" s="144"/>
    </row>
  </sheetData>
  <autoFilter ref="A1:Y18" xr:uid="{AF4F1767-F677-4AFE-9F0D-3BF67E1A27D3}"/>
  <dataValidations count="4">
    <dataValidation type="list" allowBlank="1" showInputMessage="1" showErrorMessage="1" sqref="I2:I18" xr:uid="{C3DE95C7-B465-4F17-9883-30336EA9832D}">
      <formula1>"kg,ton"</formula1>
    </dataValidation>
    <dataValidation type="list" allowBlank="1" showInputMessage="1" showErrorMessage="1" sqref="E2:E18" xr:uid="{6205B693-F216-470D-82F9-F4A7C29F08F9}">
      <formula1>"Calcítico,Dolomítico,N/A"</formula1>
    </dataValidation>
    <dataValidation type="list" allowBlank="1" showInputMessage="1" showErrorMessage="1" sqref="J2:J19" xr:uid="{0D05BCAA-8CB4-4CBB-848E-43EF42E04315}">
      <formula1>"Insumo ou matéria prima, Energia, Combustível"</formula1>
    </dataValidation>
    <dataValidation type="list" allowBlank="1" showInputMessage="1" showErrorMessage="1" sqref="C2:C18" xr:uid="{6EFCE698-CE07-4E80-98DC-E42B197063D3}">
      <formula1>"Nitrogenado,Ureia,N/A"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518E-B6C8-4DE6-98A7-78BCFD7E5DC4}">
  <sheetPr>
    <tabColor theme="9" tint="-0.499984740745262"/>
  </sheetPr>
  <dimension ref="A1:AA6"/>
  <sheetViews>
    <sheetView workbookViewId="0">
      <selection activeCell="D18" sqref="D18"/>
    </sheetView>
  </sheetViews>
  <sheetFormatPr baseColWidth="10" defaultColWidth="8.83203125" defaultRowHeight="15"/>
  <cols>
    <col min="1" max="1" width="27.33203125" bestFit="1" customWidth="1"/>
    <col min="2" max="2" width="27.33203125" customWidth="1"/>
    <col min="3" max="3" width="14.33203125" bestFit="1" customWidth="1"/>
    <col min="4" max="4" width="14.5" bestFit="1" customWidth="1"/>
    <col min="5" max="5" width="14.6640625" bestFit="1" customWidth="1"/>
    <col min="6" max="8" width="14.5" bestFit="1" customWidth="1"/>
    <col min="9" max="9" width="18.5" bestFit="1" customWidth="1"/>
    <col min="10" max="10" width="20.5" bestFit="1" customWidth="1"/>
    <col min="11" max="11" width="20.83203125" bestFit="1" customWidth="1"/>
    <col min="12" max="12" width="21" bestFit="1" customWidth="1"/>
    <col min="13" max="13" width="20.6640625" bestFit="1" customWidth="1"/>
    <col min="14" max="14" width="20.83203125" bestFit="1" customWidth="1"/>
    <col min="15" max="15" width="20.6640625" bestFit="1" customWidth="1"/>
    <col min="16" max="16" width="23.5" bestFit="1" customWidth="1"/>
    <col min="17" max="17" width="31.1640625" bestFit="1" customWidth="1"/>
    <col min="18" max="19" width="31.5" bestFit="1" customWidth="1"/>
    <col min="20" max="20" width="31.33203125" bestFit="1" customWidth="1"/>
    <col min="21" max="21" width="31.5" bestFit="1" customWidth="1"/>
    <col min="22" max="22" width="31.33203125" bestFit="1" customWidth="1"/>
    <col min="23" max="23" width="31.83203125" customWidth="1"/>
    <col min="24" max="24" width="33.5" bestFit="1" customWidth="1"/>
    <col min="25" max="25" width="27" bestFit="1" customWidth="1"/>
    <col min="26" max="26" width="32.83203125" bestFit="1" customWidth="1"/>
    <col min="27" max="27" width="63.1640625" bestFit="1" customWidth="1"/>
  </cols>
  <sheetData>
    <row r="1" spans="1:27" ht="32">
      <c r="A1" s="1" t="s">
        <v>35</v>
      </c>
      <c r="B1" s="1" t="s">
        <v>743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736</v>
      </c>
      <c r="R1" s="1" t="s">
        <v>737</v>
      </c>
      <c r="S1" s="1" t="s">
        <v>738</v>
      </c>
      <c r="T1" s="1" t="s">
        <v>739</v>
      </c>
      <c r="U1" s="1" t="s">
        <v>740</v>
      </c>
      <c r="V1" s="1" t="s">
        <v>741</v>
      </c>
      <c r="W1" s="32" t="s">
        <v>742</v>
      </c>
      <c r="X1" s="20" t="s">
        <v>12</v>
      </c>
      <c r="Y1" s="3" t="s">
        <v>13</v>
      </c>
      <c r="Z1" s="1" t="s">
        <v>14</v>
      </c>
      <c r="AA1" s="1" t="s">
        <v>16</v>
      </c>
    </row>
    <row r="2" spans="1:27">
      <c r="A2" s="6" t="s">
        <v>732</v>
      </c>
      <c r="B2" s="16" t="s">
        <v>703</v>
      </c>
      <c r="C2" s="6">
        <v>9732.3333333333339</v>
      </c>
      <c r="D2" s="6">
        <v>9434.3333333333339</v>
      </c>
      <c r="E2" s="6">
        <v>10659.333333333334</v>
      </c>
      <c r="F2" s="6">
        <v>10545.666666666666</v>
      </c>
      <c r="G2" s="6">
        <v>11064</v>
      </c>
      <c r="H2" s="6">
        <v>10272</v>
      </c>
      <c r="I2" s="6" t="s">
        <v>85</v>
      </c>
      <c r="J2" s="6">
        <f>IF($B2="Grid",C2*Fatores_GRID!B$20/1000,_xlfn.XLOOKUP($B2,'Fatores de Emissão'!$A:$A,'Fatores de Emissão'!$B:$B)*C2/1000)</f>
        <v>1.2262740000000001</v>
      </c>
      <c r="K2" s="6">
        <f>IF($B2="Grid",D2*Fatores_GRID!C$20/1000,_xlfn.XLOOKUP($B2,'Fatores de Emissão'!$A:$A,'Fatores de Emissão'!$B:$B)*D2/1000)</f>
        <v>1.1887260000000002</v>
      </c>
      <c r="L2" s="6">
        <f>IF($B2="Grid",E2*Fatores_GRID!D$20/1000,_xlfn.XLOOKUP($B2,'Fatores de Emissão'!$A:$A,'Fatores de Emissão'!$B:$B)*E2/1000)</f>
        <v>1.3430759999999999</v>
      </c>
      <c r="M2" s="6">
        <f>IF($B2="Grid",F2*Fatores_GRID!E$20/1000,_xlfn.XLOOKUP($B2,'Fatores de Emissão'!$A:$A,'Fatores de Emissão'!$B:$B)*F2/1000)</f>
        <v>1.328754</v>
      </c>
      <c r="N2" s="6">
        <f>IF($B2="Grid",G2*Fatores_GRID!F$20/1000,_xlfn.XLOOKUP($B2,'Fatores de Emissão'!$A:$A,'Fatores de Emissão'!$B:$B)*G2/1000)</f>
        <v>1.394064</v>
      </c>
      <c r="O2" s="6">
        <f>IF($B2="Grid",H2*Fatores_GRID!G$20/1000,_xlfn.XLOOKUP($B2,'Fatores de Emissão'!$A:$A,'Fatores de Emissão'!$B:$B)*H2/1000)</f>
        <v>1.2942719999999999</v>
      </c>
      <c r="P2" s="6">
        <f t="shared" ref="P2:P4" si="0">SUM(J2:O2)</f>
        <v>7.7751660000000005</v>
      </c>
      <c r="Q2" s="6">
        <f>IF($B2="Grid",0,_xlfn.XLOOKUP($B2,'Fatores de Emissão'!$A:$A,'Fatores de Emissão'!$C:$C)*C2/1000)</f>
        <v>0</v>
      </c>
      <c r="R2" s="6">
        <f>IF($B2="Grid",0,_xlfn.XLOOKUP($B2,'Fatores de Emissão'!$A:$A,'Fatores de Emissão'!$C:$C)*D2/1000)</f>
        <v>0</v>
      </c>
      <c r="S2" s="6">
        <f>IF($B2="Grid",0,_xlfn.XLOOKUP($B2,'Fatores de Emissão'!$A:$A,'Fatores de Emissão'!$C:$C)*E2/1000)</f>
        <v>0</v>
      </c>
      <c r="T2" s="6">
        <f>IF($B2="Grid",0,_xlfn.XLOOKUP($B2,'Fatores de Emissão'!$A:$A,'Fatores de Emissão'!$C:$C)*F2/1000)</f>
        <v>0</v>
      </c>
      <c r="U2" s="6">
        <f>IF($B2="Grid",0,_xlfn.XLOOKUP($B2,'Fatores de Emissão'!$A:$A,'Fatores de Emissão'!$C:$C)*G2/1000)</f>
        <v>0</v>
      </c>
      <c r="V2" s="6">
        <f>IF($B2="Grid",0,_xlfn.XLOOKUP($B2,'Fatores de Emissão'!$A:$A,'Fatores de Emissão'!$C:$C)*H2/1000)</f>
        <v>0</v>
      </c>
      <c r="W2" s="6">
        <f>SUM(Q2:V2)</f>
        <v>0</v>
      </c>
      <c r="X2" s="6"/>
      <c r="Y2" s="6"/>
      <c r="Z2" s="6"/>
      <c r="AA2" s="176" t="s">
        <v>735</v>
      </c>
    </row>
    <row r="3" spans="1:27">
      <c r="A3" s="6" t="s">
        <v>733</v>
      </c>
      <c r="B3" s="16" t="s">
        <v>704</v>
      </c>
      <c r="C3" s="6">
        <v>9732.3333333333339</v>
      </c>
      <c r="D3" s="6">
        <v>9434.3333333333339</v>
      </c>
      <c r="E3" s="6">
        <v>10659.333333333334</v>
      </c>
      <c r="F3" s="6">
        <v>10545.666666666666</v>
      </c>
      <c r="G3" s="6">
        <v>11064</v>
      </c>
      <c r="H3" s="6">
        <v>10272</v>
      </c>
      <c r="I3" s="6" t="s">
        <v>85</v>
      </c>
      <c r="J3" s="6">
        <f>IF($B3="Grid",C3*Fatores_GRID!B$20/1000,_xlfn.XLOOKUP($B3,'Fatores de Emissão'!$A:$A,'Fatores de Emissão'!$B:$B)*C3/1000)</f>
        <v>1.2068093333333334</v>
      </c>
      <c r="K3" s="6">
        <f>IF($B3="Grid",D3*Fatores_GRID!C$20/1000,_xlfn.XLOOKUP($B3,'Fatores de Emissão'!$A:$A,'Fatores de Emissão'!$B:$B)*D3/1000)</f>
        <v>1.1698573333333333</v>
      </c>
      <c r="L3" s="6">
        <f>IF($B3="Grid",E3*Fatores_GRID!D$20/1000,_xlfn.XLOOKUP($B3,'Fatores de Emissão'!$A:$A,'Fatores de Emissão'!$B:$B)*E3/1000)</f>
        <v>1.3217573333333335</v>
      </c>
      <c r="M3" s="6">
        <f>IF($B3="Grid",F3*Fatores_GRID!E$20/1000,_xlfn.XLOOKUP($B3,'Fatores de Emissão'!$A:$A,'Fatores de Emissão'!$B:$B)*F3/1000)</f>
        <v>1.3076626666666666</v>
      </c>
      <c r="N3" s="6">
        <f>IF($B3="Grid",G3*Fatores_GRID!F$20/1000,_xlfn.XLOOKUP($B3,'Fatores de Emissão'!$A:$A,'Fatores de Emissão'!$B:$B)*G3/1000)</f>
        <v>1.3719359999999998</v>
      </c>
      <c r="O3" s="6">
        <f>IF($B3="Grid",H3*Fatores_GRID!G$20/1000,_xlfn.XLOOKUP($B3,'Fatores de Emissão'!$A:$A,'Fatores de Emissão'!$B:$B)*H3/1000)</f>
        <v>1.273728</v>
      </c>
      <c r="P3" s="6">
        <f t="shared" si="0"/>
        <v>7.6517506666666666</v>
      </c>
      <c r="Q3" s="6">
        <f>IF($B3="Grid",0,_xlfn.XLOOKUP($B3,'Fatores de Emissão'!$A:$A,'Fatores de Emissão'!$C:$C)*C3/1000)</f>
        <v>0</v>
      </c>
      <c r="R3" s="6">
        <f>IF($B3="Grid",0,_xlfn.XLOOKUP($B3,'Fatores de Emissão'!$A:$A,'Fatores de Emissão'!$C:$C)*D3/1000)</f>
        <v>0</v>
      </c>
      <c r="S3" s="6">
        <f>IF($B3="Grid",0,_xlfn.XLOOKUP($B3,'Fatores de Emissão'!$A:$A,'Fatores de Emissão'!$C:$C)*E3/1000)</f>
        <v>0</v>
      </c>
      <c r="T3" s="6">
        <f>IF($B3="Grid",0,_xlfn.XLOOKUP($B3,'Fatores de Emissão'!$A:$A,'Fatores de Emissão'!$C:$C)*F3/1000)</f>
        <v>0</v>
      </c>
      <c r="U3" s="6">
        <f>IF($B3="Grid",0,_xlfn.XLOOKUP($B3,'Fatores de Emissão'!$A:$A,'Fatores de Emissão'!$C:$C)*G3/1000)</f>
        <v>0</v>
      </c>
      <c r="V3" s="6">
        <f>IF($B3="Grid",0,_xlfn.XLOOKUP($B3,'Fatores de Emissão'!$A:$A,'Fatores de Emissão'!$C:$C)*H3/1000)</f>
        <v>0</v>
      </c>
      <c r="W3" s="6">
        <f t="shared" ref="W3:W6" si="1">SUM(Q3:V3)</f>
        <v>0</v>
      </c>
      <c r="X3" s="6"/>
      <c r="Y3" s="6"/>
      <c r="Z3" s="6"/>
      <c r="AA3" s="176" t="s">
        <v>735</v>
      </c>
    </row>
    <row r="4" spans="1:27">
      <c r="A4" s="6" t="s">
        <v>734</v>
      </c>
      <c r="B4" s="16" t="s">
        <v>705</v>
      </c>
      <c r="C4" s="6">
        <v>9732.3333333333339</v>
      </c>
      <c r="D4" s="6">
        <v>9434.3333333333339</v>
      </c>
      <c r="E4" s="6">
        <v>10659.333333333334</v>
      </c>
      <c r="F4" s="6">
        <v>10545.666666666666</v>
      </c>
      <c r="G4" s="6">
        <v>11064</v>
      </c>
      <c r="H4" s="6">
        <v>10272</v>
      </c>
      <c r="I4" s="6" t="s">
        <v>85</v>
      </c>
      <c r="J4" s="6">
        <f>IF($B4="Grid",C4*Fatores_GRID!B$20/1000,_xlfn.XLOOKUP($B4,'Fatores de Emissão'!$A:$A,'Fatores de Emissão'!$B:$B)*C4/1000)</f>
        <v>6.7585215599999998E-2</v>
      </c>
      <c r="K4" s="6">
        <f>IF($B4="Grid",D4*Fatores_GRID!C$20/1000,_xlfn.XLOOKUP($B4,'Fatores de Emissão'!$A:$A,'Fatores de Emissão'!$B:$B)*D4/1000)</f>
        <v>6.5515784399999999E-2</v>
      </c>
      <c r="L4" s="6">
        <f>IF($B4="Grid",E4*Fatores_GRID!D$20/1000,_xlfn.XLOOKUP($B4,'Fatores de Emissão'!$A:$A,'Fatores de Emissão'!$B:$B)*E4/1000)</f>
        <v>7.4022674400000002E-2</v>
      </c>
      <c r="M4" s="6">
        <f>IF($B4="Grid",F4*Fatores_GRID!E$20/1000,_xlfn.XLOOKUP($B4,'Fatores de Emissão'!$A:$A,'Fatores de Emissão'!$B:$B)*F4/1000)</f>
        <v>7.3233327599999995E-2</v>
      </c>
      <c r="N4" s="6">
        <f>IF($B4="Grid",G4*Fatores_GRID!F$20/1000,_xlfn.XLOOKUP($B4,'Fatores de Emissão'!$A:$A,'Fatores de Emissão'!$B:$B)*G4/1000)</f>
        <v>7.6832841599999993E-2</v>
      </c>
      <c r="O4" s="6">
        <f>IF($B4="Grid",H4*Fatores_GRID!G$20/1000,_xlfn.XLOOKUP($B4,'Fatores de Emissão'!$A:$A,'Fatores de Emissão'!$B:$B)*H4/1000)</f>
        <v>7.13328768E-2</v>
      </c>
      <c r="P4" s="6">
        <f t="shared" si="0"/>
        <v>0.4285227204</v>
      </c>
      <c r="Q4" s="6">
        <f>IF($B4="Grid",0,_xlfn.XLOOKUP($B4,'Fatores de Emissão'!$A:$A,'Fatores de Emissão'!$C:$C)*C4/1000)</f>
        <v>3.5036400000000012</v>
      </c>
      <c r="R4" s="6">
        <f>IF($B4="Grid",0,_xlfn.XLOOKUP($B4,'Fatores de Emissão'!$A:$A,'Fatores de Emissão'!$C:$C)*D4/1000)</f>
        <v>3.3963600000000009</v>
      </c>
      <c r="S4" s="6">
        <f>IF($B4="Grid",0,_xlfn.XLOOKUP($B4,'Fatores de Emissão'!$A:$A,'Fatores de Emissão'!$C:$C)*E4/1000)</f>
        <v>3.8373600000000012</v>
      </c>
      <c r="T4" s="6">
        <f>IF($B4="Grid",0,_xlfn.XLOOKUP($B4,'Fatores de Emissão'!$A:$A,'Fatores de Emissão'!$C:$C)*F4/1000)</f>
        <v>3.7964400000000009</v>
      </c>
      <c r="U4" s="6">
        <f>IF($B4="Grid",0,_xlfn.XLOOKUP($B4,'Fatores de Emissão'!$A:$A,'Fatores de Emissão'!$C:$C)*G4/1000)</f>
        <v>3.9830400000000008</v>
      </c>
      <c r="V4" s="6">
        <f>IF($B4="Grid",0,_xlfn.XLOOKUP($B4,'Fatores de Emissão'!$A:$A,'Fatores de Emissão'!$C:$C)*H4/1000)</f>
        <v>3.6979200000000008</v>
      </c>
      <c r="W4" s="6">
        <f t="shared" si="1"/>
        <v>22.214760000000002</v>
      </c>
      <c r="X4" s="6"/>
      <c r="Y4" s="6"/>
      <c r="Z4" s="6"/>
      <c r="AA4" s="176" t="s">
        <v>735</v>
      </c>
    </row>
    <row r="5" spans="1:27">
      <c r="A5" s="6" t="s">
        <v>20</v>
      </c>
      <c r="B5" s="16" t="s">
        <v>744</v>
      </c>
      <c r="C5" s="6">
        <v>6020</v>
      </c>
      <c r="D5" s="6">
        <v>5600</v>
      </c>
      <c r="E5" s="6">
        <v>6160</v>
      </c>
      <c r="F5" s="6">
        <v>5740</v>
      </c>
      <c r="G5" s="6">
        <v>6580</v>
      </c>
      <c r="H5" s="6">
        <v>5880</v>
      </c>
      <c r="I5" s="6" t="s">
        <v>85</v>
      </c>
      <c r="J5" s="6">
        <f>IF($B5="Grid",C5*Fatores_GRID!B$20/1000,_xlfn.XLOOKUP($B5,'Fatores de Emissão'!$A:$A,'Fatores de Emissão'!$B:$B)*C5/1000)</f>
        <v>0.25344288403118687</v>
      </c>
      <c r="K5" s="6">
        <f>IF($B5="Grid",D5*Fatores_GRID!C$20/1000,_xlfn.XLOOKUP($B5,'Fatores de Emissão'!$A:$A,'Fatores de Emissão'!$B:$B)*D5/1000)</f>
        <v>0.21042645165773724</v>
      </c>
      <c r="L5" s="6">
        <f>IF($B5="Grid",E5*Fatores_GRID!D$20/1000,_xlfn.XLOOKUP($B5,'Fatores de Emissão'!$A:$A,'Fatores de Emissão'!$B:$B)*E5/1000)</f>
        <v>0.17119241160594559</v>
      </c>
      <c r="M5" s="6">
        <f>IF($B5="Grid",F5*Fatores_GRID!E$20/1000,_xlfn.XLOOKUP($B5,'Fatores de Emissão'!$A:$A,'Fatores de Emissão'!$B:$B)*F5/1000)</f>
        <v>0.11172015521843592</v>
      </c>
      <c r="N5" s="6">
        <f>IF($B5="Grid",G5*Fatores_GRID!F$20/1000,_xlfn.XLOOKUP($B5,'Fatores de Emissão'!$A:$A,'Fatores de Emissão'!$B:$B)*G5/1000)</f>
        <v>0.18621399999999999</v>
      </c>
      <c r="O5" s="6">
        <f>IF($B5="Grid",H5*Fatores_GRID!G$20/1000,_xlfn.XLOOKUP($B5,'Fatores de Emissão'!$A:$A,'Fatores de Emissão'!$B:$B)*H5/1000)</f>
        <v>0.21461999999999998</v>
      </c>
      <c r="P5" s="6">
        <f t="shared" ref="P5:P6" si="2">SUM(J5:O5)</f>
        <v>1.1476159025133055</v>
      </c>
      <c r="Q5" s="6">
        <f>IF($B5="Grid",0,_xlfn.XLOOKUP($B5,'Fatores de Emissão'!$A:$A,'Fatores de Emissão'!$C:$C)*C5/1000)</f>
        <v>0</v>
      </c>
      <c r="R5" s="6">
        <f>IF($B5="Grid",0,_xlfn.XLOOKUP($B5,'Fatores de Emissão'!$A:$A,'Fatores de Emissão'!$C:$C)*D5/1000)</f>
        <v>0</v>
      </c>
      <c r="S5" s="6">
        <f>IF($B5="Grid",0,_xlfn.XLOOKUP($B5,'Fatores de Emissão'!$A:$A,'Fatores de Emissão'!$C:$C)*E5/1000)</f>
        <v>0</v>
      </c>
      <c r="T5" s="6">
        <f>IF($B5="Grid",0,_xlfn.XLOOKUP($B5,'Fatores de Emissão'!$A:$A,'Fatores de Emissão'!$C:$C)*F5/1000)</f>
        <v>0</v>
      </c>
      <c r="U5" s="6">
        <f>IF($B5="Grid",0,_xlfn.XLOOKUP($B5,'Fatores de Emissão'!$A:$A,'Fatores de Emissão'!$C:$C)*G5/1000)</f>
        <v>0</v>
      </c>
      <c r="V5" s="6">
        <f>IF($B5="Grid",0,_xlfn.XLOOKUP($B5,'Fatores de Emissão'!$A:$A,'Fatores de Emissão'!$C:$C)*H5/1000)</f>
        <v>0</v>
      </c>
      <c r="W5" s="6">
        <f t="shared" si="1"/>
        <v>0</v>
      </c>
      <c r="X5" s="6"/>
      <c r="Y5" s="6"/>
      <c r="Z5" s="6"/>
      <c r="AA5" s="6" t="s">
        <v>69</v>
      </c>
    </row>
    <row r="6" spans="1:27">
      <c r="A6" s="6" t="s">
        <v>91</v>
      </c>
      <c r="B6" s="16" t="s">
        <v>704</v>
      </c>
      <c r="C6" s="6">
        <v>632</v>
      </c>
      <c r="D6" s="6">
        <v>320</v>
      </c>
      <c r="E6" s="6">
        <v>622</v>
      </c>
      <c r="F6" s="6">
        <v>568</v>
      </c>
      <c r="G6" s="6">
        <v>360</v>
      </c>
      <c r="H6" s="6">
        <v>580</v>
      </c>
      <c r="I6" s="6" t="s">
        <v>85</v>
      </c>
      <c r="J6" s="6">
        <f>IF($B6="Grid",C6*Fatores_GRID!B$20/1000,_xlfn.XLOOKUP($B6,'Fatores de Emissão'!$A:$A,'Fatores de Emissão'!$B:$B)*C6/1000)</f>
        <v>7.8367999999999993E-2</v>
      </c>
      <c r="K6" s="6">
        <f>IF($B6="Grid",D6*Fatores_GRID!C$20/1000,_xlfn.XLOOKUP($B6,'Fatores de Emissão'!$A:$A,'Fatores de Emissão'!$B:$B)*D6/1000)</f>
        <v>3.968E-2</v>
      </c>
      <c r="L6" s="6">
        <f>IF($B6="Grid",E6*Fatores_GRID!D$20/1000,_xlfn.XLOOKUP($B6,'Fatores de Emissão'!$A:$A,'Fatores de Emissão'!$B:$B)*E6/1000)</f>
        <v>7.7128000000000002E-2</v>
      </c>
      <c r="M6" s="6">
        <f>IF($B6="Grid",F6*Fatores_GRID!E$20/1000,_xlfn.XLOOKUP($B6,'Fatores de Emissão'!$A:$A,'Fatores de Emissão'!$B:$B)*F6/1000)</f>
        <v>7.0432000000000008E-2</v>
      </c>
      <c r="N6" s="6">
        <f>IF($B6="Grid",G6*Fatores_GRID!F$20/1000,_xlfn.XLOOKUP($B6,'Fatores de Emissão'!$A:$A,'Fatores de Emissão'!$B:$B)*G6/1000)</f>
        <v>4.4639999999999999E-2</v>
      </c>
      <c r="O6" s="6">
        <f>IF($B6="Grid",H6*Fatores_GRID!G$20/1000,_xlfn.XLOOKUP($B6,'Fatores de Emissão'!$A:$A,'Fatores de Emissão'!$B:$B)*H6/1000)</f>
        <v>7.1919999999999998E-2</v>
      </c>
      <c r="P6" s="6">
        <f t="shared" si="2"/>
        <v>0.38216800000000001</v>
      </c>
      <c r="Q6" s="6">
        <f>IF($B6="Grid",0,_xlfn.XLOOKUP($B6,'Fatores de Emissão'!$A:$A,'Fatores de Emissão'!$C:$C)*C6/1000)</f>
        <v>0</v>
      </c>
      <c r="R6" s="6">
        <f>IF($B6="Grid",0,_xlfn.XLOOKUP($B6,'Fatores de Emissão'!$A:$A,'Fatores de Emissão'!$C:$C)*D6/1000)</f>
        <v>0</v>
      </c>
      <c r="S6" s="6">
        <f>IF($B6="Grid",0,_xlfn.XLOOKUP($B6,'Fatores de Emissão'!$A:$A,'Fatores de Emissão'!$C:$C)*E6/1000)</f>
        <v>0</v>
      </c>
      <c r="T6" s="6">
        <f>IF($B6="Grid",0,_xlfn.XLOOKUP($B6,'Fatores de Emissão'!$A:$A,'Fatores de Emissão'!$C:$C)*F6/1000)</f>
        <v>0</v>
      </c>
      <c r="U6" s="6">
        <f>IF($B6="Grid",0,_xlfn.XLOOKUP($B6,'Fatores de Emissão'!$A:$A,'Fatores de Emissão'!$C:$C)*G6/1000)</f>
        <v>0</v>
      </c>
      <c r="V6" s="6">
        <f>IF($B6="Grid",0,_xlfn.XLOOKUP($B6,'Fatores de Emissão'!$A:$A,'Fatores de Emissão'!$C:$C)*H6/1000)</f>
        <v>0</v>
      </c>
      <c r="W6" s="6">
        <f t="shared" si="1"/>
        <v>0</v>
      </c>
      <c r="X6" s="6"/>
      <c r="Y6" s="6"/>
      <c r="Z6" s="6"/>
      <c r="AA6" s="6" t="s">
        <v>69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13D0-A837-43CF-ADAC-D0D68CF0317E}">
  <sheetPr>
    <tabColor theme="9" tint="-0.499984740745262"/>
  </sheetPr>
  <dimension ref="A1:K6"/>
  <sheetViews>
    <sheetView showGridLines="0" workbookViewId="0">
      <selection activeCell="C2" sqref="C2"/>
    </sheetView>
  </sheetViews>
  <sheetFormatPr baseColWidth="10" defaultColWidth="8.83203125" defaultRowHeight="15"/>
  <cols>
    <col min="1" max="1" width="15.6640625" bestFit="1" customWidth="1"/>
    <col min="2" max="2" width="28" bestFit="1" customWidth="1"/>
    <col min="3" max="3" width="26.33203125" customWidth="1"/>
    <col min="4" max="4" width="25.1640625" bestFit="1" customWidth="1"/>
    <col min="6" max="6" width="16.5" bestFit="1" customWidth="1"/>
    <col min="7" max="7" width="18.83203125" bestFit="1" customWidth="1"/>
    <col min="8" max="8" width="22.1640625" bestFit="1" customWidth="1"/>
    <col min="9" max="9" width="32.83203125" bestFit="1" customWidth="1"/>
    <col min="10" max="10" width="34.1640625" bestFit="1" customWidth="1"/>
    <col min="11" max="11" width="47.5" bestFit="1" customWidth="1"/>
  </cols>
  <sheetData>
    <row r="1" spans="1:11">
      <c r="A1" s="1" t="s">
        <v>35</v>
      </c>
      <c r="B1" s="22" t="s">
        <v>92</v>
      </c>
      <c r="C1" s="22" t="s">
        <v>565</v>
      </c>
      <c r="D1" s="22" t="s">
        <v>93</v>
      </c>
      <c r="E1" s="22" t="s">
        <v>17</v>
      </c>
      <c r="F1" s="22" t="s">
        <v>50</v>
      </c>
      <c r="G1" s="22" t="s">
        <v>51</v>
      </c>
      <c r="H1" s="2" t="s">
        <v>8</v>
      </c>
      <c r="I1" s="2" t="s">
        <v>7</v>
      </c>
      <c r="J1" s="2" t="s">
        <v>849</v>
      </c>
      <c r="K1" s="2" t="s">
        <v>16</v>
      </c>
    </row>
    <row r="2" spans="1:11">
      <c r="A2" s="5" t="s">
        <v>18</v>
      </c>
      <c r="B2" s="23">
        <v>0.31480000000000002</v>
      </c>
      <c r="C2" s="180">
        <f>D2/B2</f>
        <v>15900.58589580686</v>
      </c>
      <c r="D2" s="24">
        <f>21963.6*(0.2279)</f>
        <v>5005.5044399999997</v>
      </c>
      <c r="E2" s="15" t="s">
        <v>55</v>
      </c>
      <c r="F2" s="15" t="s">
        <v>94</v>
      </c>
      <c r="G2" s="5"/>
      <c r="H2" s="196">
        <f>(Fatores_Carbonização!$C$10*Carbonização!B2+Fatores_Carbonização!$C$11)*D2</f>
        <v>250015.78180019557</v>
      </c>
      <c r="I2" s="196">
        <f>((2.21*44)/(1.07*16))*H2</f>
        <v>1420066.2746641948</v>
      </c>
      <c r="J2" s="196">
        <f>(H2*GWP_Quioto!$E$3/1000)+(I2/1000)</f>
        <v>8395.5065868896509</v>
      </c>
      <c r="K2" s="6" t="s">
        <v>69</v>
      </c>
    </row>
    <row r="3" spans="1:11">
      <c r="A3" s="5" t="s">
        <v>20</v>
      </c>
      <c r="B3" s="23">
        <v>0.31990000000000002</v>
      </c>
      <c r="C3" s="180">
        <f t="shared" ref="C3:C4" si="0">D3/B3</f>
        <v>5408.7601750547037</v>
      </c>
      <c r="D3" s="24">
        <f>7592.2*(0.2279)</f>
        <v>1730.2623799999999</v>
      </c>
      <c r="E3" s="15" t="s">
        <v>55</v>
      </c>
      <c r="F3" s="15" t="s">
        <v>94</v>
      </c>
      <c r="G3" s="5"/>
      <c r="H3" s="196">
        <f>(Fatores_Carbonização!$C$10*Carbonização!B3+Fatores_Carbonização!$C$11)*D3</f>
        <v>82358.22192356571</v>
      </c>
      <c r="I3" s="196">
        <f t="shared" ref="I3:I4" si="1">((2.21*44)/(1.07*16))*H3</f>
        <v>467787.00349576684</v>
      </c>
      <c r="J3" s="196">
        <f>(H3*GWP_Quioto!$E$3/1000)+(I3/1000)</f>
        <v>2765.5813951632504</v>
      </c>
      <c r="K3" s="6" t="s">
        <v>69</v>
      </c>
    </row>
    <row r="4" spans="1:11">
      <c r="A4" s="5" t="s">
        <v>21</v>
      </c>
      <c r="B4" s="23">
        <v>0.3211</v>
      </c>
      <c r="C4" s="180">
        <f t="shared" si="0"/>
        <v>2560.3440049828714</v>
      </c>
      <c r="D4" s="24">
        <f>3607.4*(0.2279)</f>
        <v>822.12645999999995</v>
      </c>
      <c r="E4" s="15" t="s">
        <v>55</v>
      </c>
      <c r="F4" s="15" t="s">
        <v>94</v>
      </c>
      <c r="G4" s="5"/>
      <c r="H4" s="196">
        <f>(Fatores_Carbonização!$C$10*Carbonização!B4+Fatores_Carbonização!$C$11)*D4</f>
        <v>38677.65529445227</v>
      </c>
      <c r="I4" s="196">
        <f t="shared" si="1"/>
        <v>219685.46733834918</v>
      </c>
      <c r="J4" s="196">
        <f>(H4*GWP_Quioto!$E$3/1000)+(I4/1000)</f>
        <v>1298.7920500535672</v>
      </c>
      <c r="K4" s="6" t="s">
        <v>69</v>
      </c>
    </row>
    <row r="5" spans="1:11">
      <c r="A5" s="19" t="s">
        <v>18</v>
      </c>
      <c r="B5" s="13"/>
      <c r="C5" s="13"/>
      <c r="D5" s="202">
        <v>53.28</v>
      </c>
      <c r="E5" s="202" t="s">
        <v>55</v>
      </c>
      <c r="F5" s="202" t="s">
        <v>103</v>
      </c>
      <c r="G5" s="209" t="s">
        <v>104</v>
      </c>
      <c r="H5" s="14"/>
      <c r="I5" s="14"/>
      <c r="K5" s="209" t="s">
        <v>69</v>
      </c>
    </row>
    <row r="6" spans="1:11">
      <c r="A6" s="19" t="s">
        <v>20</v>
      </c>
      <c r="B6" s="13"/>
      <c r="C6" s="13"/>
      <c r="D6" s="202">
        <v>99.08</v>
      </c>
      <c r="E6" s="202" t="s">
        <v>55</v>
      </c>
      <c r="F6" s="202" t="s">
        <v>103</v>
      </c>
      <c r="G6" s="13" t="s">
        <v>105</v>
      </c>
      <c r="H6" s="14"/>
      <c r="I6" s="14"/>
      <c r="K6" s="13" t="s">
        <v>69</v>
      </c>
    </row>
  </sheetData>
  <dataValidations count="2">
    <dataValidation type="list" allowBlank="1" showInputMessage="1" showErrorMessage="1" sqref="F2:F4" xr:uid="{834D6E79-5BD2-4280-A5FB-8D32FB773C0D}">
      <formula1>"Produto Principal,Resíduo,Coproduto"</formula1>
    </dataValidation>
    <dataValidation type="list" allowBlank="1" showInputMessage="1" showErrorMessage="1" sqref="E2:E6" xr:uid="{4081075C-D64F-4008-9C49-E2044D6E9CAE}">
      <formula1>",kg,ton,"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9FC5-9074-4630-890A-09CE599CB982}">
  <sheetPr>
    <tabColor theme="9" tint="-0.499984740745262"/>
  </sheetPr>
  <dimension ref="A1:G15"/>
  <sheetViews>
    <sheetView showGridLines="0" zoomScaleNormal="100" workbookViewId="0">
      <selection activeCell="C10" sqref="C10"/>
    </sheetView>
  </sheetViews>
  <sheetFormatPr baseColWidth="10" defaultColWidth="8.83203125" defaultRowHeight="15"/>
  <cols>
    <col min="1" max="1" width="51.33203125" bestFit="1" customWidth="1"/>
    <col min="2" max="2" width="34.83203125" bestFit="1" customWidth="1"/>
    <col min="3" max="3" width="23.1640625" bestFit="1" customWidth="1"/>
    <col min="4" max="4" width="18.33203125" customWidth="1"/>
    <col min="5" max="5" width="15" bestFit="1" customWidth="1"/>
    <col min="6" max="6" width="13" bestFit="1" customWidth="1"/>
    <col min="7" max="7" width="100.6640625" customWidth="1"/>
  </cols>
  <sheetData>
    <row r="1" spans="1:7" ht="32">
      <c r="A1" s="212" t="s">
        <v>784</v>
      </c>
      <c r="B1" s="212" t="s">
        <v>857</v>
      </c>
      <c r="C1" s="212" t="s">
        <v>49</v>
      </c>
      <c r="D1" s="212" t="s">
        <v>17</v>
      </c>
      <c r="E1" s="212" t="s">
        <v>793</v>
      </c>
      <c r="F1" s="212" t="s">
        <v>17</v>
      </c>
      <c r="G1" s="212" t="s">
        <v>51</v>
      </c>
    </row>
    <row r="2" spans="1:7">
      <c r="A2" s="6" t="s">
        <v>858</v>
      </c>
      <c r="B2" s="213" t="s">
        <v>863</v>
      </c>
      <c r="C2" s="6">
        <f>'Resultado - Carvão Vegetal'!$D$2*Industrial!$F$6</f>
        <v>-4.3433055346436582</v>
      </c>
      <c r="D2" s="6" t="s">
        <v>853</v>
      </c>
      <c r="E2" s="6">
        <f>C2*12/44</f>
        <v>-1.1845378730846341</v>
      </c>
      <c r="F2" s="6" t="s">
        <v>851</v>
      </c>
      <c r="G2" s="6"/>
    </row>
    <row r="3" spans="1:7">
      <c r="A3" s="6" t="s">
        <v>788</v>
      </c>
      <c r="B3" s="213" t="s">
        <v>797</v>
      </c>
      <c r="C3" s="6">
        <f>((SUM(Carbonização!$H$2:$H$4)/1000)/SUM(Carbonização!$D$2:$D$4))*Industrial!$F$6</f>
        <v>3.917767782661908E-2</v>
      </c>
      <c r="D3" s="6" t="s">
        <v>852</v>
      </c>
      <c r="E3" s="6">
        <f>C3*1*12/16</f>
        <v>2.9383258369964312E-2</v>
      </c>
      <c r="F3" s="6" t="s">
        <v>851</v>
      </c>
      <c r="G3" s="6"/>
    </row>
    <row r="4" spans="1:7">
      <c r="A4" s="6" t="s">
        <v>788</v>
      </c>
      <c r="B4" s="213" t="s">
        <v>798</v>
      </c>
      <c r="C4" s="6">
        <f>((2.21*44)/(1.07*16))*$C$3</f>
        <v>0.22252554858997889</v>
      </c>
      <c r="D4" s="6" t="s">
        <v>853</v>
      </c>
      <c r="E4" s="6">
        <f>C4*1*12/44</f>
        <v>6.0688785979085155E-2</v>
      </c>
      <c r="F4" s="6" t="s">
        <v>851</v>
      </c>
      <c r="G4" s="6" t="s">
        <v>867</v>
      </c>
    </row>
    <row r="5" spans="1:7">
      <c r="A5" s="6" t="s">
        <v>788</v>
      </c>
      <c r="B5" s="213" t="s">
        <v>799</v>
      </c>
      <c r="C5" s="6">
        <f>((2.05*28)/(1.07*16))*$C$3</f>
        <v>0.13135506467569713</v>
      </c>
      <c r="D5" s="6" t="s">
        <v>854</v>
      </c>
      <c r="E5" s="6">
        <f>C5*1*12/28</f>
        <v>5.6295027718155914E-2</v>
      </c>
      <c r="F5" s="6" t="s">
        <v>851</v>
      </c>
      <c r="G5" s="6" t="s">
        <v>867</v>
      </c>
    </row>
    <row r="6" spans="1:7">
      <c r="A6" s="6" t="s">
        <v>788</v>
      </c>
      <c r="B6" s="213" t="s">
        <v>800</v>
      </c>
      <c r="C6" s="6">
        <f>((0.5*((20.08*12)+(57.21*1)+(22.46*16)+(0.2*14)+(0.22*32)))/(1.07*16))*$C$3</f>
        <v>0.76361001317613231</v>
      </c>
      <c r="D6" s="6" t="s">
        <v>854</v>
      </c>
      <c r="E6" s="6">
        <f>(0.5*20.08/1.07)*$E$3</f>
        <v>0.27570833087330998</v>
      </c>
      <c r="F6" s="6" t="s">
        <v>851</v>
      </c>
      <c r="G6" s="6" t="s">
        <v>867</v>
      </c>
    </row>
    <row r="7" spans="1:7">
      <c r="A7" s="6" t="s">
        <v>788</v>
      </c>
      <c r="B7" s="213" t="s">
        <v>801</v>
      </c>
      <c r="C7" s="6">
        <f>((0.02*28)/(1.07*16))*$C$3</f>
        <v>1.2815128261043625E-3</v>
      </c>
      <c r="D7" s="6" t="s">
        <v>855</v>
      </c>
      <c r="E7" s="6">
        <f>(0.02*2/1.07)*$E$3</f>
        <v>1.0984395652323107E-3</v>
      </c>
      <c r="F7" s="6" t="s">
        <v>851</v>
      </c>
      <c r="G7" s="6" t="s">
        <v>867</v>
      </c>
    </row>
    <row r="8" spans="1:7">
      <c r="A8" s="6" t="s">
        <v>788</v>
      </c>
      <c r="B8" s="213" t="s">
        <v>802</v>
      </c>
      <c r="C8" s="6">
        <f>((0.06*30)/(1.07*16))*$C$3</f>
        <v>4.119148369621164E-3</v>
      </c>
      <c r="D8" s="6" t="s">
        <v>856</v>
      </c>
      <c r="E8" s="6">
        <f>(0.06*2/1.07)*$E$3</f>
        <v>3.2953186956969317E-3</v>
      </c>
      <c r="F8" s="6" t="s">
        <v>851</v>
      </c>
      <c r="G8" s="6" t="s">
        <v>867</v>
      </c>
    </row>
    <row r="9" spans="1:7">
      <c r="A9" s="6" t="s">
        <v>859</v>
      </c>
      <c r="B9" s="213" t="s">
        <v>860</v>
      </c>
      <c r="C9" s="6">
        <f>Industrial!O31</f>
        <v>1.7482740948277624</v>
      </c>
      <c r="D9" s="6" t="s">
        <v>853</v>
      </c>
      <c r="E9" s="6">
        <f>C9*12/44</f>
        <v>0.47680202586211706</v>
      </c>
      <c r="F9" s="6" t="s">
        <v>851</v>
      </c>
      <c r="G9" s="6"/>
    </row>
    <row r="10" spans="1:7">
      <c r="A10" s="6" t="s">
        <v>859</v>
      </c>
      <c r="B10" s="213" t="s">
        <v>861</v>
      </c>
      <c r="C10" s="6">
        <f>Redução!D6*Redução!E6</f>
        <v>0.15710312157329098</v>
      </c>
      <c r="D10" s="6" t="s">
        <v>851</v>
      </c>
      <c r="E10" s="6">
        <f>C10</f>
        <v>0.15710312157329098</v>
      </c>
      <c r="F10" s="6" t="s">
        <v>851</v>
      </c>
      <c r="G10" s="6"/>
    </row>
    <row r="11" spans="1:7">
      <c r="A11" s="6" t="s">
        <v>859</v>
      </c>
      <c r="B11" s="213" t="s">
        <v>862</v>
      </c>
      <c r="C11" s="6">
        <f>Redução!D5*Redução!E5*Redução!D10</f>
        <v>3.5793065114272227E-4</v>
      </c>
      <c r="D11" s="6" t="s">
        <v>851</v>
      </c>
      <c r="E11" s="6">
        <f>C11</f>
        <v>3.5793065114272227E-4</v>
      </c>
      <c r="F11" s="6" t="s">
        <v>851</v>
      </c>
      <c r="G11" s="6"/>
    </row>
    <row r="13" spans="1:7">
      <c r="A13" s="210" t="s">
        <v>864</v>
      </c>
      <c r="B13" s="211">
        <f>SUM($E$2:$E$11)</f>
        <v>-0.12380563379663882</v>
      </c>
      <c r="C13" s="210" t="s">
        <v>851</v>
      </c>
    </row>
    <row r="14" spans="1:7">
      <c r="A14" s="210" t="s">
        <v>865</v>
      </c>
      <c r="B14" s="211">
        <f>B13*44/12</f>
        <v>-0.45395399058767572</v>
      </c>
      <c r="C14" s="210" t="s">
        <v>853</v>
      </c>
    </row>
    <row r="15" spans="1:7">
      <c r="A15" s="210" t="s">
        <v>866</v>
      </c>
      <c r="B15" s="211">
        <f>-B14/Industrial!$F$6</f>
        <v>0.56886179867402453</v>
      </c>
      <c r="C15" s="210" t="s">
        <v>828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7799-7E47-4EA2-B84D-9E250A8C12F1}">
  <sheetPr>
    <tabColor rgb="FF002060"/>
  </sheetPr>
  <dimension ref="A1:AC66"/>
  <sheetViews>
    <sheetView showGridLines="0" zoomScaleNormal="100" workbookViewId="0"/>
  </sheetViews>
  <sheetFormatPr baseColWidth="10" defaultColWidth="8.83203125" defaultRowHeight="15"/>
  <cols>
    <col min="1" max="1" width="20" bestFit="1" customWidth="1"/>
    <col min="2" max="2" width="37.5" bestFit="1" customWidth="1"/>
    <col min="3" max="3" width="28.6640625" customWidth="1"/>
    <col min="4" max="4" width="16.1640625" bestFit="1" customWidth="1"/>
    <col min="5" max="5" width="32.6640625" bestFit="1" customWidth="1"/>
    <col min="6" max="6" width="18.6640625" style="92" bestFit="1" customWidth="1"/>
    <col min="7" max="7" width="34.5" style="92" customWidth="1"/>
    <col min="8" max="8" width="32.5" bestFit="1" customWidth="1"/>
    <col min="9" max="9" width="38" bestFit="1" customWidth="1"/>
    <col min="10" max="10" width="38" customWidth="1"/>
    <col min="11" max="11" width="23.5" customWidth="1"/>
    <col min="13" max="14" width="20.1640625" bestFit="1" customWidth="1"/>
    <col min="15" max="15" width="20.33203125" bestFit="1" customWidth="1"/>
    <col min="16" max="16" width="27.6640625" bestFit="1" customWidth="1"/>
    <col min="17" max="17" width="31.5" bestFit="1" customWidth="1"/>
    <col min="18" max="18" width="50.5" style="92" bestFit="1" customWidth="1"/>
    <col min="19" max="19" width="18.33203125" bestFit="1" customWidth="1"/>
    <col min="20" max="20" width="41.33203125" bestFit="1" customWidth="1"/>
    <col min="21" max="21" width="44.5" bestFit="1" customWidth="1"/>
    <col min="22" max="22" width="36.5" customWidth="1"/>
    <col min="23" max="23" width="35.1640625" bestFit="1" customWidth="1"/>
    <col min="24" max="24" width="38.5" bestFit="1" customWidth="1"/>
    <col min="25" max="25" width="30.5" bestFit="1" customWidth="1"/>
    <col min="26" max="26" width="24.83203125" bestFit="1" customWidth="1"/>
    <col min="27" max="27" width="30.33203125" bestFit="1" customWidth="1"/>
    <col min="28" max="28" width="39.83203125" bestFit="1" customWidth="1"/>
    <col min="29" max="29" width="30.6640625" bestFit="1" customWidth="1"/>
  </cols>
  <sheetData>
    <row r="1" spans="1:29" ht="17">
      <c r="A1" s="20" t="s">
        <v>95</v>
      </c>
      <c r="B1" s="224" t="s">
        <v>106</v>
      </c>
      <c r="C1" s="20" t="s">
        <v>107</v>
      </c>
      <c r="D1" s="20" t="s">
        <v>102</v>
      </c>
      <c r="E1" s="1" t="s">
        <v>2</v>
      </c>
      <c r="F1" s="1" t="s">
        <v>887</v>
      </c>
      <c r="G1" s="20" t="s">
        <v>661</v>
      </c>
      <c r="H1" s="20" t="s">
        <v>662</v>
      </c>
      <c r="I1" s="20" t="s">
        <v>847</v>
      </c>
      <c r="J1" s="20" t="s">
        <v>888</v>
      </c>
      <c r="K1" s="20" t="s">
        <v>4</v>
      </c>
      <c r="L1" s="20" t="s">
        <v>17</v>
      </c>
      <c r="M1" s="20" t="s">
        <v>6</v>
      </c>
      <c r="N1" s="20" t="s">
        <v>8</v>
      </c>
      <c r="O1" s="20" t="s">
        <v>9</v>
      </c>
      <c r="P1" s="20" t="s">
        <v>96</v>
      </c>
      <c r="Q1" s="20" t="s">
        <v>97</v>
      </c>
      <c r="R1" s="1" t="s">
        <v>3</v>
      </c>
      <c r="S1" s="2" t="s">
        <v>11</v>
      </c>
      <c r="T1" s="20" t="s">
        <v>98</v>
      </c>
      <c r="U1" s="20" t="s">
        <v>663</v>
      </c>
      <c r="V1" s="20" t="s">
        <v>880</v>
      </c>
      <c r="W1" s="20" t="s">
        <v>99</v>
      </c>
      <c r="X1" s="20" t="s">
        <v>879</v>
      </c>
      <c r="Y1" s="20" t="s">
        <v>12</v>
      </c>
      <c r="Z1" s="20" t="s">
        <v>13</v>
      </c>
      <c r="AA1" s="20" t="s">
        <v>100</v>
      </c>
      <c r="AB1" s="20" t="s">
        <v>101</v>
      </c>
      <c r="AC1" s="20" t="s">
        <v>16</v>
      </c>
    </row>
    <row r="2" spans="1:29">
      <c r="A2" s="5" t="s">
        <v>664</v>
      </c>
      <c r="B2" s="6" t="s">
        <v>153</v>
      </c>
      <c r="C2" s="6" t="s">
        <v>109</v>
      </c>
      <c r="D2" s="6" t="s">
        <v>141</v>
      </c>
      <c r="E2" s="6" t="str">
        <f>IF(D2="Marítimo","Óleo combustível pesado - Marítimo",IF(D2="Rodoviário","Óleo Diesel",""))</f>
        <v>Óleo Diesel</v>
      </c>
      <c r="F2" s="5">
        <v>405.2</v>
      </c>
      <c r="G2" s="5" t="str">
        <f>IF(D2="Rodoviário",Combustão_Móvel!$A$32,IF(D2="Marítimo",Fatores_Marítimo!$F$30))</f>
        <v>Caminhão - caminhão (média)</v>
      </c>
      <c r="H2" s="6">
        <f>_xlfn.XLOOKUP(G2,Combustão_Móvel!$A$25:$A$40,Combustão_Móvel!$B$25:$B$40,Fatores_Marítimo!$H$30)</f>
        <v>3.8597744506341597E-2</v>
      </c>
      <c r="I2" s="6">
        <f>IF(A2="Inonibrás",SUMIFS(Industrial!F:F,Industrial!C:C,B2),IF(OR(B2="Gasolina Automotiva",B2="Óleo Diesel",B2="Acetileno"),SUMIFS('Florestal (Combustíveis)'!P:P,'Florestal (Combustíveis)'!D:D,B2,'Florestal (Combustíveis)'!A:A,A2)*Industrial!$F$6/(1000*SUM(Carbonização!$D$2:$D$4)),SUMIFS('Florestal (Fertilizantes)'!H:H,'Florestal (Fertilizantes)'!B:B,B2,'Florestal (Fertilizantes)'!A:A,A2)*Industrial!$F$6/(SUM(Carbonização!$D$2:$D$4))))</f>
        <v>0.54617725743052425</v>
      </c>
      <c r="J2" s="6">
        <f>F2*I2</f>
        <v>221.31102471084841</v>
      </c>
      <c r="K2" s="6">
        <f>H2*J2</f>
        <v>8.542106388225978</v>
      </c>
      <c r="L2" s="6" t="s">
        <v>108</v>
      </c>
      <c r="M2" s="6">
        <f>IF(E2="Óleo Diesel",(K2/1000)*(1-0.1)*(_xlfn.XLOOKUP(E2,Combustão_Móvel!$A$2:$A$12,Combustão_Móvel!$E$2:$E$12))*(_xlfn.XLOOKUP(E2,Combustão_Móvel!$A$2:$A$12,Combustão_Móvel!$D$2:$D$12)),(K2/1000)*(_xlfn.XLOOKUP(E2,Combustão_Móvel!$A$2:$A$12,Combustão_Móvel!$D$2:$D$12))*(_xlfn.XLOOKUP(E2,Combustão_Móvel!$A$2:$A$12,Combustão_Móvel!$E$2:$E$12)))*1000</f>
        <v>20.223394163593063</v>
      </c>
      <c r="N2" s="6">
        <f>IF(E2="Óleo Diesel",(K2/1000)*(((1-0.1)*(_xlfn.XLOOKUP(E2,Combustão_Móvel!$A$2:$A$12,Combustão_Móvel!$F$2:$F$12))*(_xlfn.XLOOKUP(E2,Combustão_Móvel!$A$2:$A$12,Combustão_Móvel!$D$2:$D$12)))+((0.1)*(Combustão_Móvel!$F$6)*(Combustão_Móvel!$D$6))),(K2/1000)*(_xlfn.XLOOKUP(E2,Combustão_Móvel!$A$2:$A$12,Combustão_Móvel!$D$2:$D$12))*(_xlfn.XLOOKUP(E2,Combustão_Móvel!$A$2:$A$12,Combustão_Móvel!$F$2:$F$12)))*1000</f>
        <v>1.1493078178578277E-3</v>
      </c>
      <c r="O2" s="6">
        <f>IF(E2="Óleo Diesel",(K2/1000)*(((1-0.1)*(_xlfn.XLOOKUP(E2,Combustão_Móvel!$A$2:$A$12,Combustão_Móvel!$G$2:$G$12))*(_xlfn.XLOOKUP(E2,Combustão_Móvel!$A$2:$A$12,Combustão_Móvel!$D$2:$D$12)))+((0.1)*(Combustão_Móvel!$G$6)*(Combustão_Móvel!$G$6))),(K2/1000)*(_xlfn.XLOOKUP(E2,Combustão_Móvel!$A$2:$A$12,Combustão_Móvel!$D$2:$D$12))*(_xlfn.XLOOKUP(E2,Combustão_Móvel!$A$2:$A$12,Combustão_Móvel!$G$2:$G$12)))*1000</f>
        <v>1.0643891668124139E-3</v>
      </c>
      <c r="P2" s="6">
        <f>(M2+(N2*GWP_Quioto!$E$3)+(O2*GWP_Quioto!$E$6))/1000</f>
        <v>2.0546038094251085E-2</v>
      </c>
      <c r="Q2" s="6">
        <f>IF(E2="Óleo Diesel",(K2/1000)*(0.1)*(Combustão_Móvel!$D$6)*(Combustão_Móvel!$E$6),0)</f>
        <v>2.0040801719291455E-3</v>
      </c>
      <c r="R2" s="5" t="str">
        <f>IF(E2="Óleo Diesel",'Fatores de Emissão'!$A$19,'Fatores de Emissão'!$A$22)</f>
        <v>Óleo Diesel (10% Biodiesel)</v>
      </c>
      <c r="S2" s="6">
        <f>IF(E2="Óleo Diesel",(K2/1000)*((0.9*_xlfn.XLOOKUP(E2,Densidades!$A$2:$A$54,Densidades!$B$2:$B$54))+(0.1*Densidades!$B$6)),(K2/1000)*(_xlfn.XLOOKUP(E2,Densidades!$A$2:$A$54,Densidades!$B$2:$B$54)))</f>
        <v>7.2095377916627257</v>
      </c>
      <c r="T2" s="6">
        <f>(S2*(_xlfn.XLOOKUP(R2,'Fatores de Emissão'!$A$14:$A$22,'Fatores de Emissão'!$B$14:$B$22)))/1000</f>
        <v>5.6482509431708483E-3</v>
      </c>
      <c r="U2" s="6">
        <f>(S2*(_xlfn.XLOOKUP(R2,'Fatores de Emissão'!$A$14:$A$22,'Fatores de Emissão'!$C$14:$C$22)))/1000</f>
        <v>1.8706000903481253E-6</v>
      </c>
      <c r="V2" s="6">
        <f>(S2*(_xlfn.XLOOKUP(R2,'Fatores de Emissão'!$A:$A,'Fatores de Emissão'!E:E)))/1000</f>
        <v>1.0097279890740796E-6</v>
      </c>
      <c r="W2" s="6">
        <f>T2+P2</f>
        <v>2.6194289037421933E-2</v>
      </c>
      <c r="X2" s="6">
        <f>Q2+U2</f>
        <v>2.0059507720194937E-3</v>
      </c>
      <c r="Y2" s="6"/>
      <c r="Z2" s="6"/>
      <c r="AA2" s="6"/>
      <c r="AB2" s="6"/>
      <c r="AC2" s="6" t="s">
        <v>145</v>
      </c>
    </row>
    <row r="3" spans="1:29">
      <c r="A3" s="5" t="s">
        <v>664</v>
      </c>
      <c r="B3" s="21" t="s">
        <v>154</v>
      </c>
      <c r="C3" s="6" t="s">
        <v>111</v>
      </c>
      <c r="D3" s="6" t="s">
        <v>141</v>
      </c>
      <c r="E3" s="6" t="str">
        <f t="shared" ref="E3:E61" si="0">IF(D3="Marítimo","Óleo Combustível",IF(D3="Rodoviário","Óleo Diesel",""))</f>
        <v>Óleo Diesel</v>
      </c>
      <c r="F3" s="5">
        <v>215.5</v>
      </c>
      <c r="G3" s="5" t="str">
        <f>IF(D3="Rodoviário",Combustão_Móvel!$A$32,IF(D3="Marítimo",Fatores_Marítimo!$F$30))</f>
        <v>Caminhão - caminhão (média)</v>
      </c>
      <c r="H3" s="6">
        <f>_xlfn.XLOOKUP(G3,Combustão_Móvel!$A$25:$A$40,Combustão_Móvel!$B$25:$B$40,Fatores_Marítimo!$H$30)</f>
        <v>3.8597744506341597E-2</v>
      </c>
      <c r="I3" s="6">
        <f>IF(A3="Inonibrás",SUMIFS(Industrial!F:F,Industrial!C:C,B3),IF(OR(B3="Gasolina Automotiva",B3="Óleo Diesel",B3="Acetileno"),SUMIFS('Florestal (Combustíveis)'!P:P,'Florestal (Combustíveis)'!D:D,B3,'Florestal (Combustíveis)'!A:A,A3)*Industrial!$F$6/(1000*SUM(Carbonização!$D$2:$D$4)),SUMIFS('Florestal (Fertilizantes)'!H:H,'Florestal (Fertilizantes)'!B:B,B3,'Florestal (Fertilizantes)'!A:A,A3)*Industrial!$F$6/(SUM(Carbonização!$D$2:$D$4))))</f>
        <v>0.9363257364706099</v>
      </c>
      <c r="J3" s="6">
        <f t="shared" ref="J3:J66" si="1">F3*I3</f>
        <v>201.77819620941642</v>
      </c>
      <c r="K3" s="6">
        <f t="shared" ref="K3:K66" si="2">H3*J3</f>
        <v>7.7881832642415194</v>
      </c>
      <c r="L3" s="6" t="s">
        <v>108</v>
      </c>
      <c r="M3" s="6">
        <f>IF(E3="Óleo Diesel",(K3/1000)*(1-0.1)*(_xlfn.XLOOKUP(E3,Combustão_Móvel!$A$2:$A$12,Combustão_Móvel!$E$2:$E$12))*(_xlfn.XLOOKUP(E3,Combustão_Móvel!$A$2:$A$12,Combustão_Móvel!$D$2:$D$12)),(K3/1000)*(_xlfn.XLOOKUP(E3,Combustão_Móvel!$A$2:$A$12,Combustão_Móvel!$D$2:$D$12))*(_xlfn.XLOOKUP(E3,Combustão_Móvel!$A$2:$A$12,Combustão_Móvel!$E$2:$E$12)))*1000</f>
        <v>18.438484937175474</v>
      </c>
      <c r="N3" s="6">
        <f>IF(E3="Óleo Diesel",(K3/1000)*(1-0.1)*(_xlfn.XLOOKUP(E3,Combustão_Móvel!$A$2:$A$12,Combustão_Móvel!$F$2:$F$12))*(_xlfn.XLOOKUP(E3,Combustão_Móvel!$A$2:$A$12,Combustão_Móvel!$D$2:$D$12)),(K3/1000)*(_xlfn.XLOOKUP(E3,Combustão_Móvel!$A$2:$A$12,Combustão_Móvel!$D$2:$D$12))*(_xlfn.XLOOKUP(E3,Combustão_Móvel!$A$2:$A$12,Combustão_Móvel!$F$2:$F$12)))*1000</f>
        <v>9.7044657564081445E-4</v>
      </c>
      <c r="O3" s="6">
        <f>IF(E3="Óleo Diesel",(K3/1000)*(((1-0.1)*(_xlfn.XLOOKUP(E3,Combustão_Móvel!$A$2:$A$12,Combustão_Móvel!$G$2:$G$12))*(_xlfn.XLOOKUP(E3,Combustão_Móvel!$A$2:$A$12,Combustão_Móvel!$D$2:$D$12)))+((0.1)*(Combustão_Móvel!$G$6)*(Combustão_Móvel!$G$6))),(K3/1000)*(_xlfn.XLOOKUP(E3,Combustão_Móvel!$A$2:$A$12,Combustão_Móvel!$D$2:$D$12))*(_xlfn.XLOOKUP(E3,Combustão_Móvel!$A$2:$A$12,Combustão_Móvel!$G$2:$G$12)))*1000</f>
        <v>9.7044657592118913E-4</v>
      </c>
      <c r="P3" s="6">
        <f>(M3+(N3*GWP_Quioto!$E$3)+(O3*GWP_Quioto!$E$6))/1000</f>
        <v>1.8730492311862336E-2</v>
      </c>
      <c r="Q3" s="6">
        <f>IF(E3="Óleo Diesel",(K3/1000)*(0.1)*(Combustão_Móvel!$D$6)*(Combustão_Móvel!$E$6),0)</f>
        <v>1.8272008033908751E-3</v>
      </c>
      <c r="R3" s="5" t="str">
        <f>IF(E3="Óleo Diesel",'Fatores de Emissão'!$A$19,'Fatores de Emissão'!$A$22)</f>
        <v>Óleo Diesel (10% Biodiesel)</v>
      </c>
      <c r="S3" s="6">
        <f>IF(E3="Óleo Diesel",(K3/1000)*((0.9*_xlfn.XLOOKUP(E3,Densidades!$A$2:$A$54,Densidades!$B$2:$B$54))+(0.1*Densidades!$B$6)),(K3/1000)*(_xlfn.XLOOKUP(E3,Densidades!$A$2:$A$54,Densidades!$B$2:$B$54)))</f>
        <v>6.5732266750198418</v>
      </c>
      <c r="T3" s="6">
        <f>(S3*(_xlfn.XLOOKUP(R3,'Fatores de Emissão'!$A$14:$A$22,'Fatores de Emissão'!$B$14:$B$22)))/1000</f>
        <v>5.1497384214826336E-3</v>
      </c>
      <c r="U3" s="6">
        <f>(S3*(_xlfn.XLOOKUP(R3,'Fatores de Emissão'!$A$14:$A$22,'Fatores de Emissão'!$C$14:$C$22)))/1000</f>
        <v>1.7055016240278341E-6</v>
      </c>
      <c r="V3" s="6">
        <f>(S3*(_xlfn.XLOOKUP(R3,'Fatores de Emissão'!$A:$A,'Fatores de Emissão'!E:E)))/1000</f>
        <v>9.2060977334375859E-7</v>
      </c>
      <c r="W3" s="6">
        <f t="shared" ref="W3:W61" si="3">T3+P3</f>
        <v>2.388023073334497E-2</v>
      </c>
      <c r="X3" s="6">
        <f t="shared" ref="X3:X66" si="4">Q3+U3</f>
        <v>1.8289063050149028E-3</v>
      </c>
      <c r="Y3" s="6"/>
      <c r="Z3" s="6"/>
      <c r="AA3" s="6"/>
      <c r="AB3" s="6"/>
      <c r="AC3" s="6" t="s">
        <v>145</v>
      </c>
    </row>
    <row r="4" spans="1:29">
      <c r="A4" s="5" t="s">
        <v>664</v>
      </c>
      <c r="B4" s="6" t="s">
        <v>155</v>
      </c>
      <c r="C4" s="6" t="s">
        <v>112</v>
      </c>
      <c r="D4" s="6" t="s">
        <v>141</v>
      </c>
      <c r="E4" s="6" t="str">
        <f t="shared" si="0"/>
        <v>Óleo Diesel</v>
      </c>
      <c r="F4" s="5">
        <v>320</v>
      </c>
      <c r="G4" s="5" t="str">
        <f>IF(D4="Rodoviário",Combustão_Móvel!$A$32,IF(D4="Marítimo",Fatores_Marítimo!$F$30))</f>
        <v>Caminhão - caminhão (média)</v>
      </c>
      <c r="H4" s="6">
        <f>_xlfn.XLOOKUP(G4,Combustão_Móvel!$A$25:$A$40,Combustão_Móvel!$B$25:$B$40,Fatores_Marítimo!$H$30)</f>
        <v>3.8597744506341597E-2</v>
      </c>
      <c r="I4" s="6">
        <f>IF(A4="Inonibrás",SUMIFS(Industrial!F:F,Industrial!C:C,B4),IF(OR(B4="Gasolina Automotiva",B4="Óleo Diesel",B4="Acetileno"),SUMIFS('Florestal (Combustíveis)'!P:P,'Florestal (Combustíveis)'!D:D,B4,'Florestal (Combustíveis)'!A:A,A4)*Industrial!$F$6/(1000*SUM(Carbonização!$D$2:$D$4)),SUMIFS('Florestal (Fertilizantes)'!H:H,'Florestal (Fertilizantes)'!B:B,B4,'Florestal (Fertilizantes)'!A:A,A4)*Industrial!$F$6/(SUM(Carbonização!$D$2:$D$4))))</f>
        <v>8.532442351909416E-3</v>
      </c>
      <c r="J4" s="6">
        <f t="shared" si="1"/>
        <v>2.7303815526110133</v>
      </c>
      <c r="K4" s="6">
        <f t="shared" si="2"/>
        <v>0.10538656957250818</v>
      </c>
      <c r="L4" s="6" t="s">
        <v>108</v>
      </c>
      <c r="M4" s="6">
        <f>IF(E4="Óleo Diesel",(K4/1000)*(1-0.1)*(_xlfn.XLOOKUP(E4,Combustão_Móvel!$A$2:$A$12,Combustão_Móvel!$E$2:$E$12))*(_xlfn.XLOOKUP(E4,Combustão_Móvel!$A$2:$A$12,Combustão_Móvel!$D$2:$D$12)),(K4/1000)*(_xlfn.XLOOKUP(E4,Combustão_Móvel!$A$2:$A$12,Combustão_Móvel!$D$2:$D$12))*(_xlfn.XLOOKUP(E4,Combustão_Móvel!$A$2:$A$12,Combustão_Móvel!$E$2:$E$12)))*1000</f>
        <v>0.24950217653006523</v>
      </c>
      <c r="N4" s="6">
        <f>IF(E4="Óleo Diesel",(K4/1000)*(1-0.1)*(_xlfn.XLOOKUP(E4,Combustão_Móvel!$A$2:$A$12,Combustão_Móvel!$F$2:$F$12))*(_xlfn.XLOOKUP(E4,Combustão_Móvel!$A$2:$A$12,Combustão_Móvel!$D$2:$D$12)),(K4/1000)*(_xlfn.XLOOKUP(E4,Combustão_Móvel!$A$2:$A$12,Combustão_Móvel!$D$2:$D$12))*(_xlfn.XLOOKUP(E4,Combustão_Móvel!$A$2:$A$12,Combustão_Móvel!$F$2:$F$12)))*1000</f>
        <v>1.313169350158238E-5</v>
      </c>
      <c r="O4" s="6">
        <f>IF(E4="Óleo Diesel",(K4/1000)*(((1-0.1)*(_xlfn.XLOOKUP(E4,Combustão_Móvel!$A$2:$A$12,Combustão_Móvel!$G$2:$G$12))*(_xlfn.XLOOKUP(E4,Combustão_Móvel!$A$2:$A$12,Combustão_Móvel!$D$2:$D$12)))+((0.1)*(Combustão_Móvel!$G$6)*(Combustão_Móvel!$G$6))),(K4/1000)*(_xlfn.XLOOKUP(E4,Combustão_Móvel!$A$2:$A$12,Combustão_Móvel!$D$2:$D$12))*(_xlfn.XLOOKUP(E4,Combustão_Móvel!$A$2:$A$12,Combustão_Móvel!$G$2:$G$12)))*1000</f>
        <v>1.3131693505376298E-5</v>
      </c>
      <c r="P4" s="6">
        <f>(M4+(N4*GWP_Quioto!$E$3)+(O4*GWP_Quioto!$E$6))/1000</f>
        <v>2.5345350310572711E-4</v>
      </c>
      <c r="Q4" s="6">
        <f>IF(E4="Óleo Diesel",(K4/1000)*(0.1)*(Combustão_Móvel!$D$6)*(Combustão_Móvel!$E$6),0)</f>
        <v>2.472494779027888E-5</v>
      </c>
      <c r="R4" s="5" t="str">
        <f>IF(E4="Óleo Diesel",'Fatores de Emissão'!$A$19,'Fatores de Emissão'!$A$22)</f>
        <v>Óleo Diesel (10% Biodiesel)</v>
      </c>
      <c r="S4" s="6">
        <f>IF(E4="Óleo Diesel",(K4/1000)*((0.9*_xlfn.XLOOKUP(E4,Densidades!$A$2:$A$54,Densidades!$B$2:$B$54))+(0.1*Densidades!$B$6)),(K4/1000)*(_xlfn.XLOOKUP(E4,Densidades!$A$2:$A$54,Densidades!$B$2:$B$54)))</f>
        <v>8.8946264719196894E-2</v>
      </c>
      <c r="T4" s="6">
        <f>(S4*(_xlfn.XLOOKUP(R4,'Fatores de Emissão'!$A$14:$A$22,'Fatores de Emissão'!$B$14:$B$22)))/1000</f>
        <v>6.9684193093862967E-5</v>
      </c>
      <c r="U4" s="6">
        <f>(S4*(_xlfn.XLOOKUP(R4,'Fatores de Emissão'!$A$14:$A$22,'Fatores de Emissão'!$C$14:$C$22)))/1000</f>
        <v>2.3078163348039726E-8</v>
      </c>
      <c r="V4" s="6">
        <f>(S4*(_xlfn.XLOOKUP(R4,'Fatores de Emissão'!$A:$A,'Fatores de Emissão'!E:E)))/1000</f>
        <v>1.2457321898558537E-8</v>
      </c>
      <c r="W4" s="6">
        <f t="shared" si="3"/>
        <v>3.2313769619959009E-4</v>
      </c>
      <c r="X4" s="6">
        <f t="shared" si="4"/>
        <v>2.474802595362692E-5</v>
      </c>
      <c r="Y4" s="6"/>
      <c r="Z4" s="6"/>
      <c r="AA4" s="6"/>
      <c r="AB4" s="6"/>
      <c r="AC4" s="6" t="s">
        <v>145</v>
      </c>
    </row>
    <row r="5" spans="1:29">
      <c r="A5" s="5" t="s">
        <v>664</v>
      </c>
      <c r="B5" s="6" t="s">
        <v>156</v>
      </c>
      <c r="C5" s="6" t="s">
        <v>113</v>
      </c>
      <c r="D5" s="6" t="s">
        <v>141</v>
      </c>
      <c r="E5" s="6" t="str">
        <f t="shared" si="0"/>
        <v>Óleo Diesel</v>
      </c>
      <c r="F5" s="5">
        <v>881.1</v>
      </c>
      <c r="G5" s="5" t="str">
        <f>IF(D5="Rodoviário",Combustão_Móvel!$A$32,IF(D5="Marítimo",Fatores_Marítimo!$F$30))</f>
        <v>Caminhão - caminhão (média)</v>
      </c>
      <c r="H5" s="6">
        <f>_xlfn.XLOOKUP(G5,Combustão_Móvel!$A$25:$A$40,Combustão_Móvel!$B$25:$B$40,Fatores_Marítimo!$H$30)</f>
        <v>3.8597744506341597E-2</v>
      </c>
      <c r="I5" s="6">
        <f>IF(A5="Inonibrás",SUMIFS(Industrial!F:F,Industrial!C:C,B5),IF(OR(B5="Gasolina Automotiva",B5="Óleo Diesel",B5="Acetileno"),SUMIFS('Florestal (Combustíveis)'!P:P,'Florestal (Combustíveis)'!D:D,B5,'Florestal (Combustíveis)'!A:A,A5)*Industrial!$F$6/(1000*SUM(Carbonização!$D$2:$D$4)),SUMIFS('Florestal (Fertilizantes)'!H:H,'Florestal (Fertilizantes)'!B:B,B5,'Florestal (Fertilizantes)'!A:A,A5)*Industrial!$F$6/(SUM(Carbonização!$D$2:$D$4))))</f>
        <v>1.8580927463040027E-2</v>
      </c>
      <c r="J5" s="6">
        <f t="shared" si="1"/>
        <v>16.371655187684567</v>
      </c>
      <c r="K5" s="6">
        <f t="shared" si="2"/>
        <v>0.63190896408017094</v>
      </c>
      <c r="L5" s="6" t="s">
        <v>108</v>
      </c>
      <c r="M5" s="6">
        <f>IF(E5="Óleo Diesel",(K5/1000)*(1-0.1)*(_xlfn.XLOOKUP(E5,Combustão_Móvel!$A$2:$A$12,Combustão_Móvel!$E$2:$E$12))*(_xlfn.XLOOKUP(E5,Combustão_Móvel!$A$2:$A$12,Combustão_Móvel!$D$2:$D$12)),(K5/1000)*(_xlfn.XLOOKUP(E5,Combustão_Móvel!$A$2:$A$12,Combustão_Móvel!$D$2:$D$12))*(_xlfn.XLOOKUP(E5,Combustão_Móvel!$A$2:$A$12,Combustão_Móvel!$E$2:$E$12)))*1000</f>
        <v>1.4960413129149843</v>
      </c>
      <c r="N5" s="6">
        <f>IF(E5="Óleo Diesel",(K5/1000)*(1-0.1)*(_xlfn.XLOOKUP(E5,Combustão_Móvel!$A$2:$A$12,Combustão_Móvel!$F$2:$F$12))*(_xlfn.XLOOKUP(E5,Combustão_Móvel!$A$2:$A$12,Combustão_Móvel!$D$2:$D$12)),(K5/1000)*(_xlfn.XLOOKUP(E5,Combustão_Móvel!$A$2:$A$12,Combustão_Móvel!$D$2:$D$12))*(_xlfn.XLOOKUP(E5,Combustão_Móvel!$A$2:$A$12,Combustão_Móvel!$F$2:$F$12)))*1000</f>
        <v>7.873901646920971E-5</v>
      </c>
      <c r="O5" s="6">
        <f>IF(E5="Óleo Diesel",(K5/1000)*(((1-0.1)*(_xlfn.XLOOKUP(E5,Combustão_Móvel!$A$2:$A$12,Combustão_Móvel!$G$2:$G$12))*(_xlfn.XLOOKUP(E5,Combustão_Móvel!$A$2:$A$12,Combustão_Móvel!$D$2:$D$12)))+((0.1)*(Combustão_Móvel!$G$6)*(Combustão_Móvel!$G$6))),(K5/1000)*(_xlfn.XLOOKUP(E5,Combustão_Móvel!$A$2:$A$12,Combustão_Móvel!$D$2:$D$12))*(_xlfn.XLOOKUP(E5,Combustão_Móvel!$A$2:$A$12,Combustão_Móvel!$G$2:$G$12)))*1000</f>
        <v>7.8739016491958426E-5</v>
      </c>
      <c r="P5" s="6">
        <f>(M5+(N5*GWP_Quioto!$E$3)+(O5*GWP_Quioto!$E$6))/1000</f>
        <v>1.5197338829767799E-3</v>
      </c>
      <c r="Q5" s="6">
        <f>IF(E5="Óleo Diesel",(K5/1000)*(0.1)*(Combustão_Móvel!$D$6)*(Combustão_Móvel!$E$6),0)</f>
        <v>1.4825338948282077E-4</v>
      </c>
      <c r="R5" s="5" t="str">
        <f>IF(E5="Óleo Diesel",'Fatores de Emissão'!$A$19,'Fatores de Emissão'!$A$22)</f>
        <v>Óleo Diesel (10% Biodiesel)</v>
      </c>
      <c r="S5" s="6">
        <f>IF(E5="Óleo Diesel",(K5/1000)*((0.9*_xlfn.XLOOKUP(E5,Densidades!$A$2:$A$54,Densidades!$B$2:$B$54))+(0.1*Densidades!$B$6)),(K5/1000)*(_xlfn.XLOOKUP(E5,Densidades!$A$2:$A$54,Densidades!$B$2:$B$54)))</f>
        <v>0.53333116568366434</v>
      </c>
      <c r="T5" s="6">
        <f>(S5*(_xlfn.XLOOKUP(R5,'Fatores de Emissão'!$A$14:$A$22,'Fatores de Emissão'!$B$14:$B$22)))/1000</f>
        <v>4.1783375670473072E-4</v>
      </c>
      <c r="U5" s="6">
        <f>(S5*(_xlfn.XLOOKUP(R5,'Fatores de Emissão'!$A$14:$A$22,'Fatores de Emissão'!$C$14:$C$22)))/1000</f>
        <v>1.3837909662766981E-7</v>
      </c>
      <c r="V5" s="6">
        <f>(S5*(_xlfn.XLOOKUP(R5,'Fatores de Emissão'!$A:$A,'Fatores de Emissão'!E:E)))/1000</f>
        <v>7.4695413353551907E-8</v>
      </c>
      <c r="W5" s="6">
        <f t="shared" si="3"/>
        <v>1.9375676396815107E-3</v>
      </c>
      <c r="X5" s="6">
        <f t="shared" si="4"/>
        <v>1.4839176857944843E-4</v>
      </c>
      <c r="Y5" s="6"/>
      <c r="Z5" s="6"/>
      <c r="AA5" s="6"/>
      <c r="AB5" s="6"/>
      <c r="AC5" s="6" t="s">
        <v>145</v>
      </c>
    </row>
    <row r="6" spans="1:29">
      <c r="A6" s="5" t="s">
        <v>664</v>
      </c>
      <c r="B6" s="6" t="s">
        <v>157</v>
      </c>
      <c r="C6" s="6" t="s">
        <v>114</v>
      </c>
      <c r="D6" s="6" t="s">
        <v>141</v>
      </c>
      <c r="E6" s="6" t="str">
        <f t="shared" si="0"/>
        <v>Óleo Diesel</v>
      </c>
      <c r="F6" s="5">
        <v>350</v>
      </c>
      <c r="G6" s="5" t="str">
        <f>IF(D6="Rodoviário",Combustão_Móvel!$A$32,IF(D6="Marítimo",Fatores_Marítimo!$F$30))</f>
        <v>Caminhão - caminhão (média)</v>
      </c>
      <c r="H6" s="6">
        <f>_xlfn.XLOOKUP(G6,Combustão_Móvel!$A$25:$A$40,Combustão_Móvel!$B$25:$B$40,Fatores_Marítimo!$H$30)</f>
        <v>3.8597744506341597E-2</v>
      </c>
      <c r="I6" s="6">
        <f>IF(A6="Inonibrás",SUMIFS(Industrial!F:F,Industrial!C:C,B6),IF(OR(B6="Gasolina Automotiva",B6="Óleo Diesel",B6="Acetileno"),SUMIFS('Florestal (Combustíveis)'!P:P,'Florestal (Combustíveis)'!D:D,B6,'Florestal (Combustíveis)'!A:A,A6)*Industrial!$F$6/(1000*SUM(Carbonização!$D$2:$D$4)),SUMIFS('Florestal (Fertilizantes)'!H:H,'Florestal (Fertilizantes)'!B:B,B6,'Florestal (Fertilizantes)'!A:A,A6)*Industrial!$F$6/(SUM(Carbonização!$D$2:$D$4))))</f>
        <v>0</v>
      </c>
      <c r="J6" s="6">
        <f t="shared" si="1"/>
        <v>0</v>
      </c>
      <c r="K6" s="6">
        <f t="shared" si="2"/>
        <v>0</v>
      </c>
      <c r="L6" s="6" t="s">
        <v>108</v>
      </c>
      <c r="M6" s="6">
        <f>IF(E6="Óleo Diesel",(K6/1000)*(1-0.1)*(_xlfn.XLOOKUP(E6,Combustão_Móvel!$A$2:$A$12,Combustão_Móvel!$E$2:$E$12))*(_xlfn.XLOOKUP(E6,Combustão_Móvel!$A$2:$A$12,Combustão_Móvel!$D$2:$D$12)),(K6/1000)*(_xlfn.XLOOKUP(E6,Combustão_Móvel!$A$2:$A$12,Combustão_Móvel!$D$2:$D$12))*(_xlfn.XLOOKUP(E6,Combustão_Móvel!$A$2:$A$12,Combustão_Móvel!$E$2:$E$12)))*1000</f>
        <v>0</v>
      </c>
      <c r="N6" s="6">
        <f>IF(E6="Óleo Diesel",(K6/1000)*(1-0.1)*(_xlfn.XLOOKUP(E6,Combustão_Móvel!$A$2:$A$12,Combustão_Móvel!$F$2:$F$12))*(_xlfn.XLOOKUP(E6,Combustão_Móvel!$A$2:$A$12,Combustão_Móvel!$D$2:$D$12)),(K6/1000)*(_xlfn.XLOOKUP(E6,Combustão_Móvel!$A$2:$A$12,Combustão_Móvel!$D$2:$D$12))*(_xlfn.XLOOKUP(E6,Combustão_Móvel!$A$2:$A$12,Combustão_Móvel!$F$2:$F$12)))*1000</f>
        <v>0</v>
      </c>
      <c r="O6" s="6">
        <f>IF(E6="Óleo Diesel",(K6/1000)*(((1-0.1)*(_xlfn.XLOOKUP(E6,Combustão_Móvel!$A$2:$A$12,Combustão_Móvel!$G$2:$G$12))*(_xlfn.XLOOKUP(E6,Combustão_Móvel!$A$2:$A$12,Combustão_Móvel!$D$2:$D$12)))+((0.1)*(Combustão_Móvel!$G$6)*(Combustão_Móvel!$G$6))),(K6/1000)*(_xlfn.XLOOKUP(E6,Combustão_Móvel!$A$2:$A$12,Combustão_Móvel!$D$2:$D$12))*(_xlfn.XLOOKUP(E6,Combustão_Móvel!$A$2:$A$12,Combustão_Móvel!$G$2:$G$12)))*1000</f>
        <v>0</v>
      </c>
      <c r="P6" s="6">
        <f>(M6+(N6*GWP_Quioto!$E$3)+(O6*GWP_Quioto!$E$6))/1000</f>
        <v>0</v>
      </c>
      <c r="Q6" s="6">
        <f>IF(E6="Óleo Diesel",(K6/1000)*(0.1)*(Combustão_Móvel!$D$6)*(Combustão_Móvel!$E$6),0)</f>
        <v>0</v>
      </c>
      <c r="R6" s="5" t="str">
        <f>IF(E6="Óleo Diesel",'Fatores de Emissão'!$A$19,'Fatores de Emissão'!$A$22)</f>
        <v>Óleo Diesel (10% Biodiesel)</v>
      </c>
      <c r="S6" s="6">
        <f>IF(E6="Óleo Diesel",(K6/1000)*((0.9*_xlfn.XLOOKUP(E6,Densidades!$A$2:$A$54,Densidades!$B$2:$B$54))+(0.1*Densidades!$B$6)),(K6/1000)*(_xlfn.XLOOKUP(E6,Densidades!$A$2:$A$54,Densidades!$B$2:$B$54)))</f>
        <v>0</v>
      </c>
      <c r="T6" s="6">
        <f>(S6*(_xlfn.XLOOKUP(R6,'Fatores de Emissão'!$A$14:$A$22,'Fatores de Emissão'!$B$14:$B$22)))/1000</f>
        <v>0</v>
      </c>
      <c r="U6" s="6">
        <f>(S6*(_xlfn.XLOOKUP(R6,'Fatores de Emissão'!$A$14:$A$22,'Fatores de Emissão'!$C$14:$C$22)))/1000</f>
        <v>0</v>
      </c>
      <c r="V6" s="6">
        <f>(S6*(_xlfn.XLOOKUP(R6,'Fatores de Emissão'!$A:$A,'Fatores de Emissão'!E:E)))/1000</f>
        <v>0</v>
      </c>
      <c r="W6" s="6">
        <f t="shared" si="3"/>
        <v>0</v>
      </c>
      <c r="X6" s="6">
        <f t="shared" si="4"/>
        <v>0</v>
      </c>
      <c r="Y6" s="6"/>
      <c r="Z6" s="6"/>
      <c r="AA6" s="6"/>
      <c r="AB6" s="6"/>
      <c r="AC6" s="6" t="s">
        <v>145</v>
      </c>
    </row>
    <row r="7" spans="1:29">
      <c r="A7" s="5" t="s">
        <v>664</v>
      </c>
      <c r="B7" s="6" t="s">
        <v>158</v>
      </c>
      <c r="C7" s="6" t="s">
        <v>115</v>
      </c>
      <c r="D7" s="6" t="s">
        <v>141</v>
      </c>
      <c r="E7" s="6" t="str">
        <f t="shared" si="0"/>
        <v>Óleo Diesel</v>
      </c>
      <c r="F7" s="5">
        <v>394</v>
      </c>
      <c r="G7" s="5" t="str">
        <f>IF(D7="Rodoviário",Combustão_Móvel!$A$32,IF(D7="Marítimo",Fatores_Marítimo!$F$30))</f>
        <v>Caminhão - caminhão (média)</v>
      </c>
      <c r="H7" s="6">
        <f>_xlfn.XLOOKUP(G7,Combustão_Móvel!$A$25:$A$40,Combustão_Móvel!$B$25:$B$40,Fatores_Marítimo!$H$30)</f>
        <v>3.8597744506341597E-2</v>
      </c>
      <c r="I7" s="6">
        <f>IF(A7="Inonibrás",SUMIFS(Industrial!F:F,Industrial!C:C,B7),IF(OR(B7="Gasolina Automotiva",B7="Óleo Diesel",B7="Acetileno"),SUMIFS('Florestal (Combustíveis)'!P:P,'Florestal (Combustíveis)'!D:D,B7,'Florestal (Combustíveis)'!A:A,A7)*Industrial!$F$6/(1000*SUM(Carbonização!$D$2:$D$4)),SUMIFS('Florestal (Fertilizantes)'!H:H,'Florestal (Fertilizantes)'!B:B,B7,'Florestal (Fertilizantes)'!A:A,A7)*Industrial!$F$6/(SUM(Carbonização!$D$2:$D$4))))</f>
        <v>2.3112851544640409E-2</v>
      </c>
      <c r="J7" s="6">
        <f t="shared" si="1"/>
        <v>9.1064635085883214</v>
      </c>
      <c r="K7" s="6">
        <f t="shared" si="2"/>
        <v>0.35148895186081508</v>
      </c>
      <c r="L7" s="6" t="s">
        <v>108</v>
      </c>
      <c r="M7" s="6">
        <f>IF(E7="Óleo Diesel",(K7/1000)*(1-0.1)*(_xlfn.XLOOKUP(E7,Combustão_Móvel!$A$2:$A$12,Combustão_Móvel!$E$2:$E$12))*(_xlfn.XLOOKUP(E7,Combustão_Móvel!$A$2:$A$12,Combustão_Móvel!$D$2:$D$12)),(K7/1000)*(_xlfn.XLOOKUP(E7,Combustão_Móvel!$A$2:$A$12,Combustão_Móvel!$D$2:$D$12))*(_xlfn.XLOOKUP(E7,Combustão_Móvel!$A$2:$A$12,Combustão_Móvel!$E$2:$E$12)))*1000</f>
        <v>0.83214833608572036</v>
      </c>
      <c r="N7" s="6">
        <f>IF(E7="Óleo Diesel",(K7/1000)*(1-0.1)*(_xlfn.XLOOKUP(E7,Combustão_Móvel!$A$2:$A$12,Combustão_Móvel!$F$2:$F$12))*(_xlfn.XLOOKUP(E7,Combustão_Móvel!$A$2:$A$12,Combustão_Móvel!$D$2:$D$12)),(K7/1000)*(_xlfn.XLOOKUP(E7,Combustão_Móvel!$A$2:$A$12,Combustão_Móvel!$D$2:$D$12))*(_xlfn.XLOOKUP(E7,Combustão_Móvel!$A$2:$A$12,Combustão_Móvel!$F$2:$F$12)))*1000</f>
        <v>4.3797280846616865E-5</v>
      </c>
      <c r="O7" s="6">
        <f>IF(E7="Óleo Diesel",(K7/1000)*(((1-0.1)*(_xlfn.XLOOKUP(E7,Combustão_Móvel!$A$2:$A$12,Combustão_Móvel!$G$2:$G$12))*(_xlfn.XLOOKUP(E7,Combustão_Móvel!$A$2:$A$12,Combustão_Móvel!$D$2:$D$12)))+((0.1)*(Combustão_Móvel!$G$6)*(Combustão_Móvel!$G$6))),(K7/1000)*(_xlfn.XLOOKUP(E7,Combustão_Móvel!$A$2:$A$12,Combustão_Móvel!$D$2:$D$12))*(_xlfn.XLOOKUP(E7,Combustão_Móvel!$A$2:$A$12,Combustão_Móvel!$G$2:$G$12)))*1000</f>
        <v>4.3797280859270466E-5</v>
      </c>
      <c r="P7" s="6">
        <f>(M7+(N7*GWP_Quioto!$E$3)+(O7*GWP_Quioto!$E$6))/1000</f>
        <v>8.4532693789592182E-4</v>
      </c>
      <c r="Q7" s="6">
        <f>IF(E7="Óleo Diesel",(K7/1000)*(0.1)*(Combustão_Móvel!$D$6)*(Combustão_Móvel!$E$6),0)</f>
        <v>8.2463505728205922E-5</v>
      </c>
      <c r="R7" s="5" t="str">
        <f>IF(E7="Óleo Diesel",'Fatores de Emissão'!$A$19,'Fatores de Emissão'!$A$22)</f>
        <v>Óleo Diesel (10% Biodiesel)</v>
      </c>
      <c r="S7" s="6">
        <f>IF(E7="Óleo Diesel",(K7/1000)*((0.9*_xlfn.XLOOKUP(E7,Densidades!$A$2:$A$54,Densidades!$B$2:$B$54))+(0.1*Densidades!$B$6)),(K7/1000)*(_xlfn.XLOOKUP(E7,Densidades!$A$2:$A$54,Densidades!$B$2:$B$54)))</f>
        <v>0.29665667537052792</v>
      </c>
      <c r="T7" s="6">
        <f>(S7*(_xlfn.XLOOKUP(R7,'Fatores de Emissão'!$A$14:$A$22,'Fatores de Emissão'!$B$14:$B$22)))/1000</f>
        <v>2.324131442097723E-4</v>
      </c>
      <c r="U7" s="6">
        <f>(S7*(_xlfn.XLOOKUP(R7,'Fatores de Emissão'!$A$14:$A$22,'Fatores de Emissão'!$C$14:$C$22)))/1000</f>
        <v>7.6971092986323357E-8</v>
      </c>
      <c r="V7" s="6">
        <f>(S7*(_xlfn.XLOOKUP(R7,'Fatores de Emissão'!$A:$A,'Fatores de Emissão'!E:E)))/1000</f>
        <v>4.1548093223629823E-8</v>
      </c>
      <c r="W7" s="6">
        <f t="shared" si="3"/>
        <v>1.0777400821056942E-3</v>
      </c>
      <c r="X7" s="6">
        <f t="shared" si="4"/>
        <v>8.254047682119225E-5</v>
      </c>
      <c r="Y7" s="6"/>
      <c r="Z7" s="6"/>
      <c r="AA7" s="6"/>
      <c r="AB7" s="6"/>
      <c r="AC7" s="6" t="s">
        <v>145</v>
      </c>
    </row>
    <row r="8" spans="1:29">
      <c r="A8" s="5" t="s">
        <v>664</v>
      </c>
      <c r="B8" s="6" t="s">
        <v>159</v>
      </c>
      <c r="C8" s="6" t="s">
        <v>116</v>
      </c>
      <c r="D8" s="6" t="s">
        <v>141</v>
      </c>
      <c r="E8" s="6" t="str">
        <f t="shared" si="0"/>
        <v>Óleo Diesel</v>
      </c>
      <c r="F8" s="5">
        <v>350</v>
      </c>
      <c r="G8" s="5" t="str">
        <f>IF(D8="Rodoviário",Combustão_Móvel!$A$32,IF(D8="Marítimo",Fatores_Marítimo!$F$30))</f>
        <v>Caminhão - caminhão (média)</v>
      </c>
      <c r="H8" s="6">
        <f>_xlfn.XLOOKUP(G8,Combustão_Móvel!$A$25:$A$40,Combustão_Móvel!$B$25:$B$40,Fatores_Marítimo!$H$30)</f>
        <v>3.8597744506341597E-2</v>
      </c>
      <c r="I8" s="6">
        <f>IF(A8="Inonibrás",SUMIFS(Industrial!F:F,Industrial!C:C,B8),IF(OR(B8="Gasolina Automotiva",B8="Óleo Diesel",B8="Acetileno"),SUMIFS('Florestal (Combustíveis)'!P:P,'Florestal (Combustíveis)'!D:D,B8,'Florestal (Combustíveis)'!A:A,A8)*Industrial!$F$6/(1000*SUM(Carbonização!$D$2:$D$4)),SUMIFS('Florestal (Fertilizantes)'!H:H,'Florestal (Fertilizantes)'!B:B,B8,'Florestal (Fertilizantes)'!A:A,A8)*Industrial!$F$6/(SUM(Carbonização!$D$2:$D$4))))</f>
        <v>8.1833644988853274E-3</v>
      </c>
      <c r="J8" s="6">
        <f t="shared" si="1"/>
        <v>2.8641775746098648</v>
      </c>
      <c r="K8" s="6">
        <f t="shared" si="2"/>
        <v>0.11055079424558471</v>
      </c>
      <c r="L8" s="6" t="s">
        <v>108</v>
      </c>
      <c r="M8" s="6">
        <f>IF(E8="Óleo Diesel",(K8/1000)*(1-0.1)*(_xlfn.XLOOKUP(E8,Combustão_Móvel!$A$2:$A$12,Combustão_Móvel!$E$2:$E$12))*(_xlfn.XLOOKUP(E8,Combustão_Móvel!$A$2:$A$12,Combustão_Móvel!$D$2:$D$12)),(K8/1000)*(_xlfn.XLOOKUP(E8,Combustão_Móvel!$A$2:$A$12,Combustão_Móvel!$D$2:$D$12))*(_xlfn.XLOOKUP(E8,Combustão_Móvel!$A$2:$A$12,Combustão_Móvel!$E$2:$E$12)))*1000</f>
        <v>0.26172845262245059</v>
      </c>
      <c r="N8" s="6">
        <f>IF(E8="Óleo Diesel",(K8/1000)*(1-0.1)*(_xlfn.XLOOKUP(E8,Combustão_Móvel!$A$2:$A$12,Combustão_Móvel!$F$2:$F$12))*(_xlfn.XLOOKUP(E8,Combustão_Móvel!$A$2:$A$12,Combustão_Móvel!$D$2:$D$12)),(K8/1000)*(_xlfn.XLOOKUP(E8,Combustão_Móvel!$A$2:$A$12,Combustão_Móvel!$D$2:$D$12))*(_xlfn.XLOOKUP(E8,Combustão_Móvel!$A$2:$A$12,Combustão_Móvel!$F$2:$F$12)))*1000</f>
        <v>1.3775181716971083E-5</v>
      </c>
      <c r="O8" s="6">
        <f>IF(E8="Óleo Diesel",(K8/1000)*(((1-0.1)*(_xlfn.XLOOKUP(E8,Combustão_Móvel!$A$2:$A$12,Combustão_Móvel!$G$2:$G$12))*(_xlfn.XLOOKUP(E8,Combustão_Móvel!$A$2:$A$12,Combustão_Móvel!$D$2:$D$12)))+((0.1)*(Combustão_Móvel!$G$6)*(Combustão_Móvel!$G$6))),(K8/1000)*(_xlfn.XLOOKUP(E8,Combustão_Móvel!$A$2:$A$12,Combustão_Móvel!$D$2:$D$12))*(_xlfn.XLOOKUP(E8,Combustão_Móvel!$A$2:$A$12,Combustão_Móvel!$G$2:$G$12)))*1000</f>
        <v>1.377518172095091E-5</v>
      </c>
      <c r="P8" s="6">
        <f>(M8+(N8*GWP_Quioto!$E$3)+(O8*GWP_Quioto!$E$6))/1000</f>
        <v>2.6587340480217363E-4</v>
      </c>
      <c r="Q8" s="6">
        <f>IF(E8="Óleo Diesel",(K8/1000)*(0.1)*(Combustão_Móvel!$D$6)*(Combustão_Móvel!$E$6),0)</f>
        <v>2.5936536571819369E-5</v>
      </c>
      <c r="R8" s="5" t="str">
        <f>IF(E8="Óleo Diesel",'Fatores de Emissão'!$A$19,'Fatores de Emissão'!$A$22)</f>
        <v>Óleo Diesel (10% Biodiesel)</v>
      </c>
      <c r="S8" s="6">
        <f>IF(E8="Óleo Diesel",(K8/1000)*((0.9*_xlfn.XLOOKUP(E8,Densidades!$A$2:$A$54,Densidades!$B$2:$B$54))+(0.1*Densidades!$B$6)),(K8/1000)*(_xlfn.XLOOKUP(E8,Densidades!$A$2:$A$54,Densidades!$B$2:$B$54)))</f>
        <v>9.3304870343273491E-2</v>
      </c>
      <c r="T8" s="6">
        <f>(S8*(_xlfn.XLOOKUP(R8,'Fatores de Emissão'!$A$14:$A$22,'Fatores de Emissão'!$B$14:$B$22)))/1000</f>
        <v>7.3098905525992769E-5</v>
      </c>
      <c r="U8" s="6">
        <f>(S8*(_xlfn.XLOOKUP(R8,'Fatores de Emissão'!$A$14:$A$22,'Fatores de Emissão'!$C$14:$C$22)))/1000</f>
        <v>2.4209055273402555E-8</v>
      </c>
      <c r="V8" s="6">
        <f>(S8*(_xlfn.XLOOKUP(R8,'Fatores de Emissão'!$A:$A,'Fatores de Emissão'!E:E)))/1000</f>
        <v>1.3067764095984183E-8</v>
      </c>
      <c r="W8" s="6">
        <f t="shared" si="3"/>
        <v>3.3897231032816637E-4</v>
      </c>
      <c r="X8" s="6">
        <f t="shared" si="4"/>
        <v>2.5960745627092772E-5</v>
      </c>
      <c r="Y8" s="6"/>
      <c r="Z8" s="6"/>
      <c r="AA8" s="6"/>
      <c r="AB8" s="6"/>
      <c r="AC8" s="6" t="s">
        <v>145</v>
      </c>
    </row>
    <row r="9" spans="1:29">
      <c r="A9" s="5" t="s">
        <v>664</v>
      </c>
      <c r="B9" s="6" t="s">
        <v>160</v>
      </c>
      <c r="C9" s="6" t="s">
        <v>117</v>
      </c>
      <c r="D9" s="6" t="s">
        <v>141</v>
      </c>
      <c r="E9" s="6" t="str">
        <f t="shared" si="0"/>
        <v>Óleo Diesel</v>
      </c>
      <c r="F9" s="5">
        <v>394</v>
      </c>
      <c r="G9" s="5" t="str">
        <f>IF(D9="Rodoviário",Combustão_Móvel!$A$32,IF(D9="Marítimo",Fatores_Marítimo!$F$30))</f>
        <v>Caminhão - caminhão (média)</v>
      </c>
      <c r="H9" s="6">
        <f>_xlfn.XLOOKUP(G9,Combustão_Móvel!$A$25:$A$40,Combustão_Móvel!$B$25:$B$40,Fatores_Marítimo!$H$30)</f>
        <v>3.8597744506341597E-2</v>
      </c>
      <c r="I9" s="6">
        <f>IF(A9="Inonibrás",SUMIFS(Industrial!F:F,Industrial!C:C,B9),IF(OR(B9="Gasolina Automotiva",B9="Óleo Diesel",B9="Acetileno"),SUMIFS('Florestal (Combustíveis)'!P:P,'Florestal (Combustíveis)'!D:D,B9,'Florestal (Combustíveis)'!A:A,A9)*Industrial!$F$6/(1000*SUM(Carbonização!$D$2:$D$4)),SUMIFS('Florestal (Fertilizantes)'!H:H,'Florestal (Fertilizantes)'!B:B,B9,'Florestal (Fertilizantes)'!A:A,A9)*Industrial!$F$6/(SUM(Carbonização!$D$2:$D$4))))</f>
        <v>2.6120908423909451E-2</v>
      </c>
      <c r="J9" s="6">
        <f t="shared" si="1"/>
        <v>10.291637919020324</v>
      </c>
      <c r="K9" s="6">
        <f t="shared" si="2"/>
        <v>0.39723401095012362</v>
      </c>
      <c r="L9" s="6" t="s">
        <v>108</v>
      </c>
      <c r="M9" s="6">
        <f>IF(E9="Óleo Diesel",(K9/1000)*(1-0.1)*(_xlfn.XLOOKUP(E9,Combustão_Móvel!$A$2:$A$12,Combustão_Móvel!$E$2:$E$12))*(_xlfn.XLOOKUP(E9,Combustão_Móvel!$A$2:$A$12,Combustão_Móvel!$D$2:$D$12)),(K9/1000)*(_xlfn.XLOOKUP(E9,Combustão_Móvel!$A$2:$A$12,Combustão_Móvel!$D$2:$D$12))*(_xlfn.XLOOKUP(E9,Combustão_Móvel!$A$2:$A$12,Combustão_Móvel!$E$2:$E$12)))*1000</f>
        <v>0.94044953475436288</v>
      </c>
      <c r="N9" s="6">
        <f>IF(E9="Óleo Diesel",(K9/1000)*(1-0.1)*(_xlfn.XLOOKUP(E9,Combustão_Móvel!$A$2:$A$12,Combustão_Móvel!$F$2:$F$12))*(_xlfn.XLOOKUP(E9,Combustão_Móvel!$A$2:$A$12,Combustão_Móvel!$D$2:$D$12)),(K9/1000)*(_xlfn.XLOOKUP(E9,Combustão_Móvel!$A$2:$A$12,Combustão_Móvel!$D$2:$D$12))*(_xlfn.XLOOKUP(E9,Combustão_Móvel!$A$2:$A$12,Combustão_Móvel!$F$2:$F$12)))*1000</f>
        <v>4.9497343934440156E-5</v>
      </c>
      <c r="O9" s="6">
        <f>IF(E9="Óleo Diesel",(K9/1000)*(((1-0.1)*(_xlfn.XLOOKUP(E9,Combustão_Móvel!$A$2:$A$12,Combustão_Móvel!$G$2:$G$12))*(_xlfn.XLOOKUP(E9,Combustão_Móvel!$A$2:$A$12,Combustão_Móvel!$D$2:$D$12)))+((0.1)*(Combustão_Móvel!$G$6)*(Combustão_Móvel!$G$6))),(K9/1000)*(_xlfn.XLOOKUP(E9,Combustão_Móvel!$A$2:$A$12,Combustão_Móvel!$D$2:$D$12))*(_xlfn.XLOOKUP(E9,Combustão_Móvel!$A$2:$A$12,Combustão_Móvel!$G$2:$G$12)))*1000</f>
        <v>4.949734394874058E-5</v>
      </c>
      <c r="P9" s="6">
        <f>(M9+(N9*GWP_Quioto!$E$3)+(O9*GWP_Quioto!$E$6))/1000</f>
        <v>9.5534328554813992E-4</v>
      </c>
      <c r="Q9" s="6">
        <f>IF(E9="Óleo Diesel",(K9/1000)*(0.1)*(Combustão_Móvel!$D$6)*(Combustão_Móvel!$E$6),0)</f>
        <v>9.3195842896351367E-5</v>
      </c>
      <c r="R9" s="5" t="str">
        <f>IF(E9="Óleo Diesel",'Fatores de Emissão'!$A$19,'Fatores de Emissão'!$A$22)</f>
        <v>Óleo Diesel (10% Biodiesel)</v>
      </c>
      <c r="S9" s="6">
        <f>IF(E9="Óleo Diesel",(K9/1000)*((0.9*_xlfn.XLOOKUP(E9,Densidades!$A$2:$A$54,Densidades!$B$2:$B$54))+(0.1*Densidades!$B$6)),(K9/1000)*(_xlfn.XLOOKUP(E9,Densidades!$A$2:$A$54,Densidades!$B$2:$B$54)))</f>
        <v>0.33526550524190435</v>
      </c>
      <c r="T9" s="6">
        <f>(S9*(_xlfn.XLOOKUP(R9,'Fatores de Emissão'!$A$14:$A$22,'Fatores de Emissão'!$B$14:$B$22)))/1000</f>
        <v>2.6266090294791339E-4</v>
      </c>
      <c r="U9" s="6">
        <f>(S9*(_xlfn.XLOOKUP(R9,'Fatores de Emissão'!$A$14:$A$22,'Fatores de Emissão'!$C$14:$C$22)))/1000</f>
        <v>8.6988611824930593E-8</v>
      </c>
      <c r="V9" s="6">
        <f>(S9*(_xlfn.XLOOKUP(R9,'Fatores de Emissão'!$A:$A,'Fatores de Emissão'!E:E)))/1000</f>
        <v>4.6955432400298068E-8</v>
      </c>
      <c r="W9" s="6">
        <f t="shared" si="3"/>
        <v>1.2180041884960534E-3</v>
      </c>
      <c r="X9" s="6">
        <f t="shared" si="4"/>
        <v>9.3282831508176297E-5</v>
      </c>
      <c r="Y9" s="6"/>
      <c r="Z9" s="6"/>
      <c r="AA9" s="6"/>
      <c r="AB9" s="6"/>
      <c r="AC9" s="6" t="s">
        <v>145</v>
      </c>
    </row>
    <row r="10" spans="1:29">
      <c r="A10" s="5" t="s">
        <v>664</v>
      </c>
      <c r="B10" s="6" t="s">
        <v>161</v>
      </c>
      <c r="C10" s="6" t="s">
        <v>117</v>
      </c>
      <c r="D10" s="6" t="s">
        <v>141</v>
      </c>
      <c r="E10" s="6" t="str">
        <f t="shared" si="0"/>
        <v>Óleo Diesel</v>
      </c>
      <c r="F10" s="5">
        <v>394</v>
      </c>
      <c r="G10" s="5" t="str">
        <f>IF(D10="Rodoviário",Combustão_Móvel!$A$32,IF(D10="Marítimo",Fatores_Marítimo!$F$30))</f>
        <v>Caminhão - caminhão (média)</v>
      </c>
      <c r="H10" s="6">
        <f>_xlfn.XLOOKUP(G10,Combustão_Móvel!$A$25:$A$40,Combustão_Móvel!$B$25:$B$40,Fatores_Marítimo!$H$30)</f>
        <v>3.8597744506341597E-2</v>
      </c>
      <c r="I10" s="6">
        <f>IF(A10="Inonibrás",SUMIFS(Industrial!F:F,Industrial!C:C,B10),IF(OR(B10="Gasolina Automotiva",B10="Óleo Diesel",B10="Acetileno"),SUMIFS('Florestal (Combustíveis)'!P:P,'Florestal (Combustíveis)'!D:D,B10,'Florestal (Combustíveis)'!A:A,A10)*Industrial!$F$6/(1000*SUM(Carbonização!$D$2:$D$4)),SUMIFS('Florestal (Fertilizantes)'!H:H,'Florestal (Fertilizantes)'!B:B,B10,'Florestal (Fertilizantes)'!A:A,A10)*Industrial!$F$6/(SUM(Carbonização!$D$2:$D$4))))</f>
        <v>2.6864515311130648E-4</v>
      </c>
      <c r="J10" s="6">
        <f t="shared" si="1"/>
        <v>0.10584619032585475</v>
      </c>
      <c r="K10" s="6">
        <f t="shared" si="2"/>
        <v>4.0854242111669475E-3</v>
      </c>
      <c r="L10" s="6" t="s">
        <v>108</v>
      </c>
      <c r="M10" s="6">
        <f>IF(E10="Óleo Diesel",(K10/1000)*(1-0.1)*(_xlfn.XLOOKUP(E10,Combustão_Móvel!$A$2:$A$12,Combustão_Móvel!$E$2:$E$12))*(_xlfn.XLOOKUP(E10,Combustão_Móvel!$A$2:$A$12,Combustão_Móvel!$D$2:$D$12)),(K10/1000)*(_xlfn.XLOOKUP(E10,Combustão_Móvel!$A$2:$A$12,Combustão_Móvel!$D$2:$D$12))*(_xlfn.XLOOKUP(E10,Combustão_Móvel!$A$2:$A$12,Combustão_Móvel!$E$2:$E$12)))*1000</f>
        <v>9.6722213928166923E-3</v>
      </c>
      <c r="N10" s="6">
        <f>IF(E10="Óleo Diesel",(K10/1000)*(1-0.1)*(_xlfn.XLOOKUP(E10,Combustão_Móvel!$A$2:$A$12,Combustão_Móvel!$F$2:$F$12))*(_xlfn.XLOOKUP(E10,Combustão_Móvel!$A$2:$A$12,Combustão_Móvel!$D$2:$D$12)),(K10/1000)*(_xlfn.XLOOKUP(E10,Combustão_Móvel!$A$2:$A$12,Combustão_Móvel!$D$2:$D$12))*(_xlfn.XLOOKUP(E10,Combustão_Móvel!$A$2:$A$12,Combustão_Móvel!$F$2:$F$12)))*1000</f>
        <v>5.0906428383245747E-7</v>
      </c>
      <c r="O10" s="6">
        <f>IF(E10="Óleo Diesel",(K10/1000)*(((1-0.1)*(_xlfn.XLOOKUP(E10,Combustão_Móvel!$A$2:$A$12,Combustão_Móvel!$G$2:$G$12))*(_xlfn.XLOOKUP(E10,Combustão_Móvel!$A$2:$A$12,Combustão_Móvel!$D$2:$D$12)))+((0.1)*(Combustão_Móvel!$G$6)*(Combustão_Móvel!$G$6))),(K10/1000)*(_xlfn.XLOOKUP(E10,Combustão_Móvel!$A$2:$A$12,Combustão_Móvel!$D$2:$D$12))*(_xlfn.XLOOKUP(E10,Combustão_Móvel!$A$2:$A$12,Combustão_Móvel!$G$2:$G$12)))*1000</f>
        <v>5.0906428397953278E-7</v>
      </c>
      <c r="P10" s="6">
        <f>(M10+(N10*GWP_Quioto!$E$3)+(O10*GWP_Quioto!$E$6))/1000</f>
        <v>9.8253988358620298E-6</v>
      </c>
      <c r="Q10" s="6">
        <f>IF(E10="Óleo Diesel",(K10/1000)*(0.1)*(Combustão_Móvel!$D$6)*(Combustão_Móvel!$E$6),0)</f>
        <v>9.5848930970986516E-7</v>
      </c>
      <c r="R10" s="5" t="str">
        <f>IF(E10="Óleo Diesel",'Fatores de Emissão'!$A$19,'Fatores de Emissão'!$A$22)</f>
        <v>Óleo Diesel (10% Biodiesel)</v>
      </c>
      <c r="S10" s="6">
        <f>IF(E10="Óleo Diesel",(K10/1000)*((0.9*_xlfn.XLOOKUP(E10,Densidades!$A$2:$A$54,Densidades!$B$2:$B$54))+(0.1*Densidades!$B$6)),(K10/1000)*(_xlfn.XLOOKUP(E10,Densidades!$A$2:$A$54,Densidades!$B$2:$B$54)))</f>
        <v>3.4480980342249034E-3</v>
      </c>
      <c r="T10" s="6">
        <f>(S10*(_xlfn.XLOOKUP(R10,'Fatores de Emissão'!$A$14:$A$22,'Fatores de Emissão'!$B$14:$B$22)))/1000</f>
        <v>2.7013830202094961E-6</v>
      </c>
      <c r="U10" s="6">
        <f>(S10*(_xlfn.XLOOKUP(R10,'Fatores de Emissão'!$A$14:$A$22,'Fatores de Emissão'!$C$14:$C$22)))/1000</f>
        <v>8.946499319012156E-10</v>
      </c>
      <c r="V10" s="6">
        <f>(S10*(_xlfn.XLOOKUP(R10,'Fatores de Emissão'!$A:$A,'Fatores de Emissão'!E:E)))/1000</f>
        <v>4.8292154016509187E-10</v>
      </c>
      <c r="W10" s="6">
        <f t="shared" si="3"/>
        <v>1.2526781856071525E-5</v>
      </c>
      <c r="X10" s="6">
        <f t="shared" si="4"/>
        <v>9.5938395964176639E-7</v>
      </c>
      <c r="Y10" s="6"/>
      <c r="Z10" s="6"/>
      <c r="AA10" s="6"/>
      <c r="AB10" s="6"/>
      <c r="AC10" s="6" t="s">
        <v>145</v>
      </c>
    </row>
    <row r="11" spans="1:29">
      <c r="A11" s="5" t="s">
        <v>664</v>
      </c>
      <c r="B11" s="6" t="s">
        <v>162</v>
      </c>
      <c r="C11" s="6" t="s">
        <v>113</v>
      </c>
      <c r="D11" s="6" t="s">
        <v>141</v>
      </c>
      <c r="E11" s="6" t="str">
        <f t="shared" si="0"/>
        <v>Óleo Diesel</v>
      </c>
      <c r="F11" s="5">
        <v>881.1</v>
      </c>
      <c r="G11" s="5" t="str">
        <f>IF(D11="Rodoviário",Combustão_Móvel!$A$32,IF(D11="Marítimo",Fatores_Marítimo!$F$30))</f>
        <v>Caminhão - caminhão (média)</v>
      </c>
      <c r="H11" s="6">
        <f>_xlfn.XLOOKUP(G11,Combustão_Móvel!$A$25:$A$40,Combustão_Móvel!$B$25:$B$40,Fatores_Marítimo!$H$30)</f>
        <v>3.8597744506341597E-2</v>
      </c>
      <c r="I11" s="6">
        <f>IF(A11="Inonibrás",SUMIFS(Industrial!F:F,Industrial!C:C,B11),IF(OR(B11="Gasolina Automotiva",B11="Óleo Diesel",B11="Acetileno"),SUMIFS('Florestal (Combustíveis)'!P:P,'Florestal (Combustíveis)'!D:D,B11,'Florestal (Combustíveis)'!A:A,A11)*Industrial!$F$6/(1000*SUM(Carbonização!$D$2:$D$4)),SUMIFS('Florestal (Fertilizantes)'!H:H,'Florestal (Fertilizantes)'!B:B,B11,'Florestal (Fertilizantes)'!A:A,A11)*Industrial!$F$6/(SUM(Carbonização!$D$2:$D$4))))</f>
        <v>6.9655755797091929E-3</v>
      </c>
      <c r="J11" s="6">
        <f t="shared" si="1"/>
        <v>6.1373686432817696</v>
      </c>
      <c r="K11" s="6">
        <f t="shared" si="2"/>
        <v>0.23688858683462211</v>
      </c>
      <c r="L11" s="6" t="s">
        <v>108</v>
      </c>
      <c r="M11" s="6">
        <f>IF(E11="Óleo Diesel",(K11/1000)*(1-0.1)*(_xlfn.XLOOKUP(E11,Combustão_Móvel!$A$2:$A$12,Combustão_Móvel!$E$2:$E$12))*(_xlfn.XLOOKUP(E11,Combustão_Móvel!$A$2:$A$12,Combustão_Móvel!$D$2:$D$12)),(K11/1000)*(_xlfn.XLOOKUP(E11,Combustão_Móvel!$A$2:$A$12,Combustão_Móvel!$D$2:$D$12))*(_xlfn.XLOOKUP(E11,Combustão_Móvel!$A$2:$A$12,Combustão_Móvel!$E$2:$E$12)))*1000</f>
        <v>0.56083254488803369</v>
      </c>
      <c r="N11" s="6">
        <f>IF(E11="Óleo Diesel",(K11/1000)*(1-0.1)*(_xlfn.XLOOKUP(E11,Combustão_Móvel!$A$2:$A$12,Combustão_Móvel!$F$2:$F$12))*(_xlfn.XLOOKUP(E11,Combustão_Móvel!$A$2:$A$12,Combustão_Móvel!$D$2:$D$12)),(K11/1000)*(_xlfn.XLOOKUP(E11,Combustão_Móvel!$A$2:$A$12,Combustão_Móvel!$D$2:$D$12))*(_xlfn.XLOOKUP(E11,Combustão_Móvel!$A$2:$A$12,Combustão_Móvel!$F$2:$F$12)))*1000</f>
        <v>2.9517502362528091E-5</v>
      </c>
      <c r="O11" s="6">
        <f>IF(E11="Óleo Diesel",(K11/1000)*(((1-0.1)*(_xlfn.XLOOKUP(E11,Combustão_Móvel!$A$2:$A$12,Combustão_Móvel!$G$2:$G$12))*(_xlfn.XLOOKUP(E11,Combustão_Móvel!$A$2:$A$12,Combustão_Móvel!$D$2:$D$12)))+((0.1)*(Combustão_Móvel!$G$6)*(Combustão_Móvel!$G$6))),(K11/1000)*(_xlfn.XLOOKUP(E11,Combustão_Móvel!$A$2:$A$12,Combustão_Móvel!$D$2:$D$12))*(_xlfn.XLOOKUP(E11,Combustão_Móvel!$A$2:$A$12,Combustão_Móvel!$G$2:$G$12)))*1000</f>
        <v>2.9517502371056076E-5</v>
      </c>
      <c r="P11" s="6">
        <f>(M11+(N11*GWP_Quioto!$E$3)+(O11*GWP_Quioto!$E$6))/1000</f>
        <v>5.6971436135124659E-4</v>
      </c>
      <c r="Q11" s="6">
        <f>IF(E11="Óleo Diesel",(K11/1000)*(0.1)*(Combustão_Móvel!$D$6)*(Combustão_Móvel!$E$6),0)</f>
        <v>5.5576891489661759E-5</v>
      </c>
      <c r="R11" s="5" t="str">
        <f>IF(E11="Óleo Diesel",'Fatores de Emissão'!$A$19,'Fatores de Emissão'!$A$22)</f>
        <v>Óleo Diesel (10% Biodiesel)</v>
      </c>
      <c r="S11" s="6">
        <f>IF(E11="Óleo Diesel",(K11/1000)*((0.9*_xlfn.XLOOKUP(E11,Densidades!$A$2:$A$54,Densidades!$B$2:$B$54))+(0.1*Densidades!$B$6)),(K11/1000)*(_xlfn.XLOOKUP(E11,Densidades!$A$2:$A$54,Densidades!$B$2:$B$54)))</f>
        <v>0.19993396728842106</v>
      </c>
      <c r="T11" s="6">
        <f>(S11*(_xlfn.XLOOKUP(R11,'Fatores de Emissão'!$A$14:$A$22,'Fatores de Emissão'!$B$14:$B$22)))/1000</f>
        <v>1.5663656283411618E-4</v>
      </c>
      <c r="U11" s="6">
        <f>(S11*(_xlfn.XLOOKUP(R11,'Fatores de Emissão'!$A$14:$A$22,'Fatores de Emissão'!$C$14:$C$22)))/1000</f>
        <v>5.1875239173567777E-8</v>
      </c>
      <c r="V11" s="6">
        <f>(S11*(_xlfn.XLOOKUP(R11,'Fatores de Emissão'!$A:$A,'Fatores de Emissão'!E:E)))/1000</f>
        <v>2.8001645677091477E-8</v>
      </c>
      <c r="W11" s="6">
        <f t="shared" si="3"/>
        <v>7.2635092418536274E-4</v>
      </c>
      <c r="X11" s="6">
        <f t="shared" si="4"/>
        <v>5.5628766728835326E-5</v>
      </c>
      <c r="Y11" s="6"/>
      <c r="Z11" s="6"/>
      <c r="AA11" s="6"/>
      <c r="AB11" s="6"/>
      <c r="AC11" s="6" t="s">
        <v>145</v>
      </c>
    </row>
    <row r="12" spans="1:29">
      <c r="A12" s="5" t="s">
        <v>664</v>
      </c>
      <c r="B12" s="6" t="s">
        <v>163</v>
      </c>
      <c r="C12" s="6" t="s">
        <v>118</v>
      </c>
      <c r="D12" s="6" t="s">
        <v>141</v>
      </c>
      <c r="E12" s="6" t="str">
        <f t="shared" si="0"/>
        <v>Óleo Diesel</v>
      </c>
      <c r="F12" s="5">
        <v>775</v>
      </c>
      <c r="G12" s="5" t="str">
        <f>IF(D12="Rodoviário",Combustão_Móvel!$A$32,IF(D12="Marítimo",Fatores_Marítimo!$F$30))</f>
        <v>Caminhão - caminhão (média)</v>
      </c>
      <c r="H12" s="6">
        <f>_xlfn.XLOOKUP(G12,Combustão_Móvel!$A$25:$A$40,Combustão_Móvel!$B$25:$B$40,Fatores_Marítimo!$H$30)</f>
        <v>3.8597744506341597E-2</v>
      </c>
      <c r="I12" s="6">
        <f>IF(A12="Inonibrás",SUMIFS(Industrial!F:F,Industrial!C:C,B12),IF(OR(B12="Gasolina Automotiva",B12="Óleo Diesel",B12="Acetileno"),SUMIFS('Florestal (Combustíveis)'!P:P,'Florestal (Combustíveis)'!D:D,B12,'Florestal (Combustíveis)'!A:A,A12)*Industrial!$F$6/(1000*SUM(Carbonização!$D$2:$D$4)),SUMIFS('Florestal (Fertilizantes)'!H:H,'Florestal (Fertilizantes)'!B:B,B12,'Florestal (Fertilizantes)'!A:A,A12)*Industrial!$F$6/(SUM(Carbonização!$D$2:$D$4))))</f>
        <v>3.0474393161227707E-4</v>
      </c>
      <c r="J12" s="6">
        <f t="shared" si="1"/>
        <v>0.23617654699951474</v>
      </c>
      <c r="K12" s="6">
        <f t="shared" si="2"/>
        <v>9.1158820194772484E-3</v>
      </c>
      <c r="L12" s="6" t="s">
        <v>108</v>
      </c>
      <c r="M12" s="6">
        <f>IF(E12="Óleo Diesel",(K12/1000)*(1-0.1)*(_xlfn.XLOOKUP(E12,Combustão_Móvel!$A$2:$A$12,Combustão_Móvel!$E$2:$E$12))*(_xlfn.XLOOKUP(E12,Combustão_Móvel!$A$2:$A$12,Combustão_Móvel!$D$2:$D$12)),(K12/1000)*(_xlfn.XLOOKUP(E12,Combustão_Móvel!$A$2:$A$12,Combustão_Móvel!$D$2:$D$12))*(_xlfn.XLOOKUP(E12,Combustão_Móvel!$A$2:$A$12,Combustão_Móvel!$E$2:$E$12)))*1000</f>
        <v>2.1581805101702288E-2</v>
      </c>
      <c r="N12" s="6">
        <f>IF(E12="Óleo Diesel",(K12/1000)*(1-0.1)*(_xlfn.XLOOKUP(E12,Combustão_Móvel!$A$2:$A$12,Combustão_Móvel!$F$2:$F$12))*(_xlfn.XLOOKUP(E12,Combustão_Móvel!$A$2:$A$12,Combustão_Móvel!$D$2:$D$12)),(K12/1000)*(_xlfn.XLOOKUP(E12,Combustão_Móvel!$A$2:$A$12,Combustão_Móvel!$D$2:$D$12))*(_xlfn.XLOOKUP(E12,Combustão_Móvel!$A$2:$A$12,Combustão_Móvel!$F$2:$F$12)))*1000</f>
        <v>1.1358844790369625E-6</v>
      </c>
      <c r="O12" s="6">
        <f>IF(E12="Óleo Diesel",(K12/1000)*(((1-0.1)*(_xlfn.XLOOKUP(E12,Combustão_Móvel!$A$2:$A$12,Combustão_Móvel!$G$2:$G$12))*(_xlfn.XLOOKUP(E12,Combustão_Móvel!$A$2:$A$12,Combustão_Móvel!$D$2:$D$12)))+((0.1)*(Combustão_Móvel!$G$6)*(Combustão_Móvel!$G$6))),(K12/1000)*(_xlfn.XLOOKUP(E12,Combustão_Móvel!$A$2:$A$12,Combustão_Móvel!$D$2:$D$12))*(_xlfn.XLOOKUP(E12,Combustão_Móvel!$A$2:$A$12,Combustão_Móvel!$G$2:$G$12)))*1000</f>
        <v>1.1358844793651344E-6</v>
      </c>
      <c r="P12" s="6">
        <f>(M12+(N12*GWP_Quioto!$E$3)+(O12*GWP_Quioto!$E$6))/1000</f>
        <v>2.1923592741534099E-5</v>
      </c>
      <c r="Q12" s="6">
        <f>IF(E12="Óleo Diesel",(K12/1000)*(0.1)*(Combustão_Móvel!$D$6)*(Combustão_Móvel!$E$6),0)</f>
        <v>2.1386947872787922E-6</v>
      </c>
      <c r="R12" s="5" t="str">
        <f>IF(E12="Óleo Diesel",'Fatores de Emissão'!$A$19,'Fatores de Emissão'!$A$22)</f>
        <v>Óleo Diesel (10% Biodiesel)</v>
      </c>
      <c r="S12" s="6">
        <f>IF(E12="Óleo Diesel",(K12/1000)*((0.9*_xlfn.XLOOKUP(E12,Densidades!$A$2:$A$54,Densidades!$B$2:$B$54))+(0.1*Densidades!$B$6)),(K12/1000)*(_xlfn.XLOOKUP(E12,Densidades!$A$2:$A$54,Densidades!$B$2:$B$54)))</f>
        <v>7.6938044244387986E-3</v>
      </c>
      <c r="T12" s="6">
        <f>(S12*(_xlfn.XLOOKUP(R12,'Fatores de Emissão'!$A$14:$A$22,'Fatores de Emissão'!$B$14:$B$22)))/1000</f>
        <v>6.0276455096972541E-6</v>
      </c>
      <c r="U12" s="6">
        <f>(S12*(_xlfn.XLOOKUP(R12,'Fatores de Emissão'!$A$14:$A$22,'Fatores de Emissão'!$C$14:$C$22)))/1000</f>
        <v>1.9962488119722871E-9</v>
      </c>
      <c r="V12" s="6">
        <f>(S12*(_xlfn.XLOOKUP(R12,'Fatores de Emissão'!$A:$A,'Fatores de Emissão'!E:E)))/1000</f>
        <v>1.0775516953114094E-9</v>
      </c>
      <c r="W12" s="6">
        <f t="shared" si="3"/>
        <v>2.7951238251231353E-5</v>
      </c>
      <c r="X12" s="6">
        <f t="shared" si="4"/>
        <v>2.1406910360907644E-6</v>
      </c>
      <c r="Y12" s="6"/>
      <c r="Z12" s="6"/>
      <c r="AA12" s="6"/>
      <c r="AB12" s="6"/>
      <c r="AC12" s="6" t="s">
        <v>145</v>
      </c>
    </row>
    <row r="13" spans="1:29">
      <c r="A13" s="5" t="s">
        <v>664</v>
      </c>
      <c r="B13" s="6" t="s">
        <v>846</v>
      </c>
      <c r="C13" s="6" t="s">
        <v>119</v>
      </c>
      <c r="D13" s="6" t="s">
        <v>141</v>
      </c>
      <c r="E13" s="6" t="str">
        <f t="shared" si="0"/>
        <v>Óleo Diesel</v>
      </c>
      <c r="F13" s="5">
        <v>171</v>
      </c>
      <c r="G13" s="5" t="str">
        <f>IF(D13="Rodoviário",Combustão_Móvel!$A$32,IF(D13="Marítimo",Fatores_Marítimo!$F$30))</f>
        <v>Caminhão - caminhão (média)</v>
      </c>
      <c r="H13" s="6">
        <f>_xlfn.XLOOKUP(G13,Combustão_Móvel!$A$25:$A$40,Combustão_Móvel!$B$25:$B$40,Fatores_Marítimo!$H$30)</f>
        <v>3.8597744506341597E-2</v>
      </c>
      <c r="I13" s="6">
        <f>IF(A13="Inonibrás",SUMIFS(Industrial!F:F,Industrial!C:C,B13),IF(OR(B13="Gasolina Automotiva",B13="Óleo Diesel",B13="Acetileno"),SUMIFS('Florestal (Combustíveis)'!P:P,'Florestal (Combustíveis)'!D:D,B13,'Florestal (Combustíveis)'!A:A,A13)*Industrial!$F$6/(1000*SUM(Carbonização!$D$2:$D$4)),SUMIFS('Florestal (Fertilizantes)'!H:H,'Florestal (Fertilizantes)'!B:B,B13,'Florestal (Fertilizantes)'!A:A,A13)*Industrial!$F$6/(SUM(Carbonização!$D$2:$D$4))))</f>
        <v>1.7314828786632694E-2</v>
      </c>
      <c r="J13" s="6">
        <f t="shared" si="1"/>
        <v>2.9608357225141906</v>
      </c>
      <c r="K13" s="6">
        <f t="shared" si="2"/>
        <v>0.11428158074285205</v>
      </c>
      <c r="L13" s="6" t="s">
        <v>108</v>
      </c>
      <c r="M13" s="6">
        <f>IF(E13="Óleo Diesel",(K13/1000)*(1-0.1)*(_xlfn.XLOOKUP(E13,Combustão_Móvel!$A$2:$A$12,Combustão_Móvel!$E$2:$E$12))*(_xlfn.XLOOKUP(E13,Combustão_Móvel!$A$2:$A$12,Combustão_Móvel!$D$2:$D$12)),(K13/1000)*(_xlfn.XLOOKUP(E13,Combustão_Móvel!$A$2:$A$12,Combustão_Móvel!$D$2:$D$12))*(_xlfn.XLOOKUP(E13,Combustão_Móvel!$A$2:$A$12,Combustão_Móvel!$E$2:$E$12)))*1000</f>
        <v>0.27056107100079857</v>
      </c>
      <c r="N13" s="6">
        <f>IF(E13="Óleo Diesel",(K13/1000)*(1-0.1)*(_xlfn.XLOOKUP(E13,Combustão_Móvel!$A$2:$A$12,Combustão_Móvel!$F$2:$F$12))*(_xlfn.XLOOKUP(E13,Combustão_Móvel!$A$2:$A$12,Combustão_Móvel!$D$2:$D$12)),(K13/1000)*(_xlfn.XLOOKUP(E13,Combustão_Móvel!$A$2:$A$12,Combustão_Móvel!$D$2:$D$12))*(_xlfn.XLOOKUP(E13,Combustão_Móvel!$A$2:$A$12,Combustão_Móvel!$F$2:$F$12)))*1000</f>
        <v>1.4240056368463082E-5</v>
      </c>
      <c r="O13" s="6">
        <f>IF(E13="Óleo Diesel",(K13/1000)*(((1-0.1)*(_xlfn.XLOOKUP(E13,Combustão_Móvel!$A$2:$A$12,Combustão_Móvel!$G$2:$G$12))*(_xlfn.XLOOKUP(E13,Combustão_Móvel!$A$2:$A$12,Combustão_Móvel!$D$2:$D$12)))+((0.1)*(Combustão_Móvel!$G$6)*(Combustão_Móvel!$G$6))),(K13/1000)*(_xlfn.XLOOKUP(E13,Combustão_Móvel!$A$2:$A$12,Combustão_Móvel!$D$2:$D$12))*(_xlfn.XLOOKUP(E13,Combustão_Móvel!$A$2:$A$12,Combustão_Móvel!$G$2:$G$12)))*1000</f>
        <v>1.4240056372577217E-5</v>
      </c>
      <c r="P13" s="6">
        <f>(M13+(N13*GWP_Quioto!$E$3)+(O13*GWP_Quioto!$E$6))/1000</f>
        <v>2.7484590396319229E-4</v>
      </c>
      <c r="Q13" s="6">
        <f>IF(E13="Óleo Diesel",(K13/1000)*(0.1)*(Combustão_Móvel!$D$6)*(Combustão_Móvel!$E$6),0)</f>
        <v>2.6811823638622956E-5</v>
      </c>
      <c r="R13" s="5" t="str">
        <f>IF(E13="Óleo Diesel",'Fatores de Emissão'!$A$19,'Fatores de Emissão'!$A$22)</f>
        <v>Óleo Diesel (10% Biodiesel)</v>
      </c>
      <c r="S13" s="6">
        <f>IF(E13="Óleo Diesel",(K13/1000)*((0.9*_xlfn.XLOOKUP(E13,Densidades!$A$2:$A$54,Densidades!$B$2:$B$54))+(0.1*Densidades!$B$6)),(K13/1000)*(_xlfn.XLOOKUP(E13,Densidades!$A$2:$A$54,Densidades!$B$2:$B$54)))</f>
        <v>9.6453654146967133E-2</v>
      </c>
      <c r="T13" s="6">
        <f>(S13*(_xlfn.XLOOKUP(R13,'Fatores de Emissão'!$A$14:$A$22,'Fatores de Emissão'!$B$14:$B$22)))/1000</f>
        <v>7.5565793363049517E-5</v>
      </c>
      <c r="U13" s="6">
        <f>(S13*(_xlfn.XLOOKUP(R13,'Fatores de Emissão'!$A$14:$A$22,'Fatores de Emissão'!$C$14:$C$22)))/1000</f>
        <v>2.5026044578110481E-8</v>
      </c>
      <c r="V13" s="6">
        <f>(S13*(_xlfn.XLOOKUP(R13,'Fatores de Emissão'!$A:$A,'Fatores de Emissão'!E:E)))/1000</f>
        <v>1.350876534044806E-8</v>
      </c>
      <c r="W13" s="6">
        <f t="shared" si="3"/>
        <v>3.504116973262418E-4</v>
      </c>
      <c r="X13" s="6">
        <f t="shared" si="4"/>
        <v>2.6836849683201065E-5</v>
      </c>
      <c r="Y13" s="6"/>
      <c r="Z13" s="6"/>
      <c r="AA13" s="6"/>
      <c r="AB13" s="6"/>
      <c r="AC13" s="6" t="s">
        <v>145</v>
      </c>
    </row>
    <row r="14" spans="1:29">
      <c r="A14" s="5" t="s">
        <v>664</v>
      </c>
      <c r="B14" s="6" t="s">
        <v>164</v>
      </c>
      <c r="C14" s="6" t="s">
        <v>119</v>
      </c>
      <c r="D14" s="6" t="s">
        <v>141</v>
      </c>
      <c r="E14" s="6" t="str">
        <f t="shared" si="0"/>
        <v>Óleo Diesel</v>
      </c>
      <c r="F14" s="5">
        <v>171</v>
      </c>
      <c r="G14" s="5" t="str">
        <f>IF(D14="Rodoviário",Combustão_Móvel!$A$32,IF(D14="Marítimo",Fatores_Marítimo!$F$30))</f>
        <v>Caminhão - caminhão (média)</v>
      </c>
      <c r="H14" s="6">
        <f>_xlfn.XLOOKUP(G14,Combustão_Móvel!$A$25:$A$40,Combustão_Móvel!$B$25:$B$40,Fatores_Marítimo!$H$30)</f>
        <v>3.8597744506341597E-2</v>
      </c>
      <c r="I14" s="6">
        <f>IF(A14="Inonibrás",SUMIFS(Industrial!F:F,Industrial!C:C,B14),IF(OR(B14="Gasolina Automotiva",B14="Óleo Diesel",B14="Acetileno"),SUMIFS('Florestal (Combustíveis)'!P:P,'Florestal (Combustíveis)'!D:D,B14,'Florestal (Combustíveis)'!A:A,A14)*Industrial!$F$6/(1000*SUM(Carbonização!$D$2:$D$4)),SUMIFS('Florestal (Fertilizantes)'!H:H,'Florestal (Fertilizantes)'!B:B,B14,'Florestal (Fertilizantes)'!A:A,A14)*Industrial!$F$6/(SUM(Carbonização!$D$2:$D$4))))</f>
        <v>6.2099110426916786E-3</v>
      </c>
      <c r="J14" s="6">
        <f t="shared" si="1"/>
        <v>1.0618947883002769</v>
      </c>
      <c r="K14" s="6">
        <f t="shared" si="2"/>
        <v>4.0986743731429791E-2</v>
      </c>
      <c r="L14" s="6" t="s">
        <v>108</v>
      </c>
      <c r="M14" s="6">
        <f>IF(E14="Óleo Diesel",(K14/1000)*(1-0.1)*(_xlfn.XLOOKUP(E14,Combustão_Móvel!$A$2:$A$12,Combustão_Móvel!$E$2:$E$12))*(_xlfn.XLOOKUP(E14,Combustão_Móvel!$A$2:$A$12,Combustão_Móvel!$D$2:$D$12)),(K14/1000)*(_xlfn.XLOOKUP(E14,Combustão_Móvel!$A$2:$A$12,Combustão_Móvel!$D$2:$D$12))*(_xlfn.XLOOKUP(E14,Combustão_Móvel!$A$2:$A$12,Combustão_Móvel!$E$2:$E$12)))*1000</f>
        <v>9.7035910850441373E-2</v>
      </c>
      <c r="N14" s="6">
        <f>IF(E14="Óleo Diesel",(K14/1000)*(1-0.1)*(_xlfn.XLOOKUP(E14,Combustão_Móvel!$A$2:$A$12,Combustão_Móvel!$F$2:$F$12))*(_xlfn.XLOOKUP(E14,Combustão_Móvel!$A$2:$A$12,Combustão_Móvel!$D$2:$D$12)),(K14/1000)*(_xlfn.XLOOKUP(E14,Combustão_Móvel!$A$2:$A$12,Combustão_Móvel!$D$2:$D$12))*(_xlfn.XLOOKUP(E14,Combustão_Móvel!$A$2:$A$12,Combustão_Móvel!$F$2:$F$12)))*1000</f>
        <v>5.1071532026548093E-6</v>
      </c>
      <c r="O14" s="6">
        <f>IF(E14="Óleo Diesel",(K14/1000)*(((1-0.1)*(_xlfn.XLOOKUP(E14,Combustão_Móvel!$A$2:$A$12,Combustão_Móvel!$G$2:$G$12))*(_xlfn.XLOOKUP(E14,Combustão_Móvel!$A$2:$A$12,Combustão_Móvel!$D$2:$D$12)))+((0.1)*(Combustão_Móvel!$G$6)*(Combustão_Móvel!$G$6))),(K14/1000)*(_xlfn.XLOOKUP(E14,Combustão_Móvel!$A$2:$A$12,Combustão_Móvel!$D$2:$D$12))*(_xlfn.XLOOKUP(E14,Combustão_Móvel!$A$2:$A$12,Combustão_Móvel!$G$2:$G$12)))*1000</f>
        <v>5.1071532041303322E-6</v>
      </c>
      <c r="P14" s="6">
        <f>(M14+(N14*GWP_Quioto!$E$3)+(O14*GWP_Quioto!$E$6))/1000</f>
        <v>9.8572653249523028E-5</v>
      </c>
      <c r="Q14" s="6">
        <f>IF(E14="Óleo Diesel",(K14/1000)*(0.1)*(Combustão_Móvel!$D$6)*(Combustão_Móvel!$E$6),0)</f>
        <v>9.6159795594817669E-6</v>
      </c>
      <c r="R14" s="5" t="str">
        <f>IF(E14="Óleo Diesel",'Fatores de Emissão'!$A$19,'Fatores de Emissão'!$A$22)</f>
        <v>Óleo Diesel (10% Biodiesel)</v>
      </c>
      <c r="S14" s="6">
        <f>IF(E14="Óleo Diesel",(K14/1000)*((0.9*_xlfn.XLOOKUP(E14,Densidades!$A$2:$A$54,Densidades!$B$2:$B$54))+(0.1*Densidades!$B$6)),(K14/1000)*(_xlfn.XLOOKUP(E14,Densidades!$A$2:$A$54,Densidades!$B$2:$B$54)))</f>
        <v>3.4592811709326744E-2</v>
      </c>
      <c r="T14" s="6">
        <f>(S14*(_xlfn.XLOOKUP(R14,'Fatores de Emissão'!$A$14:$A$22,'Fatores de Emissão'!$B$14:$B$22)))/1000</f>
        <v>2.710144353360468E-5</v>
      </c>
      <c r="U14" s="6">
        <f>(S14*(_xlfn.XLOOKUP(R14,'Fatores de Emissão'!$A$14:$A$22,'Fatores de Emissão'!$C$14:$C$22)))/1000</f>
        <v>8.9755152936008776E-9</v>
      </c>
      <c r="V14" s="6">
        <f>(S14*(_xlfn.XLOOKUP(R14,'Fatores de Emissão'!$A:$A,'Fatores de Emissão'!E:E)))/1000</f>
        <v>4.8448778844144272E-9</v>
      </c>
      <c r="W14" s="6">
        <f t="shared" si="3"/>
        <v>1.256740967831277E-4</v>
      </c>
      <c r="X14" s="6">
        <f t="shared" si="4"/>
        <v>9.6249550747753677E-6</v>
      </c>
      <c r="Y14" s="6"/>
      <c r="Z14" s="6"/>
      <c r="AA14" s="6"/>
      <c r="AB14" s="6"/>
      <c r="AC14" s="6" t="s">
        <v>145</v>
      </c>
    </row>
    <row r="15" spans="1:29">
      <c r="A15" s="5" t="s">
        <v>664</v>
      </c>
      <c r="B15" s="6" t="s">
        <v>180</v>
      </c>
      <c r="C15" s="147" t="s">
        <v>120</v>
      </c>
      <c r="D15" s="6" t="s">
        <v>141</v>
      </c>
      <c r="E15" s="6" t="str">
        <f t="shared" si="0"/>
        <v>Óleo Diesel</v>
      </c>
      <c r="F15" s="5">
        <v>42</v>
      </c>
      <c r="G15" s="5" t="str">
        <f>IF(D15="Rodoviário",Combustão_Móvel!$A$32,IF(D15="Marítimo",Fatores_Marítimo!$F$30))</f>
        <v>Caminhão - caminhão (média)</v>
      </c>
      <c r="H15" s="6">
        <f>_xlfn.XLOOKUP(G15,Combustão_Móvel!$A$25:$A$40,Combustão_Móvel!$B$25:$B$40,Fatores_Marítimo!$H$30)</f>
        <v>3.8597744506341597E-2</v>
      </c>
      <c r="I15" s="6">
        <f>IF(A15="Inonibrás",SUMIFS(Industrial!F:F,Industrial!C:C,B15),IF(OR(B15="Gasolina Automotiva",B15="Óleo Diesel",B15="Acetileno"),SUMIFS('Florestal (Combustíveis)'!P:P,'Florestal (Combustíveis)'!D:D,B15,'Florestal (Combustíveis)'!A:A,A15)*Industrial!$F$6/(1000*SUM(Carbonização!$D$2:$D$4)),SUMIFS('Florestal (Fertilizantes)'!H:H,'Florestal (Fertilizantes)'!B:B,B15,'Florestal (Fertilizantes)'!A:A,A15)*Industrial!$F$6/(SUM(Carbonização!$D$2:$D$4))))</f>
        <v>2E-3</v>
      </c>
      <c r="J15" s="6">
        <f t="shared" si="1"/>
        <v>8.4000000000000005E-2</v>
      </c>
      <c r="K15" s="6">
        <f t="shared" si="2"/>
        <v>3.2422105385326943E-3</v>
      </c>
      <c r="L15" s="6" t="s">
        <v>108</v>
      </c>
      <c r="M15" s="6">
        <f>IF(E15="Óleo Diesel",(K15/1000)*(1-0.1)*(_xlfn.XLOOKUP(E15,Combustão_Móvel!$A$2:$A$12,Combustão_Móvel!$E$2:$E$12))*(_xlfn.XLOOKUP(E15,Combustão_Móvel!$A$2:$A$12,Combustão_Móvel!$D$2:$D$12)),(K15/1000)*(_xlfn.XLOOKUP(E15,Combustão_Móvel!$A$2:$A$12,Combustão_Móvel!$D$2:$D$12))*(_xlfn.XLOOKUP(E15,Combustão_Móvel!$A$2:$A$12,Combustão_Móvel!$E$2:$E$12)))*1000</f>
        <v>7.6759172389234609E-3</v>
      </c>
      <c r="N15" s="6">
        <f>IF(E15="Óleo Diesel",(K15/1000)*(1-0.1)*(_xlfn.XLOOKUP(E15,Combustão_Móvel!$A$2:$A$12,Combustão_Móvel!$F$2:$F$12))*(_xlfn.XLOOKUP(E15,Combustão_Móvel!$A$2:$A$12,Combustão_Móvel!$D$2:$D$12)),(K15/1000)*(_xlfn.XLOOKUP(E15,Combustão_Móvel!$A$2:$A$12,Combustão_Móvel!$D$2:$D$12))*(_xlfn.XLOOKUP(E15,Combustão_Móvel!$A$2:$A$12,Combustão_Móvel!$F$2:$F$12)))*1000</f>
        <v>4.0399564415386639E-7</v>
      </c>
      <c r="O15" s="6">
        <f>IF(E15="Óleo Diesel",(K15/1000)*(((1-0.1)*(_xlfn.XLOOKUP(E15,Combustão_Móvel!$A$2:$A$12,Combustão_Móvel!$G$2:$G$12))*(_xlfn.XLOOKUP(E15,Combustão_Móvel!$A$2:$A$12,Combustão_Móvel!$D$2:$D$12)))+((0.1)*(Combustão_Móvel!$G$6)*(Combustão_Móvel!$G$6))),(K15/1000)*(_xlfn.XLOOKUP(E15,Combustão_Móvel!$A$2:$A$12,Combustão_Móvel!$D$2:$D$12))*(_xlfn.XLOOKUP(E15,Combustão_Móvel!$A$2:$A$12,Combustão_Móvel!$G$2:$G$12)))*1000</f>
        <v>4.0399564427058599E-7</v>
      </c>
      <c r="P15" s="6">
        <f>(M15+(N15*GWP_Quioto!$E$3)+(O15*GWP_Quioto!$E$6))/1000</f>
        <v>7.7974795282812223E-6</v>
      </c>
      <c r="Q15" s="6">
        <f>IF(E15="Óleo Diesel",(K15/1000)*(0.1)*(Combustão_Móvel!$D$6)*(Combustão_Móvel!$E$6),0)</f>
        <v>7.6066131211490556E-7</v>
      </c>
      <c r="R15" s="5" t="str">
        <f>IF(E15="Óleo Diesel",'Fatores de Emissão'!$A$19,'Fatores de Emissão'!$A$22)</f>
        <v>Óleo Diesel (10% Biodiesel)</v>
      </c>
      <c r="S15" s="6">
        <f>IF(E15="Óleo Diesel",(K15/1000)*((0.9*_xlfn.XLOOKUP(E15,Densidades!$A$2:$A$54,Densidades!$B$2:$B$54))+(0.1*Densidades!$B$6)),(K15/1000)*(_xlfn.XLOOKUP(E15,Densidades!$A$2:$A$54,Densidades!$B$2:$B$54)))</f>
        <v>2.7364256945215941E-3</v>
      </c>
      <c r="T15" s="6">
        <f>(S15*(_xlfn.XLOOKUP(R15,'Fatores de Emissão'!$A$14:$A$22,'Fatores de Emissão'!$B$14:$B$22)))/1000</f>
        <v>2.1438293905432092E-6</v>
      </c>
      <c r="U15" s="6">
        <f>(S15*(_xlfn.XLOOKUP(R15,'Fatores de Emissão'!$A$14:$A$22,'Fatores de Emissão'!$C$14:$C$22)))/1000</f>
        <v>7.0999810241961345E-10</v>
      </c>
      <c r="V15" s="6">
        <f>(S15*(_xlfn.XLOOKUP(R15,'Fatores de Emissão'!$A:$A,'Fatores de Emissão'!E:E)))/1000</f>
        <v>3.8324864833570607E-10</v>
      </c>
      <c r="W15" s="6">
        <f t="shared" si="3"/>
        <v>9.9413089188244319E-6</v>
      </c>
      <c r="X15" s="6">
        <f t="shared" si="4"/>
        <v>7.6137131021732518E-7</v>
      </c>
      <c r="Y15" s="6"/>
      <c r="Z15" s="6"/>
      <c r="AA15" s="6"/>
      <c r="AB15" s="6"/>
      <c r="AC15" s="6" t="s">
        <v>145</v>
      </c>
    </row>
    <row r="16" spans="1:29">
      <c r="A16" s="5" t="s">
        <v>664</v>
      </c>
      <c r="B16" s="6" t="s">
        <v>165</v>
      </c>
      <c r="C16" s="6" t="s">
        <v>119</v>
      </c>
      <c r="D16" s="6" t="s">
        <v>141</v>
      </c>
      <c r="E16" s="6" t="str">
        <f t="shared" si="0"/>
        <v>Óleo Diesel</v>
      </c>
      <c r="F16" s="5">
        <v>171</v>
      </c>
      <c r="G16" s="5" t="str">
        <f>IF(D16="Rodoviário",Combustão_Móvel!$A$32,IF(D16="Marítimo",Fatores_Marítimo!$F$30))</f>
        <v>Caminhão - caminhão (média)</v>
      </c>
      <c r="H16" s="6">
        <f>_xlfn.XLOOKUP(G16,Combustão_Móvel!$A$25:$A$40,Combustão_Móvel!$B$25:$B$40,Fatores_Marítimo!$H$30)</f>
        <v>3.8597744506341597E-2</v>
      </c>
      <c r="I16" s="6">
        <f>IF(A16="Inonibrás",SUMIFS(Industrial!F:F,Industrial!C:C,B16),IF(OR(B16="Gasolina Automotiva",B16="Óleo Diesel",B16="Acetileno"),SUMIFS('Florestal (Combustíveis)'!P:P,'Florestal (Combustíveis)'!D:D,B16,'Florestal (Combustíveis)'!A:A,A16)*Industrial!$F$6/(1000*SUM(Carbonização!$D$2:$D$4)),SUMIFS('Florestal (Fertilizantes)'!H:H,'Florestal (Fertilizantes)'!B:B,B16,'Florestal (Fertilizantes)'!A:A,A16)*Industrial!$F$6/(SUM(Carbonização!$D$2:$D$4))))</f>
        <v>4.3996055546253812E-3</v>
      </c>
      <c r="J16" s="6">
        <f t="shared" si="1"/>
        <v>0.75233254984094022</v>
      </c>
      <c r="K16" s="6">
        <f t="shared" si="2"/>
        <v>2.9038339542565118E-2</v>
      </c>
      <c r="L16" s="6" t="s">
        <v>108</v>
      </c>
      <c r="M16" s="6">
        <f>IF(E16="Óleo Diesel",(K16/1000)*(1-0.1)*(_xlfn.XLOOKUP(E16,Combustão_Móvel!$A$2:$A$12,Combustão_Móvel!$E$2:$E$12))*(_xlfn.XLOOKUP(E16,Combustão_Móvel!$A$2:$A$12,Combustão_Móvel!$D$2:$D$12)),(K16/1000)*(_xlfn.XLOOKUP(E16,Combustão_Móvel!$A$2:$A$12,Combustão_Móvel!$D$2:$D$12))*(_xlfn.XLOOKUP(E16,Combustão_Móvel!$A$2:$A$12,Combustão_Móvel!$E$2:$E$12)))*1000</f>
        <v>6.8748123675325207E-2</v>
      </c>
      <c r="N16" s="6">
        <f>IF(E16="Óleo Diesel",(K16/1000)*(1-0.1)*(_xlfn.XLOOKUP(E16,Combustão_Móvel!$A$2:$A$12,Combustão_Móvel!$F$2:$F$12))*(_xlfn.XLOOKUP(E16,Combustão_Móvel!$A$2:$A$12,Combustão_Móvel!$D$2:$D$12)),(K16/1000)*(_xlfn.XLOOKUP(E16,Combustão_Móvel!$A$2:$A$12,Combustão_Móvel!$D$2:$D$12))*(_xlfn.XLOOKUP(E16,Combustão_Móvel!$A$2:$A$12,Combustão_Móvel!$F$2:$F$12)))*1000</f>
        <v>3.6183222987013263E-6</v>
      </c>
      <c r="O16" s="6">
        <f>IF(E16="Óleo Diesel",(K16/1000)*(((1-0.1)*(_xlfn.XLOOKUP(E16,Combustão_Móvel!$A$2:$A$12,Combustão_Móvel!$G$2:$G$12))*(_xlfn.XLOOKUP(E16,Combustão_Móvel!$A$2:$A$12,Combustão_Móvel!$D$2:$D$12)))+((0.1)*(Combustão_Móvel!$G$6)*(Combustão_Móvel!$G$6))),(K16/1000)*(_xlfn.XLOOKUP(E16,Combustão_Móvel!$A$2:$A$12,Combustão_Móvel!$D$2:$D$12))*(_xlfn.XLOOKUP(E16,Combustão_Móvel!$A$2:$A$12,Combustão_Móvel!$G$2:$G$12)))*1000</f>
        <v>3.6183222997467068E-6</v>
      </c>
      <c r="P16" s="6">
        <f>(M16+(N16*GWP_Quioto!$E$3)+(O16*GWP_Quioto!$E$6))/1000</f>
        <v>6.9836876855289834E-5</v>
      </c>
      <c r="Q16" s="6">
        <f>IF(E16="Óleo Diesel",(K16/1000)*(0.1)*(Combustão_Móvel!$D$6)*(Combustão_Móvel!$E$6),0)</f>
        <v>6.812741244151929E-6</v>
      </c>
      <c r="R16" s="5" t="str">
        <f>IF(E16="Óleo Diesel",'Fatores de Emissão'!$A$19,'Fatores de Emissão'!$A$22)</f>
        <v>Óleo Diesel (10% Biodiesel)</v>
      </c>
      <c r="S16" s="6">
        <f>IF(E16="Óleo Diesel",(K16/1000)*((0.9*_xlfn.XLOOKUP(E16,Densidades!$A$2:$A$54,Densidades!$B$2:$B$54))+(0.1*Densidades!$B$6)),(K16/1000)*(_xlfn.XLOOKUP(E16,Densidades!$A$2:$A$54,Densidades!$B$2:$B$54)))</f>
        <v>2.4508358573924961E-2</v>
      </c>
      <c r="T16" s="6">
        <f>(S16*(_xlfn.XLOOKUP(R16,'Fatores de Emissão'!$A$14:$A$22,'Fatores de Emissão'!$B$14:$B$22)))/1000</f>
        <v>1.9200864664420497E-5</v>
      </c>
      <c r="U16" s="6">
        <f>(S16*(_xlfn.XLOOKUP(R16,'Fatores de Emissão'!$A$14:$A$22,'Fatores de Emissão'!$C$14:$C$22)))/1000</f>
        <v>6.3589843187568672E-9</v>
      </c>
      <c r="V16" s="6">
        <f>(S16*(_xlfn.XLOOKUP(R16,'Fatores de Emissão'!$A:$A,'Fatores de Emissão'!E:E)))/1000</f>
        <v>3.432505152684471E-9</v>
      </c>
      <c r="W16" s="6">
        <f t="shared" si="3"/>
        <v>8.9037741519710335E-5</v>
      </c>
      <c r="X16" s="6">
        <f t="shared" si="4"/>
        <v>6.8191002284706861E-6</v>
      </c>
      <c r="Y16" s="6"/>
      <c r="Z16" s="6"/>
      <c r="AA16" s="6"/>
      <c r="AB16" s="6"/>
      <c r="AC16" s="6" t="s">
        <v>145</v>
      </c>
    </row>
    <row r="17" spans="1:29">
      <c r="A17" s="5" t="s">
        <v>664</v>
      </c>
      <c r="B17" s="6" t="s">
        <v>167</v>
      </c>
      <c r="C17" s="6" t="s">
        <v>121</v>
      </c>
      <c r="D17" s="6" t="s">
        <v>141</v>
      </c>
      <c r="E17" s="6" t="str">
        <f t="shared" si="0"/>
        <v>Óleo Diesel</v>
      </c>
      <c r="F17" s="5">
        <v>345</v>
      </c>
      <c r="G17" s="5" t="str">
        <f>IF(D17="Rodoviário",Combustão_Móvel!$A$32,IF(D17="Marítimo",Fatores_Marítimo!$F$30))</f>
        <v>Caminhão - caminhão (média)</v>
      </c>
      <c r="H17" s="6">
        <f>_xlfn.XLOOKUP(G17,Combustão_Móvel!$A$25:$A$40,Combustão_Móvel!$B$25:$B$40,Fatores_Marítimo!$H$30)</f>
        <v>3.8597744506341597E-2</v>
      </c>
      <c r="I17" s="6">
        <f>IF(A17="Inonibrás",SUMIFS(Industrial!F:F,Industrial!C:C,B17),IF(OR(B17="Gasolina Automotiva",B17="Óleo Diesel",B17="Acetileno"),SUMIFS('Florestal (Combustíveis)'!P:P,'Florestal (Combustíveis)'!D:D,B17,'Florestal (Combustíveis)'!A:A,A17)*Industrial!$F$6/(1000*SUM(Carbonização!$D$2:$D$4)),SUMIFS('Florestal (Fertilizantes)'!H:H,'Florestal (Fertilizantes)'!B:B,B17,'Florestal (Fertilizantes)'!A:A,A17)*Industrial!$F$6/(SUM(Carbonização!$D$2:$D$4))))</f>
        <v>5.3417257726894932E-6</v>
      </c>
      <c r="J17" s="6">
        <f t="shared" si="1"/>
        <v>1.8428953915778752E-3</v>
      </c>
      <c r="K17" s="6">
        <f t="shared" si="2"/>
        <v>7.1131605476037181E-5</v>
      </c>
      <c r="L17" s="6" t="s">
        <v>108</v>
      </c>
      <c r="M17" s="6">
        <f>IF(E17="Óleo Diesel",(K17/1000)*(1-0.1)*(_xlfn.XLOOKUP(E17,Combustão_Móvel!$A$2:$A$12,Combustão_Móvel!$E$2:$E$12))*(_xlfn.XLOOKUP(E17,Combustão_Móvel!$A$2:$A$12,Combustão_Móvel!$D$2:$D$12)),(K17/1000)*(_xlfn.XLOOKUP(E17,Combustão_Móvel!$A$2:$A$12,Combustão_Móvel!$D$2:$D$12))*(_xlfn.XLOOKUP(E17,Combustão_Móvel!$A$2:$A$12,Combustão_Móvel!$E$2:$E$12)))*1000</f>
        <v>1.6840372030649064E-4</v>
      </c>
      <c r="N17" s="6">
        <f>IF(E17="Óleo Diesel",(K17/1000)*(1-0.1)*(_xlfn.XLOOKUP(E17,Combustão_Móvel!$A$2:$A$12,Combustão_Móvel!$F$2:$F$12))*(_xlfn.XLOOKUP(E17,Combustão_Móvel!$A$2:$A$12,Combustão_Móvel!$D$2:$D$12)),(K17/1000)*(_xlfn.XLOOKUP(E17,Combustão_Móvel!$A$2:$A$12,Combustão_Móvel!$D$2:$D$12))*(_xlfn.XLOOKUP(E17,Combustão_Móvel!$A$2:$A$12,Combustão_Móvel!$F$2:$F$12)))*1000</f>
        <v>8.8633537003416123E-9</v>
      </c>
      <c r="O17" s="6">
        <f>IF(E17="Óleo Diesel",(K17/1000)*(((1-0.1)*(_xlfn.XLOOKUP(E17,Combustão_Móvel!$A$2:$A$12,Combustão_Móvel!$G$2:$G$12))*(_xlfn.XLOOKUP(E17,Combustão_Móvel!$A$2:$A$12,Combustão_Móvel!$D$2:$D$12)))+((0.1)*(Combustão_Móvel!$G$6)*(Combustão_Móvel!$G$6))),(K17/1000)*(_xlfn.XLOOKUP(E17,Combustão_Móvel!$A$2:$A$12,Combustão_Móvel!$D$2:$D$12))*(_xlfn.XLOOKUP(E17,Combustão_Móvel!$A$2:$A$12,Combustão_Móvel!$G$2:$G$12)))*1000</f>
        <v>8.8633537029023501E-9</v>
      </c>
      <c r="P17" s="6">
        <f>(M17+(N17*GWP_Quioto!$E$3)+(O17*GWP_Quioto!$E$6))/1000</f>
        <v>1.710707034356225E-7</v>
      </c>
      <c r="Q17" s="6">
        <f>IF(E17="Óleo Diesel",(K17/1000)*(0.1)*(Combustão_Móvel!$D$6)*(Combustão_Móvel!$E$6),0)</f>
        <v>1.6688324126763557E-8</v>
      </c>
      <c r="R17" s="5" t="str">
        <f>IF(E17="Óleo Diesel",'Fatores de Emissão'!$A$19,'Fatores de Emissão'!$A$22)</f>
        <v>Óleo Diesel (10% Biodiesel)</v>
      </c>
      <c r="S17" s="6">
        <f>IF(E17="Óleo Diesel",(K17/1000)*((0.9*_xlfn.XLOOKUP(E17,Densidades!$A$2:$A$54,Densidades!$B$2:$B$54))+(0.1*Densidades!$B$6)),(K17/1000)*(_xlfn.XLOOKUP(E17,Densidades!$A$2:$A$54,Densidades!$B$2:$B$54)))</f>
        <v>6.0035075021775376E-5</v>
      </c>
      <c r="T17" s="6">
        <f>(S17*(_xlfn.XLOOKUP(R17,'Fatores de Emissão'!$A$14:$A$22,'Fatores de Emissão'!$B$14:$B$22)))/1000</f>
        <v>4.7033967906681963E-8</v>
      </c>
      <c r="U17" s="6">
        <f>(S17*(_xlfn.XLOOKUP(R17,'Fatores de Emissão'!$A$14:$A$22,'Fatores de Emissão'!$C$14:$C$22)))/1000</f>
        <v>1.5576812273549305E-11</v>
      </c>
      <c r="V17" s="6">
        <f>(S17*(_xlfn.XLOOKUP(R17,'Fatores de Emissão'!$A:$A,'Fatores de Emissão'!E:E)))/1000</f>
        <v>8.408180569599075E-12</v>
      </c>
      <c r="W17" s="6">
        <f t="shared" si="3"/>
        <v>2.1810467134230447E-7</v>
      </c>
      <c r="X17" s="6">
        <f t="shared" si="4"/>
        <v>1.6703900939037107E-8</v>
      </c>
      <c r="Y17" s="6"/>
      <c r="Z17" s="6"/>
      <c r="AA17" s="6"/>
      <c r="AB17" s="6"/>
      <c r="AC17" s="6" t="s">
        <v>145</v>
      </c>
    </row>
    <row r="18" spans="1:29">
      <c r="A18" s="5" t="s">
        <v>664</v>
      </c>
      <c r="B18" s="6" t="s">
        <v>168</v>
      </c>
      <c r="C18" s="6" t="s">
        <v>121</v>
      </c>
      <c r="D18" s="6" t="s">
        <v>141</v>
      </c>
      <c r="E18" s="6" t="str">
        <f t="shared" si="0"/>
        <v>Óleo Diesel</v>
      </c>
      <c r="F18" s="5">
        <v>345</v>
      </c>
      <c r="G18" s="5" t="str">
        <f>IF(D18="Rodoviário",Combustão_Móvel!$A$32,IF(D18="Marítimo",Fatores_Marítimo!$F$30))</f>
        <v>Caminhão - caminhão (média)</v>
      </c>
      <c r="H18" s="6">
        <f>_xlfn.XLOOKUP(G18,Combustão_Móvel!$A$25:$A$40,Combustão_Móvel!$B$25:$B$40,Fatores_Marítimo!$H$30)</f>
        <v>3.8597744506341597E-2</v>
      </c>
      <c r="I18" s="6">
        <f>IF(A18="Inonibrás",SUMIFS(Industrial!F:F,Industrial!C:C,B18),IF(OR(B18="Gasolina Automotiva",B18="Óleo Diesel",B18="Acetileno"),SUMIFS('Florestal (Combustíveis)'!P:P,'Florestal (Combustíveis)'!D:D,B18,'Florestal (Combustíveis)'!A:A,A18)*Industrial!$F$6/(1000*SUM(Carbonização!$D$2:$D$4)),SUMIFS('Florestal (Fertilizantes)'!H:H,'Florestal (Fertilizantes)'!B:B,B18,'Florestal (Fertilizantes)'!A:A,A18)*Industrial!$F$6/(SUM(Carbonização!$D$2:$D$4))))</f>
        <v>9.4661083757063639E-6</v>
      </c>
      <c r="J18" s="6">
        <f t="shared" si="1"/>
        <v>3.2658073896186957E-3</v>
      </c>
      <c r="K18" s="6">
        <f t="shared" si="2"/>
        <v>1.2605279923142481E-4</v>
      </c>
      <c r="L18" s="6" t="s">
        <v>108</v>
      </c>
      <c r="M18" s="6">
        <f>IF(E18="Óleo Diesel",(K18/1000)*(1-0.1)*(_xlfn.XLOOKUP(E18,Combustão_Móvel!$A$2:$A$12,Combustão_Móvel!$E$2:$E$12))*(_xlfn.XLOOKUP(E18,Combustão_Móvel!$A$2:$A$12,Combustão_Móvel!$D$2:$D$12)),(K18/1000)*(_xlfn.XLOOKUP(E18,Combustão_Móvel!$A$2:$A$12,Combustão_Móvel!$D$2:$D$12))*(_xlfn.XLOOKUP(E18,Combustão_Móvel!$A$2:$A$12,Combustão_Móvel!$E$2:$E$12)))*1000</f>
        <v>2.9842937191640209E-4</v>
      </c>
      <c r="N18" s="6">
        <f>IF(E18="Óleo Diesel",(K18/1000)*(1-0.1)*(_xlfn.XLOOKUP(E18,Combustão_Móvel!$A$2:$A$12,Combustão_Móvel!$F$2:$F$12))*(_xlfn.XLOOKUP(E18,Combustão_Móvel!$A$2:$A$12,Combustão_Móvel!$D$2:$D$12)),(K18/1000)*(_xlfn.XLOOKUP(E18,Combustão_Móvel!$A$2:$A$12,Combustão_Móvel!$D$2:$D$12))*(_xlfn.XLOOKUP(E18,Combustão_Móvel!$A$2:$A$12,Combustão_Móvel!$F$2:$F$12)))*1000</f>
        <v>1.5706809048231689E-8</v>
      </c>
      <c r="O18" s="6">
        <f>IF(E18="Óleo Diesel",(K18/1000)*(((1-0.1)*(_xlfn.XLOOKUP(E18,Combustão_Móvel!$A$2:$A$12,Combustão_Móvel!$G$2:$G$12))*(_xlfn.XLOOKUP(E18,Combustão_Móvel!$A$2:$A$12,Combustão_Móvel!$D$2:$D$12)))+((0.1)*(Combustão_Móvel!$G$6)*(Combustão_Móvel!$G$6))),(K18/1000)*(_xlfn.XLOOKUP(E18,Combustão_Móvel!$A$2:$A$12,Combustão_Móvel!$D$2:$D$12))*(_xlfn.XLOOKUP(E18,Combustão_Móvel!$A$2:$A$12,Combustão_Móvel!$G$2:$G$12)))*1000</f>
        <v>1.5706809052769588E-8</v>
      </c>
      <c r="P18" s="6">
        <f>(M18+(N18*GWP_Quioto!$E$3)+(O18*GWP_Quioto!$E$6))/1000</f>
        <v>3.0315555076025387E-7</v>
      </c>
      <c r="Q18" s="6">
        <f>IF(E18="Óleo Diesel",(K18/1000)*(0.1)*(Combustão_Móvel!$D$6)*(Combustão_Móvel!$E$6),0)</f>
        <v>2.9573492072641804E-8</v>
      </c>
      <c r="R18" s="5" t="str">
        <f>IF(E18="Óleo Diesel",'Fatores de Emissão'!$A$19,'Fatores de Emissão'!$A$22)</f>
        <v>Óleo Diesel (10% Biodiesel)</v>
      </c>
      <c r="S18" s="6">
        <f>IF(E18="Óleo Diesel",(K18/1000)*((0.9*_xlfn.XLOOKUP(E18,Densidades!$A$2:$A$54,Densidades!$B$2:$B$54))+(0.1*Densidades!$B$6)),(K18/1000)*(_xlfn.XLOOKUP(E18,Densidades!$A$2:$A$54,Densidades!$B$2:$B$54)))</f>
        <v>1.0638856255132254E-4</v>
      </c>
      <c r="T18" s="6">
        <f>(S18*(_xlfn.XLOOKUP(R18,'Fatores de Emissão'!$A$14:$A$22,'Fatores de Emissão'!$B$14:$B$22)))/1000</f>
        <v>8.334921268711616E-8</v>
      </c>
      <c r="U18" s="6">
        <f>(S18*(_xlfn.XLOOKUP(R18,'Fatores de Emissão'!$A$14:$A$22,'Fatores de Emissão'!$C$14:$C$22)))/1000</f>
        <v>2.7603774398776488E-11</v>
      </c>
      <c r="V18" s="6">
        <f>(S18*(_xlfn.XLOOKUP(R18,'Fatores de Emissão'!$A:$A,'Fatores de Emissão'!E:E)))/1000</f>
        <v>1.490019366423959E-11</v>
      </c>
      <c r="W18" s="6">
        <f t="shared" si="3"/>
        <v>3.8650476344737003E-7</v>
      </c>
      <c r="X18" s="6">
        <f t="shared" si="4"/>
        <v>2.9601095847040582E-8</v>
      </c>
      <c r="Y18" s="6"/>
      <c r="Z18" s="6"/>
      <c r="AA18" s="6"/>
      <c r="AB18" s="6"/>
      <c r="AC18" s="6" t="s">
        <v>145</v>
      </c>
    </row>
    <row r="19" spans="1:29">
      <c r="A19" s="5" t="s">
        <v>664</v>
      </c>
      <c r="B19" s="6" t="s">
        <v>169</v>
      </c>
      <c r="C19" s="6" t="s">
        <v>121</v>
      </c>
      <c r="D19" s="6" t="s">
        <v>141</v>
      </c>
      <c r="E19" s="6" t="str">
        <f t="shared" si="0"/>
        <v>Óleo Diesel</v>
      </c>
      <c r="F19" s="5">
        <v>345</v>
      </c>
      <c r="G19" s="5" t="str">
        <f>IF(D19="Rodoviário",Combustão_Móvel!$A$32,IF(D19="Marítimo",Fatores_Marítimo!$F$30))</f>
        <v>Caminhão - caminhão (média)</v>
      </c>
      <c r="H19" s="6">
        <f>_xlfn.XLOOKUP(G19,Combustão_Móvel!$A$25:$A$40,Combustão_Móvel!$B$25:$B$40,Fatores_Marítimo!$H$30)</f>
        <v>3.8597744506341597E-2</v>
      </c>
      <c r="I19" s="6">
        <f>IF(A19="Inonibrás",SUMIFS(Industrial!F:F,Industrial!C:C,B19),IF(OR(B19="Gasolina Automotiva",B19="Óleo Diesel",B19="Acetileno"),SUMIFS('Florestal (Combustíveis)'!P:P,'Florestal (Combustíveis)'!D:D,B19,'Florestal (Combustíveis)'!A:A,A19)*Industrial!$F$6/(1000*SUM(Carbonização!$D$2:$D$4)),SUMIFS('Florestal (Fertilizantes)'!H:H,'Florestal (Fertilizantes)'!B:B,B19,'Florestal (Fertilizantes)'!A:A,A19)*Industrial!$F$6/(SUM(Carbonização!$D$2:$D$4))))</f>
        <v>2.0722587349634873E-5</v>
      </c>
      <c r="J19" s="6">
        <f t="shared" si="1"/>
        <v>7.1492926356240315E-3</v>
      </c>
      <c r="K19" s="6">
        <f t="shared" si="2"/>
        <v>2.7594657055088589E-4</v>
      </c>
      <c r="L19" s="6" t="s">
        <v>108</v>
      </c>
      <c r="M19" s="6">
        <f>IF(E19="Óleo Diesel",(K19/1000)*(1-0.1)*(_xlfn.XLOOKUP(E19,Combustão_Móvel!$A$2:$A$12,Combustão_Móvel!$E$2:$E$12))*(_xlfn.XLOOKUP(E19,Combustão_Móvel!$A$2:$A$12,Combustão_Móvel!$D$2:$D$12)),(K19/1000)*(_xlfn.XLOOKUP(E19,Combustão_Móvel!$A$2:$A$12,Combustão_Móvel!$D$2:$D$12))*(_xlfn.XLOOKUP(E19,Combustão_Móvel!$A$2:$A$12,Combustão_Móvel!$E$2:$E$12)))*1000</f>
        <v>6.5330212604636955E-4</v>
      </c>
      <c r="N19" s="6">
        <f>IF(E19="Óleo Diesel",(K19/1000)*(1-0.1)*(_xlfn.XLOOKUP(E19,Combustão_Móvel!$A$2:$A$12,Combustão_Móvel!$F$2:$F$12))*(_xlfn.XLOOKUP(E19,Combustão_Móvel!$A$2:$A$12,Combustão_Móvel!$D$2:$D$12)),(K19/1000)*(_xlfn.XLOOKUP(E19,Combustão_Móvel!$A$2:$A$12,Combustão_Móvel!$D$2:$D$12))*(_xlfn.XLOOKUP(E19,Combustão_Móvel!$A$2:$A$12,Combustão_Móvel!$F$2:$F$12)))*1000</f>
        <v>3.4384322423493136E-8</v>
      </c>
      <c r="O19" s="6">
        <f>IF(E19="Óleo Diesel",(K19/1000)*(((1-0.1)*(_xlfn.XLOOKUP(E19,Combustão_Móvel!$A$2:$A$12,Combustão_Móvel!$G$2:$G$12))*(_xlfn.XLOOKUP(E19,Combustão_Móvel!$A$2:$A$12,Combustão_Móvel!$D$2:$D$12)))+((0.1)*(Combustão_Móvel!$G$6)*(Combustão_Móvel!$G$6))),(K19/1000)*(_xlfn.XLOOKUP(E19,Combustão_Móvel!$A$2:$A$12,Combustão_Móvel!$D$2:$D$12))*(_xlfn.XLOOKUP(E19,Combustão_Móvel!$A$2:$A$12,Combustão_Móvel!$G$2:$G$12)))*1000</f>
        <v>3.4384322433427218E-8</v>
      </c>
      <c r="P19" s="6">
        <f>(M19+(N19*GWP_Quioto!$E$3)+(O19*GWP_Quioto!$E$6))/1000</f>
        <v>6.6364836866631063E-7</v>
      </c>
      <c r="Q19" s="6">
        <f>IF(E19="Óleo Diesel",(K19/1000)*(0.1)*(Combustão_Móvel!$D$6)*(Combustão_Móvel!$E$6),0)</f>
        <v>6.4740360915561981E-8</v>
      </c>
      <c r="R19" s="5" t="str">
        <f>IF(E19="Óleo Diesel",'Fatores de Emissão'!$A$19,'Fatores de Emissão'!$A$22)</f>
        <v>Óleo Diesel (10% Biodiesel)</v>
      </c>
      <c r="S19" s="6">
        <f>IF(E19="Óleo Diesel",(K19/1000)*((0.9*_xlfn.XLOOKUP(E19,Densidades!$A$2:$A$54,Densidades!$B$2:$B$54))+(0.1*Densidades!$B$6)),(K19/1000)*(_xlfn.XLOOKUP(E19,Densidades!$A$2:$A$54,Densidades!$B$2:$B$54)))</f>
        <v>2.3289890554494769E-4</v>
      </c>
      <c r="T19" s="6">
        <f>(S19*(_xlfn.XLOOKUP(R19,'Fatores de Emissão'!$A$14:$A$22,'Fatores de Emissão'!$B$14:$B$22)))/1000</f>
        <v>1.8246266278386809E-7</v>
      </c>
      <c r="U19" s="6">
        <f>(S19*(_xlfn.XLOOKUP(R19,'Fatores de Emissão'!$A$14:$A$22,'Fatores de Emissão'!$C$14:$C$22)))/1000</f>
        <v>6.0428383392090223E-11</v>
      </c>
      <c r="V19" s="6">
        <f>(S19*(_xlfn.XLOOKUP(R19,'Fatores de Emissão'!$A:$A,'Fatores de Emissão'!E:E)))/1000</f>
        <v>3.261853260903961E-11</v>
      </c>
      <c r="W19" s="6">
        <f t="shared" si="3"/>
        <v>8.4611103145017867E-7</v>
      </c>
      <c r="X19" s="6">
        <f t="shared" si="4"/>
        <v>6.4800789298954073E-8</v>
      </c>
      <c r="Y19" s="6"/>
      <c r="Z19" s="6"/>
      <c r="AA19" s="6"/>
      <c r="AB19" s="6"/>
      <c r="AC19" s="6" t="s">
        <v>145</v>
      </c>
    </row>
    <row r="20" spans="1:29">
      <c r="A20" s="5" t="s">
        <v>664</v>
      </c>
      <c r="B20" s="206" t="s">
        <v>123</v>
      </c>
      <c r="C20" s="6" t="s">
        <v>124</v>
      </c>
      <c r="D20" s="6" t="s">
        <v>141</v>
      </c>
      <c r="E20" s="6" t="str">
        <f t="shared" si="0"/>
        <v>Óleo Diesel</v>
      </c>
      <c r="F20" s="5">
        <v>350</v>
      </c>
      <c r="G20" s="5" t="str">
        <f>IF(D20="Rodoviário",Combustão_Móvel!$A$32,IF(D20="Marítimo",Fatores_Marítimo!$F$30))</f>
        <v>Caminhão - caminhão (média)</v>
      </c>
      <c r="H20" s="6">
        <f>_xlfn.XLOOKUP(G20,Combustão_Móvel!$A$25:$A$40,Combustão_Móvel!$B$25:$B$40,Fatores_Marítimo!$H$30)</f>
        <v>3.8597744506341597E-2</v>
      </c>
      <c r="I20" s="6">
        <f>IF(A20="Inonibrás",SUMIFS(Industrial!F:F,Industrial!C:C,B20),IF(OR(B20="Gasolina Automotiva",B20="Óleo Diesel",B20="Acetileno"),SUMIFS('Florestal (Combustíveis)'!P:P,'Florestal (Combustíveis)'!D:D,B20,'Florestal (Combustíveis)'!A:A,A20)*Industrial!$F$6/(1000*SUM(Carbonização!$D$2:$D$4)),SUMIFS('Florestal (Fertilizantes)'!H:H,'Florestal (Fertilizantes)'!B:B,B20,'Florestal (Fertilizantes)'!A:A,A20)*Industrial!$F$6/(SUM(Carbonização!$D$2:$D$4))))</f>
        <v>7.19037338374976E-4</v>
      </c>
      <c r="J20" s="6">
        <f t="shared" si="1"/>
        <v>0.25166306843124159</v>
      </c>
      <c r="K20" s="6">
        <f t="shared" si="2"/>
        <v>9.7136268169910247E-3</v>
      </c>
      <c r="L20" s="6" t="s">
        <v>108</v>
      </c>
      <c r="M20" s="6">
        <f>IF(E20="Óleo Diesel",(K20/1000)*(1-0.1)*(_xlfn.XLOOKUP(E20,Combustão_Móvel!$A$2:$A$12,Combustão_Móvel!$E$2:$E$12))*(_xlfn.XLOOKUP(E20,Combustão_Móvel!$A$2:$A$12,Combustão_Móvel!$D$2:$D$12)),(K20/1000)*(_xlfn.XLOOKUP(E20,Combustão_Móvel!$A$2:$A$12,Combustão_Móvel!$D$2:$D$12))*(_xlfn.XLOOKUP(E20,Combustão_Móvel!$A$2:$A$12,Combustão_Móvel!$E$2:$E$12)))*1000</f>
        <v>2.2996962921092167E-2</v>
      </c>
      <c r="N20" s="6">
        <f>IF(E20="Óleo Diesel",(K20/1000)*(1-0.1)*(_xlfn.XLOOKUP(E20,Combustão_Móvel!$A$2:$A$12,Combustão_Móvel!$F$2:$F$12))*(_xlfn.XLOOKUP(E20,Combustão_Móvel!$A$2:$A$12,Combustão_Móvel!$D$2:$D$12)),(K20/1000)*(_xlfn.XLOOKUP(E20,Combustão_Móvel!$A$2:$A$12,Combustão_Móvel!$D$2:$D$12))*(_xlfn.XLOOKUP(E20,Combustão_Móvel!$A$2:$A$12,Combustão_Móvel!$F$2:$F$12)))*1000</f>
        <v>1.2103664695311666E-6</v>
      </c>
      <c r="O20" s="6">
        <f>IF(E20="Óleo Diesel",(K20/1000)*(((1-0.1)*(_xlfn.XLOOKUP(E20,Combustão_Móvel!$A$2:$A$12,Combustão_Móvel!$G$2:$G$12))*(_xlfn.XLOOKUP(E20,Combustão_Móvel!$A$2:$A$12,Combustão_Móvel!$D$2:$D$12)))+((0.1)*(Combustão_Móvel!$G$6)*(Combustão_Móvel!$G$6))),(K20/1000)*(_xlfn.XLOOKUP(E20,Combustão_Móvel!$A$2:$A$12,Combustão_Móvel!$D$2:$D$12))*(_xlfn.XLOOKUP(E20,Combustão_Móvel!$A$2:$A$12,Combustão_Móvel!$G$2:$G$12)))*1000</f>
        <v>1.2103664698808572E-6</v>
      </c>
      <c r="P20" s="6">
        <f>(M20+(N20*GWP_Quioto!$E$3)+(O20*GWP_Quioto!$E$6))/1000</f>
        <v>2.336116219186956E-5</v>
      </c>
      <c r="Q20" s="6">
        <f>IF(E20="Óleo Diesel",(K20/1000)*(0.1)*(Combustão_Móvel!$D$6)*(Combustão_Móvel!$E$6),0)</f>
        <v>2.2789328552829939E-6</v>
      </c>
      <c r="R20" s="5" t="str">
        <f>IF(E20="Óleo Diesel",'Fatores de Emissão'!$A$19,'Fatores de Emissão'!$A$22)</f>
        <v>Óleo Diesel (10% Biodiesel)</v>
      </c>
      <c r="S20" s="6">
        <f>IF(E20="Óleo Diesel",(K20/1000)*((0.9*_xlfn.XLOOKUP(E20,Densidades!$A$2:$A$54,Densidades!$B$2:$B$54))+(0.1*Densidades!$B$6)),(K20/1000)*(_xlfn.XLOOKUP(E20,Densidades!$A$2:$A$54,Densidades!$B$2:$B$54)))</f>
        <v>8.1983010335404255E-3</v>
      </c>
      <c r="T20" s="6">
        <f>(S20*(_xlfn.XLOOKUP(R20,'Fatores de Emissão'!$A$14:$A$22,'Fatores de Emissão'!$B$14:$B$22)))/1000</f>
        <v>6.4228890787759842E-6</v>
      </c>
      <c r="U20" s="6">
        <f>(S20*(_xlfn.XLOOKUP(R20,'Fatores de Emissão'!$A$14:$A$22,'Fatores de Emissão'!$C$14:$C$22)))/1000</f>
        <v>2.1271464408961769E-9</v>
      </c>
      <c r="V20" s="6">
        <f>(S20*(_xlfn.XLOOKUP(R20,'Fatores de Emissão'!$A:$A,'Fatores de Emissão'!E:E)))/1000</f>
        <v>1.1482087001463052E-9</v>
      </c>
      <c r="W20" s="6">
        <f t="shared" si="3"/>
        <v>2.9784051270645544E-5</v>
      </c>
      <c r="X20" s="6">
        <f t="shared" si="4"/>
        <v>2.2810600017238902E-6</v>
      </c>
      <c r="Y20" s="6"/>
      <c r="Z20" s="6"/>
      <c r="AA20" s="6"/>
      <c r="AB20" s="6"/>
      <c r="AC20" s="6" t="s">
        <v>145</v>
      </c>
    </row>
    <row r="21" spans="1:29">
      <c r="A21" s="5" t="s">
        <v>664</v>
      </c>
      <c r="B21" s="206" t="s">
        <v>125</v>
      </c>
      <c r="C21" s="6" t="s">
        <v>126</v>
      </c>
      <c r="D21" s="6" t="s">
        <v>141</v>
      </c>
      <c r="E21" s="6" t="str">
        <f t="shared" si="0"/>
        <v>Óleo Diesel</v>
      </c>
      <c r="F21" s="5">
        <v>220</v>
      </c>
      <c r="G21" s="5" t="str">
        <f>IF(D21="Rodoviário",Combustão_Móvel!$A$32,IF(D21="Marítimo",Fatores_Marítimo!$F$30))</f>
        <v>Caminhão - caminhão (média)</v>
      </c>
      <c r="H21" s="6">
        <f>_xlfn.XLOOKUP(G21,Combustão_Móvel!$A$25:$A$40,Combustão_Móvel!$B$25:$B$40,Fatores_Marítimo!$H$30)</f>
        <v>3.8597744506341597E-2</v>
      </c>
      <c r="I21" s="6">
        <f>IF(A21="Inonibrás",SUMIFS(Industrial!F:F,Industrial!C:C,B21),IF(OR(B21="Gasolina Automotiva",B21="Óleo Diesel",B21="Acetileno"),SUMIFS('Florestal (Combustíveis)'!P:P,'Florestal (Combustíveis)'!D:D,B21,'Florestal (Combustíveis)'!A:A,A21)*Industrial!$F$6/(1000*SUM(Carbonização!$D$2:$D$4)),SUMIFS('Florestal (Fertilizantes)'!H:H,'Florestal (Fertilizantes)'!B:B,B21,'Florestal (Fertilizantes)'!A:A,A21)*Industrial!$F$6/(SUM(Carbonização!$D$2:$D$4))))</f>
        <v>8.6746647323755796E-2</v>
      </c>
      <c r="J21" s="6">
        <f t="shared" si="1"/>
        <v>19.084262411226277</v>
      </c>
      <c r="K21" s="6">
        <f t="shared" si="2"/>
        <v>0.73660948464049048</v>
      </c>
      <c r="L21" s="6" t="s">
        <v>108</v>
      </c>
      <c r="M21" s="6">
        <f>IF(E21="Óleo Diesel",(K21/1000)*(1-0.1)*(_xlfn.XLOOKUP(E21,Combustão_Móvel!$A$2:$A$12,Combustão_Móvel!$E$2:$E$12))*(_xlfn.XLOOKUP(E21,Combustão_Móvel!$A$2:$A$12,Combustão_Móvel!$D$2:$D$12)),(K21/1000)*(_xlfn.XLOOKUP(E21,Combustão_Móvel!$A$2:$A$12,Combustão_Móvel!$D$2:$D$12))*(_xlfn.XLOOKUP(E21,Combustão_Móvel!$A$2:$A$12,Combustão_Móvel!$E$2:$E$12)))*1000</f>
        <v>1.7439192718389376</v>
      </c>
      <c r="N21" s="6">
        <f>IF(E21="Óleo Diesel",(K21/1000)*(1-0.1)*(_xlfn.XLOOKUP(E21,Combustão_Móvel!$A$2:$A$12,Combustão_Móvel!$F$2:$F$12))*(_xlfn.XLOOKUP(E21,Combustão_Móvel!$A$2:$A$12,Combustão_Móvel!$D$2:$D$12)),(K21/1000)*(_xlfn.XLOOKUP(E21,Combustão_Móvel!$A$2:$A$12,Combustão_Móvel!$D$2:$D$12))*(_xlfn.XLOOKUP(E21,Combustão_Móvel!$A$2:$A$12,Combustão_Móvel!$F$2:$F$12)))*1000</f>
        <v>9.1785224833628294E-5</v>
      </c>
      <c r="O21" s="6">
        <f>IF(E21="Óleo Diesel",(K21/1000)*(((1-0.1)*(_xlfn.XLOOKUP(E21,Combustão_Móvel!$A$2:$A$12,Combustão_Móvel!$G$2:$G$12))*(_xlfn.XLOOKUP(E21,Combustão_Móvel!$A$2:$A$12,Combustão_Móvel!$D$2:$D$12)))+((0.1)*(Combustão_Móvel!$G$6)*(Combustão_Móvel!$G$6))),(K21/1000)*(_xlfn.XLOOKUP(E21,Combustão_Móvel!$A$2:$A$12,Combustão_Móvel!$D$2:$D$12))*(_xlfn.XLOOKUP(E21,Combustão_Móvel!$A$2:$A$12,Combustão_Móvel!$G$2:$G$12)))*1000</f>
        <v>9.1785224860146253E-5</v>
      </c>
      <c r="P21" s="6">
        <f>(M21+(N21*GWP_Quioto!$E$3)+(O21*GWP_Quioto!$E$6))/1000</f>
        <v>1.7715374459986158E-3</v>
      </c>
      <c r="Q21" s="6">
        <f>IF(E21="Óleo Diesel",(K21/1000)*(0.1)*(Combustão_Móvel!$D$6)*(Combustão_Móvel!$E$6),0)</f>
        <v>1.7281738198176842E-4</v>
      </c>
      <c r="R21" s="5" t="str">
        <f>IF(E21="Óleo Diesel",'Fatores de Emissão'!$A$19,'Fatores de Emissão'!$A$22)</f>
        <v>Óleo Diesel (10% Biodiesel)</v>
      </c>
      <c r="S21" s="6">
        <f>IF(E21="Óleo Diesel",(K21/1000)*((0.9*_xlfn.XLOOKUP(E21,Densidades!$A$2:$A$54,Densidades!$B$2:$B$54))+(0.1*Densidades!$B$6)),(K21/1000)*(_xlfn.XLOOKUP(E21,Densidades!$A$2:$A$54,Densidades!$B$2:$B$54)))</f>
        <v>0.62169840503657392</v>
      </c>
      <c r="T21" s="6">
        <f>(S21*(_xlfn.XLOOKUP(R21,'Fatores de Emissão'!$A$14:$A$22,'Fatores de Emissão'!$B$14:$B$22)))/1000</f>
        <v>4.8706431730983216E-4</v>
      </c>
      <c r="U21" s="6">
        <f>(S21*(_xlfn.XLOOKUP(R21,'Fatores de Emissão'!$A$14:$A$22,'Fatores de Emissão'!$C$14:$C$22)))/1000</f>
        <v>1.6130702497676918E-7</v>
      </c>
      <c r="V21" s="6">
        <f>(S21*(_xlfn.XLOOKUP(R21,'Fatores de Emissão'!$A:$A,'Fatores de Emissão'!E:E)))/1000</f>
        <v>8.7071640161742772E-8</v>
      </c>
      <c r="W21" s="6">
        <f t="shared" si="3"/>
        <v>2.258601763308448E-3</v>
      </c>
      <c r="X21" s="6">
        <f t="shared" si="4"/>
        <v>1.729786890067452E-4</v>
      </c>
      <c r="Y21" s="6"/>
      <c r="Z21" s="6"/>
      <c r="AA21" s="6"/>
      <c r="AB21" s="6"/>
      <c r="AC21" s="6" t="s">
        <v>145</v>
      </c>
    </row>
    <row r="22" spans="1:29">
      <c r="A22" s="5" t="s">
        <v>664</v>
      </c>
      <c r="B22" s="206" t="s">
        <v>127</v>
      </c>
      <c r="C22" s="6" t="s">
        <v>128</v>
      </c>
      <c r="D22" s="93" t="s">
        <v>142</v>
      </c>
      <c r="E22" s="93" t="str">
        <f t="shared" si="0"/>
        <v>Óleo Combustível</v>
      </c>
      <c r="F22" s="7">
        <v>20233.099999999999</v>
      </c>
      <c r="G22" s="5" t="str">
        <f>IF(D22="Rodoviário",Combustão_Móvel!$A$32,IF(D22="Marítimo",Fatores_Marítimo!$F$30))</f>
        <v>Container ship Média</v>
      </c>
      <c r="H22" s="6">
        <f>_xlfn.XLOOKUP(G22,Combustão_Móvel!$A$25:$A$40,Combustão_Móvel!$B$25:$B$40,Fatores_Marítimo!$H$30)</f>
        <v>5.1563502702413723E-3</v>
      </c>
      <c r="I22" s="6">
        <f>IF(A22="Inonibrás",SUMIFS(Industrial!F:F,Industrial!C:C,B22),IF(OR(B22="Gasolina Automotiva",B22="Óleo Diesel",B22="Acetileno"),SUMIFS('Florestal (Combustíveis)'!P:P,'Florestal (Combustíveis)'!D:D,B22,'Florestal (Combustíveis)'!A:A,A22)*Industrial!$F$6/(1000*SUM(Carbonização!$D$2:$D$4)),SUMIFS('Florestal (Fertilizantes)'!H:H,'Florestal (Fertilizantes)'!B:B,B22,'Florestal (Fertilizantes)'!A:A,A22)*Industrial!$F$6/(SUM(Carbonização!$D$2:$D$4))))</f>
        <v>1.3766405786946521E-2</v>
      </c>
      <c r="J22" s="6">
        <f t="shared" si="1"/>
        <v>278.53706492786762</v>
      </c>
      <c r="K22" s="6">
        <f t="shared" si="2"/>
        <v>1.4362346700130488</v>
      </c>
      <c r="L22" s="6" t="s">
        <v>108</v>
      </c>
      <c r="M22" s="6">
        <f>IF(E22="Óleo Diesel",(K22/1000)*(1-0.1)*(_xlfn.XLOOKUP(E22,Combustão_Móvel!$A$2:$A$12,Combustão_Móvel!$E$2:$E$12))*(_xlfn.XLOOKUP(E22,Combustão_Móvel!$A$2:$A$12,Combustão_Móvel!$D$2:$D$12)),(K22/1000)*(_xlfn.XLOOKUP(E22,Combustão_Móvel!$A$2:$A$12,Combustão_Móvel!$D$2:$D$12))*(_xlfn.XLOOKUP(E22,Combustão_Móvel!$A$2:$A$12,Combustão_Móvel!$E$2:$E$12)))*1000</f>
        <v>4.454364057802529</v>
      </c>
      <c r="N22" s="6">
        <f>IF(E22="Óleo Diesel",(K22/1000)*(1-0.1)*(_xlfn.XLOOKUP(E22,Combustão_Móvel!$A$2:$A$12,Combustão_Móvel!$F$2:$F$12))*(_xlfn.XLOOKUP(E22,Combustão_Móvel!$A$2:$A$12,Combustão_Móvel!$D$2:$D$12)),(K22/1000)*(_xlfn.XLOOKUP(E22,Combustão_Móvel!$A$2:$A$12,Combustão_Móvel!$D$2:$D$12))*(_xlfn.XLOOKUP(E22,Combustão_Móvel!$A$2:$A$12,Combustão_Móvel!$F$2:$F$12)))*1000</f>
        <v>4.0284946259196001E-4</v>
      </c>
      <c r="O22" s="6">
        <f>IF(E22="Óleo Diesel",(K22/1000)*(((1-0.1)*(_xlfn.XLOOKUP(E22,Combustão_Móvel!$A$2:$A$12,Combustão_Móvel!$G$2:$G$12))*(_xlfn.XLOOKUP(E22,Combustão_Móvel!$A$2:$A$12,Combustão_Móvel!$D$2:$D$12)))+((0.1)*(Combustão_Móvel!$G$6)*(Combustão_Móvel!$G$6))),(K22/1000)*(_xlfn.XLOOKUP(E22,Combustão_Móvel!$A$2:$A$12,Combustão_Móvel!$D$2:$D$12))*(_xlfn.XLOOKUP(E22,Combustão_Móvel!$A$2:$A$12,Combustão_Móvel!$G$2:$G$12)))*1000</f>
        <v>1.1509984645484573E-4</v>
      </c>
      <c r="P22" s="6">
        <f>(M22+(N22*GWP_Quioto!$E$3)+(O22*GWP_Quioto!$E$6))/1000</f>
        <v>4.4970258158910171E-3</v>
      </c>
      <c r="Q22" s="6">
        <f>IF(E22="Óleo Diesel",(K22/1000)*(0.1)*(Combustão_Móvel!$D$6)*(Combustão_Móvel!$E$6),0)</f>
        <v>0</v>
      </c>
      <c r="R22" s="5" t="str">
        <f>IF(E22="Óleo Diesel",'Fatores de Emissão'!$A$19,'Fatores de Emissão'!$A$22)</f>
        <v>heavy fuel oil production, petroleum refinery operation</v>
      </c>
      <c r="S22" s="6">
        <f>IF(E22="Óleo Diesel",(K22/1000)*((0.9*_xlfn.XLOOKUP(E22,Densidades!$A$2:$A$54,Densidades!$B$2:$B$54))+(0.1*Densidades!$B$6)),(K22/1000)*(_xlfn.XLOOKUP(E22,Densidades!$A$2:$A$54,Densidades!$B$2:$B$54)))</f>
        <v>1.4362346700130488</v>
      </c>
      <c r="T22" s="6">
        <f>(S22*(_xlfn.XLOOKUP(R22,'Fatores de Emissão'!$A$14:$A$22,'Fatores de Emissão'!$B$14:$B$22)))/1000</f>
        <v>5.8258208671398625E-4</v>
      </c>
      <c r="U22" s="6">
        <f>(S22*(_xlfn.XLOOKUP(R22,'Fatores de Emissão'!$A$14:$A$22,'Fatores de Emissão'!$C$14:$C$22)))/1000</f>
        <v>3.5336059607488552E-7</v>
      </c>
      <c r="V22" s="6">
        <f>(S22*(_xlfn.XLOOKUP(R22,'Fatores de Emissão'!$A:$A,'Fatores de Emissão'!E:E)))/1000</f>
        <v>1.9233692117276925E-7</v>
      </c>
      <c r="W22" s="6">
        <f t="shared" si="3"/>
        <v>5.0796079026050036E-3</v>
      </c>
      <c r="X22" s="6">
        <f t="shared" si="4"/>
        <v>3.5336059607488552E-7</v>
      </c>
      <c r="Y22" s="6"/>
      <c r="Z22" s="6"/>
      <c r="AA22" s="6"/>
      <c r="AB22" s="6"/>
      <c r="AC22" s="6" t="s">
        <v>145</v>
      </c>
    </row>
    <row r="23" spans="1:29">
      <c r="A23" s="5" t="s">
        <v>664</v>
      </c>
      <c r="B23" s="206" t="s">
        <v>129</v>
      </c>
      <c r="C23" s="6" t="s">
        <v>128</v>
      </c>
      <c r="D23" s="93" t="s">
        <v>142</v>
      </c>
      <c r="E23" s="93" t="str">
        <f t="shared" si="0"/>
        <v>Óleo Combustível</v>
      </c>
      <c r="F23" s="7">
        <v>20233.099999999999</v>
      </c>
      <c r="G23" s="5" t="str">
        <f>IF(D23="Rodoviário",Combustão_Móvel!$A$32,IF(D23="Marítimo",Fatores_Marítimo!$F$30))</f>
        <v>Container ship Média</v>
      </c>
      <c r="H23" s="6">
        <f>_xlfn.XLOOKUP(G23,Combustão_Móvel!$A$25:$A$40,Combustão_Móvel!$B$25:$B$40,Fatores_Marítimo!$H$30)</f>
        <v>5.1563502702413723E-3</v>
      </c>
      <c r="I23" s="6">
        <f>IF(A23="Inonibrás",SUMIFS(Industrial!F:F,Industrial!C:C,B23),IF(OR(B23="Gasolina Automotiva",B23="Óleo Diesel",B23="Acetileno"),SUMIFS('Florestal (Combustíveis)'!P:P,'Florestal (Combustíveis)'!D:D,B23,'Florestal (Combustíveis)'!A:A,A23)*Industrial!$F$6/(1000*SUM(Carbonização!$D$2:$D$4)),SUMIFS('Florestal (Fertilizantes)'!H:H,'Florestal (Fertilizantes)'!B:B,B23,'Florestal (Fertilizantes)'!A:A,A23)*Industrial!$F$6/(SUM(Carbonização!$D$2:$D$4))))</f>
        <v>1.3091683276857603E-2</v>
      </c>
      <c r="J23" s="6">
        <f t="shared" si="1"/>
        <v>264.88533690898754</v>
      </c>
      <c r="K23" s="6">
        <f t="shared" si="2"/>
        <v>1.3658415785536349</v>
      </c>
      <c r="L23" s="6" t="s">
        <v>108</v>
      </c>
      <c r="M23" s="6">
        <f>IF(E23="Óleo Diesel",(K23/1000)*(1-0.1)*(_xlfn.XLOOKUP(E23,Combustão_Móvel!$A$2:$A$12,Combustão_Móvel!$E$2:$E$12))*(_xlfn.XLOOKUP(E23,Combustão_Móvel!$A$2:$A$12,Combustão_Móvel!$D$2:$D$12)),(K23/1000)*(_xlfn.XLOOKUP(E23,Combustão_Móvel!$A$2:$A$12,Combustão_Móvel!$D$2:$D$12))*(_xlfn.XLOOKUP(E23,Combustão_Móvel!$A$2:$A$12,Combustão_Móvel!$E$2:$E$12)))*1000</f>
        <v>4.2360456568746567</v>
      </c>
      <c r="N23" s="6">
        <f>IF(E23="Óleo Diesel",(K23/1000)*(1-0.1)*(_xlfn.XLOOKUP(E23,Combustão_Móvel!$A$2:$A$12,Combustão_Móvel!$F$2:$F$12))*(_xlfn.XLOOKUP(E23,Combustão_Móvel!$A$2:$A$12,Combustão_Móvel!$D$2:$D$12)),(K23/1000)*(_xlfn.XLOOKUP(E23,Combustão_Móvel!$A$2:$A$12,Combustão_Móvel!$D$2:$D$12))*(_xlfn.XLOOKUP(E23,Combustão_Móvel!$A$2:$A$12,Combustão_Móvel!$F$2:$F$12)))*1000</f>
        <v>3.8310490436850901E-4</v>
      </c>
      <c r="O23" s="6">
        <f>IF(E23="Óleo Diesel",(K23/1000)*(((1-0.1)*(_xlfn.XLOOKUP(E23,Combustão_Móvel!$A$2:$A$12,Combustão_Móvel!$G$2:$G$12))*(_xlfn.XLOOKUP(E23,Combustão_Móvel!$A$2:$A$12,Combustão_Móvel!$D$2:$D$12)))+((0.1)*(Combustão_Móvel!$G$6)*(Combustão_Móvel!$G$6))),(K23/1000)*(_xlfn.XLOOKUP(E23,Combustão_Móvel!$A$2:$A$12,Combustão_Móvel!$D$2:$D$12))*(_xlfn.XLOOKUP(E23,Combustão_Móvel!$A$2:$A$12,Combustão_Móvel!$G$2:$G$12)))*1000</f>
        <v>1.0945854410528829E-4</v>
      </c>
      <c r="P23" s="6">
        <f>(M23+(N23*GWP_Quioto!$E$3)+(O23*GWP_Quioto!$E$6))/1000</f>
        <v>4.2766164662472825E-3</v>
      </c>
      <c r="Q23" s="6">
        <f>IF(E23="Óleo Diesel",(K23/1000)*(0.1)*(Combustão_Móvel!$D$6)*(Combustão_Móvel!$E$6),0)</f>
        <v>0</v>
      </c>
      <c r="R23" s="5" t="str">
        <f>IF(E23="Óleo Diesel",'Fatores de Emissão'!$A$19,'Fatores de Emissão'!$A$22)</f>
        <v>heavy fuel oil production, petroleum refinery operation</v>
      </c>
      <c r="S23" s="6">
        <f>IF(E23="Óleo Diesel",(K23/1000)*((0.9*_xlfn.XLOOKUP(E23,Densidades!$A$2:$A$54,Densidades!$B$2:$B$54))+(0.1*Densidades!$B$6)),(K23/1000)*(_xlfn.XLOOKUP(E23,Densidades!$A$2:$A$54,Densidades!$B$2:$B$54)))</f>
        <v>1.3658415785536349</v>
      </c>
      <c r="T23" s="6">
        <f>(S23*(_xlfn.XLOOKUP(R23,'Fatores de Emissão'!$A$14:$A$22,'Fatores de Emissão'!$B$14:$B$22)))/1000</f>
        <v>5.5402842833982848E-4</v>
      </c>
      <c r="U23" s="6">
        <f>(S23*(_xlfn.XLOOKUP(R23,'Fatores de Emissão'!$A$14:$A$22,'Fatores de Emissão'!$C$14:$C$22)))/1000</f>
        <v>3.3604159850645446E-7</v>
      </c>
      <c r="V23" s="6">
        <f>(S23*(_xlfn.XLOOKUP(R23,'Fatores de Emissão'!$A:$A,'Fatores de Emissão'!E:E)))/1000</f>
        <v>1.8291005607487142E-7</v>
      </c>
      <c r="W23" s="6">
        <f t="shared" si="3"/>
        <v>4.8306448945871112E-3</v>
      </c>
      <c r="X23" s="6">
        <f t="shared" si="4"/>
        <v>3.3604159850645446E-7</v>
      </c>
      <c r="Y23" s="6"/>
      <c r="Z23" s="6"/>
      <c r="AA23" s="6"/>
      <c r="AB23" s="6"/>
      <c r="AC23" s="6" t="s">
        <v>145</v>
      </c>
    </row>
    <row r="24" spans="1:29">
      <c r="A24" s="5" t="s">
        <v>664</v>
      </c>
      <c r="B24" s="206" t="s">
        <v>130</v>
      </c>
      <c r="C24" s="6" t="s">
        <v>128</v>
      </c>
      <c r="D24" s="93" t="s">
        <v>142</v>
      </c>
      <c r="E24" s="93" t="str">
        <f t="shared" si="0"/>
        <v>Óleo Combustível</v>
      </c>
      <c r="F24" s="7">
        <v>20233.099999999999</v>
      </c>
      <c r="G24" s="5" t="str">
        <f>IF(D24="Rodoviário",Combustão_Móvel!$A$32,IF(D24="Marítimo",Fatores_Marítimo!$F$30))</f>
        <v>Container ship Média</v>
      </c>
      <c r="H24" s="6">
        <f>_xlfn.XLOOKUP(G24,Combustão_Móvel!$A$25:$A$40,Combustão_Móvel!$B$25:$B$40,Fatores_Marítimo!$H$30)</f>
        <v>5.1563502702413723E-3</v>
      </c>
      <c r="I24" s="6">
        <f>IF(A24="Inonibrás",SUMIFS(Industrial!F:F,Industrial!C:C,B24),IF(OR(B24="Gasolina Automotiva",B24="Óleo Diesel",B24="Acetileno"),SUMIFS('Florestal (Combustíveis)'!P:P,'Florestal (Combustíveis)'!D:D,B24,'Florestal (Combustíveis)'!A:A,A24)*Industrial!$F$6/(1000*SUM(Carbonização!$D$2:$D$4)),SUMIFS('Florestal (Fertilizantes)'!H:H,'Florestal (Fertilizantes)'!B:B,B24,'Florestal (Fertilizantes)'!A:A,A24)*Industrial!$F$6/(SUM(Carbonização!$D$2:$D$4))))</f>
        <v>1.0458523500273416E-3</v>
      </c>
      <c r="J24" s="6">
        <f t="shared" si="1"/>
        <v>21.160835183338204</v>
      </c>
      <c r="K24" s="6">
        <f t="shared" si="2"/>
        <v>0.10911267821613908</v>
      </c>
      <c r="L24" s="6" t="s">
        <v>108</v>
      </c>
      <c r="M24" s="6">
        <f>IF(E24="Óleo Diesel",(K24/1000)*(1-0.1)*(_xlfn.XLOOKUP(E24,Combustão_Móvel!$A$2:$A$12,Combustão_Móvel!$E$2:$E$12))*(_xlfn.XLOOKUP(E24,Combustão_Móvel!$A$2:$A$12,Combustão_Móvel!$D$2:$D$12)),(K24/1000)*(_xlfn.XLOOKUP(E24,Combustão_Móvel!$A$2:$A$12,Combustão_Móvel!$D$2:$D$12))*(_xlfn.XLOOKUP(E24,Combustão_Móvel!$A$2:$A$12,Combustão_Móvel!$E$2:$E$12)))*1000</f>
        <v>0.33840402424774169</v>
      </c>
      <c r="N24" s="6">
        <f>IF(E24="Óleo Diesel",(K24/1000)*(1-0.1)*(_xlfn.XLOOKUP(E24,Combustão_Móvel!$A$2:$A$12,Combustão_Móvel!$F$2:$F$12))*(_xlfn.XLOOKUP(E24,Combustão_Móvel!$A$2:$A$12,Combustão_Móvel!$D$2:$D$12)),(K24/1000)*(_xlfn.XLOOKUP(E24,Combustão_Móvel!$A$2:$A$12,Combustão_Móvel!$D$2:$D$12))*(_xlfn.XLOOKUP(E24,Combustão_Móvel!$A$2:$A$12,Combustão_Móvel!$F$2:$F$12)))*1000</f>
        <v>3.0605015112844857E-5</v>
      </c>
      <c r="O24" s="6">
        <f>IF(E24="Óleo Diesel",(K24/1000)*(((1-0.1)*(_xlfn.XLOOKUP(E24,Combustão_Móvel!$A$2:$A$12,Combustão_Móvel!$G$2:$G$12))*(_xlfn.XLOOKUP(E24,Combustão_Móvel!$A$2:$A$12,Combustão_Móvel!$D$2:$D$12)))+((0.1)*(Combustão_Móvel!$G$6)*(Combustão_Móvel!$G$6))),(K24/1000)*(_xlfn.XLOOKUP(E24,Combustão_Móvel!$A$2:$A$12,Combustão_Móvel!$D$2:$D$12))*(_xlfn.XLOOKUP(E24,Combustão_Móvel!$A$2:$A$12,Combustão_Móvel!$G$2:$G$12)))*1000</f>
        <v>8.7442900322413855E-6</v>
      </c>
      <c r="P24" s="6">
        <f>(M24+(N24*GWP_Quioto!$E$3)+(O24*GWP_Quioto!$E$6))/1000</f>
        <v>3.4164509534819192E-4</v>
      </c>
      <c r="Q24" s="6">
        <f>IF(E24="Óleo Diesel",(K24/1000)*(0.1)*(Combustão_Móvel!$D$6)*(Combustão_Móvel!$E$6),0)</f>
        <v>0</v>
      </c>
      <c r="R24" s="5" t="str">
        <f>IF(E24="Óleo Diesel",'Fatores de Emissão'!$A$19,'Fatores de Emissão'!$A$22)</f>
        <v>heavy fuel oil production, petroleum refinery operation</v>
      </c>
      <c r="S24" s="6">
        <f>IF(E24="Óleo Diesel",(K24/1000)*((0.9*_xlfn.XLOOKUP(E24,Densidades!$A$2:$A$54,Densidades!$B$2:$B$54))+(0.1*Densidades!$B$6)),(K24/1000)*(_xlfn.XLOOKUP(E24,Densidades!$A$2:$A$54,Densidades!$B$2:$B$54)))</f>
        <v>0.10911267821613908</v>
      </c>
      <c r="T24" s="6">
        <f>(S24*(_xlfn.XLOOKUP(R24,'Fatores de Emissão'!$A$14:$A$22,'Fatores de Emissão'!$B$14:$B$22)))/1000</f>
        <v>4.4259544132528488E-5</v>
      </c>
      <c r="U24" s="6">
        <f>(S24*(_xlfn.XLOOKUP(R24,'Fatores de Emissão'!$A$14:$A$22,'Fatores de Emissão'!$C$14:$C$22)))/1000</f>
        <v>2.6845279409270759E-8</v>
      </c>
      <c r="V24" s="6">
        <f>(S24*(_xlfn.XLOOKUP(R24,'Fatores de Emissão'!$A:$A,'Fatores de Emissão'!E:E)))/1000</f>
        <v>1.4612094407118447E-8</v>
      </c>
      <c r="W24" s="6">
        <f t="shared" si="3"/>
        <v>3.8590463948072039E-4</v>
      </c>
      <c r="X24" s="6">
        <f t="shared" si="4"/>
        <v>2.6845279409270759E-8</v>
      </c>
      <c r="Y24" s="6"/>
      <c r="Z24" s="6"/>
      <c r="AA24" s="6"/>
      <c r="AB24" s="6"/>
      <c r="AC24" s="6" t="s">
        <v>145</v>
      </c>
    </row>
    <row r="25" spans="1:29">
      <c r="A25" s="5" t="s">
        <v>664</v>
      </c>
      <c r="B25" s="206" t="s">
        <v>127</v>
      </c>
      <c r="C25" s="6" t="s">
        <v>143</v>
      </c>
      <c r="D25" s="93" t="s">
        <v>141</v>
      </c>
      <c r="E25" s="93" t="str">
        <f t="shared" si="0"/>
        <v>Óleo Diesel</v>
      </c>
      <c r="F25" s="7">
        <v>771</v>
      </c>
      <c r="G25" s="5" t="str">
        <f>IF(D25="Rodoviário",Combustão_Móvel!$A$32,IF(D25="Marítimo",Fatores_Marítimo!$F$30))</f>
        <v>Caminhão - caminhão (média)</v>
      </c>
      <c r="H25" s="6">
        <f>_xlfn.XLOOKUP(G25,Combustão_Móvel!$A$25:$A$40,Combustão_Móvel!$B$25:$B$40,Fatores_Marítimo!$H$30)</f>
        <v>3.8597744506341597E-2</v>
      </c>
      <c r="I25" s="6">
        <f>IF(A25="Inonibrás",SUMIFS(Industrial!F:F,Industrial!C:C,B25),IF(OR(B25="Gasolina Automotiva",B25="Óleo Diesel",B25="Acetileno"),SUMIFS('Florestal (Combustíveis)'!P:P,'Florestal (Combustíveis)'!D:D,B25,'Florestal (Combustíveis)'!A:A,A25)*Industrial!$F$6/(1000*SUM(Carbonização!$D$2:$D$4)),SUMIFS('Florestal (Fertilizantes)'!H:H,'Florestal (Fertilizantes)'!B:B,B25,'Florestal (Fertilizantes)'!A:A,A25)*Industrial!$F$6/(SUM(Carbonização!$D$2:$D$4))))</f>
        <v>1.3766405786946521E-2</v>
      </c>
      <c r="J25" s="6">
        <f t="shared" si="1"/>
        <v>10.613898861735768</v>
      </c>
      <c r="K25" s="6">
        <f t="shared" si="2"/>
        <v>0.40967255648142709</v>
      </c>
      <c r="L25" s="6" t="s">
        <v>108</v>
      </c>
      <c r="M25" s="6">
        <f>IF(E25="Óleo Diesel",(K25/1000)*(1-0.1)*(_xlfn.XLOOKUP(E25,Combustão_Móvel!$A$2:$A$12,Combustão_Móvel!$E$2:$E$12))*(_xlfn.XLOOKUP(E25,Combustão_Móvel!$A$2:$A$12,Combustão_Móvel!$D$2:$D$12)),(K25/1000)*(_xlfn.XLOOKUP(E25,Combustão_Móvel!$A$2:$A$12,Combustão_Móvel!$D$2:$D$12))*(_xlfn.XLOOKUP(E25,Combustão_Móvel!$A$2:$A$12,Combustão_Móvel!$E$2:$E$12)))*1000</f>
        <v>0.96989772910699623</v>
      </c>
      <c r="N25" s="6">
        <f>IF(E25="Óleo Diesel",(K25/1000)*(1-0.1)*(_xlfn.XLOOKUP(E25,Combustão_Móvel!$A$2:$A$12,Combustão_Móvel!$F$2:$F$12))*(_xlfn.XLOOKUP(E25,Combustão_Móvel!$A$2:$A$12,Combustão_Móvel!$D$2:$D$12)),(K25/1000)*(_xlfn.XLOOKUP(E25,Combustão_Móvel!$A$2:$A$12,Combustão_Móvel!$D$2:$D$12))*(_xlfn.XLOOKUP(E25,Combustão_Móvel!$A$2:$A$12,Combustão_Móvel!$F$2:$F$12)))*1000</f>
        <v>5.1047248900368226E-5</v>
      </c>
      <c r="O25" s="6">
        <f>IF(E25="Óleo Diesel",(K25/1000)*(((1-0.1)*(_xlfn.XLOOKUP(E25,Combustão_Móvel!$A$2:$A$12,Combustão_Móvel!$G$2:$G$12))*(_xlfn.XLOOKUP(E25,Combustão_Móvel!$A$2:$A$12,Combustão_Móvel!$D$2:$D$12)))+((0.1)*(Combustão_Móvel!$G$6)*(Combustão_Móvel!$G$6))),(K25/1000)*(_xlfn.XLOOKUP(E25,Combustão_Móvel!$A$2:$A$12,Combustão_Móvel!$D$2:$D$12))*(_xlfn.XLOOKUP(E25,Combustão_Móvel!$A$2:$A$12,Combustão_Móvel!$G$2:$G$12)))*1000</f>
        <v>5.1047248915116439E-5</v>
      </c>
      <c r="P25" s="6">
        <f>(M25+(N25*GWP_Quioto!$E$3)+(O25*GWP_Quioto!$E$6))/1000</f>
        <v>9.8525784630514317E-4</v>
      </c>
      <c r="Q25" s="6">
        <f>IF(E25="Óleo Diesel",(K25/1000)*(0.1)*(Combustão_Móvel!$D$6)*(Combustão_Móvel!$E$6),0)</f>
        <v>9.6114074224081317E-5</v>
      </c>
      <c r="R25" s="5" t="str">
        <f>IF(E25="Óleo Diesel",'Fatores de Emissão'!$A$19,'Fatores de Emissão'!$A$22)</f>
        <v>Óleo Diesel (10% Biodiesel)</v>
      </c>
      <c r="S25" s="6">
        <f>IF(E25="Óleo Diesel",(K25/1000)*((0.9*_xlfn.XLOOKUP(E25,Densidades!$A$2:$A$54,Densidades!$B$2:$B$54))+(0.1*Densidades!$B$6)),(K25/1000)*(_xlfn.XLOOKUP(E25,Densidades!$A$2:$A$54,Densidades!$B$2:$B$54)))</f>
        <v>0.34576363767032448</v>
      </c>
      <c r="T25" s="6">
        <f>(S25*(_xlfn.XLOOKUP(R25,'Fatores de Emissão'!$A$14:$A$22,'Fatores de Emissão'!$B$14:$B$22)))/1000</f>
        <v>2.7088557533383635E-4</v>
      </c>
      <c r="U25" s="6">
        <f>(S25*(_xlfn.XLOOKUP(R25,'Fatores de Emissão'!$A$14:$A$22,'Fatores de Emissão'!$C$14:$C$22)))/1000</f>
        <v>8.9712476798882032E-8</v>
      </c>
      <c r="V25" s="6">
        <f>(S25*(_xlfn.XLOOKUP(R25,'Fatores de Emissão'!$A:$A,'Fatores de Emissão'!E:E)))/1000</f>
        <v>4.8425742765858594E-8</v>
      </c>
      <c r="W25" s="6">
        <f t="shared" si="3"/>
        <v>1.2561434216389795E-3</v>
      </c>
      <c r="X25" s="6">
        <f t="shared" si="4"/>
        <v>9.6203786700880194E-5</v>
      </c>
      <c r="Y25" s="6"/>
      <c r="Z25" s="6"/>
      <c r="AA25" s="6"/>
      <c r="AB25" s="6"/>
      <c r="AC25" s="6" t="s">
        <v>145</v>
      </c>
    </row>
    <row r="26" spans="1:29">
      <c r="A26" s="5" t="s">
        <v>664</v>
      </c>
      <c r="B26" s="206" t="s">
        <v>129</v>
      </c>
      <c r="C26" s="6" t="s">
        <v>143</v>
      </c>
      <c r="D26" s="93" t="s">
        <v>141</v>
      </c>
      <c r="E26" s="93" t="str">
        <f t="shared" si="0"/>
        <v>Óleo Diesel</v>
      </c>
      <c r="F26" s="7">
        <v>771</v>
      </c>
      <c r="G26" s="5" t="str">
        <f>IF(D26="Rodoviário",Combustão_Móvel!$A$32,IF(D26="Marítimo",Fatores_Marítimo!$F$30))</f>
        <v>Caminhão - caminhão (média)</v>
      </c>
      <c r="H26" s="6">
        <f>_xlfn.XLOOKUP(G26,Combustão_Móvel!$A$25:$A$40,Combustão_Móvel!$B$25:$B$40,Fatores_Marítimo!$H$30)</f>
        <v>3.8597744506341597E-2</v>
      </c>
      <c r="I26" s="6">
        <f>IF(A26="Inonibrás",SUMIFS(Industrial!F:F,Industrial!C:C,B26),IF(OR(B26="Gasolina Automotiva",B26="Óleo Diesel",B26="Acetileno"),SUMIFS('Florestal (Combustíveis)'!P:P,'Florestal (Combustíveis)'!D:D,B26,'Florestal (Combustíveis)'!A:A,A26)*Industrial!$F$6/(1000*SUM(Carbonização!$D$2:$D$4)),SUMIFS('Florestal (Fertilizantes)'!H:H,'Florestal (Fertilizantes)'!B:B,B26,'Florestal (Fertilizantes)'!A:A,A26)*Industrial!$F$6/(SUM(Carbonização!$D$2:$D$4))))</f>
        <v>1.3091683276857603E-2</v>
      </c>
      <c r="J26" s="6">
        <f t="shared" si="1"/>
        <v>10.093687806457211</v>
      </c>
      <c r="K26" s="6">
        <f t="shared" si="2"/>
        <v>0.38959358308041098</v>
      </c>
      <c r="L26" s="6" t="s">
        <v>108</v>
      </c>
      <c r="M26" s="6">
        <f>IF(E26="Óleo Diesel",(K26/1000)*(1-0.1)*(_xlfn.XLOOKUP(E26,Combustão_Móvel!$A$2:$A$12,Combustão_Móvel!$E$2:$E$12))*(_xlfn.XLOOKUP(E26,Combustão_Móvel!$A$2:$A$12,Combustão_Móvel!$D$2:$D$12)),(K26/1000)*(_xlfn.XLOOKUP(E26,Combustão_Móvel!$A$2:$A$12,Combustão_Móvel!$D$2:$D$12))*(_xlfn.XLOOKUP(E26,Combustão_Móvel!$A$2:$A$12,Combustão_Móvel!$E$2:$E$12)))*1000</f>
        <v>0.92236085997495754</v>
      </c>
      <c r="N26" s="6">
        <f>IF(E26="Óleo Diesel",(K26/1000)*(1-0.1)*(_xlfn.XLOOKUP(E26,Combustão_Móvel!$A$2:$A$12,Combustão_Móvel!$F$2:$F$12))*(_xlfn.XLOOKUP(E26,Combustão_Móvel!$A$2:$A$12,Combustão_Móvel!$D$2:$D$12)),(K26/1000)*(_xlfn.XLOOKUP(E26,Combustão_Móvel!$A$2:$A$12,Combustão_Móvel!$D$2:$D$12))*(_xlfn.XLOOKUP(E26,Combustão_Móvel!$A$2:$A$12,Combustão_Móvel!$F$2:$F$12)))*1000</f>
        <v>4.8545308419734613E-5</v>
      </c>
      <c r="O26" s="6">
        <f>IF(E26="Óleo Diesel",(K26/1000)*(((1-0.1)*(_xlfn.XLOOKUP(E26,Combustão_Móvel!$A$2:$A$12,Combustão_Móvel!$G$2:$G$12))*(_xlfn.XLOOKUP(E26,Combustão_Móvel!$A$2:$A$12,Combustão_Móvel!$D$2:$D$12)))+((0.1)*(Combustão_Móvel!$G$6)*(Combustão_Móvel!$G$6))),(K26/1000)*(_xlfn.XLOOKUP(E26,Combustão_Móvel!$A$2:$A$12,Combustão_Móvel!$D$2:$D$12))*(_xlfn.XLOOKUP(E26,Combustão_Móvel!$A$2:$A$12,Combustão_Móvel!$G$2:$G$12)))*1000</f>
        <v>4.8545308433759981E-5</v>
      </c>
      <c r="P26" s="6">
        <f>(M26+(N26*GWP_Quioto!$E$3)+(O26*GWP_Quioto!$E$6))/1000</f>
        <v>9.3696814328228463E-4</v>
      </c>
      <c r="Q26" s="6">
        <f>IF(E26="Óleo Diesel",(K26/1000)*(0.1)*(Combustão_Móvel!$D$6)*(Combustão_Móvel!$E$6),0)</f>
        <v>9.1403307273070993E-5</v>
      </c>
      <c r="R26" s="5" t="str">
        <f>IF(E26="Óleo Diesel",'Fatores de Emissão'!$A$19,'Fatores de Emissão'!$A$22)</f>
        <v>Óleo Diesel (10% Biodiesel)</v>
      </c>
      <c r="S26" s="6">
        <f>IF(E26="Óleo Diesel",(K26/1000)*((0.9*_xlfn.XLOOKUP(E26,Densidades!$A$2:$A$54,Densidades!$B$2:$B$54))+(0.1*Densidades!$B$6)),(K26/1000)*(_xlfn.XLOOKUP(E26,Densidades!$A$2:$A$54,Densidades!$B$2:$B$54)))</f>
        <v>0.32881698411986687</v>
      </c>
      <c r="T26" s="6">
        <f>(S26*(_xlfn.XLOOKUP(R26,'Fatores de Emissão'!$A$14:$A$22,'Fatores de Emissão'!$B$14:$B$22)))/1000</f>
        <v>2.5760886402917361E-4</v>
      </c>
      <c r="U26" s="6">
        <f>(S26*(_xlfn.XLOOKUP(R26,'Fatores de Emissão'!$A$14:$A$22,'Fatores de Emissão'!$C$14:$C$22)))/1000</f>
        <v>8.5315466535721541E-8</v>
      </c>
      <c r="V26" s="6">
        <f>(S26*(_xlfn.XLOOKUP(R26,'Fatores de Emissão'!$A:$A,'Fatores de Emissão'!E:E)))/1000</f>
        <v>4.6052288196991945E-8</v>
      </c>
      <c r="W26" s="6">
        <f t="shared" si="3"/>
        <v>1.1945770073114583E-3</v>
      </c>
      <c r="X26" s="6">
        <f t="shared" si="4"/>
        <v>9.148862273960671E-5</v>
      </c>
      <c r="Y26" s="6"/>
      <c r="Z26" s="6"/>
      <c r="AA26" s="6"/>
      <c r="AB26" s="6"/>
      <c r="AC26" s="6" t="s">
        <v>145</v>
      </c>
    </row>
    <row r="27" spans="1:29">
      <c r="A27" s="5" t="s">
        <v>664</v>
      </c>
      <c r="B27" s="206" t="s">
        <v>130</v>
      </c>
      <c r="C27" s="6" t="s">
        <v>143</v>
      </c>
      <c r="D27" s="93" t="s">
        <v>141</v>
      </c>
      <c r="E27" s="93" t="str">
        <f t="shared" si="0"/>
        <v>Óleo Diesel</v>
      </c>
      <c r="F27" s="7">
        <v>771</v>
      </c>
      <c r="G27" s="5" t="str">
        <f>IF(D27="Rodoviário",Combustão_Móvel!$A$32,IF(D27="Marítimo",Fatores_Marítimo!$F$30))</f>
        <v>Caminhão - caminhão (média)</v>
      </c>
      <c r="H27" s="6">
        <f>_xlfn.XLOOKUP(G27,Combustão_Móvel!$A$25:$A$40,Combustão_Móvel!$B$25:$B$40,Fatores_Marítimo!$H$30)</f>
        <v>3.8597744506341597E-2</v>
      </c>
      <c r="I27" s="6">
        <f>IF(A27="Inonibrás",SUMIFS(Industrial!F:F,Industrial!C:C,B27),IF(OR(B27="Gasolina Automotiva",B27="Óleo Diesel",B27="Acetileno"),SUMIFS('Florestal (Combustíveis)'!P:P,'Florestal (Combustíveis)'!D:D,B27,'Florestal (Combustíveis)'!A:A,A27)*Industrial!$F$6/(1000*SUM(Carbonização!$D$2:$D$4)),SUMIFS('Florestal (Fertilizantes)'!H:H,'Florestal (Fertilizantes)'!B:B,B27,'Florestal (Fertilizantes)'!A:A,A27)*Industrial!$F$6/(SUM(Carbonização!$D$2:$D$4))))</f>
        <v>1.0458523500273416E-3</v>
      </c>
      <c r="J27" s="6">
        <f t="shared" si="1"/>
        <v>0.80635216187108039</v>
      </c>
      <c r="K27" s="6">
        <f t="shared" si="2"/>
        <v>3.1123374726036164E-2</v>
      </c>
      <c r="L27" s="6" t="s">
        <v>108</v>
      </c>
      <c r="M27" s="6">
        <f>IF(E27="Óleo Diesel",(K27/1000)*(1-0.1)*(_xlfn.XLOOKUP(E27,Combustão_Móvel!$A$2:$A$12,Combustão_Móvel!$E$2:$E$12))*(_xlfn.XLOOKUP(E27,Combustão_Móvel!$A$2:$A$12,Combustão_Móvel!$D$2:$D$12)),(K27/1000)*(_xlfn.XLOOKUP(E27,Combustão_Móvel!$A$2:$A$12,Combustão_Móvel!$D$2:$D$12))*(_xlfn.XLOOKUP(E27,Combustão_Móvel!$A$2:$A$12,Combustão_Móvel!$E$2:$E$12)))*1000</f>
        <v>7.3684434047016995E-2</v>
      </c>
      <c r="N27" s="6">
        <f>IF(E27="Óleo Diesel",(K27/1000)*(1-0.1)*(_xlfn.XLOOKUP(E27,Combustão_Móvel!$A$2:$A$12,Combustão_Móvel!$F$2:$F$12))*(_xlfn.XLOOKUP(E27,Combustão_Móvel!$A$2:$A$12,Combustão_Móvel!$D$2:$D$12)),(K27/1000)*(_xlfn.XLOOKUP(E27,Combustão_Móvel!$A$2:$A$12,Combustão_Móvel!$D$2:$D$12))*(_xlfn.XLOOKUP(E27,Combustão_Móvel!$A$2:$A$12,Combustão_Móvel!$F$2:$F$12)))*1000</f>
        <v>3.8781281077377358E-6</v>
      </c>
      <c r="O27" s="6">
        <f>IF(E27="Óleo Diesel",(K27/1000)*(((1-0.1)*(_xlfn.XLOOKUP(E27,Combustão_Móvel!$A$2:$A$12,Combustão_Móvel!$G$2:$G$12))*(_xlfn.XLOOKUP(E27,Combustão_Móvel!$A$2:$A$12,Combustão_Móvel!$D$2:$D$12)))+((0.1)*(Combustão_Móvel!$G$6)*(Combustão_Móvel!$G$6))),(K27/1000)*(_xlfn.XLOOKUP(E27,Combustão_Móvel!$A$2:$A$12,Combustão_Móvel!$D$2:$D$12))*(_xlfn.XLOOKUP(E27,Combustão_Móvel!$A$2:$A$12,Combustão_Móvel!$G$2:$G$12)))*1000</f>
        <v>3.8781281088581774E-6</v>
      </c>
      <c r="P27" s="6">
        <f>(M27+(N27*GWP_Quioto!$E$3)+(O27*GWP_Quioto!$E$6))/1000</f>
        <v>7.4851362794941162E-5</v>
      </c>
      <c r="Q27" s="6">
        <f>IF(E27="Óleo Diesel",(K27/1000)*(0.1)*(Combustão_Móvel!$D$6)*(Combustão_Móvel!$E$6),0)</f>
        <v>7.3019153985184118E-6</v>
      </c>
      <c r="R27" s="5" t="str">
        <f>IF(E27="Óleo Diesel",'Fatores de Emissão'!$A$19,'Fatores de Emissão'!$A$22)</f>
        <v>Óleo Diesel (10% Biodiesel)</v>
      </c>
      <c r="S27" s="6">
        <f>IF(E27="Óleo Diesel",(K27/1000)*((0.9*_xlfn.XLOOKUP(E27,Densidades!$A$2:$A$54,Densidades!$B$2:$B$54))+(0.1*Densidades!$B$6)),(K27/1000)*(_xlfn.XLOOKUP(E27,Densidades!$A$2:$A$54,Densidades!$B$2:$B$54)))</f>
        <v>2.6268128268774522E-2</v>
      </c>
      <c r="T27" s="6">
        <f>(S27*(_xlfn.XLOOKUP(R27,'Fatores de Emissão'!$A$14:$A$22,'Fatores de Emissão'!$B$14:$B$22)))/1000</f>
        <v>2.0579541235086633E-5</v>
      </c>
      <c r="U27" s="6">
        <f>(S27*(_xlfn.XLOOKUP(R27,'Fatores de Emissão'!$A$14:$A$22,'Fatores de Emissão'!$C$14:$C$22)))/1000</f>
        <v>6.815577438219286E-9</v>
      </c>
      <c r="V27" s="6">
        <f>(S27*(_xlfn.XLOOKUP(R27,'Fatores de Emissão'!$A:$A,'Fatores de Emissão'!E:E)))/1000</f>
        <v>3.6789687633293569E-9</v>
      </c>
      <c r="W27" s="6">
        <f t="shared" si="3"/>
        <v>9.5430904030027798E-5</v>
      </c>
      <c r="X27" s="6">
        <f t="shared" si="4"/>
        <v>7.3087309759566308E-6</v>
      </c>
      <c r="Y27" s="6"/>
      <c r="Z27" s="6"/>
      <c r="AA27" s="6"/>
      <c r="AB27" s="6"/>
      <c r="AC27" s="6" t="s">
        <v>145</v>
      </c>
    </row>
    <row r="28" spans="1:29">
      <c r="A28" s="5" t="s">
        <v>664</v>
      </c>
      <c r="B28" s="206" t="s">
        <v>131</v>
      </c>
      <c r="C28" s="6" t="s">
        <v>126</v>
      </c>
      <c r="D28" s="6" t="s">
        <v>141</v>
      </c>
      <c r="E28" s="6" t="str">
        <f t="shared" si="0"/>
        <v>Óleo Diesel</v>
      </c>
      <c r="F28" s="5">
        <v>220</v>
      </c>
      <c r="G28" s="5" t="str">
        <f>IF(D28="Rodoviário",Combustão_Móvel!$A$32,IF(D28="Marítimo",Fatores_Marítimo!$F$30))</f>
        <v>Caminhão - caminhão (média)</v>
      </c>
      <c r="H28" s="6">
        <f>_xlfn.XLOOKUP(G28,Combustão_Móvel!$A$25:$A$40,Combustão_Móvel!$B$25:$B$40,Fatores_Marítimo!$H$30)</f>
        <v>3.8597744506341597E-2</v>
      </c>
      <c r="I28" s="6">
        <f>IF(A28="Inonibrás",SUMIFS(Industrial!F:F,Industrial!C:C,B28),IF(OR(B28="Gasolina Automotiva",B28="Óleo Diesel",B28="Acetileno"),SUMIFS('Florestal (Combustíveis)'!P:P,'Florestal (Combustíveis)'!D:D,B28,'Florestal (Combustíveis)'!A:A,A28)*Industrial!$F$6/(1000*SUM(Carbonização!$D$2:$D$4)),SUMIFS('Florestal (Fertilizantes)'!H:H,'Florestal (Fertilizantes)'!B:B,B28,'Florestal (Fertilizantes)'!A:A,A28)*Industrial!$F$6/(SUM(Carbonização!$D$2:$D$4))))</f>
        <v>2.8975415041984056E-2</v>
      </c>
      <c r="J28" s="6">
        <f t="shared" si="1"/>
        <v>6.3745913092364921</v>
      </c>
      <c r="K28" s="6">
        <f t="shared" si="2"/>
        <v>0.2460448466862557</v>
      </c>
      <c r="L28" s="6" t="s">
        <v>108</v>
      </c>
      <c r="M28" s="6">
        <f>IF(E28="Óleo Diesel",(K28/1000)*(1-0.1)*(_xlfn.XLOOKUP(E28,Combustão_Móvel!$A$2:$A$12,Combustão_Móvel!$E$2:$E$12))*(_xlfn.XLOOKUP(E28,Combustão_Móvel!$A$2:$A$12,Combustão_Móvel!$D$2:$D$12)),(K28/1000)*(_xlfn.XLOOKUP(E28,Combustão_Móvel!$A$2:$A$12,Combustão_Móvel!$D$2:$D$12))*(_xlfn.XLOOKUP(E28,Combustão_Móvel!$A$2:$A$12,Combustão_Móvel!$E$2:$E$12)))*1000</f>
        <v>0.58250994430547698</v>
      </c>
      <c r="N28" s="6">
        <f>IF(E28="Óleo Diesel",(K28/1000)*(1-0.1)*(_xlfn.XLOOKUP(E28,Combustão_Móvel!$A$2:$A$12,Combustão_Móvel!$F$2:$F$12))*(_xlfn.XLOOKUP(E28,Combustão_Móvel!$A$2:$A$12,Combustão_Móvel!$D$2:$D$12)),(K28/1000)*(_xlfn.XLOOKUP(E28,Combustão_Móvel!$A$2:$A$12,Combustão_Móvel!$D$2:$D$12))*(_xlfn.XLOOKUP(E28,Combustão_Móvel!$A$2:$A$12,Combustão_Móvel!$F$2:$F$12)))*1000</f>
        <v>3.0658418121340892E-5</v>
      </c>
      <c r="O28" s="6">
        <f>IF(E28="Óleo Diesel",(K28/1000)*(((1-0.1)*(_xlfn.XLOOKUP(E28,Combustão_Móvel!$A$2:$A$12,Combustão_Móvel!$G$2:$G$12))*(_xlfn.XLOOKUP(E28,Combustão_Móvel!$A$2:$A$12,Combustão_Móvel!$D$2:$D$12)))+((0.1)*(Combustão_Móvel!$G$6)*(Combustão_Móvel!$G$6))),(K28/1000)*(_xlfn.XLOOKUP(E28,Combustão_Móvel!$A$2:$A$12,Combustão_Móvel!$D$2:$D$12))*(_xlfn.XLOOKUP(E28,Combustão_Móvel!$A$2:$A$12,Combustão_Móvel!$G$2:$G$12)))*1000</f>
        <v>3.0658418130198512E-5</v>
      </c>
      <c r="P28" s="6">
        <f>(M28+(N28*GWP_Quioto!$E$3)+(O28*GWP_Quioto!$E$6))/1000</f>
        <v>5.917350623206066E-4</v>
      </c>
      <c r="Q28" s="6">
        <f>IF(E28="Óleo Diesel",(K28/1000)*(0.1)*(Combustão_Móvel!$D$6)*(Combustão_Móvel!$E$6),0)</f>
        <v>5.7725059398572656E-5</v>
      </c>
      <c r="R28" s="5" t="str">
        <f>IF(E28="Óleo Diesel",'Fatores de Emissão'!$A$19,'Fatores de Emissão'!$A$22)</f>
        <v>Óleo Diesel (10% Biodiesel)</v>
      </c>
      <c r="S28" s="6">
        <f>IF(E28="Óleo Diesel",(K28/1000)*((0.9*_xlfn.XLOOKUP(E28,Densidades!$A$2:$A$54,Densidades!$B$2:$B$54))+(0.1*Densidades!$B$6)),(K28/1000)*(_xlfn.XLOOKUP(E28,Densidades!$A$2:$A$54,Densidades!$B$2:$B$54)))</f>
        <v>0.20766185060319983</v>
      </c>
      <c r="T28" s="6">
        <f>(S28*(_xlfn.XLOOKUP(R28,'Fatores de Emissão'!$A$14:$A$22,'Fatores de Emissão'!$B$14:$B$22)))/1000</f>
        <v>1.6269090716002985E-4</v>
      </c>
      <c r="U28" s="6">
        <f>(S28*(_xlfn.XLOOKUP(R28,'Fatores de Emissão'!$A$14:$A$22,'Fatores de Emissão'!$C$14:$C$22)))/1000</f>
        <v>5.3880330157838915E-8</v>
      </c>
      <c r="V28" s="6">
        <f>(S28*(_xlfn.XLOOKUP(R28,'Fatores de Emissão'!$A:$A,'Fatores de Emissão'!E:E)))/1000</f>
        <v>2.9083970273302669E-8</v>
      </c>
      <c r="W28" s="6">
        <f t="shared" si="3"/>
        <v>7.5442596948063648E-4</v>
      </c>
      <c r="X28" s="6">
        <f t="shared" si="4"/>
        <v>5.7778939728730495E-5</v>
      </c>
      <c r="Y28" s="6"/>
      <c r="Z28" s="6"/>
      <c r="AA28" s="6"/>
      <c r="AB28" s="6"/>
      <c r="AC28" s="6" t="s">
        <v>145</v>
      </c>
    </row>
    <row r="29" spans="1:29">
      <c r="A29" s="5" t="s">
        <v>664</v>
      </c>
      <c r="B29" s="206" t="s">
        <v>132</v>
      </c>
      <c r="C29" s="6" t="s">
        <v>124</v>
      </c>
      <c r="D29" s="6" t="s">
        <v>141</v>
      </c>
      <c r="E29" s="6" t="str">
        <f t="shared" si="0"/>
        <v>Óleo Diesel</v>
      </c>
      <c r="F29" s="5">
        <v>350</v>
      </c>
      <c r="G29" s="5" t="str">
        <f>IF(D29="Rodoviário",Combustão_Móvel!$A$32,IF(D29="Marítimo",Fatores_Marítimo!$F$30))</f>
        <v>Caminhão - caminhão (média)</v>
      </c>
      <c r="H29" s="6">
        <f>_xlfn.XLOOKUP(G29,Combustão_Móvel!$A$25:$A$40,Combustão_Móvel!$B$25:$B$40,Fatores_Marítimo!$H$30)</f>
        <v>3.8597744506341597E-2</v>
      </c>
      <c r="I29" s="6">
        <f>IF(A29="Inonibrás",SUMIFS(Industrial!F:F,Industrial!C:C,B29),IF(OR(B29="Gasolina Automotiva",B29="Óleo Diesel",B29="Acetileno"),SUMIFS('Florestal (Combustíveis)'!P:P,'Florestal (Combustíveis)'!D:D,B29,'Florestal (Combustíveis)'!A:A,A29)*Industrial!$F$6/(1000*SUM(Carbonização!$D$2:$D$4)),SUMIFS('Florestal (Fertilizantes)'!H:H,'Florestal (Fertilizantes)'!B:B,B29,'Florestal (Fertilizantes)'!A:A,A29)*Industrial!$F$6/(SUM(Carbonização!$D$2:$D$4))))</f>
        <v>2.300919482799924E-4</v>
      </c>
      <c r="J29" s="6">
        <f t="shared" si="1"/>
        <v>8.0532181897997338E-2</v>
      </c>
      <c r="K29" s="6">
        <f t="shared" si="2"/>
        <v>3.108360581437129E-3</v>
      </c>
      <c r="L29" s="6" t="s">
        <v>108</v>
      </c>
      <c r="M29" s="6">
        <f>IF(E29="Óleo Diesel",(K29/1000)*(1-0.1)*(_xlfn.XLOOKUP(E29,Combustão_Móvel!$A$2:$A$12,Combustão_Móvel!$E$2:$E$12))*(_xlfn.XLOOKUP(E29,Combustão_Móvel!$A$2:$A$12,Combustão_Móvel!$D$2:$D$12)),(K29/1000)*(_xlfn.XLOOKUP(E29,Combustão_Móvel!$A$2:$A$12,Combustão_Móvel!$D$2:$D$12))*(_xlfn.XLOOKUP(E29,Combustão_Móvel!$A$2:$A$12,Combustão_Móvel!$E$2:$E$12)))*1000</f>
        <v>7.3590281347494964E-3</v>
      </c>
      <c r="N29" s="6">
        <f>IF(E29="Óleo Diesel",(K29/1000)*(1-0.1)*(_xlfn.XLOOKUP(E29,Combustão_Móvel!$A$2:$A$12,Combustão_Móvel!$F$2:$F$12))*(_xlfn.XLOOKUP(E29,Combustão_Móvel!$A$2:$A$12,Combustão_Móvel!$D$2:$D$12)),(K29/1000)*(_xlfn.XLOOKUP(E29,Combustão_Móvel!$A$2:$A$12,Combustão_Móvel!$D$2:$D$12))*(_xlfn.XLOOKUP(E29,Combustão_Móvel!$A$2:$A$12,Combustão_Móvel!$F$2:$F$12)))*1000</f>
        <v>3.8731727024997345E-7</v>
      </c>
      <c r="O29" s="6">
        <f>IF(E29="Óleo Diesel",(K29/1000)*(((1-0.1)*(_xlfn.XLOOKUP(E29,Combustão_Móvel!$A$2:$A$12,Combustão_Móvel!$G$2:$G$12))*(_xlfn.XLOOKUP(E29,Combustão_Móvel!$A$2:$A$12,Combustão_Móvel!$D$2:$D$12)))+((0.1)*(Combustão_Móvel!$G$6)*(Combustão_Móvel!$G$6))),(K29/1000)*(_xlfn.XLOOKUP(E29,Combustão_Móvel!$A$2:$A$12,Combustão_Móvel!$D$2:$D$12))*(_xlfn.XLOOKUP(E29,Combustão_Móvel!$A$2:$A$12,Combustão_Móvel!$G$2:$G$12)))*1000</f>
        <v>3.8731727036187444E-7</v>
      </c>
      <c r="P29" s="6">
        <f>(M29+(N29*GWP_Quioto!$E$3)+(O29*GWP_Quioto!$E$6))/1000</f>
        <v>7.4755719013982618E-6</v>
      </c>
      <c r="Q29" s="6">
        <f>IF(E29="Óleo Diesel",(K29/1000)*(0.1)*(Combustão_Móvel!$D$6)*(Combustão_Móvel!$E$6),0)</f>
        <v>7.2925851369055823E-7</v>
      </c>
      <c r="R29" s="5" t="str">
        <f>IF(E29="Óleo Diesel",'Fatores de Emissão'!$A$19,'Fatores de Emissão'!$A$22)</f>
        <v>Óleo Diesel (10% Biodiesel)</v>
      </c>
      <c r="S29" s="6">
        <f>IF(E29="Óleo Diesel",(K29/1000)*((0.9*_xlfn.XLOOKUP(E29,Densidades!$A$2:$A$54,Densidades!$B$2:$B$54))+(0.1*Densidades!$B$6)),(K29/1000)*(_xlfn.XLOOKUP(E29,Densidades!$A$2:$A$54,Densidades!$B$2:$B$54)))</f>
        <v>2.6234563307329368E-3</v>
      </c>
      <c r="T29" s="6">
        <f>(S29*(_xlfn.XLOOKUP(R29,'Fatores de Emissão'!$A$14:$A$22,'Fatores de Emissão'!$B$14:$B$22)))/1000</f>
        <v>2.0553245052083158E-6</v>
      </c>
      <c r="U29" s="6">
        <f>(S29*(_xlfn.XLOOKUP(R29,'Fatores de Emissão'!$A$14:$A$22,'Fatores de Emissão'!$C$14:$C$22)))/1000</f>
        <v>6.806868610867767E-10</v>
      </c>
      <c r="V29" s="6">
        <f>(S29*(_xlfn.XLOOKUP(R29,'Fatores de Emissão'!$A:$A,'Fatores de Emissão'!E:E)))/1000</f>
        <v>3.6742678404681775E-10</v>
      </c>
      <c r="W29" s="6">
        <f t="shared" si="3"/>
        <v>9.5308964066065785E-6</v>
      </c>
      <c r="X29" s="6">
        <f t="shared" si="4"/>
        <v>7.2993920055164502E-7</v>
      </c>
      <c r="Y29" s="6"/>
      <c r="Z29" s="6"/>
      <c r="AA29" s="6"/>
      <c r="AB29" s="6"/>
      <c r="AC29" s="6" t="s">
        <v>145</v>
      </c>
    </row>
    <row r="30" spans="1:29">
      <c r="A30" s="5" t="s">
        <v>18</v>
      </c>
      <c r="B30" s="206" t="s">
        <v>57</v>
      </c>
      <c r="C30" s="6" t="s">
        <v>133</v>
      </c>
      <c r="D30" s="6" t="s">
        <v>141</v>
      </c>
      <c r="E30" s="6" t="str">
        <f t="shared" si="0"/>
        <v>Óleo Diesel</v>
      </c>
      <c r="F30" s="5">
        <v>311</v>
      </c>
      <c r="G30" s="5" t="str">
        <f>IF(D30="Rodoviário",Combustão_Móvel!$A$32,IF(D30="Marítimo",Fatores_Marítimo!$F$30))</f>
        <v>Caminhão - caminhão (média)</v>
      </c>
      <c r="H30" s="6">
        <f>_xlfn.XLOOKUP(G30,Combustão_Móvel!$A$25:$A$40,Combustão_Móvel!$B$25:$B$40,Fatores_Marítimo!$H$30)</f>
        <v>3.8597744506341597E-2</v>
      </c>
      <c r="I30" s="6">
        <f>IF(A30="Inonibrás",SUMIFS(Industrial!F:F,Industrial!C:C,B30),IF(OR(B30="Gasolina Automotiva",B30="Óleo Diesel",B30="Acetileno"),SUMIFS('Florestal (Combustíveis)'!P:P,'Florestal (Combustíveis)'!D:D,B30,'Florestal (Combustíveis)'!A:A,A30)*Industrial!$F$6/(1000*SUM(Carbonização!$D$2:$D$4)),SUMIFS('Florestal (Fertilizantes)'!H:H,'Florestal (Fertilizantes)'!B:B,B30,'Florestal (Fertilizantes)'!A:A,A30)*Industrial!$F$6/(SUM(Carbonização!$D$2:$D$4))))</f>
        <v>7.4965710517235972E-3</v>
      </c>
      <c r="J30" s="6">
        <f t="shared" si="1"/>
        <v>2.3314335970860389</v>
      </c>
      <c r="K30" s="6">
        <f t="shared" si="2"/>
        <v>8.9988078313827893E-2</v>
      </c>
      <c r="L30" s="6" t="s">
        <v>108</v>
      </c>
      <c r="M30" s="6">
        <f>IF(E30="Óleo Diesel",(K30/1000)*(1-0.1)*(_xlfn.XLOOKUP(E30,Combustão_Móvel!$A$2:$A$12,Combustão_Móvel!$E$2:$E$12))*(_xlfn.XLOOKUP(E30,Combustão_Móvel!$A$2:$A$12,Combustão_Móvel!$D$2:$D$12)),(K30/1000)*(_xlfn.XLOOKUP(E30,Combustão_Móvel!$A$2:$A$12,Combustão_Móvel!$D$2:$D$12))*(_xlfn.XLOOKUP(E30,Combustão_Móvel!$A$2:$A$12,Combustão_Móvel!$E$2:$E$12)))*1000</f>
        <v>0.21304632546759597</v>
      </c>
      <c r="N30" s="6">
        <f>IF(E30="Óleo Diesel",(K30/1000)*(1-0.1)*(_xlfn.XLOOKUP(E30,Combustão_Móvel!$A$2:$A$12,Combustão_Móvel!$F$2:$F$12))*(_xlfn.XLOOKUP(E30,Combustão_Móvel!$A$2:$A$12,Combustão_Móvel!$D$2:$D$12)),(K30/1000)*(_xlfn.XLOOKUP(E30,Combustão_Móvel!$A$2:$A$12,Combustão_Móvel!$D$2:$D$12))*(_xlfn.XLOOKUP(E30,Combustão_Móvel!$A$2:$A$12,Combustão_Móvel!$F$2:$F$12)))*1000</f>
        <v>1.1212964498294525E-5</v>
      </c>
      <c r="O30" s="6">
        <f>IF(E30="Óleo Diesel",(K30/1000)*(((1-0.1)*(_xlfn.XLOOKUP(E30,Combustão_Móvel!$A$2:$A$12,Combustão_Móvel!$G$2:$G$12))*(_xlfn.XLOOKUP(E30,Combustão_Móvel!$A$2:$A$12,Combustão_Móvel!$D$2:$D$12)))+((0.1)*(Combustão_Móvel!$G$6)*(Combustão_Móvel!$G$6))),(K30/1000)*(_xlfn.XLOOKUP(E30,Combustão_Móvel!$A$2:$A$12,Combustão_Móvel!$D$2:$D$12))*(_xlfn.XLOOKUP(E30,Combustão_Móvel!$A$2:$A$12,Combustão_Móvel!$G$2:$G$12)))*1000</f>
        <v>1.1212964501534096E-5</v>
      </c>
      <c r="P30" s="6">
        <f>(M30+(N30*GWP_Quioto!$E$3)+(O30*GWP_Quioto!$E$6))/1000</f>
        <v>2.1642030648601717E-4</v>
      </c>
      <c r="Q30" s="6">
        <f>IF(E30="Óleo Diesel",(K30/1000)*(0.1)*(Combustão_Móvel!$D$6)*(Combustão_Móvel!$E$6),0)</f>
        <v>2.1112277846050479E-5</v>
      </c>
      <c r="R30" s="5" t="str">
        <f>IF(E30="Óleo Diesel",'Fatores de Emissão'!$A$19,'Fatores de Emissão'!$A$22)</f>
        <v>Óleo Diesel (10% Biodiesel)</v>
      </c>
      <c r="S30" s="6">
        <f>IF(E30="Óleo Diesel",(K30/1000)*((0.9*_xlfn.XLOOKUP(E30,Densidades!$A$2:$A$54,Densidades!$B$2:$B$54))+(0.1*Densidades!$B$6)),(K30/1000)*(_xlfn.XLOOKUP(E30,Densidades!$A$2:$A$54,Densidades!$B$2:$B$54)))</f>
        <v>7.5949938096870742E-2</v>
      </c>
      <c r="T30" s="6">
        <f>(S30*(_xlfn.XLOOKUP(R30,'Fatores de Emissão'!$A$14:$A$22,'Fatores de Emissão'!$B$14:$B$22)))/1000</f>
        <v>5.9502331756344348E-5</v>
      </c>
      <c r="U30" s="6">
        <f>(S30*(_xlfn.XLOOKUP(R30,'Fatores de Emissão'!$A$14:$A$22,'Fatores de Emissão'!$C$14:$C$22)))/1000</f>
        <v>1.9706112260100251E-8</v>
      </c>
      <c r="V30" s="6">
        <f>(S30*(_xlfn.XLOOKUP(R30,'Fatores de Emissão'!$A:$A,'Fatores de Emissão'!E:E)))/1000</f>
        <v>1.0637128271043781E-8</v>
      </c>
      <c r="W30" s="6">
        <f t="shared" si="3"/>
        <v>2.7592263824236153E-4</v>
      </c>
      <c r="X30" s="6">
        <f t="shared" si="4"/>
        <v>2.113198395831058E-5</v>
      </c>
      <c r="Y30" s="6"/>
      <c r="Z30" s="6"/>
      <c r="AA30" s="6"/>
      <c r="AB30" s="6"/>
      <c r="AC30" s="6" t="s">
        <v>145</v>
      </c>
    </row>
    <row r="31" spans="1:29">
      <c r="A31" s="5" t="s">
        <v>18</v>
      </c>
      <c r="B31" s="206" t="s">
        <v>58</v>
      </c>
      <c r="C31" s="6" t="s">
        <v>134</v>
      </c>
      <c r="D31" s="6" t="s">
        <v>141</v>
      </c>
      <c r="E31" s="6" t="str">
        <f t="shared" si="0"/>
        <v>Óleo Diesel</v>
      </c>
      <c r="F31" s="5">
        <v>458</v>
      </c>
      <c r="G31" s="5" t="str">
        <f>IF(D31="Rodoviário",Combustão_Móvel!$A$32,IF(D31="Marítimo",Fatores_Marítimo!$F$30))</f>
        <v>Caminhão - caminhão (média)</v>
      </c>
      <c r="H31" s="6">
        <f>_xlfn.XLOOKUP(G31,Combustão_Móvel!$A$25:$A$40,Combustão_Móvel!$B$25:$B$40,Fatores_Marítimo!$H$30)</f>
        <v>3.8597744506341597E-2</v>
      </c>
      <c r="I31" s="6">
        <f>IF(A31="Inonibrás",SUMIFS(Industrial!F:F,Industrial!C:C,B31),IF(OR(B31="Gasolina Automotiva",B31="Óleo Diesel",B31="Acetileno"),SUMIFS('Florestal (Combustíveis)'!P:P,'Florestal (Combustíveis)'!D:D,B31,'Florestal (Combustíveis)'!A:A,A31)*Industrial!$F$6/(1000*SUM(Carbonização!$D$2:$D$4)),SUMIFS('Florestal (Fertilizantes)'!H:H,'Florestal (Fertilizantes)'!B:B,B31,'Florestal (Fertilizantes)'!A:A,A31)*Industrial!$F$6/(SUM(Carbonização!$D$2:$D$4))))</f>
        <v>3.0883761022945808E-2</v>
      </c>
      <c r="J31" s="6">
        <f t="shared" si="1"/>
        <v>14.144762548509179</v>
      </c>
      <c r="K31" s="6">
        <f t="shared" si="2"/>
        <v>0.54595593095022654</v>
      </c>
      <c r="L31" s="6" t="s">
        <v>108</v>
      </c>
      <c r="M31" s="6">
        <f>IF(E31="Óleo Diesel",(K31/1000)*(1-0.1)*(_xlfn.XLOOKUP(E31,Combustão_Móvel!$A$2:$A$12,Combustão_Móvel!$E$2:$E$12))*(_xlfn.XLOOKUP(E31,Combustão_Móvel!$A$2:$A$12,Combustão_Móvel!$D$2:$D$12)),(K31/1000)*(_xlfn.XLOOKUP(E31,Combustão_Móvel!$A$2:$A$12,Combustão_Móvel!$D$2:$D$12))*(_xlfn.XLOOKUP(E31,Combustão_Móvel!$A$2:$A$12,Combustão_Móvel!$E$2:$E$12)))*1000</f>
        <v>1.2925479367450066</v>
      </c>
      <c r="N31" s="6">
        <f>IF(E31="Óleo Diesel",(K31/1000)*(1-0.1)*(_xlfn.XLOOKUP(E31,Combustão_Móvel!$A$2:$A$12,Combustão_Móvel!$F$2:$F$12))*(_xlfn.XLOOKUP(E31,Combustão_Móvel!$A$2:$A$12,Combustão_Móvel!$D$2:$D$12)),(K31/1000)*(_xlfn.XLOOKUP(E31,Combustão_Móvel!$A$2:$A$12,Combustão_Móvel!$D$2:$D$12))*(_xlfn.XLOOKUP(E31,Combustão_Móvel!$A$2:$A$12,Combustão_Móvel!$F$2:$F$12)))*1000</f>
        <v>6.8028838776052974E-5</v>
      </c>
      <c r="O31" s="6">
        <f>IF(E31="Óleo Diesel",(K31/1000)*(((1-0.1)*(_xlfn.XLOOKUP(E31,Combustão_Móvel!$A$2:$A$12,Combustão_Móvel!$G$2:$G$12))*(_xlfn.XLOOKUP(E31,Combustão_Móvel!$A$2:$A$12,Combustão_Móvel!$D$2:$D$12)))+((0.1)*(Combustão_Móvel!$G$6)*(Combustão_Móvel!$G$6))),(K31/1000)*(_xlfn.XLOOKUP(E31,Combustão_Móvel!$A$2:$A$12,Combustão_Móvel!$D$2:$D$12))*(_xlfn.XLOOKUP(E31,Combustão_Móvel!$A$2:$A$12,Combustão_Móvel!$G$2:$G$12)))*1000</f>
        <v>6.8028838795707378E-5</v>
      </c>
      <c r="P31" s="6">
        <f>(M31+(N31*GWP_Quioto!$E$3)+(O31*GWP_Quioto!$E$6))/1000</f>
        <v>1.3130178143380866E-3</v>
      </c>
      <c r="Q31" s="6">
        <f>IF(E31="Óleo Diesel",(K31/1000)*(0.1)*(Combustão_Móvel!$D$6)*(Combustão_Móvel!$E$6),0)</f>
        <v>1.2808778142503293E-4</v>
      </c>
      <c r="R31" s="5" t="str">
        <f>IF(E31="Óleo Diesel",'Fatores de Emissão'!$A$19,'Fatores de Emissão'!$A$22)</f>
        <v>Óleo Diesel (10% Biodiesel)</v>
      </c>
      <c r="S31" s="6">
        <f>IF(E31="Óleo Diesel",(K31/1000)*((0.9*_xlfn.XLOOKUP(E31,Densidades!$A$2:$A$54,Densidades!$B$2:$B$54))+(0.1*Densidades!$B$6)),(K31/1000)*(_xlfn.XLOOKUP(E31,Densidades!$A$2:$A$54,Densidades!$B$2:$B$54)))</f>
        <v>0.46078680572199116</v>
      </c>
      <c r="T31" s="6">
        <f>(S31*(_xlfn.XLOOKUP(R31,'Fatores de Emissão'!$A$14:$A$22,'Fatores de Emissão'!$B$14:$B$22)))/1000</f>
        <v>3.6099949611605766E-4</v>
      </c>
      <c r="U31" s="6">
        <f>(S31*(_xlfn.XLOOKUP(R31,'Fatores de Emissão'!$A$14:$A$22,'Fatores de Emissão'!$C$14:$C$22)))/1000</f>
        <v>1.1955660200735156E-7</v>
      </c>
      <c r="V31" s="6">
        <f>(S31*(_xlfn.XLOOKUP(R31,'Fatores de Emissão'!$A:$A,'Fatores de Emissão'!E:E)))/1000</f>
        <v>6.453525152078165E-8</v>
      </c>
      <c r="W31" s="6">
        <f t="shared" si="3"/>
        <v>1.6740173104541442E-3</v>
      </c>
      <c r="X31" s="6">
        <f t="shared" si="4"/>
        <v>1.2820733802704028E-4</v>
      </c>
      <c r="Y31" s="6"/>
      <c r="Z31" s="6"/>
      <c r="AA31" s="6"/>
      <c r="AB31" s="6"/>
      <c r="AC31" s="6" t="s">
        <v>145</v>
      </c>
    </row>
    <row r="32" spans="1:29">
      <c r="A32" s="5" t="s">
        <v>18</v>
      </c>
      <c r="B32" s="206" t="s">
        <v>62</v>
      </c>
      <c r="C32" s="6" t="s">
        <v>134</v>
      </c>
      <c r="D32" s="6" t="s">
        <v>141</v>
      </c>
      <c r="E32" s="6" t="str">
        <f t="shared" si="0"/>
        <v>Óleo Diesel</v>
      </c>
      <c r="F32" s="5">
        <v>458</v>
      </c>
      <c r="G32" s="5" t="str">
        <f>IF(D32="Rodoviário",Combustão_Móvel!$A$32,IF(D32="Marítimo",Fatores_Marítimo!$F$30))</f>
        <v>Caminhão - caminhão (média)</v>
      </c>
      <c r="H32" s="6">
        <f>_xlfn.XLOOKUP(G32,Combustão_Móvel!$A$25:$A$40,Combustão_Móvel!$B$25:$B$40,Fatores_Marítimo!$H$30)</f>
        <v>3.8597744506341597E-2</v>
      </c>
      <c r="I32" s="6">
        <f>IF(A32="Inonibrás",SUMIFS(Industrial!F:F,Industrial!C:C,B32),IF(OR(B32="Gasolina Automotiva",B32="Óleo Diesel",B32="Acetileno"),SUMIFS('Florestal (Combustíveis)'!P:P,'Florestal (Combustíveis)'!D:D,B32,'Florestal (Combustíveis)'!A:A,A32)*Industrial!$F$6/(1000*SUM(Carbonização!$D$2:$D$4)),SUMIFS('Florestal (Fertilizantes)'!H:H,'Florestal (Fertilizantes)'!B:B,B32,'Florestal (Fertilizantes)'!A:A,A32)*Industrial!$F$6/(SUM(Carbonização!$D$2:$D$4))))</f>
        <v>1.8477463859882106E-2</v>
      </c>
      <c r="J32" s="6">
        <f t="shared" si="1"/>
        <v>8.4626784478260042</v>
      </c>
      <c r="K32" s="6">
        <f t="shared" si="2"/>
        <v>0.32664030056851157</v>
      </c>
      <c r="L32" s="6" t="s">
        <v>108</v>
      </c>
      <c r="M32" s="6">
        <f>IF(E32="Óleo Diesel",(K32/1000)*(1-0.1)*(_xlfn.XLOOKUP(E32,Combustão_Móvel!$A$2:$A$12,Combustão_Móvel!$E$2:$E$12))*(_xlfn.XLOOKUP(E32,Combustão_Móvel!$A$2:$A$12,Combustão_Móvel!$D$2:$D$12)),(K32/1000)*(_xlfn.XLOOKUP(E32,Combustão_Móvel!$A$2:$A$12,Combustão_Móvel!$D$2:$D$12))*(_xlfn.XLOOKUP(E32,Combustão_Móvel!$A$2:$A$12,Combustão_Móvel!$E$2:$E$12)))*1000</f>
        <v>0.77331927839444814</v>
      </c>
      <c r="N32" s="6">
        <f>IF(E32="Óleo Diesel",(K32/1000)*(1-0.1)*(_xlfn.XLOOKUP(E32,Combustão_Móvel!$A$2:$A$12,Combustão_Móvel!$F$2:$F$12))*(_xlfn.XLOOKUP(E32,Combustão_Móvel!$A$2:$A$12,Combustão_Móvel!$D$2:$D$12)),(K32/1000)*(_xlfn.XLOOKUP(E32,Combustão_Móvel!$A$2:$A$12,Combustão_Móvel!$D$2:$D$12))*(_xlfn.XLOOKUP(E32,Combustão_Móvel!$A$2:$A$12,Combustão_Móvel!$F$2:$F$12)))*1000</f>
        <v>4.0701014652339382E-5</v>
      </c>
      <c r="O32" s="6">
        <f>IF(E32="Óleo Diesel",(K32/1000)*(((1-0.1)*(_xlfn.XLOOKUP(E32,Combustão_Móvel!$A$2:$A$12,Combustão_Móvel!$G$2:$G$12))*(_xlfn.XLOOKUP(E32,Combustão_Móvel!$A$2:$A$12,Combustão_Móvel!$D$2:$D$12)))+((0.1)*(Combustão_Móvel!$G$6)*(Combustão_Móvel!$G$6))),(K32/1000)*(_xlfn.XLOOKUP(E32,Combustão_Móvel!$A$2:$A$12,Combustão_Móvel!$D$2:$D$12))*(_xlfn.XLOOKUP(E32,Combustão_Móvel!$A$2:$A$12,Combustão_Móvel!$G$2:$G$12)))*1000</f>
        <v>4.0701014664098436E-5</v>
      </c>
      <c r="P32" s="6">
        <f>(M32+(N32*GWP_Quioto!$E$3)+(O32*GWP_Quioto!$E$6))/1000</f>
        <v>7.8556621370654738E-4</v>
      </c>
      <c r="Q32" s="6">
        <f>IF(E32="Óleo Diesel",(K32/1000)*(0.1)*(Combustão_Móvel!$D$6)*(Combustão_Móvel!$E$6),0)</f>
        <v>7.6633715382498312E-5</v>
      </c>
      <c r="R32" s="5" t="str">
        <f>IF(E32="Óleo Diesel",'Fatores de Emissão'!$A$19,'Fatores de Emissão'!$A$22)</f>
        <v>Óleo Diesel (10% Biodiesel)</v>
      </c>
      <c r="S32" s="6">
        <f>IF(E32="Óleo Diesel",(K32/1000)*((0.9*_xlfn.XLOOKUP(E32,Densidades!$A$2:$A$54,Densidades!$B$2:$B$54))+(0.1*Densidades!$B$6)),(K32/1000)*(_xlfn.XLOOKUP(E32,Densidades!$A$2:$A$54,Densidades!$B$2:$B$54)))</f>
        <v>0.27568441367982377</v>
      </c>
      <c r="T32" s="6">
        <f>(S32*(_xlfn.XLOOKUP(R32,'Fatores de Emissão'!$A$14:$A$22,'Fatores de Emissão'!$B$14:$B$22)))/1000</f>
        <v>2.1598260451388064E-4</v>
      </c>
      <c r="U32" s="6">
        <f>(S32*(_xlfn.XLOOKUP(R32,'Fatores de Emissão'!$A$14:$A$22,'Fatores de Emissão'!$C$14:$C$22)))/1000</f>
        <v>7.1529590944569308E-8</v>
      </c>
      <c r="V32" s="6">
        <f>(S32*(_xlfn.XLOOKUP(R32,'Fatores de Emissão'!$A:$A,'Fatores de Emissão'!E:E)))/1000</f>
        <v>3.8610834243202701E-8</v>
      </c>
      <c r="W32" s="6">
        <f t="shared" si="3"/>
        <v>1.0015488182204279E-3</v>
      </c>
      <c r="X32" s="6">
        <f t="shared" si="4"/>
        <v>7.6705244973442876E-5</v>
      </c>
      <c r="Y32" s="6"/>
      <c r="Z32" s="6"/>
      <c r="AA32" s="6"/>
      <c r="AB32" s="6"/>
      <c r="AC32" s="6" t="s">
        <v>145</v>
      </c>
    </row>
    <row r="33" spans="1:29">
      <c r="A33" s="5" t="s">
        <v>18</v>
      </c>
      <c r="B33" s="206" t="s">
        <v>67</v>
      </c>
      <c r="C33" s="6" t="s">
        <v>133</v>
      </c>
      <c r="D33" s="6" t="s">
        <v>141</v>
      </c>
      <c r="E33" s="6" t="str">
        <f t="shared" si="0"/>
        <v>Óleo Diesel</v>
      </c>
      <c r="F33" s="5">
        <v>311</v>
      </c>
      <c r="G33" s="5" t="str">
        <f>IF(D33="Rodoviário",Combustão_Móvel!$A$32,IF(D33="Marítimo",Fatores_Marítimo!$F$30))</f>
        <v>Caminhão - caminhão (média)</v>
      </c>
      <c r="H33" s="6">
        <f>_xlfn.XLOOKUP(G33,Combustão_Móvel!$A$25:$A$40,Combustão_Móvel!$B$25:$B$40,Fatores_Marítimo!$H$30)</f>
        <v>3.8597744506341597E-2</v>
      </c>
      <c r="I33" s="6">
        <f>IF(A33="Inonibrás",SUMIFS(Industrial!F:F,Industrial!C:C,B33),IF(OR(B33="Gasolina Automotiva",B33="Óleo Diesel",B33="Acetileno"),SUMIFS('Florestal (Combustíveis)'!P:P,'Florestal (Combustíveis)'!D:D,B33,'Florestal (Combustíveis)'!A:A,A33)*Industrial!$F$6/(1000*SUM(Carbonização!$D$2:$D$4)),SUMIFS('Florestal (Fertilizantes)'!H:H,'Florestal (Fertilizantes)'!B:B,B33,'Florestal (Fertilizantes)'!A:A,A33)*Industrial!$F$6/(SUM(Carbonização!$D$2:$D$4))))</f>
        <v>0</v>
      </c>
      <c r="J33" s="6">
        <f t="shared" si="1"/>
        <v>0</v>
      </c>
      <c r="K33" s="6">
        <f t="shared" si="2"/>
        <v>0</v>
      </c>
      <c r="L33" s="6" t="s">
        <v>108</v>
      </c>
      <c r="M33" s="6">
        <f>IF(E33="Óleo Diesel",(K33/1000)*(1-0.1)*(_xlfn.XLOOKUP(E33,Combustão_Móvel!$A$2:$A$12,Combustão_Móvel!$E$2:$E$12))*(_xlfn.XLOOKUP(E33,Combustão_Móvel!$A$2:$A$12,Combustão_Móvel!$D$2:$D$12)),(K33/1000)*(_xlfn.XLOOKUP(E33,Combustão_Móvel!$A$2:$A$12,Combustão_Móvel!$D$2:$D$12))*(_xlfn.XLOOKUP(E33,Combustão_Móvel!$A$2:$A$12,Combustão_Móvel!$E$2:$E$12)))*1000</f>
        <v>0</v>
      </c>
      <c r="N33" s="6">
        <f>IF(E33="Óleo Diesel",(K33/1000)*(1-0.1)*(_xlfn.XLOOKUP(E33,Combustão_Móvel!$A$2:$A$12,Combustão_Móvel!$F$2:$F$12))*(_xlfn.XLOOKUP(E33,Combustão_Móvel!$A$2:$A$12,Combustão_Móvel!$D$2:$D$12)),(K33/1000)*(_xlfn.XLOOKUP(E33,Combustão_Móvel!$A$2:$A$12,Combustão_Móvel!$D$2:$D$12))*(_xlfn.XLOOKUP(E33,Combustão_Móvel!$A$2:$A$12,Combustão_Móvel!$F$2:$F$12)))*1000</f>
        <v>0</v>
      </c>
      <c r="O33" s="6">
        <f>IF(E33="Óleo Diesel",(K33/1000)*(((1-0.1)*(_xlfn.XLOOKUP(E33,Combustão_Móvel!$A$2:$A$12,Combustão_Móvel!$G$2:$G$12))*(_xlfn.XLOOKUP(E33,Combustão_Móvel!$A$2:$A$12,Combustão_Móvel!$D$2:$D$12)))+((0.1)*(Combustão_Móvel!$G$6)*(Combustão_Móvel!$G$6))),(K33/1000)*(_xlfn.XLOOKUP(E33,Combustão_Móvel!$A$2:$A$12,Combustão_Móvel!$D$2:$D$12))*(_xlfn.XLOOKUP(E33,Combustão_Móvel!$A$2:$A$12,Combustão_Móvel!$G$2:$G$12)))*1000</f>
        <v>0</v>
      </c>
      <c r="P33" s="6">
        <f>(M33+(N33*GWP_Quioto!$E$3)+(O33*GWP_Quioto!$E$6))/1000</f>
        <v>0</v>
      </c>
      <c r="Q33" s="6">
        <f>IF(E33="Óleo Diesel",(K33/1000)*(0.1)*(Combustão_Móvel!$D$6)*(Combustão_Móvel!$E$6),0)</f>
        <v>0</v>
      </c>
      <c r="R33" s="5" t="str">
        <f>IF(E33="Óleo Diesel",'Fatores de Emissão'!$A$19,'Fatores de Emissão'!$A$22)</f>
        <v>Óleo Diesel (10% Biodiesel)</v>
      </c>
      <c r="S33" s="6">
        <f>IF(E33="Óleo Diesel",(K33/1000)*((0.9*_xlfn.XLOOKUP(E33,Densidades!$A$2:$A$54,Densidades!$B$2:$B$54))+(0.1*Densidades!$B$6)),(K33/1000)*(_xlfn.XLOOKUP(E33,Densidades!$A$2:$A$54,Densidades!$B$2:$B$54)))</f>
        <v>0</v>
      </c>
      <c r="T33" s="6">
        <f>(S33*(_xlfn.XLOOKUP(R33,'Fatores de Emissão'!$A$14:$A$22,'Fatores de Emissão'!$B$14:$B$22)))/1000</f>
        <v>0</v>
      </c>
      <c r="U33" s="6">
        <f>(S33*(_xlfn.XLOOKUP(R33,'Fatores de Emissão'!$A$14:$A$22,'Fatores de Emissão'!$C$14:$C$22)))/1000</f>
        <v>0</v>
      </c>
      <c r="V33" s="6">
        <f>(S33*(_xlfn.XLOOKUP(R33,'Fatores de Emissão'!$A:$A,'Fatores de Emissão'!E:E)))/1000</f>
        <v>0</v>
      </c>
      <c r="W33" s="6">
        <f t="shared" si="3"/>
        <v>0</v>
      </c>
      <c r="X33" s="6">
        <f t="shared" si="4"/>
        <v>0</v>
      </c>
      <c r="Y33" s="6"/>
      <c r="Z33" s="6"/>
      <c r="AA33" s="6"/>
      <c r="AB33" s="6"/>
      <c r="AC33" s="6" t="s">
        <v>145</v>
      </c>
    </row>
    <row r="34" spans="1:29">
      <c r="A34" s="5" t="s">
        <v>18</v>
      </c>
      <c r="B34" s="206" t="s">
        <v>52</v>
      </c>
      <c r="C34" s="6" t="s">
        <v>134</v>
      </c>
      <c r="D34" s="6" t="s">
        <v>141</v>
      </c>
      <c r="E34" s="6" t="str">
        <f t="shared" si="0"/>
        <v>Óleo Diesel</v>
      </c>
      <c r="F34" s="5">
        <v>458</v>
      </c>
      <c r="G34" s="5" t="str">
        <f>IF(D34="Rodoviário",Combustão_Móvel!$A$32,IF(D34="Marítimo",Fatores_Marítimo!$F$30))</f>
        <v>Caminhão - caminhão (média)</v>
      </c>
      <c r="H34" s="6">
        <f>_xlfn.XLOOKUP(G34,Combustão_Móvel!$A$25:$A$40,Combustão_Móvel!$B$25:$B$40,Fatores_Marítimo!$H$30)</f>
        <v>3.8597744506341597E-2</v>
      </c>
      <c r="I34" s="6">
        <f>IF(A34="Inonibrás",SUMIFS(Industrial!F:F,Industrial!C:C,B34),IF(OR(B34="Gasolina Automotiva",B34="Óleo Diesel",B34="Acetileno"),SUMIFS('Florestal (Combustíveis)'!P:P,'Florestal (Combustíveis)'!D:D,B34,'Florestal (Combustíveis)'!A:A,A34)*Industrial!$F$6/(1000*SUM(Carbonização!$D$2:$D$4)),SUMIFS('Florestal (Fertilizantes)'!H:H,'Florestal (Fertilizantes)'!B:B,B34,'Florestal (Fertilizantes)'!A:A,A34)*Industrial!$F$6/(SUM(Carbonização!$D$2:$D$4))))</f>
        <v>3.3048263932246282E-2</v>
      </c>
      <c r="J34" s="6">
        <f t="shared" si="1"/>
        <v>15.136104880968796</v>
      </c>
      <c r="K34" s="6">
        <f t="shared" si="2"/>
        <v>0.58421950901682362</v>
      </c>
      <c r="L34" s="6" t="s">
        <v>108</v>
      </c>
      <c r="M34" s="6">
        <f>IF(E34="Óleo Diesel",(K34/1000)*(1-0.1)*(_xlfn.XLOOKUP(E34,Combustão_Móvel!$A$2:$A$12,Combustão_Móvel!$E$2:$E$12))*(_xlfn.XLOOKUP(E34,Combustão_Móvel!$A$2:$A$12,Combustão_Móvel!$D$2:$D$12)),(K34/1000)*(_xlfn.XLOOKUP(E34,Combustão_Móvel!$A$2:$A$12,Combustão_Móvel!$D$2:$D$12))*(_xlfn.XLOOKUP(E34,Combustão_Móvel!$A$2:$A$12,Combustão_Móvel!$E$2:$E$12)))*1000</f>
        <v>1.3831367664997847</v>
      </c>
      <c r="N34" s="6">
        <f>IF(E34="Óleo Diesel",(K34/1000)*(1-0.1)*(_xlfn.XLOOKUP(E34,Combustão_Móvel!$A$2:$A$12,Combustão_Móvel!$F$2:$F$12))*(_xlfn.XLOOKUP(E34,Combustão_Móvel!$A$2:$A$12,Combustão_Móvel!$D$2:$D$12)),(K34/1000)*(_xlfn.XLOOKUP(E34,Combustão_Móvel!$A$2:$A$12,Combustão_Móvel!$D$2:$D$12))*(_xlfn.XLOOKUP(E34,Combustão_Móvel!$A$2:$A$12,Combustão_Móvel!$F$2:$F$12)))*1000</f>
        <v>7.2796671921041307E-5</v>
      </c>
      <c r="O34" s="6">
        <f>IF(E34="Óleo Diesel",(K34/1000)*(((1-0.1)*(_xlfn.XLOOKUP(E34,Combustão_Móvel!$A$2:$A$12,Combustão_Móvel!$G$2:$G$12))*(_xlfn.XLOOKUP(E34,Combustão_Móvel!$A$2:$A$12,Combustão_Móvel!$D$2:$D$12)))+((0.1)*(Combustão_Móvel!$G$6)*(Combustão_Móvel!$G$6))),(K34/1000)*(_xlfn.XLOOKUP(E34,Combustão_Móvel!$A$2:$A$12,Combustão_Móvel!$D$2:$D$12))*(_xlfn.XLOOKUP(E34,Combustão_Móvel!$A$2:$A$12,Combustão_Móvel!$G$2:$G$12)))*1000</f>
        <v>7.2796671942073216E-5</v>
      </c>
      <c r="P34" s="6">
        <f>(M34+(N34*GWP_Quioto!$E$3)+(O34*GWP_Quioto!$E$6))/1000</f>
        <v>1.4050412850865677E-3</v>
      </c>
      <c r="Q34" s="6">
        <f>IF(E34="Óleo Diesel",(K34/1000)*(0.1)*(Combustão_Móvel!$D$6)*(Combustão_Móvel!$E$6),0)</f>
        <v>1.3706487379841131E-4</v>
      </c>
      <c r="R34" s="5" t="str">
        <f>IF(E34="Óleo Diesel",'Fatores de Emissão'!$A$19,'Fatores de Emissão'!$A$22)</f>
        <v>Óleo Diesel (10% Biodiesel)</v>
      </c>
      <c r="S34" s="6">
        <f>IF(E34="Óleo Diesel",(K34/1000)*((0.9*_xlfn.XLOOKUP(E34,Densidades!$A$2:$A$54,Densidades!$B$2:$B$54))+(0.1*Densidades!$B$6)),(K34/1000)*(_xlfn.XLOOKUP(E34,Densidades!$A$2:$A$54,Densidades!$B$2:$B$54)))</f>
        <v>0.49308126561019916</v>
      </c>
      <c r="T34" s="6">
        <f>(S34*(_xlfn.XLOOKUP(R34,'Fatores de Emissão'!$A$14:$A$22,'Fatores de Emissão'!$B$14:$B$22)))/1000</f>
        <v>3.863003155019694E-4</v>
      </c>
      <c r="U34" s="6">
        <f>(S34*(_xlfn.XLOOKUP(R34,'Fatores de Emissão'!$A$14:$A$22,'Fatores de Emissão'!$C$14:$C$22)))/1000</f>
        <v>1.2793578266085827E-7</v>
      </c>
      <c r="V34" s="6">
        <f>(S34*(_xlfn.XLOOKUP(R34,'Fatores de Emissão'!$A:$A,'Fatores de Emissão'!E:E)))/1000</f>
        <v>6.9058234960699684E-8</v>
      </c>
      <c r="W34" s="6">
        <f t="shared" si="3"/>
        <v>1.7913416005885371E-3</v>
      </c>
      <c r="X34" s="6">
        <f t="shared" si="4"/>
        <v>1.3719280958107217E-4</v>
      </c>
      <c r="Y34" s="6"/>
      <c r="Z34" s="6"/>
      <c r="AA34" s="6"/>
      <c r="AB34" s="6"/>
      <c r="AC34" s="6" t="s">
        <v>145</v>
      </c>
    </row>
    <row r="35" spans="1:29">
      <c r="A35" s="5" t="s">
        <v>18</v>
      </c>
      <c r="B35" s="206" t="s">
        <v>59</v>
      </c>
      <c r="C35" s="6" t="s">
        <v>134</v>
      </c>
      <c r="D35" s="6" t="s">
        <v>141</v>
      </c>
      <c r="E35" s="6" t="str">
        <f t="shared" si="0"/>
        <v>Óleo Diesel</v>
      </c>
      <c r="F35" s="5">
        <v>458</v>
      </c>
      <c r="G35" s="5" t="str">
        <f>IF(D35="Rodoviário",Combustão_Móvel!$A$32,IF(D35="Marítimo",Fatores_Marítimo!$F$30))</f>
        <v>Caminhão - caminhão (média)</v>
      </c>
      <c r="H35" s="6">
        <f>_xlfn.XLOOKUP(G35,Combustão_Móvel!$A$25:$A$40,Combustão_Móvel!$B$25:$B$40,Fatores_Marítimo!$H$30)</f>
        <v>3.8597744506341597E-2</v>
      </c>
      <c r="I35" s="6">
        <f>IF(A35="Inonibrás",SUMIFS(Industrial!F:F,Industrial!C:C,B35),IF(OR(B35="Gasolina Automotiva",B35="Óleo Diesel",B35="Acetileno"),SUMIFS('Florestal (Combustíveis)'!P:P,'Florestal (Combustíveis)'!D:D,B35,'Florestal (Combustíveis)'!A:A,A35)*Industrial!$F$6/(1000*SUM(Carbonização!$D$2:$D$4)),SUMIFS('Florestal (Fertilizantes)'!H:H,'Florestal (Fertilizantes)'!B:B,B35,'Florestal (Fertilizantes)'!A:A,A35)*Industrial!$F$6/(SUM(Carbonização!$D$2:$D$4))))</f>
        <v>2.798015955925005E-3</v>
      </c>
      <c r="J35" s="6">
        <f t="shared" si="1"/>
        <v>1.2814913078136523</v>
      </c>
      <c r="K35" s="6">
        <f t="shared" si="2"/>
        <v>4.9462674086088905E-2</v>
      </c>
      <c r="L35" s="6" t="s">
        <v>108</v>
      </c>
      <c r="M35" s="6">
        <f>IF(E35="Óleo Diesel",(K35/1000)*(1-0.1)*(_xlfn.XLOOKUP(E35,Combustão_Móvel!$A$2:$A$12,Combustão_Móvel!$E$2:$E$12))*(_xlfn.XLOOKUP(E35,Combustão_Móvel!$A$2:$A$12,Combustão_Móvel!$D$2:$D$12)),(K35/1000)*(_xlfn.XLOOKUP(E35,Combustão_Móvel!$A$2:$A$12,Combustão_Móvel!$D$2:$D$12))*(_xlfn.XLOOKUP(E35,Combustão_Móvel!$A$2:$A$12,Combustão_Móvel!$E$2:$E$12)))*1000</f>
        <v>0.11710263358544505</v>
      </c>
      <c r="N35" s="6">
        <f>IF(E35="Óleo Diesel",(K35/1000)*(1-0.1)*(_xlfn.XLOOKUP(E35,Combustão_Móvel!$A$2:$A$12,Combustão_Móvel!$F$2:$F$12))*(_xlfn.XLOOKUP(E35,Combustão_Móvel!$A$2:$A$12,Combustão_Móvel!$D$2:$D$12)),(K35/1000)*(_xlfn.XLOOKUP(E35,Combustão_Móvel!$A$2:$A$12,Combustão_Móvel!$D$2:$D$12))*(_xlfn.XLOOKUP(E35,Combustão_Móvel!$A$2:$A$12,Combustão_Móvel!$F$2:$F$12)))*1000</f>
        <v>6.1632965044971075E-6</v>
      </c>
      <c r="O35" s="6">
        <f>IF(E35="Óleo Diesel",(K35/1000)*(((1-0.1)*(_xlfn.XLOOKUP(E35,Combustão_Móvel!$A$2:$A$12,Combustão_Móvel!$G$2:$G$12))*(_xlfn.XLOOKUP(E35,Combustão_Móvel!$A$2:$A$12,Combustão_Móvel!$D$2:$D$12)))+((0.1)*(Combustão_Móvel!$G$6)*(Combustão_Móvel!$G$6))),(K35/1000)*(_xlfn.XLOOKUP(E35,Combustão_Móvel!$A$2:$A$12,Combustão_Móvel!$D$2:$D$12))*(_xlfn.XLOOKUP(E35,Combustão_Móvel!$A$2:$A$12,Combustão_Móvel!$G$2:$G$12)))*1000</f>
        <v>6.1632965062777647E-6</v>
      </c>
      <c r="P35" s="6">
        <f>(M35+(N35*GWP_Quioto!$E$3)+(O35*GWP_Quioto!$E$6))/1000</f>
        <v>1.1895716950413434E-4</v>
      </c>
      <c r="Q35" s="6">
        <f>IF(E35="Óleo Diesel",(K35/1000)*(0.1)*(Combustão_Móvel!$D$6)*(Combustão_Móvel!$E$6),0)</f>
        <v>1.1604534043635461E-5</v>
      </c>
      <c r="R35" s="5" t="str">
        <f>IF(E35="Óleo Diesel",'Fatores de Emissão'!$A$19,'Fatores de Emissão'!$A$22)</f>
        <v>Óleo Diesel (10% Biodiesel)</v>
      </c>
      <c r="S35" s="6">
        <f>IF(E35="Óleo Diesel",(K35/1000)*((0.9*_xlfn.XLOOKUP(E35,Densidades!$A$2:$A$54,Densidades!$B$2:$B$54))+(0.1*Densidades!$B$6)),(K35/1000)*(_xlfn.XLOOKUP(E35,Densidades!$A$2:$A$54,Densidades!$B$2:$B$54)))</f>
        <v>4.1746496928659033E-2</v>
      </c>
      <c r="T35" s="6">
        <f>(S35*(_xlfn.XLOOKUP(R35,'Fatores de Emissão'!$A$14:$A$22,'Fatores de Emissão'!$B$14:$B$22)))/1000</f>
        <v>3.2705937254959075E-5</v>
      </c>
      <c r="U35" s="6">
        <f>(S35*(_xlfn.XLOOKUP(R35,'Fatores de Emissão'!$A$14:$A$22,'Fatores de Emissão'!$C$14:$C$22)))/1000</f>
        <v>1.0831623771606211E-8</v>
      </c>
      <c r="V35" s="6">
        <f>(S35*(_xlfn.XLOOKUP(R35,'Fatores de Emissão'!$A:$A,'Fatores de Emissão'!E:E)))/1000</f>
        <v>5.8467834711135517E-9</v>
      </c>
      <c r="W35" s="6">
        <f t="shared" si="3"/>
        <v>1.5166310675909342E-4</v>
      </c>
      <c r="X35" s="6">
        <f t="shared" si="4"/>
        <v>1.1615365667407068E-5</v>
      </c>
      <c r="Y35" s="6"/>
      <c r="Z35" s="6"/>
      <c r="AA35" s="6"/>
      <c r="AB35" s="6"/>
      <c r="AC35" s="6" t="s">
        <v>145</v>
      </c>
    </row>
    <row r="36" spans="1:29">
      <c r="A36" s="5" t="s">
        <v>18</v>
      </c>
      <c r="B36" s="131" t="s">
        <v>64</v>
      </c>
      <c r="C36" s="6" t="s">
        <v>133</v>
      </c>
      <c r="D36" s="6" t="s">
        <v>141</v>
      </c>
      <c r="E36" s="6" t="str">
        <f t="shared" si="0"/>
        <v>Óleo Diesel</v>
      </c>
      <c r="F36" s="5">
        <v>311</v>
      </c>
      <c r="G36" s="5" t="str">
        <f>IF(D36="Rodoviário",Combustão_Móvel!$A$32,IF(D36="Marítimo",Fatores_Marítimo!$F$30))</f>
        <v>Caminhão - caminhão (média)</v>
      </c>
      <c r="H36" s="6">
        <f>_xlfn.XLOOKUP(G36,Combustão_Móvel!$A$25:$A$40,Combustão_Móvel!$B$25:$B$40,Fatores_Marítimo!$H$30)</f>
        <v>3.8597744506341597E-2</v>
      </c>
      <c r="I36" s="6">
        <f>IF(A36="Inonibrás",SUMIFS(Industrial!F:F,Industrial!C:C,B36),IF(OR(B36="Gasolina Automotiva",B36="Óleo Diesel",B36="Acetileno"),SUMIFS('Florestal (Combustíveis)'!P:P,'Florestal (Combustíveis)'!D:D,B36,'Florestal (Combustíveis)'!A:A,A36)*Industrial!$F$6/(1000*SUM(Carbonização!$D$2:$D$4)),SUMIFS('Florestal (Fertilizantes)'!H:H,'Florestal (Fertilizantes)'!B:B,B36,'Florestal (Fertilizantes)'!A:A,A36)*Industrial!$F$6/(SUM(Carbonização!$D$2:$D$4))))</f>
        <v>0</v>
      </c>
      <c r="J36" s="6">
        <f t="shared" si="1"/>
        <v>0</v>
      </c>
      <c r="K36" s="6">
        <f t="shared" si="2"/>
        <v>0</v>
      </c>
      <c r="L36" s="6" t="s">
        <v>108</v>
      </c>
      <c r="M36" s="6">
        <f>IF(E36="Óleo Diesel",(K36/1000)*(1-0.1)*(_xlfn.XLOOKUP(E36,Combustão_Móvel!$A$2:$A$12,Combustão_Móvel!$E$2:$E$12))*(_xlfn.XLOOKUP(E36,Combustão_Móvel!$A$2:$A$12,Combustão_Móvel!$D$2:$D$12)),(K36/1000)*(_xlfn.XLOOKUP(E36,Combustão_Móvel!$A$2:$A$12,Combustão_Móvel!$D$2:$D$12))*(_xlfn.XLOOKUP(E36,Combustão_Móvel!$A$2:$A$12,Combustão_Móvel!$E$2:$E$12)))*1000</f>
        <v>0</v>
      </c>
      <c r="N36" s="6">
        <f>IF(E36="Óleo Diesel",(K36/1000)*(1-0.1)*(_xlfn.XLOOKUP(E36,Combustão_Móvel!$A$2:$A$12,Combustão_Móvel!$F$2:$F$12))*(_xlfn.XLOOKUP(E36,Combustão_Móvel!$A$2:$A$12,Combustão_Móvel!$D$2:$D$12)),(K36/1000)*(_xlfn.XLOOKUP(E36,Combustão_Móvel!$A$2:$A$12,Combustão_Móvel!$D$2:$D$12))*(_xlfn.XLOOKUP(E36,Combustão_Móvel!$A$2:$A$12,Combustão_Móvel!$F$2:$F$12)))*1000</f>
        <v>0</v>
      </c>
      <c r="O36" s="6">
        <f>IF(E36="Óleo Diesel",(K36/1000)*(((1-0.1)*(_xlfn.XLOOKUP(E36,Combustão_Móvel!$A$2:$A$12,Combustão_Móvel!$G$2:$G$12))*(_xlfn.XLOOKUP(E36,Combustão_Móvel!$A$2:$A$12,Combustão_Móvel!$D$2:$D$12)))+((0.1)*(Combustão_Móvel!$G$6)*(Combustão_Móvel!$G$6))),(K36/1000)*(_xlfn.XLOOKUP(E36,Combustão_Móvel!$A$2:$A$12,Combustão_Móvel!$D$2:$D$12))*(_xlfn.XLOOKUP(E36,Combustão_Móvel!$A$2:$A$12,Combustão_Móvel!$G$2:$G$12)))*1000</f>
        <v>0</v>
      </c>
      <c r="P36" s="6">
        <f>(M36+(N36*GWP_Quioto!$E$3)+(O36*GWP_Quioto!$E$6))/1000</f>
        <v>0</v>
      </c>
      <c r="Q36" s="6">
        <f>IF(E36="Óleo Diesel",(K36/1000)*(0.1)*(Combustão_Móvel!$D$6)*(Combustão_Móvel!$E$6),0)</f>
        <v>0</v>
      </c>
      <c r="R36" s="5" t="str">
        <f>IF(E36="Óleo Diesel",'Fatores de Emissão'!$A$19,'Fatores de Emissão'!$A$22)</f>
        <v>Óleo Diesel (10% Biodiesel)</v>
      </c>
      <c r="S36" s="6">
        <f>IF(E36="Óleo Diesel",(K36/1000)*((0.9*_xlfn.XLOOKUP(E36,Densidades!$A$2:$A$54,Densidades!$B$2:$B$54))+(0.1*Densidades!$B$6)),(K36/1000)*(_xlfn.XLOOKUP(E36,Densidades!$A$2:$A$54,Densidades!$B$2:$B$54)))</f>
        <v>0</v>
      </c>
      <c r="T36" s="6">
        <f>(S36*(_xlfn.XLOOKUP(R36,'Fatores de Emissão'!$A$14:$A$22,'Fatores de Emissão'!$B$14:$B$22)))/1000</f>
        <v>0</v>
      </c>
      <c r="U36" s="6">
        <f>(S36*(_xlfn.XLOOKUP(R36,'Fatores de Emissão'!$A$14:$A$22,'Fatores de Emissão'!$C$14:$C$22)))/1000</f>
        <v>0</v>
      </c>
      <c r="V36" s="6">
        <f>(S36*(_xlfn.XLOOKUP(R36,'Fatores de Emissão'!$A:$A,'Fatores de Emissão'!E:E)))/1000</f>
        <v>0</v>
      </c>
      <c r="W36" s="6">
        <f t="shared" si="3"/>
        <v>0</v>
      </c>
      <c r="X36" s="6">
        <f t="shared" si="4"/>
        <v>0</v>
      </c>
      <c r="Y36" s="6"/>
      <c r="Z36" s="6"/>
      <c r="AA36" s="6"/>
      <c r="AB36" s="6"/>
      <c r="AC36" s="6" t="s">
        <v>145</v>
      </c>
    </row>
    <row r="37" spans="1:29">
      <c r="A37" s="5" t="s">
        <v>18</v>
      </c>
      <c r="B37" s="131" t="s">
        <v>60</v>
      </c>
      <c r="C37" s="6" t="s">
        <v>133</v>
      </c>
      <c r="D37" s="6" t="s">
        <v>141</v>
      </c>
      <c r="E37" s="6" t="str">
        <f t="shared" si="0"/>
        <v>Óleo Diesel</v>
      </c>
      <c r="F37" s="5">
        <v>311</v>
      </c>
      <c r="G37" s="5" t="str">
        <f>IF(D37="Rodoviário",Combustão_Móvel!$A$32,IF(D37="Marítimo",Fatores_Marítimo!$F$30))</f>
        <v>Caminhão - caminhão (média)</v>
      </c>
      <c r="H37" s="6">
        <f>_xlfn.XLOOKUP(G37,Combustão_Móvel!$A$25:$A$40,Combustão_Móvel!$B$25:$B$40,Fatores_Marítimo!$H$30)</f>
        <v>3.8597744506341597E-2</v>
      </c>
      <c r="I37" s="6">
        <f>IF(A37="Inonibrás",SUMIFS(Industrial!F:F,Industrial!C:C,B37),IF(OR(B37="Gasolina Automotiva",B37="Óleo Diesel",B37="Acetileno"),SUMIFS('Florestal (Combustíveis)'!P:P,'Florestal (Combustíveis)'!D:D,B37,'Florestal (Combustíveis)'!A:A,A37)*Industrial!$F$6/(1000*SUM(Carbonização!$D$2:$D$4)),SUMIFS('Florestal (Fertilizantes)'!H:H,'Florestal (Fertilizantes)'!B:B,B37,'Florestal (Fertilizantes)'!A:A,A37)*Industrial!$F$6/(SUM(Carbonização!$D$2:$D$4))))</f>
        <v>1.5837826165613234E-3</v>
      </c>
      <c r="J37" s="6">
        <f t="shared" si="1"/>
        <v>0.49255639375057159</v>
      </c>
      <c r="K37" s="6">
        <f t="shared" si="2"/>
        <v>1.9011565840949554E-2</v>
      </c>
      <c r="L37" s="6" t="s">
        <v>108</v>
      </c>
      <c r="M37" s="6">
        <f>IF(E37="Óleo Diesel",(K37/1000)*(1-0.1)*(_xlfn.XLOOKUP(E37,Combustão_Móvel!$A$2:$A$12,Combustão_Móvel!$E$2:$E$12))*(_xlfn.XLOOKUP(E37,Combustão_Móvel!$A$2:$A$12,Combustão_Móvel!$D$2:$D$12)),(K37/1000)*(_xlfn.XLOOKUP(E37,Combustão_Móvel!$A$2:$A$12,Combustão_Móvel!$D$2:$D$12))*(_xlfn.XLOOKUP(E37,Combustão_Móvel!$A$2:$A$12,Combustão_Móvel!$E$2:$E$12)))*1000</f>
        <v>4.5009787070618867E-2</v>
      </c>
      <c r="N37" s="6">
        <f>IF(E37="Óleo Diesel",(K37/1000)*(1-0.1)*(_xlfn.XLOOKUP(E37,Combustão_Móvel!$A$2:$A$12,Combustão_Móvel!$F$2:$F$12))*(_xlfn.XLOOKUP(E37,Combustão_Móvel!$A$2:$A$12,Combustão_Móvel!$D$2:$D$12)),(K37/1000)*(_xlfn.XLOOKUP(E37,Combustão_Móvel!$A$2:$A$12,Combustão_Móvel!$D$2:$D$12))*(_xlfn.XLOOKUP(E37,Combustão_Móvel!$A$2:$A$12,Combustão_Móvel!$F$2:$F$12)))*1000</f>
        <v>2.3689361616115193E-6</v>
      </c>
      <c r="O37" s="6">
        <f>IF(E37="Óleo Diesel",(K37/1000)*(((1-0.1)*(_xlfn.XLOOKUP(E37,Combustão_Móvel!$A$2:$A$12,Combustão_Móvel!$G$2:$G$12))*(_xlfn.XLOOKUP(E37,Combustão_Móvel!$A$2:$A$12,Combustão_Móvel!$D$2:$D$12)))+((0.1)*(Combustão_Móvel!$G$6)*(Combustão_Móvel!$G$6))),(K37/1000)*(_xlfn.XLOOKUP(E37,Combustão_Móvel!$A$2:$A$12,Combustão_Móvel!$D$2:$D$12))*(_xlfn.XLOOKUP(E37,Combustão_Móvel!$A$2:$A$12,Combustão_Móvel!$G$2:$G$12)))*1000</f>
        <v>2.3689361622959355E-6</v>
      </c>
      <c r="P37" s="6">
        <f>(M37+(N37*GWP_Quioto!$E$3)+(O37*GWP_Quioto!$E$6))/1000</f>
        <v>4.5722599961834615E-5</v>
      </c>
      <c r="Q37" s="6">
        <f>IF(E37="Óleo Diesel",(K37/1000)*(0.1)*(Combustão_Móvel!$D$6)*(Combustão_Móvel!$E$6),0)</f>
        <v>4.4603403900106646E-6</v>
      </c>
      <c r="R37" s="5" t="str">
        <f>IF(E37="Óleo Diesel",'Fatores de Emissão'!$A$19,'Fatores de Emissão'!$A$22)</f>
        <v>Óleo Diesel (10% Biodiesel)</v>
      </c>
      <c r="S37" s="6">
        <f>IF(E37="Óleo Diesel",(K37/1000)*((0.9*_xlfn.XLOOKUP(E37,Densidades!$A$2:$A$54,Densidades!$B$2:$B$54))+(0.1*Densidades!$B$6)),(K37/1000)*(_xlfn.XLOOKUP(E37,Densidades!$A$2:$A$54,Densidades!$B$2:$B$54)))</f>
        <v>1.6045761569761424E-2</v>
      </c>
      <c r="T37" s="6">
        <f>(S37*(_xlfn.XLOOKUP(R37,'Fatores de Emissão'!$A$14:$A$22,'Fatores de Emissão'!$B$14:$B$22)))/1000</f>
        <v>1.2570915159791059E-5</v>
      </c>
      <c r="U37" s="6">
        <f>(S37*(_xlfn.XLOOKUP(R37,'Fatores de Emissão'!$A$14:$A$22,'Fatores de Emissão'!$C$14:$C$22)))/1000</f>
        <v>4.1632631535423068E-9</v>
      </c>
      <c r="V37" s="6">
        <f>(S37*(_xlfn.XLOOKUP(R37,'Fatores de Emissão'!$A:$A,'Fatores de Emissão'!E:E)))/1000</f>
        <v>2.2472806206430523E-9</v>
      </c>
      <c r="W37" s="6">
        <f t="shared" si="3"/>
        <v>5.8293515121625672E-5</v>
      </c>
      <c r="X37" s="6">
        <f t="shared" si="4"/>
        <v>4.4645036531642073E-6</v>
      </c>
      <c r="Y37" s="6"/>
      <c r="Z37" s="6"/>
      <c r="AA37" s="6"/>
      <c r="AB37" s="6"/>
      <c r="AC37" s="6" t="s">
        <v>145</v>
      </c>
    </row>
    <row r="38" spans="1:29">
      <c r="A38" s="5" t="s">
        <v>18</v>
      </c>
      <c r="B38" s="206" t="s">
        <v>63</v>
      </c>
      <c r="C38" s="6" t="s">
        <v>135</v>
      </c>
      <c r="D38" s="6" t="s">
        <v>141</v>
      </c>
      <c r="E38" s="6" t="str">
        <f t="shared" si="0"/>
        <v>Óleo Diesel</v>
      </c>
      <c r="F38" s="5">
        <v>206</v>
      </c>
      <c r="G38" s="5" t="str">
        <f>IF(D38="Rodoviário",Combustão_Móvel!$A$32,IF(D38="Marítimo",Fatores_Marítimo!$F$30))</f>
        <v>Caminhão - caminhão (média)</v>
      </c>
      <c r="H38" s="6">
        <f>_xlfn.XLOOKUP(G38,Combustão_Móvel!$A$25:$A$40,Combustão_Móvel!$B$25:$B$40,Fatores_Marítimo!$H$30)</f>
        <v>3.8597744506341597E-2</v>
      </c>
      <c r="I38" s="6">
        <f>IF(A38="Inonibrás",SUMIFS(Industrial!F:F,Industrial!C:C,B38),IF(OR(B38="Gasolina Automotiva",B38="Óleo Diesel",B38="Acetileno"),SUMIFS('Florestal (Combustíveis)'!P:P,'Florestal (Combustíveis)'!D:D,B38,'Florestal (Combustíveis)'!A:A,A38)*Industrial!$F$6/(1000*SUM(Carbonização!$D$2:$D$4)),SUMIFS('Florestal (Fertilizantes)'!H:H,'Florestal (Fertilizantes)'!B:B,B38,'Florestal (Fertilizantes)'!A:A,A38)*Industrial!$F$6/(SUM(Carbonização!$D$2:$D$4))))</f>
        <v>4.3354465345749667E-2</v>
      </c>
      <c r="J38" s="6">
        <f t="shared" si="1"/>
        <v>8.9310198612244314</v>
      </c>
      <c r="K38" s="6">
        <f t="shared" si="2"/>
        <v>0.34471722278460298</v>
      </c>
      <c r="L38" s="6" t="s">
        <v>108</v>
      </c>
      <c r="M38" s="6">
        <f>IF(E38="Óleo Diesel",(K38/1000)*(1-0.1)*(_xlfn.XLOOKUP(E38,Combustão_Móvel!$A$2:$A$12,Combustão_Móvel!$E$2:$E$12))*(_xlfn.XLOOKUP(E38,Combustão_Móvel!$A$2:$A$12,Combustão_Móvel!$D$2:$D$12)),(K38/1000)*(_xlfn.XLOOKUP(E38,Combustão_Móvel!$A$2:$A$12,Combustão_Móvel!$D$2:$D$12))*(_xlfn.XLOOKUP(E38,Combustão_Móvel!$A$2:$A$12,Combustão_Móvel!$E$2:$E$12)))*1000</f>
        <v>0.81611630135643365</v>
      </c>
      <c r="N38" s="6">
        <f>IF(E38="Óleo Diesel",(K38/1000)*(1-0.1)*(_xlfn.XLOOKUP(E38,Combustão_Móvel!$A$2:$A$12,Combustão_Móvel!$F$2:$F$12))*(_xlfn.XLOOKUP(E38,Combustão_Móvel!$A$2:$A$12,Combustão_Móvel!$D$2:$D$12)),(K38/1000)*(_xlfn.XLOOKUP(E38,Combustão_Móvel!$A$2:$A$12,Combustão_Móvel!$D$2:$D$12))*(_xlfn.XLOOKUP(E38,Combustão_Móvel!$A$2:$A$12,Combustão_Móvel!$F$2:$F$12)))*1000</f>
        <v>4.295348954507545E-5</v>
      </c>
      <c r="O38" s="6">
        <f>IF(E38="Óleo Diesel",(K38/1000)*(((1-0.1)*(_xlfn.XLOOKUP(E38,Combustão_Móvel!$A$2:$A$12,Combustão_Móvel!$G$2:$G$12))*(_xlfn.XLOOKUP(E38,Combustão_Móvel!$A$2:$A$12,Combustão_Móvel!$D$2:$D$12)))+((0.1)*(Combustão_Móvel!$G$6)*(Combustão_Móvel!$G$6))),(K38/1000)*(_xlfn.XLOOKUP(E38,Combustão_Móvel!$A$2:$A$12,Combustão_Móvel!$D$2:$D$12))*(_xlfn.XLOOKUP(E38,Combustão_Móvel!$A$2:$A$12,Combustão_Móvel!$G$2:$G$12)))*1000</f>
        <v>4.2953489557485269E-5</v>
      </c>
      <c r="P38" s="6">
        <f>(M38+(N38*GWP_Quioto!$E$3)+(O38*GWP_Quioto!$E$6))/1000</f>
        <v>8.2904100636393475E-4</v>
      </c>
      <c r="Q38" s="6">
        <f>IF(E38="Óleo Diesel",(K38/1000)*(0.1)*(Combustão_Móvel!$D$6)*(Combustão_Móvel!$E$6),0)</f>
        <v>8.0874777216229226E-5</v>
      </c>
      <c r="R38" s="5" t="str">
        <f>IF(E38="Óleo Diesel",'Fatores de Emissão'!$A$19,'Fatores de Emissão'!$A$22)</f>
        <v>Óleo Diesel (10% Biodiesel)</v>
      </c>
      <c r="S38" s="6">
        <f>IF(E38="Óleo Diesel",(K38/1000)*((0.9*_xlfn.XLOOKUP(E38,Densidades!$A$2:$A$54,Densidades!$B$2:$B$54))+(0.1*Densidades!$B$6)),(K38/1000)*(_xlfn.XLOOKUP(E38,Densidades!$A$2:$A$54,Densidades!$B$2:$B$54)))</f>
        <v>0.29094133603020489</v>
      </c>
      <c r="T38" s="6">
        <f>(S38*(_xlfn.XLOOKUP(R38,'Fatores de Emissão'!$A$14:$A$22,'Fatores de Emissão'!$B$14:$B$22)))/1000</f>
        <v>2.2793551030973888E-4</v>
      </c>
      <c r="U38" s="6">
        <f>(S38*(_xlfn.XLOOKUP(R38,'Fatores de Emissão'!$A$14:$A$22,'Fatores de Emissão'!$C$14:$C$22)))/1000</f>
        <v>7.5488180406443147E-8</v>
      </c>
      <c r="V38" s="6">
        <f>(S38*(_xlfn.XLOOKUP(R38,'Fatores de Emissão'!$A:$A,'Fatores de Emissão'!E:E)))/1000</f>
        <v>4.0747634405638187E-8</v>
      </c>
      <c r="W38" s="6">
        <f t="shared" si="3"/>
        <v>1.0569765166736737E-3</v>
      </c>
      <c r="X38" s="6">
        <f t="shared" si="4"/>
        <v>8.0950265396635674E-5</v>
      </c>
      <c r="Y38" s="6"/>
      <c r="Z38" s="6"/>
      <c r="AA38" s="6"/>
      <c r="AB38" s="6"/>
      <c r="AC38" s="6" t="s">
        <v>145</v>
      </c>
    </row>
    <row r="39" spans="1:29">
      <c r="A39" s="5" t="s">
        <v>18</v>
      </c>
      <c r="B39" s="206" t="s">
        <v>31</v>
      </c>
      <c r="C39" s="6" t="s">
        <v>138</v>
      </c>
      <c r="D39" s="6" t="s">
        <v>141</v>
      </c>
      <c r="E39" s="6" t="str">
        <f t="shared" si="0"/>
        <v>Óleo Diesel</v>
      </c>
      <c r="F39" s="5">
        <v>209</v>
      </c>
      <c r="G39" s="5" t="str">
        <f>IF(D39="Rodoviário",Combustão_Móvel!$A$32,IF(D39="Marítimo",Fatores_Marítimo!$F$30))</f>
        <v>Caminhão - caminhão (média)</v>
      </c>
      <c r="H39" s="6">
        <f>_xlfn.XLOOKUP(G39,Combustão_Móvel!$A$25:$A$40,Combustão_Móvel!$B$25:$B$40,Fatores_Marítimo!$H$30)</f>
        <v>3.8597744506341597E-2</v>
      </c>
      <c r="I39" s="6">
        <f>IF(A39="Inonibrás",SUMIFS(Industrial!F:F,Industrial!C:C,B39),IF(OR(B39="Gasolina Automotiva",B39="Óleo Diesel",B39="Acetileno"),SUMIFS('Florestal (Combustíveis)'!P:P,'Florestal (Combustíveis)'!D:D,B39,'Florestal (Combustíveis)'!A:A,A39)*Industrial!$F$6/(1000*SUM(Carbonização!$D$2:$D$4)),SUMIFS('Florestal (Fertilizantes)'!H:H,'Florestal (Fertilizantes)'!B:B,B39,'Florestal (Fertilizantes)'!A:A,A39)*Industrial!$F$6/(SUM(Carbonização!$D$2:$D$4))))</f>
        <v>2.8716847172946666E-3</v>
      </c>
      <c r="J39" s="6">
        <f t="shared" si="1"/>
        <v>0.60018210591458532</v>
      </c>
      <c r="K39" s="6">
        <f t="shared" si="2"/>
        <v>2.3165675581369217E-2</v>
      </c>
      <c r="L39" s="6" t="s">
        <v>108</v>
      </c>
      <c r="M39" s="6">
        <f>IF(E39="Óleo Diesel",(K39/1000)*(1-0.1)*(_xlfn.XLOOKUP(E39,Combustão_Móvel!$A$2:$A$12,Combustão_Móvel!$E$2:$E$12))*(_xlfn.XLOOKUP(E39,Combustão_Móvel!$A$2:$A$12,Combustão_Móvel!$D$2:$D$12)),(K39/1000)*(_xlfn.XLOOKUP(E39,Combustão_Móvel!$A$2:$A$12,Combustão_Móvel!$D$2:$D$12))*(_xlfn.XLOOKUP(E39,Combustão_Móvel!$A$2:$A$12,Combustão_Móvel!$E$2:$E$12)))*1000</f>
        <v>5.4844621110513712E-2</v>
      </c>
      <c r="N39" s="6">
        <f>IF(E39="Óleo Diesel",(K39/1000)*(1-0.1)*(_xlfn.XLOOKUP(E39,Combustão_Móvel!$A$2:$A$12,Combustão_Móvel!$F$2:$F$12))*(_xlfn.XLOOKUP(E39,Combustão_Móvel!$A$2:$A$12,Combustão_Móvel!$D$2:$D$12)),(K39/1000)*(_xlfn.XLOOKUP(E39,Combustão_Móvel!$A$2:$A$12,Combustão_Móvel!$D$2:$D$12))*(_xlfn.XLOOKUP(E39,Combustão_Móvel!$A$2:$A$12,Combustão_Móvel!$F$2:$F$12)))*1000</f>
        <v>2.8865590058165113E-6</v>
      </c>
      <c r="O39" s="6">
        <f>IF(E39="Óleo Diesel",(K39/1000)*(((1-0.1)*(_xlfn.XLOOKUP(E39,Combustão_Móvel!$A$2:$A$12,Combustão_Móvel!$G$2:$G$12))*(_xlfn.XLOOKUP(E39,Combustão_Móvel!$A$2:$A$12,Combustão_Móvel!$D$2:$D$12)))+((0.1)*(Combustão_Móvel!$G$6)*(Combustão_Móvel!$G$6))),(K39/1000)*(_xlfn.XLOOKUP(E39,Combustão_Móvel!$A$2:$A$12,Combustão_Móvel!$D$2:$D$12))*(_xlfn.XLOOKUP(E39,Combustão_Móvel!$A$2:$A$12,Combustão_Móvel!$G$2:$G$12)))*1000</f>
        <v>2.8865590066504758E-6</v>
      </c>
      <c r="P39" s="6">
        <f>(M39+(N39*GWP_Quioto!$E$3)+(O39*GWP_Quioto!$E$6))/1000</f>
        <v>5.5713186715591569E-5</v>
      </c>
      <c r="Q39" s="6">
        <f>IF(E39="Óleo Diesel",(K39/1000)*(0.1)*(Combustão_Móvel!$D$6)*(Combustão_Móvel!$E$6),0)</f>
        <v>5.4349441451532814E-6</v>
      </c>
      <c r="R39" s="5" t="str">
        <f>IF(E39="Óleo Diesel",'Fatores de Emissão'!$A$19,'Fatores de Emissão'!$A$22)</f>
        <v>Óleo Diesel (10% Biodiesel)</v>
      </c>
      <c r="S39" s="6">
        <f>IF(E39="Óleo Diesel",(K39/1000)*((0.9*_xlfn.XLOOKUP(E39,Densidades!$A$2:$A$54,Densidades!$B$2:$B$54))+(0.1*Densidades!$B$6)),(K39/1000)*(_xlfn.XLOOKUP(E39,Densidades!$A$2:$A$54,Densidades!$B$2:$B$54)))</f>
        <v>1.955183019067562E-2</v>
      </c>
      <c r="T39" s="6">
        <f>(S39*(_xlfn.XLOOKUP(R39,'Fatores de Emissão'!$A$14:$A$22,'Fatores de Emissão'!$B$14:$B$22)))/1000</f>
        <v>1.5317714742116732E-5</v>
      </c>
      <c r="U39" s="6">
        <f>(S39*(_xlfn.XLOOKUP(R39,'Fatores de Emissão'!$A$14:$A$22,'Fatores de Emissão'!$C$14:$C$22)))/1000</f>
        <v>5.0729542417328936E-9</v>
      </c>
      <c r="V39" s="6">
        <f>(S39*(_xlfn.XLOOKUP(R39,'Fatores de Emissão'!$A:$A,'Fatores de Emissão'!E:E)))/1000</f>
        <v>2.7383212005600287E-9</v>
      </c>
      <c r="W39" s="6">
        <f t="shared" si="3"/>
        <v>7.1030901457708301E-5</v>
      </c>
      <c r="X39" s="6">
        <f t="shared" si="4"/>
        <v>5.4400170993950145E-6</v>
      </c>
      <c r="Y39" s="6"/>
      <c r="Z39" s="6"/>
      <c r="AA39" s="6"/>
      <c r="AB39" s="6"/>
      <c r="AC39" s="6" t="s">
        <v>145</v>
      </c>
    </row>
    <row r="40" spans="1:29">
      <c r="A40" s="5" t="s">
        <v>18</v>
      </c>
      <c r="B40" s="77" t="s">
        <v>32</v>
      </c>
      <c r="C40" s="6" t="s">
        <v>138</v>
      </c>
      <c r="D40" s="6" t="s">
        <v>141</v>
      </c>
      <c r="E40" s="6" t="str">
        <f t="shared" si="0"/>
        <v>Óleo Diesel</v>
      </c>
      <c r="F40" s="5">
        <v>209</v>
      </c>
      <c r="G40" s="5" t="str">
        <f>IF(D40="Rodoviário",Combustão_Móvel!$A$32,IF(D40="Marítimo",Fatores_Marítimo!$F$30))</f>
        <v>Caminhão - caminhão (média)</v>
      </c>
      <c r="H40" s="6">
        <f>_xlfn.XLOOKUP(G40,Combustão_Móvel!$A$25:$A$40,Combustão_Móvel!$B$25:$B$40,Fatores_Marítimo!$H$30)</f>
        <v>3.8597744506341597E-2</v>
      </c>
      <c r="I40" s="6">
        <f>IF(A40="Inonibrás",SUMIFS(Industrial!F:F,Industrial!C:C,B40),IF(OR(B40="Gasolina Automotiva",B40="Óleo Diesel",B40="Acetileno"),SUMIFS('Florestal (Combustíveis)'!P:P,'Florestal (Combustíveis)'!D:D,B40,'Florestal (Combustíveis)'!A:A,A40)*Industrial!$F$6/(1000*SUM(Carbonização!$D$2:$D$4)),SUMIFS('Florestal (Fertilizantes)'!H:H,'Florestal (Fertilizantes)'!B:B,B40,'Florestal (Fertilizantes)'!A:A,A40)*Industrial!$F$6/(SUM(Carbonização!$D$2:$D$4))))</f>
        <v>5.0617785498544891E-2</v>
      </c>
      <c r="J40" s="6">
        <f t="shared" si="1"/>
        <v>10.579117169195882</v>
      </c>
      <c r="K40" s="6">
        <f t="shared" si="2"/>
        <v>0.40833006159927443</v>
      </c>
      <c r="L40" s="6" t="s">
        <v>108</v>
      </c>
      <c r="M40" s="6">
        <f>IF(E40="Óleo Diesel",(K40/1000)*(1-0.1)*(_xlfn.XLOOKUP(E40,Combustão_Móvel!$A$2:$A$12,Combustão_Móvel!$E$2:$E$12))*(_xlfn.XLOOKUP(E40,Combustão_Móvel!$A$2:$A$12,Combustão_Móvel!$D$2:$D$12)),(K40/1000)*(_xlfn.XLOOKUP(E40,Combustão_Móvel!$A$2:$A$12,Combustão_Móvel!$D$2:$D$12))*(_xlfn.XLOOKUP(E40,Combustão_Móvel!$A$2:$A$12,Combustão_Móvel!$E$2:$E$12)))*1000</f>
        <v>0.96671937918597428</v>
      </c>
      <c r="N40" s="6">
        <f>IF(E40="Óleo Diesel",(K40/1000)*(1-0.1)*(_xlfn.XLOOKUP(E40,Combustão_Móvel!$A$2:$A$12,Combustão_Móvel!$F$2:$F$12))*(_xlfn.XLOOKUP(E40,Combustão_Móvel!$A$2:$A$12,Combustão_Móvel!$D$2:$D$12)),(K40/1000)*(_xlfn.XLOOKUP(E40,Combustão_Móvel!$A$2:$A$12,Combustão_Móvel!$D$2:$D$12))*(_xlfn.XLOOKUP(E40,Combustão_Móvel!$A$2:$A$12,Combustão_Móvel!$F$2:$F$12)))*1000</f>
        <v>5.0879967325577588E-5</v>
      </c>
      <c r="O40" s="6">
        <f>IF(E40="Óleo Diesel",(K40/1000)*(((1-0.1)*(_xlfn.XLOOKUP(E40,Combustão_Móvel!$A$2:$A$12,Combustão_Móvel!$G$2:$G$12))*(_xlfn.XLOOKUP(E40,Combustão_Móvel!$A$2:$A$12,Combustão_Móvel!$D$2:$D$12)))+((0.1)*(Combustão_Móvel!$G$6)*(Combustão_Móvel!$G$6))),(K40/1000)*(_xlfn.XLOOKUP(E40,Combustão_Móvel!$A$2:$A$12,Combustão_Móvel!$D$2:$D$12))*(_xlfn.XLOOKUP(E40,Combustão_Móvel!$A$2:$A$12,Combustão_Móvel!$G$2:$G$12)))*1000</f>
        <v>5.0879967340277479E-5</v>
      </c>
      <c r="P40" s="6">
        <f>(M40+(N40*GWP_Quioto!$E$3)+(O40*GWP_Quioto!$E$6))/1000</f>
        <v>9.8202916135825373E-4</v>
      </c>
      <c r="Q40" s="6">
        <f>IF(E40="Óleo Diesel",(K40/1000)*(0.1)*(Combustão_Móvel!$D$6)*(Combustão_Móvel!$E$6),0)</f>
        <v>9.5799108892117432E-5</v>
      </c>
      <c r="R40" s="5" t="str">
        <f>IF(E40="Óleo Diesel",'Fatores de Emissão'!$A$19,'Fatores de Emissão'!$A$22)</f>
        <v>Óleo Diesel (10% Biodiesel)</v>
      </c>
      <c r="S40" s="6">
        <f>IF(E40="Óleo Diesel",(K40/1000)*((0.9*_xlfn.XLOOKUP(E40,Densidades!$A$2:$A$54,Densidades!$B$2:$B$54))+(0.1*Densidades!$B$6)),(K40/1000)*(_xlfn.XLOOKUP(E40,Densidades!$A$2:$A$54,Densidades!$B$2:$B$54)))</f>
        <v>0.34463057198978764</v>
      </c>
      <c r="T40" s="6">
        <f>(S40*(_xlfn.XLOOKUP(R40,'Fatores de Emissão'!$A$14:$A$22,'Fatores de Emissão'!$B$14:$B$22)))/1000</f>
        <v>2.6999788468240964E-4</v>
      </c>
      <c r="U40" s="6">
        <f>(S40*(_xlfn.XLOOKUP(R40,'Fatores de Emissão'!$A$14:$A$22,'Fatores de Emissão'!$C$14:$C$22)))/1000</f>
        <v>8.94184894690932E-8</v>
      </c>
      <c r="V40" s="6">
        <f>(S40*(_xlfn.XLOOKUP(R40,'Fatores de Emissão'!$A:$A,'Fatores de Emissão'!E:E)))/1000</f>
        <v>4.8267051853325983E-8</v>
      </c>
      <c r="W40" s="6">
        <f t="shared" si="3"/>
        <v>1.2520270460406634E-3</v>
      </c>
      <c r="X40" s="6">
        <f t="shared" si="4"/>
        <v>9.5888527381586522E-5</v>
      </c>
      <c r="Y40" s="6"/>
      <c r="Z40" s="6"/>
      <c r="AA40" s="6"/>
      <c r="AB40" s="6"/>
      <c r="AC40" s="6" t="s">
        <v>145</v>
      </c>
    </row>
    <row r="41" spans="1:29">
      <c r="A41" s="5" t="s">
        <v>18</v>
      </c>
      <c r="B41" s="206" t="s">
        <v>33</v>
      </c>
      <c r="C41" s="6" t="s">
        <v>140</v>
      </c>
      <c r="D41" s="6" t="s">
        <v>141</v>
      </c>
      <c r="E41" s="6" t="str">
        <f t="shared" si="0"/>
        <v>Óleo Diesel</v>
      </c>
      <c r="F41" s="5">
        <v>207</v>
      </c>
      <c r="G41" s="5" t="str">
        <f>IF(D41="Rodoviário",Combustão_Móvel!$A$32,IF(D41="Marítimo",Fatores_Marítimo!$F$30))</f>
        <v>Caminhão - caminhão (média)</v>
      </c>
      <c r="H41" s="6">
        <f>_xlfn.XLOOKUP(G41,Combustão_Móvel!$A$25:$A$40,Combustão_Móvel!$B$25:$B$40,Fatores_Marítimo!$H$30)</f>
        <v>3.8597744506341597E-2</v>
      </c>
      <c r="I41" s="6">
        <f>IF(A41="Inonibrás",SUMIFS(Industrial!F:F,Industrial!C:C,B41),IF(OR(B41="Gasolina Automotiva",B41="Óleo Diesel",B41="Acetileno"),SUMIFS('Florestal (Combustíveis)'!P:P,'Florestal (Combustíveis)'!D:D,B41,'Florestal (Combustíveis)'!A:A,A41)*Industrial!$F$6/(1000*SUM(Carbonização!$D$2:$D$4)),SUMIFS('Florestal (Fertilizantes)'!H:H,'Florestal (Fertilizantes)'!B:B,B41,'Florestal (Fertilizantes)'!A:A,A41)*Industrial!$F$6/(SUM(Carbonização!$D$2:$D$4))))</f>
        <v>5.7016174196207637E-6</v>
      </c>
      <c r="J41" s="6">
        <f t="shared" si="1"/>
        <v>1.180234805861498E-3</v>
      </c>
      <c r="K41" s="6">
        <f t="shared" si="2"/>
        <v>4.5554401494133775E-5</v>
      </c>
      <c r="L41" s="6" t="s">
        <v>108</v>
      </c>
      <c r="M41" s="6">
        <f>IF(E41="Óleo Diesel",(K41/1000)*(1-0.1)*(_xlfn.XLOOKUP(E41,Combustão_Móvel!$A$2:$A$12,Combustão_Móvel!$E$2:$E$12))*(_xlfn.XLOOKUP(E41,Combustão_Móvel!$A$2:$A$12,Combustão_Móvel!$D$2:$D$12)),(K41/1000)*(_xlfn.XLOOKUP(E41,Combustão_Móvel!$A$2:$A$12,Combustão_Móvel!$D$2:$D$12))*(_xlfn.XLOOKUP(E41,Combustão_Móvel!$A$2:$A$12,Combustão_Móvel!$E$2:$E$12)))*1000</f>
        <v>1.0784981776535424E-4</v>
      </c>
      <c r="N41" s="6">
        <f>IF(E41="Óleo Diesel",(K41/1000)*(1-0.1)*(_xlfn.XLOOKUP(E41,Combustão_Móvel!$A$2:$A$12,Combustão_Móvel!$F$2:$F$12))*(_xlfn.XLOOKUP(E41,Combustão_Móvel!$A$2:$A$12,Combustão_Móvel!$D$2:$D$12)),(K41/1000)*(_xlfn.XLOOKUP(E41,Combustão_Móvel!$A$2:$A$12,Combustão_Móvel!$D$2:$D$12))*(_xlfn.XLOOKUP(E41,Combustão_Móvel!$A$2:$A$12,Combustão_Móvel!$F$2:$F$12)))*1000</f>
        <v>5.6763061981765389E-9</v>
      </c>
      <c r="O41" s="6">
        <f>IF(E41="Óleo Diesel",(K41/1000)*(((1-0.1)*(_xlfn.XLOOKUP(E41,Combustão_Móvel!$A$2:$A$12,Combustão_Móvel!$G$2:$G$12))*(_xlfn.XLOOKUP(E41,Combustão_Móvel!$A$2:$A$12,Combustão_Móvel!$D$2:$D$12)))+((0.1)*(Combustão_Móvel!$G$6)*(Combustão_Móvel!$G$6))),(K41/1000)*(_xlfn.XLOOKUP(E41,Combustão_Móvel!$A$2:$A$12,Combustão_Móvel!$D$2:$D$12))*(_xlfn.XLOOKUP(E41,Combustão_Móvel!$A$2:$A$12,Combustão_Móvel!$G$2:$G$12)))*1000</f>
        <v>5.6763061998164973E-9</v>
      </c>
      <c r="P41" s="6">
        <f>(M41+(N41*GWP_Quioto!$E$3)+(O41*GWP_Quioto!$E$6))/1000</f>
        <v>1.0955781830083328E-7</v>
      </c>
      <c r="Q41" s="6">
        <f>IF(E41="Óleo Diesel",(K41/1000)*(0.1)*(Combustão_Móvel!$D$6)*(Combustão_Móvel!$E$6),0)</f>
        <v>1.0687606619408187E-8</v>
      </c>
      <c r="R41" s="5" t="str">
        <f>IF(E41="Óleo Diesel",'Fatores de Emissão'!$A$19,'Fatores de Emissão'!$A$22)</f>
        <v>Óleo Diesel (10% Biodiesel)</v>
      </c>
      <c r="S41" s="6">
        <f>IF(E41="Óleo Diesel",(K41/1000)*((0.9*_xlfn.XLOOKUP(E41,Densidades!$A$2:$A$54,Densidades!$B$2:$B$54))+(0.1*Densidades!$B$6)),(K41/1000)*(_xlfn.XLOOKUP(E41,Densidades!$A$2:$A$54,Densidades!$B$2:$B$54)))</f>
        <v>3.8447914861048903E-5</v>
      </c>
      <c r="T41" s="6">
        <f>(S41*(_xlfn.XLOOKUP(R41,'Fatores de Emissão'!$A$14:$A$22,'Fatores de Emissão'!$B$14:$B$22)))/1000</f>
        <v>3.0121691244618305E-8</v>
      </c>
      <c r="U41" s="6">
        <f>(S41*(_xlfn.XLOOKUP(R41,'Fatores de Emissão'!$A$14:$A$22,'Fatores de Emissão'!$C$14:$C$22)))/1000</f>
        <v>9.9757675306100514E-12</v>
      </c>
      <c r="V41" s="6">
        <f>(S41*(_xlfn.XLOOKUP(R41,'Fatores de Emissão'!$A:$A,'Fatores de Emissão'!E:E)))/1000</f>
        <v>5.3848023102996838E-12</v>
      </c>
      <c r="W41" s="6">
        <f t="shared" si="3"/>
        <v>1.3967950954545159E-7</v>
      </c>
      <c r="X41" s="6">
        <f t="shared" si="4"/>
        <v>1.0697582386938797E-8</v>
      </c>
      <c r="Y41" s="6"/>
      <c r="Z41" s="6"/>
      <c r="AA41" s="6"/>
      <c r="AB41" s="6"/>
      <c r="AC41" s="6" t="s">
        <v>145</v>
      </c>
    </row>
    <row r="42" spans="1:29">
      <c r="A42" s="5" t="s">
        <v>20</v>
      </c>
      <c r="B42" s="206" t="s">
        <v>57</v>
      </c>
      <c r="C42" s="6" t="s">
        <v>133</v>
      </c>
      <c r="D42" s="6" t="s">
        <v>141</v>
      </c>
      <c r="E42" s="6" t="str">
        <f t="shared" si="0"/>
        <v>Óleo Diesel</v>
      </c>
      <c r="F42" s="5">
        <v>524</v>
      </c>
      <c r="G42" s="5" t="str">
        <f>IF(D42="Rodoviário",Combustão_Móvel!$A$32,IF(D42="Marítimo",Fatores_Marítimo!$F$30))</f>
        <v>Caminhão - caminhão (média)</v>
      </c>
      <c r="H42" s="6">
        <f>_xlfn.XLOOKUP(G42,Combustão_Móvel!$A$25:$A$40,Combustão_Móvel!$B$25:$B$40,Fatores_Marítimo!$H$30)</f>
        <v>3.8597744506341597E-2</v>
      </c>
      <c r="I42" s="6">
        <f>IF(A42="Inonibrás",SUMIFS(Industrial!F:F,Industrial!C:C,B42),IF(OR(B42="Gasolina Automotiva",B42="Óleo Diesel",B42="Acetileno"),SUMIFS('Florestal (Combustíveis)'!P:P,'Florestal (Combustíveis)'!D:D,B42,'Florestal (Combustíveis)'!A:A,A42)*Industrial!$F$6/(1000*SUM(Carbonização!$D$2:$D$4)),SUMIFS('Florestal (Fertilizantes)'!H:H,'Florestal (Fertilizantes)'!B:B,B42,'Florestal (Fertilizantes)'!A:A,A42)*Industrial!$F$6/(SUM(Carbonização!$D$2:$D$4))))</f>
        <v>1.6154582688925497E-2</v>
      </c>
      <c r="J42" s="6">
        <f t="shared" si="1"/>
        <v>8.4650013289969603</v>
      </c>
      <c r="K42" s="6">
        <f t="shared" si="2"/>
        <v>0.32672995854246673</v>
      </c>
      <c r="L42" s="6" t="s">
        <v>108</v>
      </c>
      <c r="M42" s="6">
        <f>IF(E42="Óleo Diesel",(K42/1000)*(1-0.1)*(_xlfn.XLOOKUP(E42,Combustão_Móvel!$A$2:$A$12,Combustão_Móvel!$E$2:$E$12))*(_xlfn.XLOOKUP(E42,Combustão_Móvel!$A$2:$A$12,Combustão_Móvel!$D$2:$D$12)),(K42/1000)*(_xlfn.XLOOKUP(E42,Combustão_Móvel!$A$2:$A$12,Combustão_Móvel!$D$2:$D$12))*(_xlfn.XLOOKUP(E42,Combustão_Móvel!$A$2:$A$12,Combustão_Móvel!$E$2:$E$12)))*1000</f>
        <v>0.77353154319949746</v>
      </c>
      <c r="N42" s="6">
        <f>IF(E42="Óleo Diesel",(K42/1000)*(1-0.1)*(_xlfn.XLOOKUP(E42,Combustão_Móvel!$A$2:$A$12,Combustão_Móvel!$F$2:$F$12))*(_xlfn.XLOOKUP(E42,Combustão_Móvel!$A$2:$A$12,Combustão_Móvel!$D$2:$D$12)),(K42/1000)*(_xlfn.XLOOKUP(E42,Combustão_Móvel!$A$2:$A$12,Combustão_Móvel!$D$2:$D$12))*(_xlfn.XLOOKUP(E42,Combustão_Móvel!$A$2:$A$12,Combustão_Móvel!$F$2:$F$12)))*1000</f>
        <v>4.0712186484184078E-5</v>
      </c>
      <c r="O42" s="6">
        <f>IF(E42="Óleo Diesel",(K42/1000)*(((1-0.1)*(_xlfn.XLOOKUP(E42,Combustão_Móvel!$A$2:$A$12,Combustão_Móvel!$G$2:$G$12))*(_xlfn.XLOOKUP(E42,Combustão_Móvel!$A$2:$A$12,Combustão_Móvel!$D$2:$D$12)))+((0.1)*(Combustão_Móvel!$G$6)*(Combustão_Móvel!$G$6))),(K42/1000)*(_xlfn.XLOOKUP(E42,Combustão_Móvel!$A$2:$A$12,Combustão_Móvel!$D$2:$D$12))*(_xlfn.XLOOKUP(E42,Combustão_Móvel!$A$2:$A$12,Combustão_Móvel!$G$2:$G$12)))*1000</f>
        <v>4.071218649594635E-5</v>
      </c>
      <c r="P42" s="6">
        <f>(M42+(N42*GWP_Quioto!$E$3)+(O42*GWP_Quioto!$E$6))/1000</f>
        <v>7.8578184011579956E-4</v>
      </c>
      <c r="Q42" s="6">
        <f>IF(E42="Óleo Diesel",(K42/1000)*(0.1)*(Combustão_Móvel!$D$6)*(Combustão_Móvel!$E$6),0)</f>
        <v>7.6654750213919594E-5</v>
      </c>
      <c r="R42" s="5" t="str">
        <f>IF(E42="Óleo Diesel",'Fatores de Emissão'!$A$19,'Fatores de Emissão'!$A$22)</f>
        <v>Óleo Diesel (10% Biodiesel)</v>
      </c>
      <c r="S42" s="6">
        <f>IF(E42="Óleo Diesel",(K42/1000)*((0.9*_xlfn.XLOOKUP(E42,Densidades!$A$2:$A$54,Densidades!$B$2:$B$54))+(0.1*Densidades!$B$6)),(K42/1000)*(_xlfn.XLOOKUP(E42,Densidades!$A$2:$A$54,Densidades!$B$2:$B$54)))</f>
        <v>0.27576008500984195</v>
      </c>
      <c r="T42" s="6">
        <f>(S42*(_xlfn.XLOOKUP(R42,'Fatores de Emissão'!$A$14:$A$22,'Fatores de Emissão'!$B$14:$B$22)))/1000</f>
        <v>2.1604188857251203E-4</v>
      </c>
      <c r="U42" s="6">
        <f>(S42*(_xlfn.XLOOKUP(R42,'Fatores de Emissão'!$A$14:$A$22,'Fatores de Emissão'!$C$14:$C$22)))/1000</f>
        <v>7.1549224768658901E-8</v>
      </c>
      <c r="V42" s="6">
        <f>(S42*(_xlfn.XLOOKUP(R42,'Fatores de Emissão'!$A:$A,'Fatores de Emissão'!E:E)))/1000</f>
        <v>3.8621432351167145E-8</v>
      </c>
      <c r="W42" s="6">
        <f t="shared" si="3"/>
        <v>1.0018237286883115E-3</v>
      </c>
      <c r="X42" s="6">
        <f t="shared" si="4"/>
        <v>7.6726299438688251E-5</v>
      </c>
      <c r="Y42" s="6"/>
      <c r="Z42" s="6"/>
      <c r="AA42" s="6"/>
      <c r="AB42" s="6"/>
      <c r="AC42" s="6" t="s">
        <v>145</v>
      </c>
    </row>
    <row r="43" spans="1:29">
      <c r="A43" s="5" t="s">
        <v>20</v>
      </c>
      <c r="B43" s="206" t="s">
        <v>58</v>
      </c>
      <c r="C43" s="6" t="s">
        <v>134</v>
      </c>
      <c r="D43" s="6" t="s">
        <v>141</v>
      </c>
      <c r="E43" s="6" t="str">
        <f t="shared" si="0"/>
        <v>Óleo Diesel</v>
      </c>
      <c r="F43" s="5">
        <v>774</v>
      </c>
      <c r="G43" s="5" t="str">
        <f>IF(D43="Rodoviário",Combustão_Móvel!$A$32,IF(D43="Marítimo",Fatores_Marítimo!$F$30))</f>
        <v>Caminhão - caminhão (média)</v>
      </c>
      <c r="H43" s="6">
        <f>_xlfn.XLOOKUP(G43,Combustão_Móvel!$A$25:$A$40,Combustão_Móvel!$B$25:$B$40,Fatores_Marítimo!$H$30)</f>
        <v>3.8597744506341597E-2</v>
      </c>
      <c r="I43" s="6">
        <f>IF(A43="Inonibrás",SUMIFS(Industrial!F:F,Industrial!C:C,B43),IF(OR(B43="Gasolina Automotiva",B43="Óleo Diesel",B43="Acetileno"),SUMIFS('Florestal (Combustíveis)'!P:P,'Florestal (Combustíveis)'!D:D,B43,'Florestal (Combustíveis)'!A:A,A43)*Industrial!$F$6/(1000*SUM(Carbonização!$D$2:$D$4)),SUMIFS('Florestal (Fertilizantes)'!H:H,'Florestal (Fertilizantes)'!B:B,B43,'Florestal (Fertilizantes)'!A:A,A43)*Industrial!$F$6/(SUM(Carbonização!$D$2:$D$4))))</f>
        <v>7.3909855439528421E-3</v>
      </c>
      <c r="J43" s="6">
        <f t="shared" si="1"/>
        <v>5.7206228110195001</v>
      </c>
      <c r="K43" s="6">
        <f t="shared" si="2"/>
        <v>0.22080313767688034</v>
      </c>
      <c r="L43" s="6" t="s">
        <v>108</v>
      </c>
      <c r="M43" s="6">
        <f>IF(E43="Óleo Diesel",(K43/1000)*(1-0.1)*(_xlfn.XLOOKUP(E43,Combustão_Móvel!$A$2:$A$12,Combustão_Móvel!$E$2:$E$12))*(_xlfn.XLOOKUP(E43,Combustão_Móvel!$A$2:$A$12,Combustão_Móvel!$D$2:$D$12)),(K43/1000)*(_xlfn.XLOOKUP(E43,Combustão_Móvel!$A$2:$A$12,Combustão_Móvel!$D$2:$D$12))*(_xlfn.XLOOKUP(E43,Combustão_Móvel!$A$2:$A$12,Combustão_Móvel!$E$2:$E$12)))*1000</f>
        <v>0.5227503244343259</v>
      </c>
      <c r="N43" s="6">
        <f>IF(E43="Óleo Diesel",(K43/1000)*(1-0.1)*(_xlfn.XLOOKUP(E43,Combustão_Móvel!$A$2:$A$12,Combustão_Móvel!$F$2:$F$12))*(_xlfn.XLOOKUP(E43,Combustão_Móvel!$A$2:$A$12,Combustão_Móvel!$D$2:$D$12)),(K43/1000)*(_xlfn.XLOOKUP(E43,Combustão_Móvel!$A$2:$A$12,Combustão_Móvel!$D$2:$D$12))*(_xlfn.XLOOKUP(E43,Combustão_Móvel!$A$2:$A$12,Combustão_Móvel!$F$2:$F$12)))*1000</f>
        <v>2.7513174970227674E-5</v>
      </c>
      <c r="O43" s="6">
        <f>IF(E43="Óleo Diesel",(K43/1000)*(((1-0.1)*(_xlfn.XLOOKUP(E43,Combustão_Móvel!$A$2:$A$12,Combustão_Móvel!$G$2:$G$12))*(_xlfn.XLOOKUP(E43,Combustão_Móvel!$A$2:$A$12,Combustão_Móvel!$D$2:$D$12)))+((0.1)*(Combustão_Móvel!$G$6)*(Combustão_Móvel!$G$6))),(K43/1000)*(_xlfn.XLOOKUP(E43,Combustão_Móvel!$A$2:$A$12,Combustão_Móvel!$D$2:$D$12))*(_xlfn.XLOOKUP(E43,Combustão_Móvel!$A$2:$A$12,Combustão_Móvel!$G$2:$G$12)))*1000</f>
        <v>2.7513174978176587E-5</v>
      </c>
      <c r="P43" s="6">
        <f>(M43+(N43*GWP_Quioto!$E$3)+(O43*GWP_Quioto!$E$6))/1000</f>
        <v>5.3102903878503738E-4</v>
      </c>
      <c r="Q43" s="6">
        <f>IF(E43="Óleo Diesel",(K43/1000)*(0.1)*(Combustão_Móvel!$D$6)*(Combustão_Móvel!$E$6),0)</f>
        <v>5.1803053018387524E-5</v>
      </c>
      <c r="R43" s="5" t="str">
        <f>IF(E43="Óleo Diesel",'Fatores de Emissão'!$A$19,'Fatores de Emissão'!$A$22)</f>
        <v>Óleo Diesel (10% Biodiesel)</v>
      </c>
      <c r="S43" s="6">
        <f>IF(E43="Óleo Diesel",(K43/1000)*((0.9*_xlfn.XLOOKUP(E43,Densidades!$A$2:$A$54,Densidades!$B$2:$B$54))+(0.1*Densidades!$B$6)),(K43/1000)*(_xlfn.XLOOKUP(E43,Densidades!$A$2:$A$54,Densidades!$B$2:$B$54)))</f>
        <v>0.186357848199287</v>
      </c>
      <c r="T43" s="6">
        <f>(S43*(_xlfn.XLOOKUP(R43,'Fatores de Emissão'!$A$14:$A$22,'Fatores de Emissão'!$B$14:$B$22)))/1000</f>
        <v>1.4600046802947043E-4</v>
      </c>
      <c r="U43" s="6">
        <f>(S43*(_xlfn.XLOOKUP(R43,'Fatores de Emissão'!$A$14:$A$22,'Fatores de Emissão'!$C$14:$C$22)))/1000</f>
        <v>4.8352754053359513E-8</v>
      </c>
      <c r="V43" s="6">
        <f>(S43*(_xlfn.XLOOKUP(R43,'Fatores de Emissão'!$A:$A,'Fatores de Emissão'!E:E)))/1000</f>
        <v>2.6100249523352742E-8</v>
      </c>
      <c r="W43" s="6">
        <f t="shared" si="3"/>
        <v>6.7702950681450779E-4</v>
      </c>
      <c r="X43" s="6">
        <f t="shared" si="4"/>
        <v>5.1851405772440885E-5</v>
      </c>
      <c r="Y43" s="6"/>
      <c r="Z43" s="6"/>
      <c r="AA43" s="6"/>
      <c r="AB43" s="6"/>
      <c r="AC43" s="6" t="s">
        <v>145</v>
      </c>
    </row>
    <row r="44" spans="1:29">
      <c r="A44" s="5" t="s">
        <v>20</v>
      </c>
      <c r="B44" s="206" t="s">
        <v>62</v>
      </c>
      <c r="C44" s="6" t="s">
        <v>134</v>
      </c>
      <c r="D44" s="6" t="s">
        <v>141</v>
      </c>
      <c r="E44" s="6" t="str">
        <f t="shared" si="0"/>
        <v>Óleo Diesel</v>
      </c>
      <c r="F44" s="5">
        <v>774</v>
      </c>
      <c r="G44" s="5" t="str">
        <f>IF(D44="Rodoviário",Combustão_Móvel!$A$32,IF(D44="Marítimo",Fatores_Marítimo!$F$30))</f>
        <v>Caminhão - caminhão (média)</v>
      </c>
      <c r="H44" s="6">
        <f>_xlfn.XLOOKUP(G44,Combustão_Móvel!$A$25:$A$40,Combustão_Móvel!$B$25:$B$40,Fatores_Marítimo!$H$30)</f>
        <v>3.8597744506341597E-2</v>
      </c>
      <c r="I44" s="6">
        <f>IF(A44="Inonibrás",SUMIFS(Industrial!F:F,Industrial!C:C,B44),IF(OR(B44="Gasolina Automotiva",B44="Óleo Diesel",B44="Acetileno"),SUMIFS('Florestal (Combustíveis)'!P:P,'Florestal (Combustíveis)'!D:D,B44,'Florestal (Combustíveis)'!A:A,A44)*Industrial!$F$6/(1000*SUM(Carbonização!$D$2:$D$4)),SUMIFS('Florestal (Fertilizantes)'!H:H,'Florestal (Fertilizantes)'!B:B,B44,'Florestal (Fertilizantes)'!A:A,A44)*Industrial!$F$6/(SUM(Carbonização!$D$2:$D$4))))</f>
        <v>0</v>
      </c>
      <c r="J44" s="6">
        <f t="shared" si="1"/>
        <v>0</v>
      </c>
      <c r="K44" s="6">
        <f t="shared" si="2"/>
        <v>0</v>
      </c>
      <c r="L44" s="6" t="s">
        <v>108</v>
      </c>
      <c r="M44" s="6">
        <f>IF(E44="Óleo Diesel",(K44/1000)*(1-0.1)*(_xlfn.XLOOKUP(E44,Combustão_Móvel!$A$2:$A$12,Combustão_Móvel!$E$2:$E$12))*(_xlfn.XLOOKUP(E44,Combustão_Móvel!$A$2:$A$12,Combustão_Móvel!$D$2:$D$12)),(K44/1000)*(_xlfn.XLOOKUP(E44,Combustão_Móvel!$A$2:$A$12,Combustão_Móvel!$D$2:$D$12))*(_xlfn.XLOOKUP(E44,Combustão_Móvel!$A$2:$A$12,Combustão_Móvel!$E$2:$E$12)))*1000</f>
        <v>0</v>
      </c>
      <c r="N44" s="6">
        <f>IF(E44="Óleo Diesel",(K44/1000)*(1-0.1)*(_xlfn.XLOOKUP(E44,Combustão_Móvel!$A$2:$A$12,Combustão_Móvel!$F$2:$F$12))*(_xlfn.XLOOKUP(E44,Combustão_Móvel!$A$2:$A$12,Combustão_Móvel!$D$2:$D$12)),(K44/1000)*(_xlfn.XLOOKUP(E44,Combustão_Móvel!$A$2:$A$12,Combustão_Móvel!$D$2:$D$12))*(_xlfn.XLOOKUP(E44,Combustão_Móvel!$A$2:$A$12,Combustão_Móvel!$F$2:$F$12)))*1000</f>
        <v>0</v>
      </c>
      <c r="O44" s="6">
        <f>IF(E44="Óleo Diesel",(K44/1000)*(((1-0.1)*(_xlfn.XLOOKUP(E44,Combustão_Móvel!$A$2:$A$12,Combustão_Móvel!$G$2:$G$12))*(_xlfn.XLOOKUP(E44,Combustão_Móvel!$A$2:$A$12,Combustão_Móvel!$D$2:$D$12)))+((0.1)*(Combustão_Móvel!$G$6)*(Combustão_Móvel!$G$6))),(K44/1000)*(_xlfn.XLOOKUP(E44,Combustão_Móvel!$A$2:$A$12,Combustão_Móvel!$D$2:$D$12))*(_xlfn.XLOOKUP(E44,Combustão_Móvel!$A$2:$A$12,Combustão_Móvel!$G$2:$G$12)))*1000</f>
        <v>0</v>
      </c>
      <c r="P44" s="6">
        <f>(M44+(N44*GWP_Quioto!$E$3)+(O44*GWP_Quioto!$E$6))/1000</f>
        <v>0</v>
      </c>
      <c r="Q44" s="6">
        <f>IF(E44="Óleo Diesel",(K44/1000)*(0.1)*(Combustão_Móvel!$D$6)*(Combustão_Móvel!$E$6),0)</f>
        <v>0</v>
      </c>
      <c r="R44" s="5" t="str">
        <f>IF(E44="Óleo Diesel",'Fatores de Emissão'!$A$19,'Fatores de Emissão'!$A$22)</f>
        <v>Óleo Diesel (10% Biodiesel)</v>
      </c>
      <c r="S44" s="6">
        <f>IF(E44="Óleo Diesel",(K44/1000)*((0.9*_xlfn.XLOOKUP(E44,Densidades!$A$2:$A$54,Densidades!$B$2:$B$54))+(0.1*Densidades!$B$6)),(K44/1000)*(_xlfn.XLOOKUP(E44,Densidades!$A$2:$A$54,Densidades!$B$2:$B$54)))</f>
        <v>0</v>
      </c>
      <c r="T44" s="6">
        <f>(S44*(_xlfn.XLOOKUP(R44,'Fatores de Emissão'!$A$14:$A$22,'Fatores de Emissão'!$B$14:$B$22)))/1000</f>
        <v>0</v>
      </c>
      <c r="U44" s="6">
        <f>(S44*(_xlfn.XLOOKUP(R44,'Fatores de Emissão'!$A$14:$A$22,'Fatores de Emissão'!$C$14:$C$22)))/1000</f>
        <v>0</v>
      </c>
      <c r="V44" s="6">
        <f>(S44*(_xlfn.XLOOKUP(R44,'Fatores de Emissão'!$A:$A,'Fatores de Emissão'!E:E)))/1000</f>
        <v>0</v>
      </c>
      <c r="W44" s="6">
        <f t="shared" si="3"/>
        <v>0</v>
      </c>
      <c r="X44" s="6">
        <f t="shared" si="4"/>
        <v>0</v>
      </c>
      <c r="Y44" s="6"/>
      <c r="Z44" s="6"/>
      <c r="AA44" s="6"/>
      <c r="AB44" s="6"/>
      <c r="AC44" s="6" t="s">
        <v>145</v>
      </c>
    </row>
    <row r="45" spans="1:29">
      <c r="A45" s="5" t="s">
        <v>20</v>
      </c>
      <c r="B45" s="206" t="s">
        <v>67</v>
      </c>
      <c r="C45" s="6" t="s">
        <v>133</v>
      </c>
      <c r="D45" s="6" t="s">
        <v>141</v>
      </c>
      <c r="E45" s="6" t="str">
        <f t="shared" si="0"/>
        <v>Óleo Diesel</v>
      </c>
      <c r="F45" s="5">
        <v>524</v>
      </c>
      <c r="G45" s="5" t="str">
        <f>IF(D45="Rodoviário",Combustão_Móvel!$A$32,IF(D45="Marítimo",Fatores_Marítimo!$F$30))</f>
        <v>Caminhão - caminhão (média)</v>
      </c>
      <c r="H45" s="6">
        <f>_xlfn.XLOOKUP(G45,Combustão_Móvel!$A$25:$A$40,Combustão_Móvel!$B$25:$B$40,Fatores_Marítimo!$H$30)</f>
        <v>3.8597744506341597E-2</v>
      </c>
      <c r="I45" s="6">
        <f>IF(A45="Inonibrás",SUMIFS(Industrial!F:F,Industrial!C:C,B45),IF(OR(B45="Gasolina Automotiva",B45="Óleo Diesel",B45="Acetileno"),SUMIFS('Florestal (Combustíveis)'!P:P,'Florestal (Combustíveis)'!D:D,B45,'Florestal (Combustíveis)'!A:A,A45)*Industrial!$F$6/(1000*SUM(Carbonização!$D$2:$D$4)),SUMIFS('Florestal (Fertilizantes)'!H:H,'Florestal (Fertilizantes)'!B:B,B45,'Florestal (Fertilizantes)'!A:A,A45)*Industrial!$F$6/(SUM(Carbonização!$D$2:$D$4))))</f>
        <v>0</v>
      </c>
      <c r="J45" s="6">
        <f t="shared" si="1"/>
        <v>0</v>
      </c>
      <c r="K45" s="6">
        <f t="shared" si="2"/>
        <v>0</v>
      </c>
      <c r="L45" s="6" t="s">
        <v>108</v>
      </c>
      <c r="M45" s="6">
        <f>IF(E45="Óleo Diesel",(K45/1000)*(1-0.1)*(_xlfn.XLOOKUP(E45,Combustão_Móvel!$A$2:$A$12,Combustão_Móvel!$E$2:$E$12))*(_xlfn.XLOOKUP(E45,Combustão_Móvel!$A$2:$A$12,Combustão_Móvel!$D$2:$D$12)),(K45/1000)*(_xlfn.XLOOKUP(E45,Combustão_Móvel!$A$2:$A$12,Combustão_Móvel!$D$2:$D$12))*(_xlfn.XLOOKUP(E45,Combustão_Móvel!$A$2:$A$12,Combustão_Móvel!$E$2:$E$12)))*1000</f>
        <v>0</v>
      </c>
      <c r="N45" s="6">
        <f>IF(E45="Óleo Diesel",(K45/1000)*(1-0.1)*(_xlfn.XLOOKUP(E45,Combustão_Móvel!$A$2:$A$12,Combustão_Móvel!$F$2:$F$12))*(_xlfn.XLOOKUP(E45,Combustão_Móvel!$A$2:$A$12,Combustão_Móvel!$D$2:$D$12)),(K45/1000)*(_xlfn.XLOOKUP(E45,Combustão_Móvel!$A$2:$A$12,Combustão_Móvel!$D$2:$D$12))*(_xlfn.XLOOKUP(E45,Combustão_Móvel!$A$2:$A$12,Combustão_Móvel!$F$2:$F$12)))*1000</f>
        <v>0</v>
      </c>
      <c r="O45" s="6">
        <f>IF(E45="Óleo Diesel",(K45/1000)*(((1-0.1)*(_xlfn.XLOOKUP(E45,Combustão_Móvel!$A$2:$A$12,Combustão_Móvel!$G$2:$G$12))*(_xlfn.XLOOKUP(E45,Combustão_Móvel!$A$2:$A$12,Combustão_Móvel!$D$2:$D$12)))+((0.1)*(Combustão_Móvel!$G$6)*(Combustão_Móvel!$G$6))),(K45/1000)*(_xlfn.XLOOKUP(E45,Combustão_Móvel!$A$2:$A$12,Combustão_Móvel!$D$2:$D$12))*(_xlfn.XLOOKUP(E45,Combustão_Móvel!$A$2:$A$12,Combustão_Móvel!$G$2:$G$12)))*1000</f>
        <v>0</v>
      </c>
      <c r="P45" s="6">
        <f>(M45+(N45*GWP_Quioto!$E$3)+(O45*GWP_Quioto!$E$6))/1000</f>
        <v>0</v>
      </c>
      <c r="Q45" s="6">
        <f>IF(E45="Óleo Diesel",(K45/1000)*(0.1)*(Combustão_Móvel!$D$6)*(Combustão_Móvel!$E$6),0)</f>
        <v>0</v>
      </c>
      <c r="R45" s="5" t="str">
        <f>IF(E45="Óleo Diesel",'Fatores de Emissão'!$A$19,'Fatores de Emissão'!$A$22)</f>
        <v>Óleo Diesel (10% Biodiesel)</v>
      </c>
      <c r="S45" s="6">
        <f>IF(E45="Óleo Diesel",(K45/1000)*((0.9*_xlfn.XLOOKUP(E45,Densidades!$A$2:$A$54,Densidades!$B$2:$B$54))+(0.1*Densidades!$B$6)),(K45/1000)*(_xlfn.XLOOKUP(E45,Densidades!$A$2:$A$54,Densidades!$B$2:$B$54)))</f>
        <v>0</v>
      </c>
      <c r="T45" s="6">
        <f>(S45*(_xlfn.XLOOKUP(R45,'Fatores de Emissão'!$A$14:$A$22,'Fatores de Emissão'!$B$14:$B$22)))/1000</f>
        <v>0</v>
      </c>
      <c r="U45" s="6">
        <f>(S45*(_xlfn.XLOOKUP(R45,'Fatores de Emissão'!$A$14:$A$22,'Fatores de Emissão'!$C$14:$C$22)))/1000</f>
        <v>0</v>
      </c>
      <c r="V45" s="6">
        <f>(S45*(_xlfn.XLOOKUP(R45,'Fatores de Emissão'!$A:$A,'Fatores de Emissão'!E:E)))/1000</f>
        <v>0</v>
      </c>
      <c r="W45" s="6">
        <f t="shared" si="3"/>
        <v>0</v>
      </c>
      <c r="X45" s="6">
        <f t="shared" si="4"/>
        <v>0</v>
      </c>
      <c r="Y45" s="6"/>
      <c r="Z45" s="6"/>
      <c r="AA45" s="6"/>
      <c r="AB45" s="6"/>
      <c r="AC45" s="6" t="s">
        <v>145</v>
      </c>
    </row>
    <row r="46" spans="1:29">
      <c r="A46" s="5" t="s">
        <v>20</v>
      </c>
      <c r="B46" s="206" t="s">
        <v>52</v>
      </c>
      <c r="C46" s="6" t="s">
        <v>134</v>
      </c>
      <c r="D46" s="6" t="s">
        <v>141</v>
      </c>
      <c r="E46" s="6" t="str">
        <f t="shared" si="0"/>
        <v>Óleo Diesel</v>
      </c>
      <c r="F46" s="5">
        <v>774</v>
      </c>
      <c r="G46" s="5" t="str">
        <f>IF(D46="Rodoviário",Combustão_Móvel!$A$32,IF(D46="Marítimo",Fatores_Marítimo!$F$30))</f>
        <v>Caminhão - caminhão (média)</v>
      </c>
      <c r="H46" s="6">
        <f>_xlfn.XLOOKUP(G46,Combustão_Móvel!$A$25:$A$40,Combustão_Móvel!$B$25:$B$40,Fatores_Marítimo!$H$30)</f>
        <v>3.8597744506341597E-2</v>
      </c>
      <c r="I46" s="6">
        <f>IF(A46="Inonibrás",SUMIFS(Industrial!F:F,Industrial!C:C,B46),IF(OR(B46="Gasolina Automotiva",B46="Óleo Diesel",B46="Acetileno"),SUMIFS('Florestal (Combustíveis)'!P:P,'Florestal (Combustíveis)'!D:D,B46,'Florestal (Combustíveis)'!A:A,A46)*Industrial!$F$6/(1000*SUM(Carbonização!$D$2:$D$4)),SUMIFS('Florestal (Fertilizantes)'!H:H,'Florestal (Fertilizantes)'!B:B,B46,'Florestal (Fertilizantes)'!A:A,A46)*Industrial!$F$6/(SUM(Carbonização!$D$2:$D$4))))</f>
        <v>0</v>
      </c>
      <c r="J46" s="6">
        <f t="shared" si="1"/>
        <v>0</v>
      </c>
      <c r="K46" s="6">
        <f t="shared" si="2"/>
        <v>0</v>
      </c>
      <c r="L46" s="6" t="s">
        <v>108</v>
      </c>
      <c r="M46" s="6">
        <f>IF(E46="Óleo Diesel",(K46/1000)*(1-0.1)*(_xlfn.XLOOKUP(E46,Combustão_Móvel!$A$2:$A$12,Combustão_Móvel!$E$2:$E$12))*(_xlfn.XLOOKUP(E46,Combustão_Móvel!$A$2:$A$12,Combustão_Móvel!$D$2:$D$12)),(K46/1000)*(_xlfn.XLOOKUP(E46,Combustão_Móvel!$A$2:$A$12,Combustão_Móvel!$D$2:$D$12))*(_xlfn.XLOOKUP(E46,Combustão_Móvel!$A$2:$A$12,Combustão_Móvel!$E$2:$E$12)))*1000</f>
        <v>0</v>
      </c>
      <c r="N46" s="6">
        <f>IF(E46="Óleo Diesel",(K46/1000)*(1-0.1)*(_xlfn.XLOOKUP(E46,Combustão_Móvel!$A$2:$A$12,Combustão_Móvel!$F$2:$F$12))*(_xlfn.XLOOKUP(E46,Combustão_Móvel!$A$2:$A$12,Combustão_Móvel!$D$2:$D$12)),(K46/1000)*(_xlfn.XLOOKUP(E46,Combustão_Móvel!$A$2:$A$12,Combustão_Móvel!$D$2:$D$12))*(_xlfn.XLOOKUP(E46,Combustão_Móvel!$A$2:$A$12,Combustão_Móvel!$F$2:$F$12)))*1000</f>
        <v>0</v>
      </c>
      <c r="O46" s="6">
        <f>IF(E46="Óleo Diesel",(K46/1000)*(((1-0.1)*(_xlfn.XLOOKUP(E46,Combustão_Móvel!$A$2:$A$12,Combustão_Móvel!$G$2:$G$12))*(_xlfn.XLOOKUP(E46,Combustão_Móvel!$A$2:$A$12,Combustão_Móvel!$D$2:$D$12)))+((0.1)*(Combustão_Móvel!$G$6)*(Combustão_Móvel!$G$6))),(K46/1000)*(_xlfn.XLOOKUP(E46,Combustão_Móvel!$A$2:$A$12,Combustão_Móvel!$D$2:$D$12))*(_xlfn.XLOOKUP(E46,Combustão_Móvel!$A$2:$A$12,Combustão_Móvel!$G$2:$G$12)))*1000</f>
        <v>0</v>
      </c>
      <c r="P46" s="6">
        <f>(M46+(N46*GWP_Quioto!$E$3)+(O46*GWP_Quioto!$E$6))/1000</f>
        <v>0</v>
      </c>
      <c r="Q46" s="6">
        <f>IF(E46="Óleo Diesel",(K46/1000)*(0.1)*(Combustão_Móvel!$D$6)*(Combustão_Móvel!$E$6),0)</f>
        <v>0</v>
      </c>
      <c r="R46" s="5" t="str">
        <f>IF(E46="Óleo Diesel",'Fatores de Emissão'!$A$19,'Fatores de Emissão'!$A$22)</f>
        <v>Óleo Diesel (10% Biodiesel)</v>
      </c>
      <c r="S46" s="6">
        <f>IF(E46="Óleo Diesel",(K46/1000)*((0.9*_xlfn.XLOOKUP(E46,Densidades!$A$2:$A$54,Densidades!$B$2:$B$54))+(0.1*Densidades!$B$6)),(K46/1000)*(_xlfn.XLOOKUP(E46,Densidades!$A$2:$A$54,Densidades!$B$2:$B$54)))</f>
        <v>0</v>
      </c>
      <c r="T46" s="6">
        <f>(S46*(_xlfn.XLOOKUP(R46,'Fatores de Emissão'!$A$14:$A$22,'Fatores de Emissão'!$B$14:$B$22)))/1000</f>
        <v>0</v>
      </c>
      <c r="U46" s="6">
        <f>(S46*(_xlfn.XLOOKUP(R46,'Fatores de Emissão'!$A$14:$A$22,'Fatores de Emissão'!$C$14:$C$22)))/1000</f>
        <v>0</v>
      </c>
      <c r="V46" s="6">
        <f>(S46*(_xlfn.XLOOKUP(R46,'Fatores de Emissão'!$A:$A,'Fatores de Emissão'!E:E)))/1000</f>
        <v>0</v>
      </c>
      <c r="W46" s="6">
        <f t="shared" si="3"/>
        <v>0</v>
      </c>
      <c r="X46" s="6">
        <f t="shared" si="4"/>
        <v>0</v>
      </c>
      <c r="Y46" s="6"/>
      <c r="Z46" s="6"/>
      <c r="AA46" s="6"/>
      <c r="AB46" s="6"/>
      <c r="AC46" s="6" t="s">
        <v>145</v>
      </c>
    </row>
    <row r="47" spans="1:29">
      <c r="A47" s="5" t="s">
        <v>20</v>
      </c>
      <c r="B47" s="206" t="s">
        <v>59</v>
      </c>
      <c r="C47" s="6" t="s">
        <v>134</v>
      </c>
      <c r="D47" s="6" t="s">
        <v>141</v>
      </c>
      <c r="E47" s="6" t="str">
        <f t="shared" si="0"/>
        <v>Óleo Diesel</v>
      </c>
      <c r="F47" s="5">
        <v>774</v>
      </c>
      <c r="G47" s="5" t="str">
        <f>IF(D47="Rodoviário",Combustão_Móvel!$A$32,IF(D47="Marítimo",Fatores_Marítimo!$F$30))</f>
        <v>Caminhão - caminhão (média)</v>
      </c>
      <c r="H47" s="6">
        <f>_xlfn.XLOOKUP(G47,Combustão_Móvel!$A$25:$A$40,Combustão_Móvel!$B$25:$B$40,Fatores_Marítimo!$H$30)</f>
        <v>3.8597744506341597E-2</v>
      </c>
      <c r="I47" s="6">
        <f>IF(A47="Inonibrás",SUMIFS(Industrial!F:F,Industrial!C:C,B47),IF(OR(B47="Gasolina Automotiva",B47="Óleo Diesel",B47="Acetileno"),SUMIFS('Florestal (Combustíveis)'!P:P,'Florestal (Combustíveis)'!D:D,B47,'Florestal (Combustíveis)'!A:A,A47)*Industrial!$F$6/(1000*SUM(Carbonização!$D$2:$D$4)),SUMIFS('Florestal (Fertilizantes)'!H:H,'Florestal (Fertilizantes)'!B:B,B47,'Florestal (Fertilizantes)'!A:A,A47)*Industrial!$F$6/(SUM(Carbonização!$D$2:$D$4))))</f>
        <v>5.1736898807669901E-3</v>
      </c>
      <c r="J47" s="6">
        <f t="shared" si="1"/>
        <v>4.0044359677136505</v>
      </c>
      <c r="K47" s="6">
        <f t="shared" si="2"/>
        <v>0.15456219637381624</v>
      </c>
      <c r="L47" s="6" t="s">
        <v>108</v>
      </c>
      <c r="M47" s="6">
        <f>IF(E47="Óleo Diesel",(K47/1000)*(1-0.1)*(_xlfn.XLOOKUP(E47,Combustão_Móvel!$A$2:$A$12,Combustão_Móvel!$E$2:$E$12))*(_xlfn.XLOOKUP(E47,Combustão_Móvel!$A$2:$A$12,Combustão_Móvel!$D$2:$D$12)),(K47/1000)*(_xlfn.XLOOKUP(E47,Combustão_Móvel!$A$2:$A$12,Combustão_Móvel!$D$2:$D$12))*(_xlfn.XLOOKUP(E47,Combustão_Móvel!$A$2:$A$12,Combustão_Móvel!$E$2:$E$12)))*1000</f>
        <v>0.36592522710402808</v>
      </c>
      <c r="N47" s="6">
        <f>IF(E47="Óleo Diesel",(K47/1000)*(1-0.1)*(_xlfn.XLOOKUP(E47,Combustão_Móvel!$A$2:$A$12,Combustão_Móvel!$F$2:$F$12))*(_xlfn.XLOOKUP(E47,Combustão_Móvel!$A$2:$A$12,Combustão_Móvel!$D$2:$D$12)),(K47/1000)*(_xlfn.XLOOKUP(E47,Combustão_Móvel!$A$2:$A$12,Combustão_Móvel!$D$2:$D$12))*(_xlfn.XLOOKUP(E47,Combustão_Móvel!$A$2:$A$12,Combustão_Móvel!$F$2:$F$12)))*1000</f>
        <v>1.9259222479159373E-5</v>
      </c>
      <c r="O47" s="6">
        <f>IF(E47="Óleo Diesel",(K47/1000)*(((1-0.1)*(_xlfn.XLOOKUP(E47,Combustão_Móvel!$A$2:$A$12,Combustão_Móvel!$G$2:$G$12))*(_xlfn.XLOOKUP(E47,Combustão_Móvel!$A$2:$A$12,Combustão_Móvel!$D$2:$D$12)))+((0.1)*(Combustão_Móvel!$G$6)*(Combustão_Móvel!$G$6))),(K47/1000)*(_xlfn.XLOOKUP(E47,Combustão_Móvel!$A$2:$A$12,Combustão_Móvel!$D$2:$D$12))*(_xlfn.XLOOKUP(E47,Combustão_Móvel!$A$2:$A$12,Combustão_Móvel!$G$2:$G$12)))*1000</f>
        <v>1.9259222484723613E-5</v>
      </c>
      <c r="P47" s="6">
        <f>(M47+(N47*GWP_Quioto!$E$3)+(O47*GWP_Quioto!$E$6))/1000</f>
        <v>3.7172032714952619E-4</v>
      </c>
      <c r="Q47" s="6">
        <f>IF(E47="Óleo Diesel",(K47/1000)*(0.1)*(Combustão_Móvel!$D$6)*(Combustão_Móvel!$E$6),0)</f>
        <v>3.6262137112871261E-5</v>
      </c>
      <c r="R47" s="5" t="str">
        <f>IF(E47="Óleo Diesel",'Fatores de Emissão'!$A$19,'Fatores de Emissão'!$A$22)</f>
        <v>Óleo Diesel (10% Biodiesel)</v>
      </c>
      <c r="S47" s="6">
        <f>IF(E47="Óleo Diesel",(K47/1000)*((0.9*_xlfn.XLOOKUP(E47,Densidades!$A$2:$A$54,Densidades!$B$2:$B$54))+(0.1*Densidades!$B$6)),(K47/1000)*(_xlfn.XLOOKUP(E47,Densidades!$A$2:$A$54,Densidades!$B$2:$B$54)))</f>
        <v>0.13045049373950091</v>
      </c>
      <c r="T47" s="6">
        <f>(S47*(_xlfn.XLOOKUP(R47,'Fatores de Emissão'!$A$14:$A$22,'Fatores de Emissão'!$B$14:$B$22)))/1000</f>
        <v>1.0220032762062929E-4</v>
      </c>
      <c r="U47" s="6">
        <f>(S47*(_xlfn.XLOOKUP(R47,'Fatores de Emissão'!$A$14:$A$22,'Fatores de Emissão'!$C$14:$C$22)))/1000</f>
        <v>3.3846927837351664E-8</v>
      </c>
      <c r="V47" s="6">
        <f>(S47*(_xlfn.XLOOKUP(R47,'Fatores de Emissão'!$A:$A,'Fatores de Emissão'!E:E)))/1000</f>
        <v>1.827017466634692E-8</v>
      </c>
      <c r="W47" s="6">
        <f t="shared" si="3"/>
        <v>4.7392065477015548E-4</v>
      </c>
      <c r="X47" s="6">
        <f t="shared" si="4"/>
        <v>3.6295984040708616E-5</v>
      </c>
      <c r="Y47" s="6"/>
      <c r="Z47" s="6"/>
      <c r="AA47" s="6"/>
      <c r="AB47" s="6"/>
      <c r="AC47" s="6" t="s">
        <v>145</v>
      </c>
    </row>
    <row r="48" spans="1:29">
      <c r="A48" s="5" t="s">
        <v>20</v>
      </c>
      <c r="B48" s="77" t="s">
        <v>64</v>
      </c>
      <c r="C48" s="6" t="s">
        <v>133</v>
      </c>
      <c r="D48" s="6" t="s">
        <v>141</v>
      </c>
      <c r="E48" s="6" t="str">
        <f t="shared" si="0"/>
        <v>Óleo Diesel</v>
      </c>
      <c r="F48" s="5">
        <v>524</v>
      </c>
      <c r="G48" s="5" t="str">
        <f>IF(D48="Rodoviário",Combustão_Móvel!$A$32,IF(D48="Marítimo",Fatores_Marítimo!$F$30))</f>
        <v>Caminhão - caminhão (média)</v>
      </c>
      <c r="H48" s="6">
        <f>_xlfn.XLOOKUP(G48,Combustão_Móvel!$A$25:$A$40,Combustão_Móvel!$B$25:$B$40,Fatores_Marítimo!$H$30)</f>
        <v>3.8597744506341597E-2</v>
      </c>
      <c r="I48" s="6">
        <f>IF(A48="Inonibrás",SUMIFS(Industrial!F:F,Industrial!C:C,B48),IF(OR(B48="Gasolina Automotiva",B48="Óleo Diesel",B48="Acetileno"),SUMIFS('Florestal (Combustíveis)'!P:P,'Florestal (Combustíveis)'!D:D,B48,'Florestal (Combustíveis)'!A:A,A48)*Industrial!$F$6/(1000*SUM(Carbonização!$D$2:$D$4)),SUMIFS('Florestal (Fertilizantes)'!H:H,'Florestal (Fertilizantes)'!B:B,B48,'Florestal (Fertilizantes)'!A:A,A48)*Industrial!$F$6/(SUM(Carbonização!$D$2:$D$4))))</f>
        <v>1.3921449199574032E-2</v>
      </c>
      <c r="J48" s="6">
        <f t="shared" si="1"/>
        <v>7.2948393805767928</v>
      </c>
      <c r="K48" s="6">
        <f t="shared" si="2"/>
        <v>0.28156434662630225</v>
      </c>
      <c r="L48" s="6" t="s">
        <v>108</v>
      </c>
      <c r="M48" s="6">
        <f>IF(E48="Óleo Diesel",(K48/1000)*(1-0.1)*(_xlfn.XLOOKUP(E48,Combustão_Móvel!$A$2:$A$12,Combustão_Móvel!$E$2:$E$12))*(_xlfn.XLOOKUP(E48,Combustão_Móvel!$A$2:$A$12,Combustão_Móvel!$D$2:$D$12)),(K48/1000)*(_xlfn.XLOOKUP(E48,Combustão_Móvel!$A$2:$A$12,Combustão_Móvel!$D$2:$D$12))*(_xlfn.XLOOKUP(E48,Combustão_Móvel!$A$2:$A$12,Combustão_Móvel!$E$2:$E$12)))*1000</f>
        <v>0.66660218281603745</v>
      </c>
      <c r="N48" s="6">
        <f>IF(E48="Óleo Diesel",(K48/1000)*(1-0.1)*(_xlfn.XLOOKUP(E48,Combustão_Móvel!$A$2:$A$12,Combustão_Móvel!$F$2:$F$12))*(_xlfn.XLOOKUP(E48,Combustão_Móvel!$A$2:$A$12,Combustão_Móvel!$D$2:$D$12)),(K48/1000)*(_xlfn.XLOOKUP(E48,Combustão_Móvel!$A$2:$A$12,Combustão_Móvel!$D$2:$D$12))*(_xlfn.XLOOKUP(E48,Combustão_Móvel!$A$2:$A$12,Combustão_Móvel!$F$2:$F$12)))*1000</f>
        <v>3.5084325411370394E-5</v>
      </c>
      <c r="O48" s="6">
        <f>IF(E48="Óleo Diesel",(K48/1000)*(((1-0.1)*(_xlfn.XLOOKUP(E48,Combustão_Móvel!$A$2:$A$12,Combustão_Móvel!$G$2:$G$12))*(_xlfn.XLOOKUP(E48,Combustão_Móvel!$A$2:$A$12,Combustão_Móvel!$D$2:$D$12)))+((0.1)*(Combustão_Móvel!$G$6)*(Combustão_Móvel!$G$6))),(K48/1000)*(_xlfn.XLOOKUP(E48,Combustão_Móvel!$A$2:$A$12,Combustão_Móvel!$D$2:$D$12))*(_xlfn.XLOOKUP(E48,Combustão_Móvel!$A$2:$A$12,Combustão_Móvel!$G$2:$G$12)))*1000</f>
        <v>3.5084325421506709E-5</v>
      </c>
      <c r="P48" s="6">
        <f>(M48+(N48*GWP_Quioto!$E$3)+(O48*GWP_Quioto!$E$6))/1000</f>
        <v>6.77159056335086E-4</v>
      </c>
      <c r="Q48" s="6">
        <f>IF(E48="Óleo Diesel",(K48/1000)*(0.1)*(Combustão_Móvel!$D$6)*(Combustão_Móvel!$E$6),0)</f>
        <v>6.6058358272583648E-5</v>
      </c>
      <c r="R48" s="5" t="str">
        <f>IF(E48="Óleo Diesel",'Fatores de Emissão'!$A$19,'Fatores de Emissão'!$A$22)</f>
        <v>Óleo Diesel (10% Biodiesel)</v>
      </c>
      <c r="S48" s="6">
        <f>IF(E48="Óleo Diesel",(K48/1000)*((0.9*_xlfn.XLOOKUP(E48,Densidades!$A$2:$A$54,Densidades!$B$2:$B$54))+(0.1*Densidades!$B$6)),(K48/1000)*(_xlfn.XLOOKUP(E48,Densidades!$A$2:$A$54,Densidades!$B$2:$B$54)))</f>
        <v>0.2376403085525991</v>
      </c>
      <c r="T48" s="6">
        <f>(S48*(_xlfn.XLOOKUP(R48,'Fatores de Emissão'!$A$14:$A$22,'Fatores de Emissão'!$B$14:$B$22)))/1000</f>
        <v>1.8617727456395891E-4</v>
      </c>
      <c r="U48" s="6">
        <f>(S48*(_xlfn.XLOOKUP(R48,'Fatores de Emissão'!$A$14:$A$22,'Fatores de Emissão'!$C$14:$C$22)))/1000</f>
        <v>6.1658596638873701E-8</v>
      </c>
      <c r="V48" s="6">
        <f>(S48*(_xlfn.XLOOKUP(R48,'Fatores de Emissão'!$A:$A,'Fatores de Emissão'!E:E)))/1000</f>
        <v>3.3282587290858751E-8</v>
      </c>
      <c r="W48" s="6">
        <f t="shared" si="3"/>
        <v>8.6333633089904485E-4</v>
      </c>
      <c r="X48" s="6">
        <f t="shared" si="4"/>
        <v>6.6120016869222528E-5</v>
      </c>
      <c r="Y48" s="6"/>
      <c r="Z48" s="6"/>
      <c r="AA48" s="6"/>
      <c r="AB48" s="6"/>
      <c r="AC48" s="6" t="s">
        <v>145</v>
      </c>
    </row>
    <row r="49" spans="1:29">
      <c r="A49" s="5" t="s">
        <v>20</v>
      </c>
      <c r="B49" s="131" t="s">
        <v>60</v>
      </c>
      <c r="C49" s="6" t="s">
        <v>133</v>
      </c>
      <c r="D49" s="6" t="s">
        <v>141</v>
      </c>
      <c r="E49" s="6" t="str">
        <f t="shared" si="0"/>
        <v>Óleo Diesel</v>
      </c>
      <c r="F49" s="5">
        <v>524</v>
      </c>
      <c r="G49" s="5" t="str">
        <f>IF(D49="Rodoviário",Combustão_Móvel!$A$32,IF(D49="Marítimo",Fatores_Marítimo!$F$30))</f>
        <v>Caminhão - caminhão (média)</v>
      </c>
      <c r="H49" s="6">
        <f>_xlfn.XLOOKUP(G49,Combustão_Móvel!$A$25:$A$40,Combustão_Móvel!$B$25:$B$40,Fatores_Marítimo!$H$30)</f>
        <v>3.8597744506341597E-2</v>
      </c>
      <c r="I49" s="6">
        <f>IF(A49="Inonibrás",SUMIFS(Industrial!F:F,Industrial!C:C,B49),IF(OR(B49="Gasolina Automotiva",B49="Óleo Diesel",B49="Acetileno"),SUMIFS('Florestal (Combustíveis)'!P:P,'Florestal (Combustíveis)'!D:D,B49,'Florestal (Combustíveis)'!A:A,A49)*Industrial!$F$6/(1000*SUM(Carbonização!$D$2:$D$4)),SUMIFS('Florestal (Fertilizantes)'!H:H,'Florestal (Fertilizantes)'!B:B,B49,'Florestal (Fertilizantes)'!A:A,A49)*Industrial!$F$6/(SUM(Carbonização!$D$2:$D$4))))</f>
        <v>0</v>
      </c>
      <c r="J49" s="6">
        <f t="shared" si="1"/>
        <v>0</v>
      </c>
      <c r="K49" s="6">
        <f t="shared" si="2"/>
        <v>0</v>
      </c>
      <c r="L49" s="6" t="s">
        <v>108</v>
      </c>
      <c r="M49" s="6">
        <f>IF(E49="Óleo Diesel",(K49/1000)*(1-0.1)*(_xlfn.XLOOKUP(E49,Combustão_Móvel!$A$2:$A$12,Combustão_Móvel!$E$2:$E$12))*(_xlfn.XLOOKUP(E49,Combustão_Móvel!$A$2:$A$12,Combustão_Móvel!$D$2:$D$12)),(K49/1000)*(_xlfn.XLOOKUP(E49,Combustão_Móvel!$A$2:$A$12,Combustão_Móvel!$D$2:$D$12))*(_xlfn.XLOOKUP(E49,Combustão_Móvel!$A$2:$A$12,Combustão_Móvel!$E$2:$E$12)))*1000</f>
        <v>0</v>
      </c>
      <c r="N49" s="6">
        <f>IF(E49="Óleo Diesel",(K49/1000)*(1-0.1)*(_xlfn.XLOOKUP(E49,Combustão_Móvel!$A$2:$A$12,Combustão_Móvel!$F$2:$F$12))*(_xlfn.XLOOKUP(E49,Combustão_Móvel!$A$2:$A$12,Combustão_Móvel!$D$2:$D$12)),(K49/1000)*(_xlfn.XLOOKUP(E49,Combustão_Móvel!$A$2:$A$12,Combustão_Móvel!$D$2:$D$12))*(_xlfn.XLOOKUP(E49,Combustão_Móvel!$A$2:$A$12,Combustão_Móvel!$F$2:$F$12)))*1000</f>
        <v>0</v>
      </c>
      <c r="O49" s="6">
        <f>IF(E49="Óleo Diesel",(K49/1000)*(((1-0.1)*(_xlfn.XLOOKUP(E49,Combustão_Móvel!$A$2:$A$12,Combustão_Móvel!$G$2:$G$12))*(_xlfn.XLOOKUP(E49,Combustão_Móvel!$A$2:$A$12,Combustão_Móvel!$D$2:$D$12)))+((0.1)*(Combustão_Móvel!$G$6)*(Combustão_Móvel!$G$6))),(K49/1000)*(_xlfn.XLOOKUP(E49,Combustão_Móvel!$A$2:$A$12,Combustão_Móvel!$D$2:$D$12))*(_xlfn.XLOOKUP(E49,Combustão_Móvel!$A$2:$A$12,Combustão_Móvel!$G$2:$G$12)))*1000</f>
        <v>0</v>
      </c>
      <c r="P49" s="6">
        <f>(M49+(N49*GWP_Quioto!$E$3)+(O49*GWP_Quioto!$E$6))/1000</f>
        <v>0</v>
      </c>
      <c r="Q49" s="6">
        <f>IF(E49="Óleo Diesel",(K49/1000)*(0.1)*(Combustão_Móvel!$D$6)*(Combustão_Móvel!$E$6),0)</f>
        <v>0</v>
      </c>
      <c r="R49" s="5" t="str">
        <f>IF(E49="Óleo Diesel",'Fatores de Emissão'!$A$19,'Fatores de Emissão'!$A$22)</f>
        <v>Óleo Diesel (10% Biodiesel)</v>
      </c>
      <c r="S49" s="6">
        <f>IF(E49="Óleo Diesel",(K49/1000)*((0.9*_xlfn.XLOOKUP(E49,Densidades!$A$2:$A$54,Densidades!$B$2:$B$54))+(0.1*Densidades!$B$6)),(K49/1000)*(_xlfn.XLOOKUP(E49,Densidades!$A$2:$A$54,Densidades!$B$2:$B$54)))</f>
        <v>0</v>
      </c>
      <c r="T49" s="6">
        <f>(S49*(_xlfn.XLOOKUP(R49,'Fatores de Emissão'!$A$14:$A$22,'Fatores de Emissão'!$B$14:$B$22)))/1000</f>
        <v>0</v>
      </c>
      <c r="U49" s="6">
        <f>(S49*(_xlfn.XLOOKUP(R49,'Fatores de Emissão'!$A$14:$A$22,'Fatores de Emissão'!$C$14:$C$22)))/1000</f>
        <v>0</v>
      </c>
      <c r="V49" s="6">
        <f>(S49*(_xlfn.XLOOKUP(R49,'Fatores de Emissão'!$A:$A,'Fatores de Emissão'!E:E)))/1000</f>
        <v>0</v>
      </c>
      <c r="W49" s="6">
        <f t="shared" si="3"/>
        <v>0</v>
      </c>
      <c r="X49" s="6">
        <f t="shared" si="4"/>
        <v>0</v>
      </c>
      <c r="Y49" s="6"/>
      <c r="Z49" s="6"/>
      <c r="AA49" s="6"/>
      <c r="AB49" s="6"/>
      <c r="AC49" s="6" t="s">
        <v>145</v>
      </c>
    </row>
    <row r="50" spans="1:29">
      <c r="A50" s="5" t="s">
        <v>20</v>
      </c>
      <c r="B50" s="206" t="s">
        <v>63</v>
      </c>
      <c r="C50" s="6" t="s">
        <v>135</v>
      </c>
      <c r="D50" s="6" t="s">
        <v>141</v>
      </c>
      <c r="E50" s="6" t="str">
        <f t="shared" si="0"/>
        <v>Óleo Diesel</v>
      </c>
      <c r="F50" s="5">
        <v>192</v>
      </c>
      <c r="G50" s="5" t="str">
        <f>IF(D50="Rodoviário",Combustão_Móvel!$A$32,IF(D50="Marítimo",Fatores_Marítimo!$F$30))</f>
        <v>Caminhão - caminhão (média)</v>
      </c>
      <c r="H50" s="6">
        <f>_xlfn.XLOOKUP(G50,Combustão_Móvel!$A$25:$A$40,Combustão_Móvel!$B$25:$B$40,Fatores_Marítimo!$H$30)</f>
        <v>3.8597744506341597E-2</v>
      </c>
      <c r="I50" s="6">
        <f>IF(A50="Inonibrás",SUMIFS(Industrial!F:F,Industrial!C:C,B50),IF(OR(B50="Gasolina Automotiva",B50="Óleo Diesel",B50="Acetileno"),SUMIFS('Florestal (Combustíveis)'!P:P,'Florestal (Combustíveis)'!D:D,B50,'Florestal (Combustíveis)'!A:A,A50)*Industrial!$F$6/(1000*SUM(Carbonização!$D$2:$D$4)),SUMIFS('Florestal (Fertilizantes)'!H:H,'Florestal (Fertilizantes)'!B:B,B50,'Florestal (Fertilizantes)'!A:A,A50)*Industrial!$F$6/(SUM(Carbonização!$D$2:$D$4))))</f>
        <v>0.15436601236084366</v>
      </c>
      <c r="J50" s="6">
        <f t="shared" si="1"/>
        <v>29.63827437328198</v>
      </c>
      <c r="K50" s="6">
        <f t="shared" si="2"/>
        <v>1.1439705418687895</v>
      </c>
      <c r="L50" s="6" t="s">
        <v>108</v>
      </c>
      <c r="M50" s="6">
        <f>IF(E50="Óleo Diesel",(K50/1000)*(1-0.1)*(_xlfn.XLOOKUP(E50,Combustão_Móvel!$A$2:$A$12,Combustão_Móvel!$E$2:$E$12))*(_xlfn.XLOOKUP(E50,Combustão_Móvel!$A$2:$A$12,Combustão_Móvel!$D$2:$D$12)),(K50/1000)*(_xlfn.XLOOKUP(E50,Combustão_Móvel!$A$2:$A$12,Combustão_Móvel!$D$2:$D$12))*(_xlfn.XLOOKUP(E50,Combustão_Móvel!$A$2:$A$12,Combustão_Móvel!$E$2:$E$12)))*1000</f>
        <v>2.7083445380216502</v>
      </c>
      <c r="N50" s="6">
        <f>IF(E50="Óleo Diesel",(K50/1000)*(1-0.1)*(_xlfn.XLOOKUP(E50,Combustão_Móvel!$A$2:$A$12,Combustão_Móvel!$F$2:$F$12))*(_xlfn.XLOOKUP(E50,Combustão_Móvel!$A$2:$A$12,Combustão_Móvel!$D$2:$D$12)),(K50/1000)*(_xlfn.XLOOKUP(E50,Combustão_Móvel!$A$2:$A$12,Combustão_Móvel!$D$2:$D$12))*(_xlfn.XLOOKUP(E50,Combustão_Móvel!$A$2:$A$12,Combustão_Móvel!$F$2:$F$12)))*1000</f>
        <v>1.4254444936956053E-4</v>
      </c>
      <c r="O50" s="6">
        <f>IF(E50="Óleo Diesel",(K50/1000)*(((1-0.1)*(_xlfn.XLOOKUP(E50,Combustão_Móvel!$A$2:$A$12,Combustão_Móvel!$G$2:$G$12))*(_xlfn.XLOOKUP(E50,Combustão_Móvel!$A$2:$A$12,Combustão_Móvel!$D$2:$D$12)))+((0.1)*(Combustão_Móvel!$G$6)*(Combustão_Móvel!$G$6))),(K50/1000)*(_xlfn.XLOOKUP(E50,Combustão_Móvel!$A$2:$A$12,Combustão_Móvel!$D$2:$D$12))*(_xlfn.XLOOKUP(E50,Combustão_Móvel!$A$2:$A$12,Combustão_Móvel!$G$2:$G$12)))*1000</f>
        <v>1.4254444941074347E-4</v>
      </c>
      <c r="P50" s="6">
        <f>(M50+(N50*GWP_Quioto!$E$3)+(O50*GWP_Quioto!$E$6))/1000</f>
        <v>2.7512361628481939E-3</v>
      </c>
      <c r="Q50" s="6">
        <f>IF(E50="Óleo Diesel",(K50/1000)*(0.1)*(Combustão_Móvel!$D$6)*(Combustão_Móvel!$E$6),0)</f>
        <v>2.6838915087621729E-4</v>
      </c>
      <c r="R50" s="5" t="str">
        <f>IF(E50="Óleo Diesel",'Fatores de Emissão'!$A$19,'Fatores de Emissão'!$A$22)</f>
        <v>Óleo Diesel (10% Biodiesel)</v>
      </c>
      <c r="S50" s="6">
        <f>IF(E50="Óleo Diesel",(K50/1000)*((0.9*_xlfn.XLOOKUP(E50,Densidades!$A$2:$A$54,Densidades!$B$2:$B$54))+(0.1*Densidades!$B$6)),(K50/1000)*(_xlfn.XLOOKUP(E50,Densidades!$A$2:$A$54,Densidades!$B$2:$B$54)))</f>
        <v>0.96551113733725846</v>
      </c>
      <c r="T50" s="6">
        <f>(S50*(_xlfn.XLOOKUP(R50,'Fatores de Emissão'!$A$14:$A$22,'Fatores de Emissão'!$B$14:$B$22)))/1000</f>
        <v>7.5642147245744671E-4</v>
      </c>
      <c r="U50" s="6">
        <f>(S50*(_xlfn.XLOOKUP(R50,'Fatores de Emissão'!$A$14:$A$22,'Fatores de Emissão'!$C$14:$C$22)))/1000</f>
        <v>2.5051331623835793E-7</v>
      </c>
      <c r="V50" s="6">
        <f>(S50*(_xlfn.XLOOKUP(R50,'Fatores de Emissão'!$A:$A,'Fatores de Emissão'!E:E)))/1000</f>
        <v>1.3522414991146566E-7</v>
      </c>
      <c r="W50" s="6">
        <f t="shared" si="3"/>
        <v>3.5076576353056405E-3</v>
      </c>
      <c r="X50" s="6">
        <f t="shared" si="4"/>
        <v>2.6863966419245563E-4</v>
      </c>
      <c r="Y50" s="6"/>
      <c r="Z50" s="6"/>
      <c r="AA50" s="6"/>
      <c r="AB50" s="6"/>
      <c r="AC50" s="6" t="s">
        <v>145</v>
      </c>
    </row>
    <row r="51" spans="1:29">
      <c r="A51" s="5" t="s">
        <v>20</v>
      </c>
      <c r="B51" s="167" t="s">
        <v>66</v>
      </c>
      <c r="C51" s="6" t="s">
        <v>136</v>
      </c>
      <c r="D51" s="6" t="s">
        <v>141</v>
      </c>
      <c r="E51" s="6" t="str">
        <f t="shared" si="0"/>
        <v>Óleo Diesel</v>
      </c>
      <c r="F51" s="5">
        <v>99.5</v>
      </c>
      <c r="G51" s="5" t="str">
        <f>IF(D51="Rodoviário",Combustão_Móvel!$A$32,IF(D51="Marítimo",Fatores_Marítimo!$F$30))</f>
        <v>Caminhão - caminhão (média)</v>
      </c>
      <c r="H51" s="6">
        <f>_xlfn.XLOOKUP(G51,Combustão_Móvel!$A$25:$A$40,Combustão_Móvel!$B$25:$B$40,Fatores_Marítimo!$H$30)</f>
        <v>3.8597744506341597E-2</v>
      </c>
      <c r="I51" s="6">
        <f>IF(A51="Inonibrás",SUMIFS(Industrial!F:F,Industrial!C:C,B51),IF(OR(B51="Gasolina Automotiva",B51="Óleo Diesel",B51="Acetileno"),SUMIFS('Florestal (Combustíveis)'!P:P,'Florestal (Combustíveis)'!D:D,B51,'Florestal (Combustíveis)'!A:A,A51)*Industrial!$F$6/(1000*SUM(Carbonização!$D$2:$D$4)),SUMIFS('Florestal (Fertilizantes)'!H:H,'Florestal (Fertilizantes)'!B:B,B51,'Florestal (Fertilizantes)'!A:A,A51)*Industrial!$F$6/(SUM(Carbonização!$D$2:$D$4))))</f>
        <v>0.20573336189131591</v>
      </c>
      <c r="J51" s="6">
        <f t="shared" si="1"/>
        <v>20.470469508185932</v>
      </c>
      <c r="K51" s="6">
        <f t="shared" si="2"/>
        <v>0.79011395200181678</v>
      </c>
      <c r="L51" s="6" t="s">
        <v>108</v>
      </c>
      <c r="M51" s="6">
        <f>IF(E51="Óleo Diesel",(K51/1000)*(1-0.1)*(_xlfn.XLOOKUP(E51,Combustão_Móvel!$A$2:$A$12,Combustão_Móvel!$E$2:$E$12))*(_xlfn.XLOOKUP(E51,Combustão_Móvel!$A$2:$A$12,Combustão_Móvel!$D$2:$D$12)),(K51/1000)*(_xlfn.XLOOKUP(E51,Combustão_Móvel!$A$2:$A$12,Combustão_Móvel!$D$2:$D$12))*(_xlfn.XLOOKUP(E51,Combustão_Móvel!$A$2:$A$12,Combustão_Móvel!$E$2:$E$12)))*1000</f>
        <v>1.8705908307945411</v>
      </c>
      <c r="N51" s="6">
        <f>IF(E51="Óleo Diesel",(K51/1000)*(1-0.1)*(_xlfn.XLOOKUP(E51,Combustão_Móvel!$A$2:$A$12,Combustão_Móvel!$F$2:$F$12))*(_xlfn.XLOOKUP(E51,Combustão_Móvel!$A$2:$A$12,Combustão_Móvel!$D$2:$D$12)),(K51/1000)*(_xlfn.XLOOKUP(E51,Combustão_Móvel!$A$2:$A$12,Combustão_Móvel!$D$2:$D$12))*(_xlfn.XLOOKUP(E51,Combustão_Móvel!$A$2:$A$12,Combustão_Móvel!$F$2:$F$12)))*1000</f>
        <v>9.8452148989186384E-5</v>
      </c>
      <c r="O51" s="6">
        <f>IF(E51="Óleo Diesel",(K51/1000)*(((1-0.1)*(_xlfn.XLOOKUP(E51,Combustão_Móvel!$A$2:$A$12,Combustão_Móvel!$G$2:$G$12))*(_xlfn.XLOOKUP(E51,Combustão_Móvel!$A$2:$A$12,Combustão_Móvel!$D$2:$D$12)))+((0.1)*(Combustão_Móvel!$G$6)*(Combustão_Móvel!$G$6))),(K51/1000)*(_xlfn.XLOOKUP(E51,Combustão_Móvel!$A$2:$A$12,Combustão_Móvel!$D$2:$D$12))*(_xlfn.XLOOKUP(E51,Combustão_Móvel!$A$2:$A$12,Combustão_Móvel!$G$2:$G$12)))*1000</f>
        <v>9.8452149017630469E-5</v>
      </c>
      <c r="P51" s="6">
        <f>(M51+(N51*GWP_Quioto!$E$3)+(O51*GWP_Quioto!$E$6))/1000</f>
        <v>1.9002150824331528E-3</v>
      </c>
      <c r="Q51" s="6">
        <f>IF(E51="Óleo Diesel",(K51/1000)*(0.1)*(Combustão_Móvel!$D$6)*(Combustão_Móvel!$E$6),0)</f>
        <v>1.8537016899648659E-4</v>
      </c>
      <c r="R51" s="5" t="str">
        <f>IF(E51="Óleo Diesel",'Fatores de Emissão'!$A$19,'Fatores de Emissão'!$A$22)</f>
        <v>Óleo Diesel (10% Biodiesel)</v>
      </c>
      <c r="S51" s="6">
        <f>IF(E51="Óleo Diesel",(K51/1000)*((0.9*_xlfn.XLOOKUP(E51,Densidades!$A$2:$A$54,Densidades!$B$2:$B$54))+(0.1*Densidades!$B$6)),(K51/1000)*(_xlfn.XLOOKUP(E51,Densidades!$A$2:$A$54,Densidades!$B$2:$B$54)))</f>
        <v>0.66685617548953335</v>
      </c>
      <c r="T51" s="6">
        <f>(S51*(_xlfn.XLOOKUP(R51,'Fatores de Emissão'!$A$14:$A$22,'Fatores de Emissão'!$B$14:$B$22)))/1000</f>
        <v>5.2244278773651894E-4</v>
      </c>
      <c r="U51" s="6">
        <f>(S51*(_xlfn.XLOOKUP(R51,'Fatores de Emissão'!$A$14:$A$22,'Fatores de Emissão'!$C$14:$C$22)))/1000</f>
        <v>1.7302374412441154E-7</v>
      </c>
      <c r="V51" s="6">
        <f>(S51*(_xlfn.XLOOKUP(R51,'Fatores de Emissão'!$A:$A,'Fatores de Emissão'!E:E)))/1000</f>
        <v>9.3396187735827899E-8</v>
      </c>
      <c r="W51" s="6">
        <f t="shared" si="3"/>
        <v>2.4226578701696715E-3</v>
      </c>
      <c r="X51" s="6">
        <f t="shared" si="4"/>
        <v>1.85543192740611E-4</v>
      </c>
      <c r="Y51" s="6"/>
      <c r="Z51" s="6"/>
      <c r="AA51" s="6"/>
      <c r="AB51" s="6"/>
      <c r="AC51" s="6" t="s">
        <v>145</v>
      </c>
    </row>
    <row r="52" spans="1:29">
      <c r="A52" s="5" t="s">
        <v>20</v>
      </c>
      <c r="B52" s="206" t="s">
        <v>31</v>
      </c>
      <c r="C52" s="6" t="s">
        <v>138</v>
      </c>
      <c r="D52" s="6" t="s">
        <v>141</v>
      </c>
      <c r="E52" s="6" t="str">
        <f t="shared" si="0"/>
        <v>Óleo Diesel</v>
      </c>
      <c r="F52" s="5">
        <v>124</v>
      </c>
      <c r="G52" s="5" t="str">
        <f>IF(D52="Rodoviário",Combustão_Móvel!$A$32,IF(D52="Marítimo",Fatores_Marítimo!$F$30))</f>
        <v>Caminhão - caminhão (média)</v>
      </c>
      <c r="H52" s="6">
        <f>_xlfn.XLOOKUP(G52,Combustão_Móvel!$A$25:$A$40,Combustão_Móvel!$B$25:$B$40,Fatores_Marítimo!$H$30)</f>
        <v>3.8597744506341597E-2</v>
      </c>
      <c r="I52" s="6">
        <f>IF(A52="Inonibrás",SUMIFS(Industrial!F:F,Industrial!C:C,B52),IF(OR(B52="Gasolina Automotiva",B52="Óleo Diesel",B52="Acetileno"),SUMIFS('Florestal (Combustíveis)'!P:P,'Florestal (Combustíveis)'!D:D,B52,'Florestal (Combustíveis)'!A:A,A52)*Industrial!$F$6/(1000*SUM(Carbonização!$D$2:$D$4)),SUMIFS('Florestal (Fertilizantes)'!H:H,'Florestal (Fertilizantes)'!B:B,B52,'Florestal (Fertilizantes)'!A:A,A52)*Industrial!$F$6/(SUM(Carbonização!$D$2:$D$4))))</f>
        <v>2.1585696802888569E-3</v>
      </c>
      <c r="J52" s="6">
        <f t="shared" si="1"/>
        <v>0.26766264035581827</v>
      </c>
      <c r="K52" s="6">
        <f t="shared" si="2"/>
        <v>1.0331174206346671E-2</v>
      </c>
      <c r="L52" s="6" t="s">
        <v>108</v>
      </c>
      <c r="M52" s="6">
        <f>IF(E52="Óleo Diesel",(K52/1000)*(1-0.1)*(_xlfn.XLOOKUP(E52,Combustão_Móvel!$A$2:$A$12,Combustão_Móvel!$E$2:$E$12))*(_xlfn.XLOOKUP(E52,Combustão_Móvel!$A$2:$A$12,Combustão_Móvel!$D$2:$D$12)),(K52/1000)*(_xlfn.XLOOKUP(E52,Combustão_Móvel!$A$2:$A$12,Combustão_Móvel!$D$2:$D$12))*(_xlfn.XLOOKUP(E52,Combustão_Móvel!$A$2:$A$12,Combustão_Móvel!$E$2:$E$12)))*1000</f>
        <v>2.4459003277654715E-2</v>
      </c>
      <c r="N52" s="6">
        <f>IF(E52="Óleo Diesel",(K52/1000)*(1-0.1)*(_xlfn.XLOOKUP(E52,Combustão_Móvel!$A$2:$A$12,Combustão_Móvel!$F$2:$F$12))*(_xlfn.XLOOKUP(E52,Combustão_Móvel!$A$2:$A$12,Combustão_Móvel!$D$2:$D$12)),(K52/1000)*(_xlfn.XLOOKUP(E52,Combustão_Móvel!$A$2:$A$12,Combustão_Móvel!$D$2:$D$12))*(_xlfn.XLOOKUP(E52,Combustão_Móvel!$A$2:$A$12,Combustão_Móvel!$F$2:$F$12)))*1000</f>
        <v>1.2873159619818272E-6</v>
      </c>
      <c r="O52" s="6">
        <f>IF(E52="Óleo Diesel",(K52/1000)*(((1-0.1)*(_xlfn.XLOOKUP(E52,Combustão_Móvel!$A$2:$A$12,Combustão_Móvel!$G$2:$G$12))*(_xlfn.XLOOKUP(E52,Combustão_Móvel!$A$2:$A$12,Combustão_Móvel!$D$2:$D$12)))+((0.1)*(Combustão_Móvel!$G$6)*(Combustão_Móvel!$G$6))),(K52/1000)*(_xlfn.XLOOKUP(E52,Combustão_Móvel!$A$2:$A$12,Combustão_Móvel!$D$2:$D$12))*(_xlfn.XLOOKUP(E52,Combustão_Móvel!$A$2:$A$12,Combustão_Móvel!$G$2:$G$12)))*1000</f>
        <v>1.2873159623537494E-6</v>
      </c>
      <c r="P52" s="6">
        <f>(M52+(N52*GWP_Quioto!$E$3)+(O52*GWP_Quioto!$E$6))/1000</f>
        <v>2.4846356650716581E-5</v>
      </c>
      <c r="Q52" s="6">
        <f>IF(E52="Óleo Diesel",(K52/1000)*(0.1)*(Combustão_Móvel!$D$6)*(Combustão_Móvel!$E$6),0)</f>
        <v>2.4238168478237711E-6</v>
      </c>
      <c r="R52" s="5" t="str">
        <f>IF(E52="Óleo Diesel",'Fatores de Emissão'!$A$19,'Fatores de Emissão'!$A$22)</f>
        <v>Óleo Diesel (10% Biodiesel)</v>
      </c>
      <c r="S52" s="6">
        <f>IF(E52="Óleo Diesel",(K52/1000)*((0.9*_xlfn.XLOOKUP(E52,Densidades!$A$2:$A$54,Densidades!$B$2:$B$54))+(0.1*Densidades!$B$6)),(K52/1000)*(_xlfn.XLOOKUP(E52,Densidades!$A$2:$A$54,Densidades!$B$2:$B$54)))</f>
        <v>8.71951103015659E-3</v>
      </c>
      <c r="T52" s="6">
        <f>(S52*(_xlfn.XLOOKUP(R52,'Fatores de Emissão'!$A$14:$A$22,'Fatores de Emissão'!$B$14:$B$22)))/1000</f>
        <v>6.8312266088714291E-6</v>
      </c>
      <c r="U52" s="6">
        <f>(S52*(_xlfn.XLOOKUP(R52,'Fatores de Emissão'!$A$14:$A$22,'Fatores de Emissão'!$C$14:$C$22)))/1000</f>
        <v>2.2623805564435045E-9</v>
      </c>
      <c r="V52" s="6">
        <f>(S52*(_xlfn.XLOOKUP(R52,'Fatores de Emissão'!$A:$A,'Fatores de Emissão'!E:E)))/1000</f>
        <v>1.2212064895992089E-9</v>
      </c>
      <c r="W52" s="6">
        <f t="shared" si="3"/>
        <v>3.1677583259588009E-5</v>
      </c>
      <c r="X52" s="6">
        <f t="shared" si="4"/>
        <v>2.4260792283802144E-6</v>
      </c>
      <c r="Y52" s="6"/>
      <c r="Z52" s="6"/>
      <c r="AA52" s="6"/>
      <c r="AB52" s="6"/>
      <c r="AC52" s="6" t="s">
        <v>145</v>
      </c>
    </row>
    <row r="53" spans="1:29">
      <c r="A53" s="5" t="s">
        <v>20</v>
      </c>
      <c r="B53" s="77" t="s">
        <v>32</v>
      </c>
      <c r="C53" s="6" t="s">
        <v>138</v>
      </c>
      <c r="D53" s="6" t="s">
        <v>141</v>
      </c>
      <c r="E53" s="6" t="str">
        <f t="shared" si="0"/>
        <v>Óleo Diesel</v>
      </c>
      <c r="F53" s="5">
        <v>124</v>
      </c>
      <c r="G53" s="5" t="str">
        <f>IF(D53="Rodoviário",Combustão_Móvel!$A$32,IF(D53="Marítimo",Fatores_Marítimo!$F$30))</f>
        <v>Caminhão - caminhão (média)</v>
      </c>
      <c r="H53" s="6">
        <f>_xlfn.XLOOKUP(G53,Combustão_Móvel!$A$25:$A$40,Combustão_Móvel!$B$25:$B$40,Fatores_Marítimo!$H$30)</f>
        <v>3.8597744506341597E-2</v>
      </c>
      <c r="I53" s="6">
        <f>IF(A53="Inonibrás",SUMIFS(Industrial!F:F,Industrial!C:C,B53),IF(OR(B53="Gasolina Automotiva",B53="Óleo Diesel",B53="Acetileno"),SUMIFS('Florestal (Combustíveis)'!P:P,'Florestal (Combustíveis)'!D:D,B53,'Florestal (Combustíveis)'!A:A,A53)*Industrial!$F$6/(1000*SUM(Carbonização!$D$2:$D$4)),SUMIFS('Florestal (Fertilizantes)'!H:H,'Florestal (Fertilizantes)'!B:B,B53,'Florestal (Fertilizantes)'!A:A,A53)*Industrial!$F$6/(SUM(Carbonização!$D$2:$D$4))))</f>
        <v>1.5815168132264995E-2</v>
      </c>
      <c r="J53" s="6">
        <f t="shared" si="1"/>
        <v>1.9610808484008593</v>
      </c>
      <c r="K53" s="6">
        <f t="shared" si="2"/>
        <v>7.5693297542855989E-2</v>
      </c>
      <c r="L53" s="6" t="s">
        <v>108</v>
      </c>
      <c r="M53" s="6">
        <f>IF(E53="Óleo Diesel",(K53/1000)*(1-0.1)*(_xlfn.XLOOKUP(E53,Combustão_Móvel!$A$2:$A$12,Combustão_Móvel!$E$2:$E$12))*(_xlfn.XLOOKUP(E53,Combustão_Móvel!$A$2:$A$12,Combustão_Móvel!$D$2:$D$12)),(K53/1000)*(_xlfn.XLOOKUP(E53,Combustão_Móvel!$A$2:$A$12,Combustão_Móvel!$D$2:$D$12))*(_xlfn.XLOOKUP(E53,Combustão_Móvel!$A$2:$A$12,Combustão_Móvel!$E$2:$E$12)))*1000</f>
        <v>0.17920350346622385</v>
      </c>
      <c r="N53" s="6">
        <f>IF(E53="Óleo Diesel",(K53/1000)*(1-0.1)*(_xlfn.XLOOKUP(E53,Combustão_Móvel!$A$2:$A$12,Combustão_Móvel!$F$2:$F$12))*(_xlfn.XLOOKUP(E53,Combustão_Móvel!$A$2:$A$12,Combustão_Móvel!$D$2:$D$12)),(K53/1000)*(_xlfn.XLOOKUP(E53,Combustão_Móvel!$A$2:$A$12,Combustão_Móvel!$D$2:$D$12))*(_xlfn.XLOOKUP(E53,Combustão_Móvel!$A$2:$A$12,Combustão_Móvel!$F$2:$F$12)))*1000</f>
        <v>9.431763340327571E-6</v>
      </c>
      <c r="O53" s="6">
        <f>IF(E53="Óleo Diesel",(K53/1000)*(((1-0.1)*(_xlfn.XLOOKUP(E53,Combustão_Móvel!$A$2:$A$12,Combustão_Móvel!$G$2:$G$12))*(_xlfn.XLOOKUP(E53,Combustão_Móvel!$A$2:$A$12,Combustão_Móvel!$D$2:$D$12)))+((0.1)*(Combustão_Móvel!$G$6)*(Combustão_Móvel!$G$6))),(K53/1000)*(_xlfn.XLOOKUP(E53,Combustão_Móvel!$A$2:$A$12,Combustão_Móvel!$D$2:$D$12))*(_xlfn.XLOOKUP(E53,Combustão_Móvel!$A$2:$A$12,Combustão_Móvel!$G$2:$G$12)))*1000</f>
        <v>9.4317633430525302E-6</v>
      </c>
      <c r="P53" s="6">
        <f>(M53+(N53*GWP_Quioto!$E$3)+(O53*GWP_Quioto!$E$6))/1000</f>
        <v>1.8204152105607231E-4</v>
      </c>
      <c r="Q53" s="6">
        <f>IF(E53="Óleo Diesel",(K53/1000)*(0.1)*(Combustão_Móvel!$D$6)*(Combustão_Móvel!$E$6),0)</f>
        <v>1.7758551563190593E-5</v>
      </c>
      <c r="R53" s="5" t="str">
        <f>IF(E53="Óleo Diesel",'Fatores de Emissão'!$A$19,'Fatores de Emissão'!$A$22)</f>
        <v>Óleo Diesel (10% Biodiesel)</v>
      </c>
      <c r="S53" s="6">
        <f>IF(E53="Óleo Diesel",(K53/1000)*((0.9*_xlfn.XLOOKUP(E53,Densidades!$A$2:$A$54,Densidades!$B$2:$B$54))+(0.1*Densidades!$B$6)),(K53/1000)*(_xlfn.XLOOKUP(E53,Densidades!$A$2:$A$54,Densidades!$B$2:$B$54)))</f>
        <v>6.3885143126170454E-2</v>
      </c>
      <c r="T53" s="6">
        <f>(S53*(_xlfn.XLOOKUP(R53,'Fatores de Emissão'!$A$14:$A$22,'Fatores de Emissão'!$B$14:$B$22)))/1000</f>
        <v>5.0050270952775878E-5</v>
      </c>
      <c r="U53" s="6">
        <f>(S53*(_xlfn.XLOOKUP(R53,'Fatores de Emissão'!$A$14:$A$22,'Fatores de Emissão'!$C$14:$C$22)))/1000</f>
        <v>1.6575758107810186E-8</v>
      </c>
      <c r="V53" s="6">
        <f>(S53*(_xlfn.XLOOKUP(R53,'Fatores de Emissão'!$A:$A,'Fatores de Emissão'!E:E)))/1000</f>
        <v>8.9473998146032027E-9</v>
      </c>
      <c r="W53" s="6">
        <f t="shared" si="3"/>
        <v>2.3209179200884818E-4</v>
      </c>
      <c r="X53" s="6">
        <f t="shared" si="4"/>
        <v>1.7775127321298404E-5</v>
      </c>
      <c r="Y53" s="6"/>
      <c r="Z53" s="6"/>
      <c r="AA53" s="6"/>
      <c r="AB53" s="6"/>
      <c r="AC53" s="6" t="s">
        <v>145</v>
      </c>
    </row>
    <row r="54" spans="1:29">
      <c r="A54" s="5" t="s">
        <v>20</v>
      </c>
      <c r="B54" s="206" t="s">
        <v>33</v>
      </c>
      <c r="C54" s="6" t="s">
        <v>140</v>
      </c>
      <c r="D54" s="6" t="s">
        <v>141</v>
      </c>
      <c r="E54" s="6" t="str">
        <f t="shared" si="0"/>
        <v>Óleo Diesel</v>
      </c>
      <c r="F54" s="5">
        <v>124</v>
      </c>
      <c r="G54" s="5" t="str">
        <f>IF(D54="Rodoviário",Combustão_Móvel!$A$32,IF(D54="Marítimo",Fatores_Marítimo!$F$30))</f>
        <v>Caminhão - caminhão (média)</v>
      </c>
      <c r="H54" s="6">
        <f>_xlfn.XLOOKUP(G54,Combustão_Móvel!$A$25:$A$40,Combustão_Móvel!$B$25:$B$40,Fatores_Marítimo!$H$30)</f>
        <v>3.8597744506341597E-2</v>
      </c>
      <c r="I54" s="6">
        <f>IF(A54="Inonibrás",SUMIFS(Industrial!F:F,Industrial!C:C,B54),IF(OR(B54="Gasolina Automotiva",B54="Óleo Diesel",B54="Acetileno"),SUMIFS('Florestal (Combustíveis)'!P:P,'Florestal (Combustíveis)'!D:D,B54,'Florestal (Combustíveis)'!A:A,A54)*Industrial!$F$6/(1000*SUM(Carbonização!$D$2:$D$4)),SUMIFS('Florestal (Fertilizantes)'!H:H,'Florestal (Fertilizantes)'!B:B,B54,'Florestal (Fertilizantes)'!A:A,A54)*Industrial!$F$6/(SUM(Carbonização!$D$2:$D$4))))</f>
        <v>1.9005391398735881E-6</v>
      </c>
      <c r="J54" s="6">
        <f t="shared" si="1"/>
        <v>2.3566685334432493E-4</v>
      </c>
      <c r="K54" s="6">
        <f t="shared" si="2"/>
        <v>9.0962089939977287E-6</v>
      </c>
      <c r="L54" s="6" t="s">
        <v>108</v>
      </c>
      <c r="M54" s="6">
        <f>IF(E54="Óleo Diesel",(K54/1000)*(1-0.1)*(_xlfn.XLOOKUP(E54,Combustão_Móvel!$A$2:$A$12,Combustão_Móvel!$E$2:$E$12))*(_xlfn.XLOOKUP(E54,Combustão_Móvel!$A$2:$A$12,Combustão_Móvel!$D$2:$D$12)),(K54/1000)*(_xlfn.XLOOKUP(E54,Combustão_Móvel!$A$2:$A$12,Combustão_Móvel!$D$2:$D$12))*(_xlfn.XLOOKUP(E54,Combustão_Móvel!$A$2:$A$12,Combustão_Móvel!$E$2:$E$12)))*1000</f>
        <v>2.1535229312244655E-5</v>
      </c>
      <c r="N54" s="6">
        <f>IF(E54="Óleo Diesel",(K54/1000)*(1-0.1)*(_xlfn.XLOOKUP(E54,Combustão_Móvel!$A$2:$A$12,Combustão_Móvel!$F$2:$F$12))*(_xlfn.XLOOKUP(E54,Combustão_Móvel!$A$2:$A$12,Combustão_Móvel!$D$2:$D$12)),(K54/1000)*(_xlfn.XLOOKUP(E54,Combustão_Móvel!$A$2:$A$12,Combustão_Móvel!$D$2:$D$12))*(_xlfn.XLOOKUP(E54,Combustão_Móvel!$A$2:$A$12,Combustão_Móvel!$F$2:$F$12)))*1000</f>
        <v>1.1334331216970869E-9</v>
      </c>
      <c r="O54" s="6">
        <f>IF(E54="Óleo Diesel",(K54/1000)*(((1-0.1)*(_xlfn.XLOOKUP(E54,Combustão_Móvel!$A$2:$A$12,Combustão_Móvel!$G$2:$G$12))*(_xlfn.XLOOKUP(E54,Combustão_Móvel!$A$2:$A$12,Combustão_Móvel!$D$2:$D$12)))+((0.1)*(Combustão_Móvel!$G$6)*(Combustão_Móvel!$G$6))),(K54/1000)*(_xlfn.XLOOKUP(E54,Combustão_Móvel!$A$2:$A$12,Combustão_Móvel!$D$2:$D$12))*(_xlfn.XLOOKUP(E54,Combustão_Móvel!$A$2:$A$12,Combustão_Móvel!$G$2:$G$12)))*1000</f>
        <v>1.1334331220245505E-9</v>
      </c>
      <c r="P54" s="6">
        <f>(M54+(N54*GWP_Quioto!$E$3)+(O54*GWP_Quioto!$E$6))/1000</f>
        <v>2.1876279338652706E-8</v>
      </c>
      <c r="Q54" s="6">
        <f>IF(E54="Óleo Diesel",(K54/1000)*(0.1)*(Combustão_Móvel!$D$6)*(Combustão_Móvel!$E$6),0)</f>
        <v>2.1340792605581572E-9</v>
      </c>
      <c r="R54" s="5" t="str">
        <f>IF(E54="Óleo Diesel",'Fatores de Emissão'!$A$19,'Fatores de Emissão'!$A$22)</f>
        <v>Óleo Diesel (10% Biodiesel)</v>
      </c>
      <c r="S54" s="6">
        <f>IF(E54="Óleo Diesel",(K54/1000)*((0.9*_xlfn.XLOOKUP(E54,Densidades!$A$2:$A$54,Densidades!$B$2:$B$54))+(0.1*Densidades!$B$6)),(K54/1000)*(_xlfn.XLOOKUP(E54,Densidades!$A$2:$A$54,Densidades!$B$2:$B$54)))</f>
        <v>7.6772003909340824E-6</v>
      </c>
      <c r="T54" s="6">
        <f>(S54*(_xlfn.XLOOKUP(R54,'Fatores de Emissão'!$A$14:$A$22,'Fatores de Emissão'!$B$14:$B$22)))/1000</f>
        <v>6.0146372211476182E-9</v>
      </c>
      <c r="U54" s="6">
        <f>(S54*(_xlfn.XLOOKUP(R54,'Fatores de Emissão'!$A$14:$A$22,'Fatores de Emissão'!$C$14:$C$22)))/1000</f>
        <v>1.9919406985437143E-12</v>
      </c>
      <c r="V54" s="6">
        <f>(S54*(_xlfn.XLOOKUP(R54,'Fatores de Emissão'!$A:$A,'Fatores de Emissão'!E:E)))/1000</f>
        <v>1.0752262262112094E-12</v>
      </c>
      <c r="W54" s="6">
        <f t="shared" si="3"/>
        <v>2.7890916559800324E-8</v>
      </c>
      <c r="X54" s="6">
        <f t="shared" si="4"/>
        <v>2.1360712012567008E-9</v>
      </c>
      <c r="Y54" s="6"/>
      <c r="Z54" s="6"/>
      <c r="AA54" s="6"/>
      <c r="AB54" s="6"/>
      <c r="AC54" s="6" t="s">
        <v>145</v>
      </c>
    </row>
    <row r="55" spans="1:29">
      <c r="A55" s="5" t="s">
        <v>21</v>
      </c>
      <c r="B55" s="206" t="s">
        <v>57</v>
      </c>
      <c r="C55" s="6" t="s">
        <v>133</v>
      </c>
      <c r="D55" s="6" t="s">
        <v>141</v>
      </c>
      <c r="E55" s="6" t="str">
        <f t="shared" si="0"/>
        <v>Óleo Diesel</v>
      </c>
      <c r="F55" s="5">
        <v>397</v>
      </c>
      <c r="G55" s="5" t="str">
        <f>IF(D55="Rodoviário",Combustão_Móvel!$A$32,IF(D55="Marítimo",Fatores_Marítimo!$F$30))</f>
        <v>Caminhão - caminhão (média)</v>
      </c>
      <c r="H55" s="6">
        <f>_xlfn.XLOOKUP(G55,Combustão_Móvel!$A$25:$A$40,Combustão_Móvel!$B$25:$B$40,Fatores_Marítimo!$H$30)</f>
        <v>3.8597744506341597E-2</v>
      </c>
      <c r="I55" s="6">
        <f>IF(A55="Inonibrás",SUMIFS(Industrial!F:F,Industrial!C:C,B55),IF(OR(B55="Gasolina Automotiva",B55="Óleo Diesel",B55="Acetileno"),SUMIFS('Florestal (Combustíveis)'!P:P,'Florestal (Combustíveis)'!D:D,B55,'Florestal (Combustíveis)'!A:A,A55)*Industrial!$F$6/(1000*SUM(Carbonização!$D$2:$D$4)),SUMIFS('Florestal (Fertilizantes)'!H:H,'Florestal (Fertilizantes)'!B:B,B55,'Florestal (Fertilizantes)'!A:A,A55)*Industrial!$F$6/(SUM(Carbonização!$D$2:$D$4))))</f>
        <v>1.119206382370002E-2</v>
      </c>
      <c r="J55" s="6">
        <f t="shared" si="1"/>
        <v>4.4432493380089078</v>
      </c>
      <c r="K55" s="6">
        <f t="shared" si="2"/>
        <v>0.17149940272643927</v>
      </c>
      <c r="L55" s="6" t="s">
        <v>108</v>
      </c>
      <c r="M55" s="6">
        <f>IF(E55="Óleo Diesel",(K55/1000)*(1-0.1)*(_xlfn.XLOOKUP(E55,Combustão_Móvel!$A$2:$A$12,Combustão_Móvel!$E$2:$E$12))*(_xlfn.XLOOKUP(E55,Combustão_Móvel!$A$2:$A$12,Combustão_Móvel!$D$2:$D$12)),(K55/1000)*(_xlfn.XLOOKUP(E55,Combustão_Móvel!$A$2:$A$12,Combustão_Móvel!$D$2:$D$12))*(_xlfn.XLOOKUP(E55,Combustão_Móvel!$A$2:$A$12,Combustão_Móvel!$E$2:$E$12)))*1000</f>
        <v>0.40602397845783128</v>
      </c>
      <c r="N55" s="6">
        <f>IF(E55="Óleo Diesel",(K55/1000)*(1-0.1)*(_xlfn.XLOOKUP(E55,Combustão_Móvel!$A$2:$A$12,Combustão_Móvel!$F$2:$F$12))*(_xlfn.XLOOKUP(E55,Combustão_Móvel!$A$2:$A$12,Combustão_Móvel!$D$2:$D$12)),(K55/1000)*(_xlfn.XLOOKUP(E55,Combustão_Móvel!$A$2:$A$12,Combustão_Móvel!$D$2:$D$12))*(_xlfn.XLOOKUP(E55,Combustão_Móvel!$A$2:$A$12,Combustão_Móvel!$F$2:$F$12)))*1000</f>
        <v>2.1369683076727964E-5</v>
      </c>
      <c r="O55" s="6">
        <f>IF(E55="Óleo Diesel",(K55/1000)*(((1-0.1)*(_xlfn.XLOOKUP(E55,Combustão_Móvel!$A$2:$A$12,Combustão_Móvel!$G$2:$G$12))*(_xlfn.XLOOKUP(E55,Combustão_Móvel!$A$2:$A$12,Combustão_Móvel!$D$2:$D$12)))+((0.1)*(Combustão_Móvel!$G$6)*(Combustão_Móvel!$G$6))),(K55/1000)*(_xlfn.XLOOKUP(E55,Combustão_Móvel!$A$2:$A$12,Combustão_Móvel!$D$2:$D$12))*(_xlfn.XLOOKUP(E55,Combustão_Móvel!$A$2:$A$12,Combustão_Móvel!$G$2:$G$12)))*1000</f>
        <v>2.136968308290194E-5</v>
      </c>
      <c r="P55" s="6">
        <f>(M55+(N55*GWP_Quioto!$E$3)+(O55*GWP_Quioto!$E$6))/1000</f>
        <v>4.1245411609730427E-4</v>
      </c>
      <c r="Q55" s="6">
        <f>IF(E55="Óleo Diesel",(K55/1000)*(0.1)*(Combustão_Móvel!$D$6)*(Combustão_Móvel!$E$6),0)</f>
        <v>4.023580799408977E-5</v>
      </c>
      <c r="R55" s="5" t="str">
        <f>IF(E55="Óleo Diesel",'Fatores de Emissão'!$A$19,'Fatores de Emissão'!$A$22)</f>
        <v>Óleo Diesel (10% Biodiesel)</v>
      </c>
      <c r="S55" s="6">
        <f>IF(E55="Óleo Diesel",(K55/1000)*((0.9*_xlfn.XLOOKUP(E55,Densidades!$A$2:$A$54,Densidades!$B$2:$B$54))+(0.1*Densidades!$B$6)),(K55/1000)*(_xlfn.XLOOKUP(E55,Densidades!$A$2:$A$54,Densidades!$B$2:$B$54)))</f>
        <v>0.14474549590111474</v>
      </c>
      <c r="T55" s="6">
        <f>(S55*(_xlfn.XLOOKUP(R55,'Fatores de Emissão'!$A$14:$A$22,'Fatores de Emissão'!$B$14:$B$22)))/1000</f>
        <v>1.1339962524208517E-4</v>
      </c>
      <c r="U55" s="6">
        <f>(S55*(_xlfn.XLOOKUP(R55,'Fatores de Emissão'!$A$14:$A$22,'Fatores de Emissão'!$C$14:$C$22)))/1000</f>
        <v>3.7555935697184856E-8</v>
      </c>
      <c r="V55" s="6">
        <f>(S55*(_xlfn.XLOOKUP(R55,'Fatores de Emissão'!$A:$A,'Fatores de Emissão'!E:E)))/1000</f>
        <v>2.0272253607267079E-8</v>
      </c>
      <c r="W55" s="6">
        <f t="shared" si="3"/>
        <v>5.2585374133938946E-4</v>
      </c>
      <c r="X55" s="6">
        <f t="shared" si="4"/>
        <v>4.0273363929786953E-5</v>
      </c>
      <c r="Y55" s="6"/>
      <c r="Z55" s="6"/>
      <c r="AA55" s="6"/>
      <c r="AB55" s="6"/>
      <c r="AC55" s="6" t="s">
        <v>145</v>
      </c>
    </row>
    <row r="56" spans="1:29">
      <c r="A56" s="5" t="s">
        <v>21</v>
      </c>
      <c r="B56" s="206" t="s">
        <v>58</v>
      </c>
      <c r="C56" s="6" t="s">
        <v>134</v>
      </c>
      <c r="D56" s="6" t="s">
        <v>141</v>
      </c>
      <c r="E56" s="6" t="str">
        <f t="shared" si="0"/>
        <v>Óleo Diesel</v>
      </c>
      <c r="F56" s="5">
        <v>556</v>
      </c>
      <c r="G56" s="5" t="str">
        <f>IF(D56="Rodoviário",Combustão_Móvel!$A$32,IF(D56="Marítimo",Fatores_Marítimo!$F$30))</f>
        <v>Caminhão - caminhão (média)</v>
      </c>
      <c r="H56" s="6">
        <f>_xlfn.XLOOKUP(G56,Combustão_Móvel!$A$25:$A$40,Combustão_Móvel!$B$25:$B$40,Fatores_Marítimo!$H$30)</f>
        <v>3.8597744506341597E-2</v>
      </c>
      <c r="I56" s="6">
        <f>IF(A56="Inonibrás",SUMIFS(Industrial!F:F,Industrial!C:C,B56),IF(OR(B56="Gasolina Automotiva",B56="Óleo Diesel",B56="Acetileno"),SUMIFS('Florestal (Combustíveis)'!P:P,'Florestal (Combustíveis)'!D:D,B56,'Florestal (Combustíveis)'!A:A,A56)*Industrial!$F$6/(1000*SUM(Carbonização!$D$2:$D$4)),SUMIFS('Florestal (Fertilizantes)'!H:H,'Florestal (Fertilizantes)'!B:B,B56,'Florestal (Fertilizantes)'!A:A,A56)*Industrial!$F$6/(SUM(Carbonização!$D$2:$D$4))))</f>
        <v>0</v>
      </c>
      <c r="J56" s="6">
        <f t="shared" si="1"/>
        <v>0</v>
      </c>
      <c r="K56" s="6">
        <f t="shared" si="2"/>
        <v>0</v>
      </c>
      <c r="L56" s="6" t="s">
        <v>108</v>
      </c>
      <c r="M56" s="6">
        <f>IF(E56="Óleo Diesel",(K56/1000)*(1-0.1)*(_xlfn.XLOOKUP(E56,Combustão_Móvel!$A$2:$A$12,Combustão_Móvel!$E$2:$E$12))*(_xlfn.XLOOKUP(E56,Combustão_Móvel!$A$2:$A$12,Combustão_Móvel!$D$2:$D$12)),(K56/1000)*(_xlfn.XLOOKUP(E56,Combustão_Móvel!$A$2:$A$12,Combustão_Móvel!$D$2:$D$12))*(_xlfn.XLOOKUP(E56,Combustão_Móvel!$A$2:$A$12,Combustão_Móvel!$E$2:$E$12)))*1000</f>
        <v>0</v>
      </c>
      <c r="N56" s="6">
        <f>IF(E56="Óleo Diesel",(K56/1000)*(1-0.1)*(_xlfn.XLOOKUP(E56,Combustão_Móvel!$A$2:$A$12,Combustão_Móvel!$F$2:$F$12))*(_xlfn.XLOOKUP(E56,Combustão_Móvel!$A$2:$A$12,Combustão_Móvel!$D$2:$D$12)),(K56/1000)*(_xlfn.XLOOKUP(E56,Combustão_Móvel!$A$2:$A$12,Combustão_Móvel!$D$2:$D$12))*(_xlfn.XLOOKUP(E56,Combustão_Móvel!$A$2:$A$12,Combustão_Móvel!$F$2:$F$12)))*1000</f>
        <v>0</v>
      </c>
      <c r="O56" s="6">
        <f>IF(E56="Óleo Diesel",(K56/1000)*(((1-0.1)*(_xlfn.XLOOKUP(E56,Combustão_Móvel!$A$2:$A$12,Combustão_Móvel!$G$2:$G$12))*(_xlfn.XLOOKUP(E56,Combustão_Móvel!$A$2:$A$12,Combustão_Móvel!$D$2:$D$12)))+((0.1)*(Combustão_Móvel!$G$6)*(Combustão_Móvel!$G$6))),(K56/1000)*(_xlfn.XLOOKUP(E56,Combustão_Móvel!$A$2:$A$12,Combustão_Móvel!$D$2:$D$12))*(_xlfn.XLOOKUP(E56,Combustão_Móvel!$A$2:$A$12,Combustão_Móvel!$G$2:$G$12)))*1000</f>
        <v>0</v>
      </c>
      <c r="P56" s="6">
        <f>(M56+(N56*GWP_Quioto!$E$3)+(O56*GWP_Quioto!$E$6))/1000</f>
        <v>0</v>
      </c>
      <c r="Q56" s="6">
        <f>IF(E56="Óleo Diesel",(K56/1000)*(0.1)*(Combustão_Móvel!$D$6)*(Combustão_Móvel!$E$6),0)</f>
        <v>0</v>
      </c>
      <c r="R56" s="5" t="str">
        <f>IF(E56="Óleo Diesel",'Fatores de Emissão'!$A$19,'Fatores de Emissão'!$A$22)</f>
        <v>Óleo Diesel (10% Biodiesel)</v>
      </c>
      <c r="S56" s="6">
        <f>IF(E56="Óleo Diesel",(K56/1000)*((0.9*_xlfn.XLOOKUP(E56,Densidades!$A$2:$A$54,Densidades!$B$2:$B$54))+(0.1*Densidades!$B$6)),(K56/1000)*(_xlfn.XLOOKUP(E56,Densidades!$A$2:$A$54,Densidades!$B$2:$B$54)))</f>
        <v>0</v>
      </c>
      <c r="T56" s="6">
        <f>(S56*(_xlfn.XLOOKUP(R56,'Fatores de Emissão'!$A$14:$A$22,'Fatores de Emissão'!$B$14:$B$22)))/1000</f>
        <v>0</v>
      </c>
      <c r="U56" s="6">
        <f>(S56*(_xlfn.XLOOKUP(R56,'Fatores de Emissão'!$A$14:$A$22,'Fatores de Emissão'!$C$14:$C$22)))/1000</f>
        <v>0</v>
      </c>
      <c r="V56" s="6">
        <f>(S56*(_xlfn.XLOOKUP(R56,'Fatores de Emissão'!$A:$A,'Fatores de Emissão'!E:E)))/1000</f>
        <v>0</v>
      </c>
      <c r="W56" s="6">
        <f t="shared" si="3"/>
        <v>0</v>
      </c>
      <c r="X56" s="6">
        <f t="shared" si="4"/>
        <v>0</v>
      </c>
      <c r="Y56" s="6"/>
      <c r="Z56" s="6"/>
      <c r="AA56" s="6"/>
      <c r="AB56" s="6"/>
      <c r="AC56" s="6" t="s">
        <v>145</v>
      </c>
    </row>
    <row r="57" spans="1:29">
      <c r="A57" s="5" t="s">
        <v>21</v>
      </c>
      <c r="B57" s="206" t="s">
        <v>62</v>
      </c>
      <c r="C57" s="6" t="s">
        <v>134</v>
      </c>
      <c r="D57" s="6" t="s">
        <v>141</v>
      </c>
      <c r="E57" s="6" t="str">
        <f t="shared" si="0"/>
        <v>Óleo Diesel</v>
      </c>
      <c r="F57" s="5">
        <v>556</v>
      </c>
      <c r="G57" s="5" t="str">
        <f>IF(D57="Rodoviário",Combustão_Móvel!$A$32,IF(D57="Marítimo",Fatores_Marítimo!$F$30))</f>
        <v>Caminhão - caminhão (média)</v>
      </c>
      <c r="H57" s="6">
        <f>_xlfn.XLOOKUP(G57,Combustão_Móvel!$A$25:$A$40,Combustão_Móvel!$B$25:$B$40,Fatores_Marítimo!$H$30)</f>
        <v>3.8597744506341597E-2</v>
      </c>
      <c r="I57" s="6">
        <f>IF(A57="Inonibrás",SUMIFS(Industrial!F:F,Industrial!C:C,B57),IF(OR(B57="Gasolina Automotiva",B57="Óleo Diesel",B57="Acetileno"),SUMIFS('Florestal (Combustíveis)'!P:P,'Florestal (Combustíveis)'!D:D,B57,'Florestal (Combustíveis)'!A:A,A57)*Industrial!$F$6/(1000*SUM(Carbonização!$D$2:$D$4)),SUMIFS('Florestal (Fertilizantes)'!H:H,'Florestal (Fertilizantes)'!B:B,B57,'Florestal (Fertilizantes)'!A:A,A57)*Industrial!$F$6/(SUM(Carbonização!$D$2:$D$4))))</f>
        <v>0</v>
      </c>
      <c r="J57" s="6">
        <f t="shared" si="1"/>
        <v>0</v>
      </c>
      <c r="K57" s="6">
        <f t="shared" si="2"/>
        <v>0</v>
      </c>
      <c r="L57" s="6" t="s">
        <v>108</v>
      </c>
      <c r="M57" s="6">
        <f>IF(E57="Óleo Diesel",(K57/1000)*(1-0.1)*(_xlfn.XLOOKUP(E57,Combustão_Móvel!$A$2:$A$12,Combustão_Móvel!$E$2:$E$12))*(_xlfn.XLOOKUP(E57,Combustão_Móvel!$A$2:$A$12,Combustão_Móvel!$D$2:$D$12)),(K57/1000)*(_xlfn.XLOOKUP(E57,Combustão_Móvel!$A$2:$A$12,Combustão_Móvel!$D$2:$D$12))*(_xlfn.XLOOKUP(E57,Combustão_Móvel!$A$2:$A$12,Combustão_Móvel!$E$2:$E$12)))*1000</f>
        <v>0</v>
      </c>
      <c r="N57" s="6">
        <f>IF(E57="Óleo Diesel",(K57/1000)*(1-0.1)*(_xlfn.XLOOKUP(E57,Combustão_Móvel!$A$2:$A$12,Combustão_Móvel!$F$2:$F$12))*(_xlfn.XLOOKUP(E57,Combustão_Móvel!$A$2:$A$12,Combustão_Móvel!$D$2:$D$12)),(K57/1000)*(_xlfn.XLOOKUP(E57,Combustão_Móvel!$A$2:$A$12,Combustão_Móvel!$D$2:$D$12))*(_xlfn.XLOOKUP(E57,Combustão_Móvel!$A$2:$A$12,Combustão_Móvel!$F$2:$F$12)))*1000</f>
        <v>0</v>
      </c>
      <c r="O57" s="6">
        <f>IF(E57="Óleo Diesel",(K57/1000)*(((1-0.1)*(_xlfn.XLOOKUP(E57,Combustão_Móvel!$A$2:$A$12,Combustão_Móvel!$G$2:$G$12))*(_xlfn.XLOOKUP(E57,Combustão_Móvel!$A$2:$A$12,Combustão_Móvel!$D$2:$D$12)))+((0.1)*(Combustão_Móvel!$G$6)*(Combustão_Móvel!$G$6))),(K57/1000)*(_xlfn.XLOOKUP(E57,Combustão_Móvel!$A$2:$A$12,Combustão_Móvel!$D$2:$D$12))*(_xlfn.XLOOKUP(E57,Combustão_Móvel!$A$2:$A$12,Combustão_Móvel!$G$2:$G$12)))*1000</f>
        <v>0</v>
      </c>
      <c r="P57" s="6">
        <f>(M57+(N57*GWP_Quioto!$E$3)+(O57*GWP_Quioto!$E$6))/1000</f>
        <v>0</v>
      </c>
      <c r="Q57" s="6">
        <f>IF(E57="Óleo Diesel",(K57/1000)*(0.1)*(Combustão_Móvel!$D$6)*(Combustão_Móvel!$E$6),0)</f>
        <v>0</v>
      </c>
      <c r="R57" s="5" t="str">
        <f>IF(E57="Óleo Diesel",'Fatores de Emissão'!$A$19,'Fatores de Emissão'!$A$22)</f>
        <v>Óleo Diesel (10% Biodiesel)</v>
      </c>
      <c r="S57" s="6">
        <f>IF(E57="Óleo Diesel",(K57/1000)*((0.9*_xlfn.XLOOKUP(E57,Densidades!$A$2:$A$54,Densidades!$B$2:$B$54))+(0.1*Densidades!$B$6)),(K57/1000)*(_xlfn.XLOOKUP(E57,Densidades!$A$2:$A$54,Densidades!$B$2:$B$54)))</f>
        <v>0</v>
      </c>
      <c r="T57" s="6">
        <f>(S57*(_xlfn.XLOOKUP(R57,'Fatores de Emissão'!$A$14:$A$22,'Fatores de Emissão'!$B$14:$B$22)))/1000</f>
        <v>0</v>
      </c>
      <c r="U57" s="6">
        <f>(S57*(_xlfn.XLOOKUP(R57,'Fatores de Emissão'!$A$14:$A$22,'Fatores de Emissão'!$C$14:$C$22)))/1000</f>
        <v>0</v>
      </c>
      <c r="V57" s="6">
        <f>(S57*(_xlfn.XLOOKUP(R57,'Fatores de Emissão'!$A:$A,'Fatores de Emissão'!E:E)))/1000</f>
        <v>0</v>
      </c>
      <c r="W57" s="6">
        <f t="shared" si="3"/>
        <v>0</v>
      </c>
      <c r="X57" s="6">
        <f t="shared" si="4"/>
        <v>0</v>
      </c>
      <c r="Y57" s="6"/>
      <c r="Z57" s="6"/>
      <c r="AA57" s="6"/>
      <c r="AB57" s="6"/>
      <c r="AC57" s="6" t="s">
        <v>145</v>
      </c>
    </row>
    <row r="58" spans="1:29">
      <c r="A58" s="5" t="s">
        <v>21</v>
      </c>
      <c r="B58" s="206" t="s">
        <v>67</v>
      </c>
      <c r="C58" s="6" t="s">
        <v>133</v>
      </c>
      <c r="D58" s="6" t="s">
        <v>141</v>
      </c>
      <c r="E58" s="6" t="str">
        <f t="shared" si="0"/>
        <v>Óleo Diesel</v>
      </c>
      <c r="F58" s="5">
        <v>397</v>
      </c>
      <c r="G58" s="5" t="str">
        <f>IF(D58="Rodoviário",Combustão_Móvel!$A$32,IF(D58="Marítimo",Fatores_Marítimo!$F$30))</f>
        <v>Caminhão - caminhão (média)</v>
      </c>
      <c r="H58" s="6">
        <f>_xlfn.XLOOKUP(G58,Combustão_Móvel!$A$25:$A$40,Combustão_Móvel!$B$25:$B$40,Fatores_Marítimo!$H$30)</f>
        <v>3.8597744506341597E-2</v>
      </c>
      <c r="I58" s="6">
        <f>IF(A58="Inonibrás",SUMIFS(Industrial!F:F,Industrial!C:C,B58),IF(OR(B58="Gasolina Automotiva",B58="Óleo Diesel",B58="Acetileno"),SUMIFS('Florestal (Combustíveis)'!P:P,'Florestal (Combustíveis)'!D:D,B58,'Florestal (Combustíveis)'!A:A,A58)*Industrial!$F$6/(1000*SUM(Carbonização!$D$2:$D$4)),SUMIFS('Florestal (Fertilizantes)'!H:H,'Florestal (Fertilizantes)'!B:B,B58,'Florestal (Fertilizantes)'!A:A,A58)*Industrial!$F$6/(SUM(Carbonização!$D$2:$D$4))))</f>
        <v>3.3787362486641568E-3</v>
      </c>
      <c r="J58" s="6">
        <f t="shared" si="1"/>
        <v>1.3413582907196702</v>
      </c>
      <c r="K58" s="6">
        <f t="shared" si="2"/>
        <v>5.1773404596660903E-2</v>
      </c>
      <c r="L58" s="6" t="s">
        <v>108</v>
      </c>
      <c r="M58" s="6">
        <f>IF(E58="Óleo Diesel",(K58/1000)*(1-0.1)*(_xlfn.XLOOKUP(E58,Combustão_Móvel!$A$2:$A$12,Combustão_Móvel!$E$2:$E$12))*(_xlfn.XLOOKUP(E58,Combustão_Móvel!$A$2:$A$12,Combustão_Móvel!$D$2:$D$12)),(K58/1000)*(_xlfn.XLOOKUP(E58,Combustão_Móvel!$A$2:$A$12,Combustão_Móvel!$D$2:$D$12))*(_xlfn.XLOOKUP(E58,Combustão_Móvel!$A$2:$A$12,Combustão_Móvel!$E$2:$E$12)))*1000</f>
        <v>0.12257327651557171</v>
      </c>
      <c r="N58" s="6">
        <f>IF(E58="Óleo Diesel",(K58/1000)*(1-0.1)*(_xlfn.XLOOKUP(E58,Combustão_Móvel!$A$2:$A$12,Combustão_Móvel!$F$2:$F$12))*(_xlfn.XLOOKUP(E58,Combustão_Móvel!$A$2:$A$12,Combustão_Móvel!$D$2:$D$12)),(K58/1000)*(_xlfn.XLOOKUP(E58,Combustão_Móvel!$A$2:$A$12,Combustão_Móvel!$D$2:$D$12))*(_xlfn.XLOOKUP(E58,Combustão_Móvel!$A$2:$A$12,Combustão_Móvel!$F$2:$F$12)))*1000</f>
        <v>6.4512250797669326E-6</v>
      </c>
      <c r="O58" s="6">
        <f>IF(E58="Óleo Diesel",(K58/1000)*(((1-0.1)*(_xlfn.XLOOKUP(E58,Combustão_Móvel!$A$2:$A$12,Combustão_Móvel!$G$2:$G$12))*(_xlfn.XLOOKUP(E58,Combustão_Móvel!$A$2:$A$12,Combustão_Móvel!$D$2:$D$12)))+((0.1)*(Combustão_Móvel!$G$6)*(Combustão_Móvel!$G$6))),(K58/1000)*(_xlfn.XLOOKUP(E58,Combustão_Móvel!$A$2:$A$12,Combustão_Móvel!$D$2:$D$12))*(_xlfn.XLOOKUP(E58,Combustão_Móvel!$A$2:$A$12,Combustão_Móvel!$G$2:$G$12)))*1000</f>
        <v>6.4512250816307744E-6</v>
      </c>
      <c r="P58" s="6">
        <f>(M58+(N58*GWP_Quioto!$E$3)+(O58*GWP_Quioto!$E$6))/1000</f>
        <v>1.2451445014258241E-4</v>
      </c>
      <c r="Q58" s="6">
        <f>IF(E58="Óleo Diesel",(K58/1000)*(0.1)*(Combustão_Móvel!$D$6)*(Combustão_Móvel!$E$6),0)</f>
        <v>1.2146659017083704E-5</v>
      </c>
      <c r="R58" s="5" t="str">
        <f>IF(E58="Óleo Diesel",'Fatores de Emissão'!$A$19,'Fatores de Emissão'!$A$22)</f>
        <v>Óleo Diesel (10% Biodiesel)</v>
      </c>
      <c r="S58" s="6">
        <f>IF(E58="Óleo Diesel",(K58/1000)*((0.9*_xlfn.XLOOKUP(E58,Densidades!$A$2:$A$54,Densidades!$B$2:$B$54))+(0.1*Densidades!$B$6)),(K58/1000)*(_xlfn.XLOOKUP(E58,Densidades!$A$2:$A$54,Densidades!$B$2:$B$54)))</f>
        <v>4.3696753479581803E-2</v>
      </c>
      <c r="T58" s="6">
        <f>(S58*(_xlfn.XLOOKUP(R58,'Fatores de Emissão'!$A$14:$A$22,'Fatores de Emissão'!$B$14:$B$22)))/1000</f>
        <v>3.4233849129686082E-5</v>
      </c>
      <c r="U58" s="6">
        <f>(S58*(_xlfn.XLOOKUP(R58,'Fatores de Emissão'!$A$14:$A$22,'Fatores de Emissão'!$C$14:$C$22)))/1000</f>
        <v>1.1337640965187879E-8</v>
      </c>
      <c r="V58" s="6">
        <f>(S58*(_xlfn.XLOOKUP(R58,'Fatores de Emissão'!$A:$A,'Fatores de Emissão'!E:E)))/1000</f>
        <v>6.1199256172881739E-9</v>
      </c>
      <c r="W58" s="6">
        <f t="shared" si="3"/>
        <v>1.5874829927226848E-4</v>
      </c>
      <c r="X58" s="6">
        <f t="shared" si="4"/>
        <v>1.2157996658048892E-5</v>
      </c>
      <c r="Y58" s="6"/>
      <c r="Z58" s="6"/>
      <c r="AA58" s="6"/>
      <c r="AB58" s="6"/>
      <c r="AC58" s="6" t="s">
        <v>145</v>
      </c>
    </row>
    <row r="59" spans="1:29">
      <c r="A59" s="5" t="s">
        <v>21</v>
      </c>
      <c r="B59" s="206" t="s">
        <v>52</v>
      </c>
      <c r="C59" s="6" t="s">
        <v>134</v>
      </c>
      <c r="D59" s="6" t="s">
        <v>141</v>
      </c>
      <c r="E59" s="6" t="str">
        <f t="shared" si="0"/>
        <v>Óleo Diesel</v>
      </c>
      <c r="F59" s="5">
        <v>556</v>
      </c>
      <c r="G59" s="5" t="str">
        <f>IF(D59="Rodoviário",Combustão_Móvel!$A$32,IF(D59="Marítimo",Fatores_Marítimo!$F$30))</f>
        <v>Caminhão - caminhão (média)</v>
      </c>
      <c r="H59" s="6">
        <f>_xlfn.XLOOKUP(G59,Combustão_Móvel!$A$25:$A$40,Combustão_Móvel!$B$25:$B$40,Fatores_Marítimo!$H$30)</f>
        <v>3.8597744506341597E-2</v>
      </c>
      <c r="I59" s="6">
        <f>IF(A59="Inonibrás",SUMIFS(Industrial!F:F,Industrial!C:C,B59),IF(OR(B59="Gasolina Automotiva",B59="Óleo Diesel",B59="Acetileno"),SUMIFS('Florestal (Combustíveis)'!P:P,'Florestal (Combustíveis)'!D:D,B59,'Florestal (Combustíveis)'!A:A,A59)*Industrial!$F$6/(1000*SUM(Carbonização!$D$2:$D$4)),SUMIFS('Florestal (Fertilizantes)'!H:H,'Florestal (Fertilizantes)'!B:B,B59,'Florestal (Fertilizantes)'!A:A,A59)*Industrial!$F$6/(SUM(Carbonização!$D$2:$D$4))))</f>
        <v>3.1675652331226468E-2</v>
      </c>
      <c r="J59" s="6">
        <f t="shared" si="1"/>
        <v>17.611662696161915</v>
      </c>
      <c r="K59" s="6">
        <f t="shared" si="2"/>
        <v>0.67977045707832473</v>
      </c>
      <c r="L59" s="6" t="s">
        <v>108</v>
      </c>
      <c r="M59" s="6">
        <f>IF(E59="Óleo Diesel",(K59/1000)*(1-0.1)*(_xlfn.XLOOKUP(E59,Combustão_Móvel!$A$2:$A$12,Combustão_Móvel!$E$2:$E$12))*(_xlfn.XLOOKUP(E59,Combustão_Móvel!$A$2:$A$12,Combustão_Móvel!$D$2:$D$12)),(K59/1000)*(_xlfn.XLOOKUP(E59,Combustão_Móvel!$A$2:$A$12,Combustão_Móvel!$D$2:$D$12))*(_xlfn.XLOOKUP(E59,Combustão_Móvel!$A$2:$A$12,Combustão_Móvel!$E$2:$E$12)))*1000</f>
        <v>1.6093531582806484</v>
      </c>
      <c r="N59" s="6">
        <f>IF(E59="Óleo Diesel",(K59/1000)*(1-0.1)*(_xlfn.XLOOKUP(E59,Combustão_Móvel!$A$2:$A$12,Combustão_Móvel!$F$2:$F$12))*(_xlfn.XLOOKUP(E59,Combustão_Móvel!$A$2:$A$12,Combustão_Móvel!$D$2:$D$12)),(K59/1000)*(_xlfn.XLOOKUP(E59,Combustão_Móvel!$A$2:$A$12,Combustão_Móvel!$D$2:$D$12))*(_xlfn.XLOOKUP(E59,Combustão_Móvel!$A$2:$A$12,Combustão_Móvel!$F$2:$F$12)))*1000</f>
        <v>8.4702797804244641E-5</v>
      </c>
      <c r="O59" s="6">
        <f>IF(E59="Óleo Diesel",(K59/1000)*(((1-0.1)*(_xlfn.XLOOKUP(E59,Combustão_Móvel!$A$2:$A$12,Combustão_Móvel!$G$2:$G$12))*(_xlfn.XLOOKUP(E59,Combustão_Móvel!$A$2:$A$12,Combustão_Móvel!$D$2:$D$12)))+((0.1)*(Combustão_Móvel!$G$6)*(Combustão_Móvel!$G$6))),(K59/1000)*(_xlfn.XLOOKUP(E59,Combustão_Móvel!$A$2:$A$12,Combustão_Móvel!$D$2:$D$12))*(_xlfn.XLOOKUP(E59,Combustão_Móvel!$A$2:$A$12,Combustão_Móvel!$G$2:$G$12)))*1000</f>
        <v>8.4702797828716398E-5</v>
      </c>
      <c r="P59" s="6">
        <f>(M59+(N59*GWP_Quioto!$E$3)+(O59*GWP_Quioto!$E$6))/1000</f>
        <v>1.6348402301466262E-3</v>
      </c>
      <c r="Q59" s="6">
        <f>IF(E59="Óleo Diesel",(K59/1000)*(0.1)*(Combustão_Móvel!$D$6)*(Combustão_Móvel!$E$6),0)</f>
        <v>1.5948226732128158E-4</v>
      </c>
      <c r="R59" s="5" t="str">
        <f>IF(E59="Óleo Diesel",'Fatores de Emissão'!$A$19,'Fatores de Emissão'!$A$22)</f>
        <v>Óleo Diesel (10% Biodiesel)</v>
      </c>
      <c r="S59" s="6">
        <f>IF(E59="Óleo Diesel",(K59/1000)*((0.9*_xlfn.XLOOKUP(E59,Densidades!$A$2:$A$54,Densidades!$B$2:$B$54))+(0.1*Densidades!$B$6)),(K59/1000)*(_xlfn.XLOOKUP(E59,Densidades!$A$2:$A$54,Densidades!$B$2:$B$54)))</f>
        <v>0.57372626577410613</v>
      </c>
      <c r="T59" s="6">
        <f>(S59*(_xlfn.XLOOKUP(R59,'Fatores de Emissão'!$A$14:$A$22,'Fatores de Emissão'!$B$14:$B$22)))/1000</f>
        <v>4.4948095362339725E-4</v>
      </c>
      <c r="U59" s="6">
        <f>(S59*(_xlfn.XLOOKUP(R59,'Fatores de Emissão'!$A$14:$A$22,'Fatores de Emissão'!$C$14:$C$22)))/1000</f>
        <v>1.4886008446106252E-7</v>
      </c>
      <c r="V59" s="6">
        <f>(S59*(_xlfn.XLOOKUP(R59,'Fatores de Emissão'!$A:$A,'Fatores de Emissão'!E:E)))/1000</f>
        <v>8.0352927657719408E-8</v>
      </c>
      <c r="W59" s="6">
        <f t="shared" si="3"/>
        <v>2.0843211837700236E-3</v>
      </c>
      <c r="X59" s="6">
        <f t="shared" si="4"/>
        <v>1.5963112740574264E-4</v>
      </c>
      <c r="Y59" s="6"/>
      <c r="Z59" s="6"/>
      <c r="AA59" s="6"/>
      <c r="AB59" s="6"/>
      <c r="AC59" s="6" t="s">
        <v>145</v>
      </c>
    </row>
    <row r="60" spans="1:29">
      <c r="A60" s="5" t="s">
        <v>21</v>
      </c>
      <c r="B60" s="206" t="s">
        <v>59</v>
      </c>
      <c r="C60" s="6" t="s">
        <v>134</v>
      </c>
      <c r="D60" s="6" t="s">
        <v>141</v>
      </c>
      <c r="E60" s="6" t="str">
        <f t="shared" si="0"/>
        <v>Óleo Diesel</v>
      </c>
      <c r="F60" s="5">
        <v>556</v>
      </c>
      <c r="G60" s="5" t="str">
        <f>IF(D60="Rodoviário",Combustão_Móvel!$A$32,IF(D60="Marítimo",Fatores_Marítimo!$F$30))</f>
        <v>Caminhão - caminhão (média)</v>
      </c>
      <c r="H60" s="6">
        <f>_xlfn.XLOOKUP(G60,Combustão_Móvel!$A$25:$A$40,Combustão_Móvel!$B$25:$B$40,Fatores_Marítimo!$H$30)</f>
        <v>3.8597744506341597E-2</v>
      </c>
      <c r="I60" s="6">
        <f>IF(A60="Inonibrás",SUMIFS(Industrial!F:F,Industrial!C:C,B60),IF(OR(B60="Gasolina Automotiva",B60="Óleo Diesel",B60="Acetileno"),SUMIFS('Florestal (Combustíveis)'!P:P,'Florestal (Combustíveis)'!D:D,B60,'Florestal (Combustíveis)'!A:A,A60)*Industrial!$F$6/(1000*SUM(Carbonização!$D$2:$D$4)),SUMIFS('Florestal (Fertilizantes)'!H:H,'Florestal (Fertilizantes)'!B:B,B60,'Florestal (Fertilizantes)'!A:A,A60)*Industrial!$F$6/(SUM(Carbonização!$D$2:$D$4))))</f>
        <v>0</v>
      </c>
      <c r="J60" s="6">
        <f t="shared" si="1"/>
        <v>0</v>
      </c>
      <c r="K60" s="6">
        <f t="shared" si="2"/>
        <v>0</v>
      </c>
      <c r="L60" s="6" t="s">
        <v>108</v>
      </c>
      <c r="M60" s="6">
        <f>IF(E60="Óleo Diesel",(K60/1000)*(1-0.1)*(_xlfn.XLOOKUP(E60,Combustão_Móvel!$A$2:$A$12,Combustão_Móvel!$E$2:$E$12))*(_xlfn.XLOOKUP(E60,Combustão_Móvel!$A$2:$A$12,Combustão_Móvel!$D$2:$D$12)),(K60/1000)*(_xlfn.XLOOKUP(E60,Combustão_Móvel!$A$2:$A$12,Combustão_Móvel!$D$2:$D$12))*(_xlfn.XLOOKUP(E60,Combustão_Móvel!$A$2:$A$12,Combustão_Móvel!$E$2:$E$12)))*1000</f>
        <v>0</v>
      </c>
      <c r="N60" s="6">
        <f>IF(E60="Óleo Diesel",(K60/1000)*(1-0.1)*(_xlfn.XLOOKUP(E60,Combustão_Móvel!$A$2:$A$12,Combustão_Móvel!$F$2:$F$12))*(_xlfn.XLOOKUP(E60,Combustão_Móvel!$A$2:$A$12,Combustão_Móvel!$D$2:$D$12)),(K60/1000)*(_xlfn.XLOOKUP(E60,Combustão_Móvel!$A$2:$A$12,Combustão_Móvel!$D$2:$D$12))*(_xlfn.XLOOKUP(E60,Combustão_Móvel!$A$2:$A$12,Combustão_Móvel!$F$2:$F$12)))*1000</f>
        <v>0</v>
      </c>
      <c r="O60" s="6">
        <f>IF(E60="Óleo Diesel",(K60/1000)*(((1-0.1)*(_xlfn.XLOOKUP(E60,Combustão_Móvel!$A$2:$A$12,Combustão_Móvel!$G$2:$G$12))*(_xlfn.XLOOKUP(E60,Combustão_Móvel!$A$2:$A$12,Combustão_Móvel!$D$2:$D$12)))+((0.1)*(Combustão_Móvel!$G$6)*(Combustão_Móvel!$G$6))),(K60/1000)*(_xlfn.XLOOKUP(E60,Combustão_Móvel!$A$2:$A$12,Combustão_Móvel!$D$2:$D$12))*(_xlfn.XLOOKUP(E60,Combustão_Móvel!$A$2:$A$12,Combustão_Móvel!$G$2:$G$12)))*1000</f>
        <v>0</v>
      </c>
      <c r="P60" s="6">
        <f>(M60+(N60*GWP_Quioto!$E$3)+(O60*GWP_Quioto!$E$6))/1000</f>
        <v>0</v>
      </c>
      <c r="Q60" s="6">
        <f>IF(E60="Óleo Diesel",(K60/1000)*(0.1)*(Combustão_Móvel!$D$6)*(Combustão_Móvel!$E$6),0)</f>
        <v>0</v>
      </c>
      <c r="R60" s="5" t="str">
        <f>IF(E60="Óleo Diesel",'Fatores de Emissão'!$A$19,'Fatores de Emissão'!$A$22)</f>
        <v>Óleo Diesel (10% Biodiesel)</v>
      </c>
      <c r="S60" s="6">
        <f>IF(E60="Óleo Diesel",(K60/1000)*((0.9*_xlfn.XLOOKUP(E60,Densidades!$A$2:$A$54,Densidades!$B$2:$B$54))+(0.1*Densidades!$B$6)),(K60/1000)*(_xlfn.XLOOKUP(E60,Densidades!$A$2:$A$54,Densidades!$B$2:$B$54)))</f>
        <v>0</v>
      </c>
      <c r="T60" s="6">
        <f>(S60*(_xlfn.XLOOKUP(R60,'Fatores de Emissão'!$A$14:$A$22,'Fatores de Emissão'!$B$14:$B$22)))/1000</f>
        <v>0</v>
      </c>
      <c r="U60" s="6">
        <f>(S60*(_xlfn.XLOOKUP(R60,'Fatores de Emissão'!$A$14:$A$22,'Fatores de Emissão'!$C$14:$C$22)))/1000</f>
        <v>0</v>
      </c>
      <c r="V60" s="6">
        <f>(S60*(_xlfn.XLOOKUP(R60,'Fatores de Emissão'!$A:$A,'Fatores de Emissão'!E:E)))/1000</f>
        <v>0</v>
      </c>
      <c r="W60" s="6">
        <f t="shared" si="3"/>
        <v>0</v>
      </c>
      <c r="X60" s="6">
        <f t="shared" si="4"/>
        <v>0</v>
      </c>
      <c r="Y60" s="6"/>
      <c r="Z60" s="6"/>
      <c r="AA60" s="6"/>
      <c r="AB60" s="6"/>
      <c r="AC60" s="6" t="s">
        <v>145</v>
      </c>
    </row>
    <row r="61" spans="1:29">
      <c r="A61" s="5" t="s">
        <v>21</v>
      </c>
      <c r="B61" s="77" t="s">
        <v>64</v>
      </c>
      <c r="C61" s="6" t="s">
        <v>133</v>
      </c>
      <c r="D61" s="6" t="s">
        <v>141</v>
      </c>
      <c r="E61" s="6" t="str">
        <f t="shared" si="0"/>
        <v>Óleo Diesel</v>
      </c>
      <c r="F61" s="5">
        <v>397</v>
      </c>
      <c r="G61" s="5" t="str">
        <f>IF(D61="Rodoviário",Combustão_Móvel!$A$32,IF(D61="Marítimo",Fatores_Marítimo!$F$30))</f>
        <v>Caminhão - caminhão (média)</v>
      </c>
      <c r="H61" s="6">
        <f>_xlfn.XLOOKUP(G61,Combustão_Móvel!$A$25:$A$40,Combustão_Móvel!$B$25:$B$40,Fatores_Marítimo!$H$30)</f>
        <v>3.8597744506341597E-2</v>
      </c>
      <c r="I61" s="6">
        <f>IF(A61="Inonibrás",SUMIFS(Industrial!F:F,Industrial!C:C,B61),IF(OR(B61="Gasolina Automotiva",B61="Óleo Diesel",B61="Acetileno"),SUMIFS('Florestal (Combustíveis)'!P:P,'Florestal (Combustíveis)'!D:D,B61,'Florestal (Combustíveis)'!A:A,A61)*Industrial!$F$6/(1000*SUM(Carbonização!$D$2:$D$4)),SUMIFS('Florestal (Fertilizantes)'!H:H,'Florestal (Fertilizantes)'!B:B,B61,'Florestal (Fertilizantes)'!A:A,A61)*Industrial!$F$6/(SUM(Carbonização!$D$2:$D$4))))</f>
        <v>3.9066637875179314E-3</v>
      </c>
      <c r="J61" s="6">
        <f t="shared" si="1"/>
        <v>1.5509455236446188</v>
      </c>
      <c r="K61" s="6">
        <f t="shared" si="2"/>
        <v>5.9862999064889177E-2</v>
      </c>
      <c r="L61" s="6" t="s">
        <v>108</v>
      </c>
      <c r="M61" s="6">
        <f>IF(E61="Óleo Diesel",(K61/1000)*(1-0.1)*(_xlfn.XLOOKUP(E61,Combustão_Móvel!$A$2:$A$12,Combustão_Móvel!$E$2:$E$12))*(_xlfn.XLOOKUP(E61,Combustão_Móvel!$A$2:$A$12,Combustão_Móvel!$D$2:$D$12)),(K61/1000)*(_xlfn.XLOOKUP(E61,Combustão_Móvel!$A$2:$A$12,Combustão_Móvel!$D$2:$D$12))*(_xlfn.XLOOKUP(E61,Combustão_Móvel!$A$2:$A$12,Combustão_Móvel!$E$2:$E$12)))*1000</f>
        <v>0.14172535097112982</v>
      </c>
      <c r="N61" s="6">
        <f>IF(E61="Óleo Diesel",(K61/1000)*(1-0.1)*(_xlfn.XLOOKUP(E61,Combustão_Móvel!$A$2:$A$12,Combustão_Móvel!$F$2:$F$12))*(_xlfn.XLOOKUP(E61,Combustão_Móvel!$A$2:$A$12,Combustão_Móvel!$D$2:$D$12)),(K61/1000)*(_xlfn.XLOOKUP(E61,Combustão_Móvel!$A$2:$A$12,Combustão_Móvel!$D$2:$D$12))*(_xlfn.XLOOKUP(E61,Combustão_Móvel!$A$2:$A$12,Combustão_Móvel!$F$2:$F$12)))*1000</f>
        <v>7.4592289984805151E-6</v>
      </c>
      <c r="O61" s="6">
        <f>IF(E61="Óleo Diesel",(K61/1000)*(((1-0.1)*(_xlfn.XLOOKUP(E61,Combustão_Móvel!$A$2:$A$12,Combustão_Móvel!$G$2:$G$12))*(_xlfn.XLOOKUP(E61,Combustão_Móvel!$A$2:$A$12,Combustão_Móvel!$D$2:$D$12)))+((0.1)*(Combustão_Móvel!$G$6)*(Combustão_Móvel!$G$6))),(K61/1000)*(_xlfn.XLOOKUP(E61,Combustão_Móvel!$A$2:$A$12,Combustão_Móvel!$D$2:$D$12))*(_xlfn.XLOOKUP(E61,Combustão_Móvel!$A$2:$A$12,Combustão_Móvel!$G$2:$G$12)))*1000</f>
        <v>7.4592290006355837E-6</v>
      </c>
      <c r="P61" s="6">
        <f>(M61+(N61*GWP_Quioto!$E$3)+(O61*GWP_Quioto!$E$6))/1000</f>
        <v>1.4396983297736095E-4</v>
      </c>
      <c r="Q61" s="6">
        <f>IF(E61="Óleo Diesel",(K61/1000)*(0.1)*(Combustão_Móvel!$D$6)*(Combustão_Móvel!$E$6),0)</f>
        <v>1.4044574488503035E-5</v>
      </c>
      <c r="R61" s="5" t="str">
        <f>IF(E61="Óleo Diesel",'Fatores de Emissão'!$A$19,'Fatores de Emissão'!$A$22)</f>
        <v>Óleo Diesel (10% Biodiesel)</v>
      </c>
      <c r="S61" s="6">
        <f>IF(E61="Óleo Diesel",(K61/1000)*((0.9*_xlfn.XLOOKUP(E61,Densidades!$A$2:$A$54,Densidades!$B$2:$B$54))+(0.1*Densidades!$B$6)),(K61/1000)*(_xlfn.XLOOKUP(E61,Densidades!$A$2:$A$54,Densidades!$B$2:$B$54)))</f>
        <v>5.0524371210766465E-2</v>
      </c>
      <c r="T61" s="6">
        <f>(S61*(_xlfn.XLOOKUP(R61,'Fatores de Emissão'!$A$14:$A$22,'Fatores de Emissão'!$B$14:$B$22)))/1000</f>
        <v>3.9582888056199542E-5</v>
      </c>
      <c r="U61" s="6">
        <f>(S61*(_xlfn.XLOOKUP(R61,'Fatores de Emissão'!$A$14:$A$22,'Fatores de Emissão'!$C$14:$C$22)))/1000</f>
        <v>1.3109147365998487E-8</v>
      </c>
      <c r="V61" s="6">
        <f>(S61*(_xlfn.XLOOKUP(R61,'Fatores de Emissão'!$A:$A,'Fatores de Emissão'!E:E)))/1000</f>
        <v>7.076163994989452E-9</v>
      </c>
      <c r="W61" s="6">
        <f t="shared" si="3"/>
        <v>1.8355272103356049E-4</v>
      </c>
      <c r="X61" s="6">
        <f t="shared" si="4"/>
        <v>1.4057683635869034E-5</v>
      </c>
      <c r="Y61" s="6"/>
      <c r="Z61" s="6"/>
      <c r="AA61" s="6"/>
      <c r="AB61" s="6"/>
      <c r="AC61" s="6" t="s">
        <v>145</v>
      </c>
    </row>
    <row r="62" spans="1:29">
      <c r="A62" s="5" t="s">
        <v>21</v>
      </c>
      <c r="B62" s="131" t="s">
        <v>60</v>
      </c>
      <c r="C62" s="6" t="s">
        <v>133</v>
      </c>
      <c r="D62" s="6" t="s">
        <v>141</v>
      </c>
      <c r="E62" s="6" t="str">
        <f t="shared" ref="E62:E66" si="5">IF(D62="Marítimo","Óleo Combustível",IF(D62="Rodoviário","Óleo Diesel",""))</f>
        <v>Óleo Diesel</v>
      </c>
      <c r="F62" s="5">
        <v>397</v>
      </c>
      <c r="G62" s="5" t="str">
        <f>IF(D62="Rodoviário",Combustão_Móvel!$A$32,IF(D62="Marítimo",Fatores_Marítimo!$F$30))</f>
        <v>Caminhão - caminhão (média)</v>
      </c>
      <c r="H62" s="6">
        <f>_xlfn.XLOOKUP(G62,Combustão_Móvel!$A$25:$A$40,Combustão_Móvel!$B$25:$B$40,Fatores_Marítimo!$H$30)</f>
        <v>3.8597744506341597E-2</v>
      </c>
      <c r="I62" s="6">
        <f>IF(A62="Inonibrás",SUMIFS(Industrial!F:F,Industrial!C:C,B62),IF(OR(B62="Gasolina Automotiva",B62="Óleo Diesel",B62="Acetileno"),SUMIFS('Florestal (Combustíveis)'!P:P,'Florestal (Combustíveis)'!D:D,B62,'Florestal (Combustíveis)'!A:A,A62)*Industrial!$F$6/(1000*SUM(Carbonização!$D$2:$D$4)),SUMIFS('Florestal (Fertilizantes)'!H:H,'Florestal (Fertilizantes)'!B:B,B62,'Florestal (Fertilizantes)'!A:A,A62)*Industrial!$F$6/(SUM(Carbonização!$D$2:$D$4))))</f>
        <v>0</v>
      </c>
      <c r="J62" s="6">
        <f t="shared" si="1"/>
        <v>0</v>
      </c>
      <c r="K62" s="6">
        <f t="shared" si="2"/>
        <v>0</v>
      </c>
      <c r="L62" s="6" t="s">
        <v>108</v>
      </c>
      <c r="M62" s="6">
        <f>IF(E62="Óleo Diesel",(K62/1000)*(1-0.1)*(_xlfn.XLOOKUP(E62,Combustão_Móvel!$A$2:$A$12,Combustão_Móvel!$E$2:$E$12))*(_xlfn.XLOOKUP(E62,Combustão_Móvel!$A$2:$A$12,Combustão_Móvel!$D$2:$D$12)),(K62/1000)*(_xlfn.XLOOKUP(E62,Combustão_Móvel!$A$2:$A$12,Combustão_Móvel!$D$2:$D$12))*(_xlfn.XLOOKUP(E62,Combustão_Móvel!$A$2:$A$12,Combustão_Móvel!$E$2:$E$12)))*1000</f>
        <v>0</v>
      </c>
      <c r="N62" s="6">
        <f>IF(E62="Óleo Diesel",(K62/1000)*(1-0.1)*(_xlfn.XLOOKUP(E62,Combustão_Móvel!$A$2:$A$12,Combustão_Móvel!$F$2:$F$12))*(_xlfn.XLOOKUP(E62,Combustão_Móvel!$A$2:$A$12,Combustão_Móvel!$D$2:$D$12)),(K62/1000)*(_xlfn.XLOOKUP(E62,Combustão_Móvel!$A$2:$A$12,Combustão_Móvel!$D$2:$D$12))*(_xlfn.XLOOKUP(E62,Combustão_Móvel!$A$2:$A$12,Combustão_Móvel!$F$2:$F$12)))*1000</f>
        <v>0</v>
      </c>
      <c r="O62" s="6">
        <f>IF(E62="Óleo Diesel",(K62/1000)*(((1-0.1)*(_xlfn.XLOOKUP(E62,Combustão_Móvel!$A$2:$A$12,Combustão_Móvel!$G$2:$G$12))*(_xlfn.XLOOKUP(E62,Combustão_Móvel!$A$2:$A$12,Combustão_Móvel!$D$2:$D$12)))+((0.1)*(Combustão_Móvel!$G$6)*(Combustão_Móvel!$G$6))),(K62/1000)*(_xlfn.XLOOKUP(E62,Combustão_Móvel!$A$2:$A$12,Combustão_Móvel!$D$2:$D$12))*(_xlfn.XLOOKUP(E62,Combustão_Móvel!$A$2:$A$12,Combustão_Móvel!$G$2:$G$12)))*1000</f>
        <v>0</v>
      </c>
      <c r="P62" s="6">
        <f>(M62+(N62*GWP_Quioto!$E$3)+(O62*GWP_Quioto!$E$6))/1000</f>
        <v>0</v>
      </c>
      <c r="Q62" s="6">
        <f>IF(E62="Óleo Diesel",(K62/1000)*(0.1)*(Combustão_Móvel!$D$6)*(Combustão_Móvel!$E$6),0)</f>
        <v>0</v>
      </c>
      <c r="R62" s="5" t="str">
        <f>IF(E62="Óleo Diesel",'Fatores de Emissão'!$A$19,'Fatores de Emissão'!$A$22)</f>
        <v>Óleo Diesel (10% Biodiesel)</v>
      </c>
      <c r="S62" s="6">
        <f>IF(E62="Óleo Diesel",(K62/1000)*((0.9*_xlfn.XLOOKUP(E62,Densidades!$A$2:$A$54,Densidades!$B$2:$B$54))+(0.1*Densidades!$B$6)),(K62/1000)*(_xlfn.XLOOKUP(E62,Densidades!$A$2:$A$54,Densidades!$B$2:$B$54)))</f>
        <v>0</v>
      </c>
      <c r="T62" s="6">
        <f>(S62*(_xlfn.XLOOKUP(R62,'Fatores de Emissão'!$A$14:$A$22,'Fatores de Emissão'!$B$14:$B$22)))/1000</f>
        <v>0</v>
      </c>
      <c r="U62" s="6">
        <f>(S62*(_xlfn.XLOOKUP(R62,'Fatores de Emissão'!$A$14:$A$22,'Fatores de Emissão'!$C$14:$C$22)))/1000</f>
        <v>0</v>
      </c>
      <c r="V62" s="6">
        <f>(S62*(_xlfn.XLOOKUP(R62,'Fatores de Emissão'!$A:$A,'Fatores de Emissão'!E:E)))/1000</f>
        <v>0</v>
      </c>
      <c r="W62" s="6">
        <f t="shared" ref="W62:W66" si="6">T62+P62</f>
        <v>0</v>
      </c>
      <c r="X62" s="6">
        <f t="shared" si="4"/>
        <v>0</v>
      </c>
      <c r="Y62" s="6"/>
      <c r="Z62" s="6"/>
      <c r="AA62" s="6"/>
      <c r="AB62" s="6"/>
      <c r="AC62" s="6" t="s">
        <v>145</v>
      </c>
    </row>
    <row r="63" spans="1:29">
      <c r="A63" s="5" t="s">
        <v>21</v>
      </c>
      <c r="B63" s="206" t="s">
        <v>63</v>
      </c>
      <c r="C63" s="6" t="s">
        <v>135</v>
      </c>
      <c r="D63" s="6" t="s">
        <v>141</v>
      </c>
      <c r="E63" s="6" t="str">
        <f t="shared" si="5"/>
        <v>Óleo Diesel</v>
      </c>
      <c r="F63" s="5">
        <v>117</v>
      </c>
      <c r="G63" s="5" t="str">
        <f>IF(D63="Rodoviário",Combustão_Móvel!$A$32,IF(D63="Marítimo",Fatores_Marítimo!$F$30))</f>
        <v>Caminhão - caminhão (média)</v>
      </c>
      <c r="H63" s="6">
        <f>_xlfn.XLOOKUP(G63,Combustão_Móvel!$A$25:$A$40,Combustão_Móvel!$B$25:$B$40,Fatores_Marítimo!$H$30)</f>
        <v>3.8597744506341597E-2</v>
      </c>
      <c r="I63" s="6">
        <f>IF(A63="Inonibrás",SUMIFS(Industrial!F:F,Industrial!C:C,B63),IF(OR(B63="Gasolina Automotiva",B63="Óleo Diesel",B63="Acetileno"),SUMIFS('Florestal (Combustíveis)'!P:P,'Florestal (Combustíveis)'!D:D,B63,'Florestal (Combustíveis)'!A:A,A63)*Industrial!$F$6/(1000*SUM(Carbonização!$D$2:$D$4)),SUMIFS('Florestal (Fertilizantes)'!H:H,'Florestal (Fertilizantes)'!B:B,B63,'Florestal (Fertilizantes)'!A:A,A63)*Industrial!$F$6/(SUM(Carbonização!$D$2:$D$4))))</f>
        <v>0</v>
      </c>
      <c r="J63" s="6">
        <f t="shared" si="1"/>
        <v>0</v>
      </c>
      <c r="K63" s="6">
        <f t="shared" si="2"/>
        <v>0</v>
      </c>
      <c r="L63" s="6" t="s">
        <v>108</v>
      </c>
      <c r="M63" s="6">
        <f>IF(E63="Óleo Diesel",(K63/1000)*(1-0.1)*(_xlfn.XLOOKUP(E63,Combustão_Móvel!$A$2:$A$12,Combustão_Móvel!$E$2:$E$12))*(_xlfn.XLOOKUP(E63,Combustão_Móvel!$A$2:$A$12,Combustão_Móvel!$D$2:$D$12)),(K63/1000)*(_xlfn.XLOOKUP(E63,Combustão_Móvel!$A$2:$A$12,Combustão_Móvel!$D$2:$D$12))*(_xlfn.XLOOKUP(E63,Combustão_Móvel!$A$2:$A$12,Combustão_Móvel!$E$2:$E$12)))*1000</f>
        <v>0</v>
      </c>
      <c r="N63" s="6">
        <f>IF(E63="Óleo Diesel",(K63/1000)*(1-0.1)*(_xlfn.XLOOKUP(E63,Combustão_Móvel!$A$2:$A$12,Combustão_Móvel!$F$2:$F$12))*(_xlfn.XLOOKUP(E63,Combustão_Móvel!$A$2:$A$12,Combustão_Móvel!$D$2:$D$12)),(K63/1000)*(_xlfn.XLOOKUP(E63,Combustão_Móvel!$A$2:$A$12,Combustão_Móvel!$D$2:$D$12))*(_xlfn.XLOOKUP(E63,Combustão_Móvel!$A$2:$A$12,Combustão_Móvel!$F$2:$F$12)))*1000</f>
        <v>0</v>
      </c>
      <c r="O63" s="6">
        <f>IF(E63="Óleo Diesel",(K63/1000)*(((1-0.1)*(_xlfn.XLOOKUP(E63,Combustão_Móvel!$A$2:$A$12,Combustão_Móvel!$G$2:$G$12))*(_xlfn.XLOOKUP(E63,Combustão_Móvel!$A$2:$A$12,Combustão_Móvel!$D$2:$D$12)))+((0.1)*(Combustão_Móvel!$G$6)*(Combustão_Móvel!$G$6))),(K63/1000)*(_xlfn.XLOOKUP(E63,Combustão_Móvel!$A$2:$A$12,Combustão_Móvel!$D$2:$D$12))*(_xlfn.XLOOKUP(E63,Combustão_Móvel!$A$2:$A$12,Combustão_Móvel!$G$2:$G$12)))*1000</f>
        <v>0</v>
      </c>
      <c r="P63" s="6">
        <f>(M63+(N63*GWP_Quioto!$E$3)+(O63*GWP_Quioto!$E$6))/1000</f>
        <v>0</v>
      </c>
      <c r="Q63" s="6">
        <f>IF(E63="Óleo Diesel",(K63/1000)*(0.1)*(Combustão_Móvel!$D$6)*(Combustão_Móvel!$E$6),0)</f>
        <v>0</v>
      </c>
      <c r="R63" s="5" t="str">
        <f>IF(E63="Óleo Diesel",'Fatores de Emissão'!$A$19,'Fatores de Emissão'!$A$22)</f>
        <v>Óleo Diesel (10% Biodiesel)</v>
      </c>
      <c r="S63" s="6">
        <f>IF(E63="Óleo Diesel",(K63/1000)*((0.9*_xlfn.XLOOKUP(E63,Densidades!$A$2:$A$54,Densidades!$B$2:$B$54))+(0.1*Densidades!$B$6)),(K63/1000)*(_xlfn.XLOOKUP(E63,Densidades!$A$2:$A$54,Densidades!$B$2:$B$54)))</f>
        <v>0</v>
      </c>
      <c r="T63" s="6">
        <f>(S63*(_xlfn.XLOOKUP(R63,'Fatores de Emissão'!$A$14:$A$22,'Fatores de Emissão'!$B$14:$B$22)))/1000</f>
        <v>0</v>
      </c>
      <c r="U63" s="6">
        <f>(S63*(_xlfn.XLOOKUP(R63,'Fatores de Emissão'!$A$14:$A$22,'Fatores de Emissão'!$C$14:$C$22)))/1000</f>
        <v>0</v>
      </c>
      <c r="V63" s="6">
        <f>(S63*(_xlfn.XLOOKUP(R63,'Fatores de Emissão'!$A:$A,'Fatores de Emissão'!E:E)))/1000</f>
        <v>0</v>
      </c>
      <c r="W63" s="6">
        <f t="shared" si="6"/>
        <v>0</v>
      </c>
      <c r="X63" s="6">
        <f t="shared" si="4"/>
        <v>0</v>
      </c>
      <c r="Y63" s="6"/>
      <c r="Z63" s="6"/>
      <c r="AA63" s="6"/>
      <c r="AB63" s="6"/>
      <c r="AC63" s="6" t="s">
        <v>145</v>
      </c>
    </row>
    <row r="64" spans="1:29">
      <c r="A64" s="5" t="s">
        <v>21</v>
      </c>
      <c r="B64" s="206" t="s">
        <v>31</v>
      </c>
      <c r="C64" s="6" t="s">
        <v>138</v>
      </c>
      <c r="D64" s="6" t="s">
        <v>141</v>
      </c>
      <c r="E64" s="6" t="str">
        <f t="shared" si="5"/>
        <v>Óleo Diesel</v>
      </c>
      <c r="F64" s="5">
        <v>80</v>
      </c>
      <c r="G64" s="5" t="str">
        <f>IF(D64="Rodoviário",Combustão_Móvel!$A$32,IF(D64="Marítimo",Fatores_Marítimo!$F$30))</f>
        <v>Caminhão - caminhão (média)</v>
      </c>
      <c r="H64" s="6">
        <f>_xlfn.XLOOKUP(G64,Combustão_Móvel!$A$25:$A$40,Combustão_Móvel!$B$25:$B$40,Fatores_Marítimo!$H$30)</f>
        <v>3.8597744506341597E-2</v>
      </c>
      <c r="I64" s="6">
        <f>IF(A64="Inonibrás",SUMIFS(Industrial!F:F,Industrial!C:C,B64),IF(OR(B64="Gasolina Automotiva",B64="Óleo Diesel",B64="Acetileno"),SUMIFS('Florestal (Combustíveis)'!P:P,'Florestal (Combustíveis)'!D:D,B64,'Florestal (Combustíveis)'!A:A,A64)*Industrial!$F$6/(1000*SUM(Carbonização!$D$2:$D$4)),SUMIFS('Florestal (Fertilizantes)'!H:H,'Florestal (Fertilizantes)'!B:B,B64,'Florestal (Fertilizantes)'!A:A,A64)*Industrial!$F$6/(SUM(Carbonização!$D$2:$D$4))))</f>
        <v>2.1581450656113374E-4</v>
      </c>
      <c r="J64" s="6">
        <f t="shared" si="1"/>
        <v>1.7265160524890698E-2</v>
      </c>
      <c r="K64" s="6">
        <f t="shared" si="2"/>
        <v>6.663962548007058E-4</v>
      </c>
      <c r="L64" s="6" t="s">
        <v>108</v>
      </c>
      <c r="M64" s="6">
        <f>IF(E64="Óleo Diesel",(K64/1000)*(1-0.1)*(_xlfn.XLOOKUP(E64,Combustão_Móvel!$A$2:$A$12,Combustão_Móvel!$E$2:$E$12))*(_xlfn.XLOOKUP(E64,Combustão_Móvel!$A$2:$A$12,Combustão_Móvel!$D$2:$D$12)),(K64/1000)*(_xlfn.XLOOKUP(E64,Combustão_Móvel!$A$2:$A$12,Combustão_Móvel!$D$2:$D$12))*(_xlfn.XLOOKUP(E64,Combustão_Móvel!$A$2:$A$12,Combustão_Móvel!$E$2:$E$12)))*1000</f>
        <v>1.5776898012593971E-3</v>
      </c>
      <c r="N64" s="6">
        <f>IF(E64="Óleo Diesel",(K64/1000)*(1-0.1)*(_xlfn.XLOOKUP(E64,Combustão_Móvel!$A$2:$A$12,Combustão_Móvel!$F$2:$F$12))*(_xlfn.XLOOKUP(E64,Combustão_Móvel!$A$2:$A$12,Combustão_Móvel!$D$2:$D$12)),(K64/1000)*(_xlfn.XLOOKUP(E64,Combustão_Móvel!$A$2:$A$12,Combustão_Móvel!$D$2:$D$12))*(_xlfn.XLOOKUP(E64,Combustão_Móvel!$A$2:$A$12,Combustão_Móvel!$F$2:$F$12)))*1000</f>
        <v>8.3036305329441962E-8</v>
      </c>
      <c r="O64" s="6">
        <f>IF(E64="Óleo Diesel",(K64/1000)*(((1-0.1)*(_xlfn.XLOOKUP(E64,Combustão_Móvel!$A$2:$A$12,Combustão_Móvel!$G$2:$G$12))*(_xlfn.XLOOKUP(E64,Combustão_Móvel!$A$2:$A$12,Combustão_Móvel!$D$2:$D$12)))+((0.1)*(Combustão_Móvel!$G$6)*(Combustão_Móvel!$G$6))),(K64/1000)*(_xlfn.XLOOKUP(E64,Combustão_Móvel!$A$2:$A$12,Combustão_Móvel!$D$2:$D$12))*(_xlfn.XLOOKUP(E64,Combustão_Móvel!$A$2:$A$12,Combustão_Móvel!$G$2:$G$12)))*1000</f>
        <v>8.3036305353432211E-8</v>
      </c>
      <c r="P64" s="6">
        <f>(M64+(N64*GWP_Quioto!$E$3)+(O64*GWP_Quioto!$E$6))/1000</f>
        <v>1.6026754255395755E-6</v>
      </c>
      <c r="Q64" s="6">
        <f>IF(E64="Óleo Diesel",(K64/1000)*(0.1)*(Combustão_Móvel!$D$6)*(Combustão_Móvel!$E$6),0)</f>
        <v>1.5634451974687891E-7</v>
      </c>
      <c r="R64" s="5" t="str">
        <f>IF(E64="Óleo Diesel",'Fatores de Emissão'!$A$19,'Fatores de Emissão'!$A$22)</f>
        <v>Óleo Diesel (10% Biodiesel)</v>
      </c>
      <c r="S64" s="6">
        <f>IF(E64="Óleo Diesel",(K64/1000)*((0.9*_xlfn.XLOOKUP(E64,Densidades!$A$2:$A$54,Densidades!$B$2:$B$54))+(0.1*Densidades!$B$6)),(K64/1000)*(_xlfn.XLOOKUP(E64,Densidades!$A$2:$A$54,Densidades!$B$2:$B$54)))</f>
        <v>5.6243843905179574E-4</v>
      </c>
      <c r="T64" s="6">
        <f>(S64*(_xlfn.XLOOKUP(R64,'Fatores de Emissão'!$A$14:$A$22,'Fatores de Emissão'!$B$14:$B$22)))/1000</f>
        <v>4.4063760197270361E-7</v>
      </c>
      <c r="U64" s="6">
        <f>(S64*(_xlfn.XLOOKUP(R64,'Fatores de Emissão'!$A$14:$A$22,'Fatores de Emissão'!$C$14:$C$22)))/1000</f>
        <v>1.459313239362192E-10</v>
      </c>
      <c r="V64" s="6">
        <f>(S64*(_xlfn.XLOOKUP(R64,'Fatores de Emissão'!$A:$A,'Fatores de Emissão'!E:E)))/1000</f>
        <v>7.8772017076944636E-11</v>
      </c>
      <c r="W64" s="6">
        <f t="shared" si="6"/>
        <v>2.0433130275122791E-6</v>
      </c>
      <c r="X64" s="6">
        <f t="shared" si="4"/>
        <v>1.5649045107081515E-7</v>
      </c>
      <c r="Y64" s="6"/>
      <c r="Z64" s="6"/>
      <c r="AA64" s="6"/>
      <c r="AB64" s="6"/>
      <c r="AC64" s="6" t="s">
        <v>145</v>
      </c>
    </row>
    <row r="65" spans="1:29">
      <c r="A65" s="5" t="s">
        <v>21</v>
      </c>
      <c r="B65" s="77" t="s">
        <v>32</v>
      </c>
      <c r="C65" s="6" t="s">
        <v>138</v>
      </c>
      <c r="D65" s="6" t="s">
        <v>141</v>
      </c>
      <c r="E65" s="6" t="str">
        <f t="shared" si="5"/>
        <v>Óleo Diesel</v>
      </c>
      <c r="F65" s="5">
        <v>80</v>
      </c>
      <c r="G65" s="5" t="str">
        <f>IF(D65="Rodoviário",Combustão_Móvel!$A$32,IF(D65="Marítimo",Fatores_Marítimo!$F$30))</f>
        <v>Caminhão - caminhão (média)</v>
      </c>
      <c r="H65" s="6">
        <f>_xlfn.XLOOKUP(G65,Combustão_Móvel!$A$25:$A$40,Combustão_Móvel!$B$25:$B$40,Fatores_Marítimo!$H$30)</f>
        <v>3.8597744506341597E-2</v>
      </c>
      <c r="I65" s="6">
        <f>IF(A65="Inonibrás",SUMIFS(Industrial!F:F,Industrial!C:C,B65),IF(OR(B65="Gasolina Automotiva",B65="Óleo Diesel",B65="Acetileno"),SUMIFS('Florestal (Combustíveis)'!P:P,'Florestal (Combustíveis)'!D:D,B65,'Florestal (Combustíveis)'!A:A,A65)*Industrial!$F$6/(1000*SUM(Carbonização!$D$2:$D$4)),SUMIFS('Florestal (Fertilizantes)'!H:H,'Florestal (Fertilizantes)'!B:B,B65,'Florestal (Fertilizantes)'!A:A,A65)*Industrial!$F$6/(SUM(Carbonização!$D$2:$D$4))))</f>
        <v>3.8432977981497601E-3</v>
      </c>
      <c r="J65" s="6">
        <f t="shared" si="1"/>
        <v>0.30746382385198079</v>
      </c>
      <c r="K65" s="6">
        <f t="shared" si="2"/>
        <v>1.1867410117981573E-2</v>
      </c>
      <c r="L65" s="6" t="s">
        <v>108</v>
      </c>
      <c r="M65" s="6">
        <f>IF(E65="Óleo Diesel",(K65/1000)*(1-0.1)*(_xlfn.XLOOKUP(E65,Combustão_Móvel!$A$2:$A$12,Combustão_Móvel!$E$2:$E$12))*(_xlfn.XLOOKUP(E65,Combustão_Móvel!$A$2:$A$12,Combustão_Móvel!$D$2:$D$12)),(K65/1000)*(_xlfn.XLOOKUP(E65,Combustão_Móvel!$A$2:$A$12,Combustão_Móvel!$D$2:$D$12))*(_xlfn.XLOOKUP(E65,Combustão_Móvel!$A$2:$A$12,Combustão_Móvel!$E$2:$E$12)))*1000</f>
        <v>2.8096034117270786E-2</v>
      </c>
      <c r="N65" s="6">
        <f>IF(E65="Óleo Diesel",(K65/1000)*(1-0.1)*(_xlfn.XLOOKUP(E65,Combustão_Móvel!$A$2:$A$12,Combustão_Móvel!$F$2:$F$12))*(_xlfn.XLOOKUP(E65,Combustão_Móvel!$A$2:$A$12,Combustão_Móvel!$D$2:$D$12)),(K65/1000)*(_xlfn.XLOOKUP(E65,Combustão_Móvel!$A$2:$A$12,Combustão_Móvel!$D$2:$D$12))*(_xlfn.XLOOKUP(E65,Combustão_Móvel!$A$2:$A$12,Combustão_Móvel!$F$2:$F$12)))*1000</f>
        <v>1.478738637751094E-6</v>
      </c>
      <c r="O65" s="6">
        <f>IF(E65="Óleo Diesel",(K65/1000)*(((1-0.1)*(_xlfn.XLOOKUP(E65,Combustão_Móvel!$A$2:$A$12,Combustão_Móvel!$G$2:$G$12))*(_xlfn.XLOOKUP(E65,Combustão_Móvel!$A$2:$A$12,Combustão_Móvel!$D$2:$D$12)))+((0.1)*(Combustão_Móvel!$G$6)*(Combustão_Móvel!$G$6))),(K65/1000)*(_xlfn.XLOOKUP(E65,Combustão_Móvel!$A$2:$A$12,Combustão_Móvel!$D$2:$D$12))*(_xlfn.XLOOKUP(E65,Combustão_Móvel!$A$2:$A$12,Combustão_Móvel!$G$2:$G$12)))*1000</f>
        <v>1.4787386381783204E-6</v>
      </c>
      <c r="P65" s="6">
        <f>(M65+(N65*GWP_Quioto!$E$3)+(O65*GWP_Quioto!$E$6))/1000</f>
        <v>2.8540986573486725E-5</v>
      </c>
      <c r="Q65" s="6">
        <f>IF(E65="Óleo Diesel",(K65/1000)*(0.1)*(Combustão_Móvel!$D$6)*(Combustão_Móvel!$E$6),0)</f>
        <v>2.7842361390370698E-6</v>
      </c>
      <c r="R65" s="5" t="str">
        <f>IF(E65="Óleo Diesel",'Fatores de Emissão'!$A$19,'Fatores de Emissão'!$A$22)</f>
        <v>Óleo Diesel (10% Biodiesel)</v>
      </c>
      <c r="S65" s="6">
        <f>IF(E65="Óleo Diesel",(K65/1000)*((0.9*_xlfn.XLOOKUP(E65,Densidades!$A$2:$A$54,Densidades!$B$2:$B$54))+(0.1*Densidades!$B$6)),(K65/1000)*(_xlfn.XLOOKUP(E65,Densidades!$A$2:$A$54,Densidades!$B$2:$B$54)))</f>
        <v>1.0016094139576447E-2</v>
      </c>
      <c r="T65" s="6">
        <f>(S65*(_xlfn.XLOOKUP(R65,'Fatores de Emissão'!$A$14:$A$22,'Fatores de Emissão'!$B$14:$B$22)))/1000</f>
        <v>7.8470235964604361E-6</v>
      </c>
      <c r="U65" s="6">
        <f>(S65*(_xlfn.XLOOKUP(R65,'Fatores de Emissão'!$A$14:$A$22,'Fatores de Emissão'!$C$14:$C$22)))/1000</f>
        <v>2.5987944225902935E-9</v>
      </c>
      <c r="V65" s="6">
        <f>(S65*(_xlfn.XLOOKUP(R65,'Fatores de Emissão'!$A:$A,'Fatores de Emissão'!E:E)))/1000</f>
        <v>1.402798748849991E-9</v>
      </c>
      <c r="W65" s="6">
        <f t="shared" si="6"/>
        <v>3.6388010169947164E-5</v>
      </c>
      <c r="X65" s="6">
        <f t="shared" si="4"/>
        <v>2.7868349334596599E-6</v>
      </c>
      <c r="Y65" s="6"/>
      <c r="Z65" s="6"/>
      <c r="AA65" s="6"/>
      <c r="AB65" s="6"/>
      <c r="AC65" s="6" t="s">
        <v>145</v>
      </c>
    </row>
    <row r="66" spans="1:29">
      <c r="A66" s="5" t="s">
        <v>21</v>
      </c>
      <c r="B66" s="206" t="s">
        <v>33</v>
      </c>
      <c r="C66" s="6" t="s">
        <v>140</v>
      </c>
      <c r="D66" s="6" t="s">
        <v>141</v>
      </c>
      <c r="E66" s="6" t="str">
        <f t="shared" si="5"/>
        <v>Óleo Diesel</v>
      </c>
      <c r="F66" s="5">
        <v>78</v>
      </c>
      <c r="G66" s="5" t="str">
        <f>IF(D66="Rodoviário",Combustão_Móvel!$A$32,IF(D66="Marítimo",Fatores_Marítimo!$F$30))</f>
        <v>Caminhão - caminhão (média)</v>
      </c>
      <c r="H66" s="6">
        <f>_xlfn.XLOOKUP(G66,Combustão_Móvel!$A$25:$A$40,Combustão_Móvel!$B$25:$B$40,Fatores_Marítimo!$H$30)</f>
        <v>3.8597744506341597E-2</v>
      </c>
      <c r="I66" s="6">
        <f>IF(A66="Inonibrás",SUMIFS(Industrial!F:F,Industrial!C:C,B66),IF(OR(B66="Gasolina Automotiva",B66="Óleo Diesel",B66="Acetileno"),SUMIFS('Florestal (Combustíveis)'!P:P,'Florestal (Combustíveis)'!D:D,B66,'Florestal (Combustíveis)'!A:A,A66)*Industrial!$F$6/(1000*SUM(Carbonização!$D$2:$D$4)),SUMIFS('Florestal (Fertilizantes)'!H:H,'Florestal (Fertilizantes)'!B:B,B66,'Florestal (Fertilizantes)'!A:A,A66)*Industrial!$F$6/(SUM(Carbonização!$D$2:$D$4))))</f>
        <v>0</v>
      </c>
      <c r="J66" s="6">
        <f t="shared" si="1"/>
        <v>0</v>
      </c>
      <c r="K66" s="6">
        <f t="shared" si="2"/>
        <v>0</v>
      </c>
      <c r="L66" s="6" t="s">
        <v>108</v>
      </c>
      <c r="M66" s="6">
        <f>IF(E66="Óleo Diesel",(K66/1000)*(1-0.1)*(_xlfn.XLOOKUP(E66,Combustão_Móvel!$A$2:$A$12,Combustão_Móvel!$E$2:$E$12))*(_xlfn.XLOOKUP(E66,Combustão_Móvel!$A$2:$A$12,Combustão_Móvel!$D$2:$D$12)),(K66/1000)*(_xlfn.XLOOKUP(E66,Combustão_Móvel!$A$2:$A$12,Combustão_Móvel!$D$2:$D$12))*(_xlfn.XLOOKUP(E66,Combustão_Móvel!$A$2:$A$12,Combustão_Móvel!$E$2:$E$12)))*1000</f>
        <v>0</v>
      </c>
      <c r="N66" s="6">
        <f>IF(E66="Óleo Diesel",(K66/1000)*(1-0.1)*(_xlfn.XLOOKUP(E66,Combustão_Móvel!$A$2:$A$12,Combustão_Móvel!$F$2:$F$12))*(_xlfn.XLOOKUP(E66,Combustão_Móvel!$A$2:$A$12,Combustão_Móvel!$D$2:$D$12)),(K66/1000)*(_xlfn.XLOOKUP(E66,Combustão_Móvel!$A$2:$A$12,Combustão_Móvel!$D$2:$D$12))*(_xlfn.XLOOKUP(E66,Combustão_Móvel!$A$2:$A$12,Combustão_Móvel!$F$2:$F$12)))*1000</f>
        <v>0</v>
      </c>
      <c r="O66" s="6">
        <f>IF(E66="Óleo Diesel",(K66/1000)*(((1-0.1)*(_xlfn.XLOOKUP(E66,Combustão_Móvel!$A$2:$A$12,Combustão_Móvel!$G$2:$G$12))*(_xlfn.XLOOKUP(E66,Combustão_Móvel!$A$2:$A$12,Combustão_Móvel!$D$2:$D$12)))+((0.1)*(Combustão_Móvel!$G$6)*(Combustão_Móvel!$G$6))),(K66/1000)*(_xlfn.XLOOKUP(E66,Combustão_Móvel!$A$2:$A$12,Combustão_Móvel!$D$2:$D$12))*(_xlfn.XLOOKUP(E66,Combustão_Móvel!$A$2:$A$12,Combustão_Móvel!$G$2:$G$12)))*1000</f>
        <v>0</v>
      </c>
      <c r="P66" s="6">
        <f>(M66+(N66*GWP_Quioto!$E$3)+(O66*GWP_Quioto!$E$6))/1000</f>
        <v>0</v>
      </c>
      <c r="Q66" s="6">
        <f>IF(E66="Óleo Diesel",(K66/1000)*(0.1)*(Combustão_Móvel!$D$6)*(Combustão_Móvel!$E$6),0)</f>
        <v>0</v>
      </c>
      <c r="R66" s="5" t="str">
        <f>IF(E66="Óleo Diesel",'Fatores de Emissão'!$A$19,'Fatores de Emissão'!$A$22)</f>
        <v>Óleo Diesel (10% Biodiesel)</v>
      </c>
      <c r="S66" s="6">
        <f>IF(E66="Óleo Diesel",(K66/1000)*((0.9*_xlfn.XLOOKUP(E66,Densidades!$A$2:$A$54,Densidades!$B$2:$B$54))+(0.1*Densidades!$B$6)),(K66/1000)*(_xlfn.XLOOKUP(E66,Densidades!$A$2:$A$54,Densidades!$B$2:$B$54)))</f>
        <v>0</v>
      </c>
      <c r="T66" s="6">
        <f>(S66*(_xlfn.XLOOKUP(R66,'Fatores de Emissão'!$A$14:$A$22,'Fatores de Emissão'!$B$14:$B$22)))/1000</f>
        <v>0</v>
      </c>
      <c r="U66" s="6">
        <f>(S66*(_xlfn.XLOOKUP(R66,'Fatores de Emissão'!$A$14:$A$22,'Fatores de Emissão'!$C$14:$C$22)))/1000</f>
        <v>0</v>
      </c>
      <c r="V66" s="6">
        <f>(S66*(_xlfn.XLOOKUP(R66,'Fatores de Emissão'!$A:$A,'Fatores de Emissão'!E:E)))/1000</f>
        <v>0</v>
      </c>
      <c r="W66" s="6">
        <f t="shared" si="6"/>
        <v>0</v>
      </c>
      <c r="X66" s="6">
        <f t="shared" si="4"/>
        <v>0</v>
      </c>
      <c r="Y66" s="6"/>
      <c r="Z66" s="6"/>
      <c r="AA66" s="6"/>
      <c r="AB66" s="6"/>
      <c r="AC66" s="6" t="s">
        <v>145</v>
      </c>
    </row>
  </sheetData>
  <autoFilter ref="A1:AC66" xr:uid="{BE407799-7E47-4EA2-B84D-9E250A8C12F1}"/>
  <phoneticPr fontId="8" type="noConversion"/>
  <dataValidations disablePrompts="1" count="1">
    <dataValidation type="list" allowBlank="1" showInputMessage="1" showErrorMessage="1" sqref="B53 B65 B40" xr:uid="{23220D2A-85B7-4AF9-A56C-D2594C63B160}">
      <formula1>"Óleo Diesel,Gasolina Automotiva,Álcool Etílico Anidro,Álcool Etílico Hidratado,Biodiesel,GLP,Graxa,Lubrificantes,Gasolina de Aviação,Querosene de Aviação,Óleo Combustível Pesado,Acetileno"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0968E12DF2C94E9278D37DD2072741" ma:contentTypeVersion="18" ma:contentTypeDescription="Crie um novo documento." ma:contentTypeScope="" ma:versionID="bb4a1af0cd60d746309043228d590fe1">
  <xsd:schema xmlns:xsd="http://www.w3.org/2001/XMLSchema" xmlns:xs="http://www.w3.org/2001/XMLSchema" xmlns:p="http://schemas.microsoft.com/office/2006/metadata/properties" xmlns:ns2="0839254e-5c96-40d9-9fd6-03bcb2159a87" xmlns:ns3="c078f7f3-7c0d-4e06-8ba5-463cfe10fb4a" targetNamespace="http://schemas.microsoft.com/office/2006/metadata/properties" ma:root="true" ma:fieldsID="a7334a7f3ea66fea392b352ed9d00d0b" ns2:_="" ns3:_="">
    <xsd:import namespace="0839254e-5c96-40d9-9fd6-03bcb2159a87"/>
    <xsd:import namespace="c078f7f3-7c0d-4e06-8ba5-463cfe10fb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9254e-5c96-40d9-9fd6-03bcb2159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2c4900cf-1a77-443f-a942-9d6c56bdd3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f7f3-7c0d-4e06-8ba5-463cfe10f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dcd5bc9-712e-4002-a7ec-629001cf15a1}" ma:internalName="TaxCatchAll" ma:showField="CatchAllData" ma:web="c078f7f3-7c0d-4e06-8ba5-463cfe10fb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39254e-5c96-40d9-9fd6-03bcb2159a87">
      <Terms xmlns="http://schemas.microsoft.com/office/infopath/2007/PartnerControls"/>
    </lcf76f155ced4ddcb4097134ff3c332f>
    <TaxCatchAll xmlns="c078f7f3-7c0d-4e06-8ba5-463cfe10fb4a" xsi:nil="true"/>
  </documentManagement>
</p:properties>
</file>

<file path=customXml/itemProps1.xml><?xml version="1.0" encoding="utf-8"?>
<ds:datastoreItem xmlns:ds="http://schemas.openxmlformats.org/officeDocument/2006/customXml" ds:itemID="{3D00B695-52BC-4D62-A773-423B585A9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39254e-5c96-40d9-9fd6-03bcb2159a87"/>
    <ds:schemaRef ds:uri="c078f7f3-7c0d-4e06-8ba5-463cfe10f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FCEB1-01DB-47BD-8E73-E96742045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775500-E848-4336-9FF9-DA58563F3FB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c078f7f3-7c0d-4e06-8ba5-463cfe10fb4a"/>
    <ds:schemaRef ds:uri="http://purl.org/dc/dcmitype/"/>
    <ds:schemaRef ds:uri="http://purl.org/dc/terms/"/>
    <ds:schemaRef ds:uri="http://schemas.microsoft.com/office/infopath/2007/PartnerControls"/>
    <ds:schemaRef ds:uri="0839254e-5c96-40d9-9fd6-03bcb2159a87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 Consolidados</vt:lpstr>
      <vt:lpstr>Resultados Por Item</vt:lpstr>
      <vt:lpstr>Resultado - Carvão Vegetal</vt:lpstr>
      <vt:lpstr>Florestal (Combustíveis)</vt:lpstr>
      <vt:lpstr>Florestal (Fertilizantes)</vt:lpstr>
      <vt:lpstr>Florestal (Energia Elétrica)</vt:lpstr>
      <vt:lpstr>Carbonização</vt:lpstr>
      <vt:lpstr>Balanço de Carbono</vt:lpstr>
      <vt:lpstr>Transporte</vt:lpstr>
      <vt:lpstr>Industrial</vt:lpstr>
      <vt:lpstr>Mineração de Quartzo Rima</vt:lpstr>
      <vt:lpstr>Redução</vt:lpstr>
      <vt:lpstr>Fatores de Emissão</vt:lpstr>
      <vt:lpstr>Fatores_Fertilizantes</vt:lpstr>
      <vt:lpstr>Fatores_Marítimo</vt:lpstr>
      <vt:lpstr>Fatores de Conversão</vt:lpstr>
      <vt:lpstr>Densidades</vt:lpstr>
      <vt:lpstr>Fatores_GRID</vt:lpstr>
      <vt:lpstr>Combustão_Estacionária</vt:lpstr>
      <vt:lpstr>Combustão_Móvel</vt:lpstr>
      <vt:lpstr>Fatores_Carbonização</vt:lpstr>
      <vt:lpstr>GWP_Quioto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Paz Bezerra</cp:lastModifiedBy>
  <cp:revision/>
  <dcterms:created xsi:type="dcterms:W3CDTF">2024-11-19T18:14:49Z</dcterms:created>
  <dcterms:modified xsi:type="dcterms:W3CDTF">2025-01-30T12:44:16Z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0x010100180968E12DF2C94E9278D37DD2072741</vt:lpwstr>
  </property>
  <property fmtid="{D5CDD505-2E9C-101B-9397-08002B2CF9AE}" pid="3" name="MediaServiceImageTags">
    <vt:lpwstr/>
  </property>
</Properties>
</file>