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 Kai\Desktop\Masters Academics\VBA and Excel Files LinkedIn\"/>
    </mc:Choice>
  </mc:AlternateContent>
  <xr:revisionPtr revIDLastSave="0" documentId="13_ncr:1_{987018CF-D44F-4A09-A5A6-853650AFB9BD}" xr6:coauthVersionLast="43" xr6:coauthVersionMax="43" xr10:uidLastSave="{00000000-0000-0000-0000-000000000000}"/>
  <bookViews>
    <workbookView xWindow="28680" yWindow="-120" windowWidth="29040" windowHeight="15840" xr2:uid="{84BB2C13-C03C-4949-A230-2845E03C9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F29" i="1" l="1"/>
  <c r="E29" i="1"/>
  <c r="F28" i="1"/>
  <c r="E28" i="1"/>
  <c r="F27" i="1"/>
  <c r="E27" i="1"/>
  <c r="F26" i="1"/>
  <c r="E26" i="1"/>
  <c r="F25" i="1"/>
  <c r="E25" i="1"/>
  <c r="F21" i="1"/>
  <c r="O21" i="1" s="1"/>
  <c r="E21" i="1"/>
  <c r="F20" i="1"/>
  <c r="O20" i="1" s="1"/>
  <c r="E20" i="1"/>
  <c r="F19" i="1"/>
  <c r="O19" i="1" s="1"/>
  <c r="E19" i="1"/>
  <c r="F18" i="1"/>
  <c r="O18" i="1" s="1"/>
  <c r="E18" i="1"/>
  <c r="F17" i="1"/>
  <c r="E17" i="1"/>
  <c r="B5" i="1"/>
  <c r="F13" i="1"/>
  <c r="F12" i="1"/>
  <c r="F11" i="1"/>
  <c r="F10" i="1"/>
  <c r="F9" i="1"/>
  <c r="B7" i="1"/>
  <c r="B6" i="1"/>
  <c r="G13" i="1" s="1"/>
  <c r="G12" i="1" l="1"/>
  <c r="G28" i="1"/>
  <c r="I28" i="1" s="1"/>
  <c r="J28" i="1" s="1"/>
  <c r="G21" i="1"/>
  <c r="I21" i="1" s="1"/>
  <c r="J21" i="1" s="1"/>
  <c r="G10" i="1"/>
  <c r="H10" i="1" s="1"/>
  <c r="G29" i="1"/>
  <c r="I29" i="1" s="1"/>
  <c r="J29" i="1" s="1"/>
  <c r="I12" i="1"/>
  <c r="J12" i="1" s="1"/>
  <c r="H12" i="1"/>
  <c r="K12" i="1" s="1"/>
  <c r="L12" i="1" s="1"/>
  <c r="I13" i="1"/>
  <c r="J13" i="1" s="1"/>
  <c r="H13" i="1"/>
  <c r="G9" i="1"/>
  <c r="G26" i="1"/>
  <c r="I26" i="1" s="1"/>
  <c r="J26" i="1" s="1"/>
  <c r="G11" i="1"/>
  <c r="G27" i="1"/>
  <c r="I27" i="1" s="1"/>
  <c r="J27" i="1" s="1"/>
  <c r="H28" i="1"/>
  <c r="H29" i="1"/>
  <c r="G25" i="1"/>
  <c r="G17" i="1"/>
  <c r="I17" i="1" s="1"/>
  <c r="G18" i="1"/>
  <c r="G19" i="1"/>
  <c r="G20" i="1"/>
  <c r="H26" i="1" l="1"/>
  <c r="H21" i="1"/>
  <c r="K21" i="1" s="1"/>
  <c r="L21" i="1" s="1"/>
  <c r="K29" i="1"/>
  <c r="L29" i="1" s="1"/>
  <c r="M29" i="1" s="1"/>
  <c r="N29" i="1"/>
  <c r="K28" i="1"/>
  <c r="L28" i="1" s="1"/>
  <c r="N28" i="1"/>
  <c r="K13" i="1"/>
  <c r="L13" i="1" s="1"/>
  <c r="M13" i="1" s="1"/>
  <c r="I10" i="1"/>
  <c r="J10" i="1" s="1"/>
  <c r="K10" i="1" s="1"/>
  <c r="L10" i="1" s="1"/>
  <c r="I9" i="1"/>
  <c r="J9" i="1" s="1"/>
  <c r="H9" i="1"/>
  <c r="H27" i="1"/>
  <c r="I11" i="1"/>
  <c r="J11" i="1" s="1"/>
  <c r="H11" i="1"/>
  <c r="I25" i="1"/>
  <c r="J25" i="1" s="1"/>
  <c r="H25" i="1"/>
  <c r="N25" i="1" s="1"/>
  <c r="H19" i="1"/>
  <c r="I19" i="1"/>
  <c r="J19" i="1" s="1"/>
  <c r="I18" i="1"/>
  <c r="J18" i="1" s="1"/>
  <c r="H18" i="1"/>
  <c r="I20" i="1"/>
  <c r="J20" i="1" s="1"/>
  <c r="H20" i="1"/>
  <c r="J17" i="1"/>
  <c r="H17" i="1"/>
  <c r="N17" i="1" s="1"/>
  <c r="O17" i="1" s="1"/>
  <c r="P18" i="1" s="1"/>
  <c r="K27" i="1" l="1"/>
  <c r="L27" i="1" s="1"/>
  <c r="N27" i="1"/>
  <c r="O28" i="1" s="1"/>
  <c r="O29" i="1"/>
  <c r="O25" i="1"/>
  <c r="K26" i="1"/>
  <c r="L26" i="1" s="1"/>
  <c r="N26" i="1"/>
  <c r="O27" i="1" s="1"/>
  <c r="P28" i="1" s="1"/>
  <c r="M28" i="1"/>
  <c r="K20" i="1"/>
  <c r="L20" i="1" s="1"/>
  <c r="K11" i="1"/>
  <c r="L11" i="1" s="1"/>
  <c r="K9" i="1"/>
  <c r="L9" i="1" s="1"/>
  <c r="M10" i="1" s="1"/>
  <c r="M21" i="1"/>
  <c r="K25" i="1"/>
  <c r="L25" i="1" s="1"/>
  <c r="K17" i="1"/>
  <c r="L17" i="1" s="1"/>
  <c r="K18" i="1"/>
  <c r="L18" i="1" s="1"/>
  <c r="K19" i="1"/>
  <c r="L19" i="1" s="1"/>
  <c r="M26" i="1" l="1"/>
  <c r="M19" i="1"/>
  <c r="M27" i="1"/>
  <c r="Q28" i="1"/>
  <c r="O26" i="1"/>
  <c r="P26" i="1" s="1"/>
  <c r="P29" i="1"/>
  <c r="Q29" i="1" s="1"/>
  <c r="M11" i="1"/>
  <c r="M12" i="1"/>
  <c r="M18" i="1"/>
  <c r="M20" i="1"/>
  <c r="Q26" i="1" l="1"/>
  <c r="P19" i="1"/>
  <c r="M14" i="1"/>
  <c r="P20" i="1"/>
  <c r="Q20" i="1" s="1"/>
  <c r="P21" i="1"/>
  <c r="Q21" i="1" s="1"/>
  <c r="Q18" i="1"/>
  <c r="Q19" i="1"/>
  <c r="Q22" i="1" l="1"/>
  <c r="P27" i="1"/>
  <c r="Q27" i="1" s="1"/>
  <c r="Q30" i="1" s="1"/>
</calcChain>
</file>

<file path=xl/sharedStrings.xml><?xml version="1.0" encoding="utf-8"?>
<sst xmlns="http://schemas.openxmlformats.org/spreadsheetml/2006/main" count="64" uniqueCount="37">
  <si>
    <t>Call Option Characteristics</t>
  </si>
  <si>
    <t>Implied Volatility</t>
  </si>
  <si>
    <t>Interest Rate</t>
  </si>
  <si>
    <t>Dividend Yield</t>
  </si>
  <si>
    <t>Strike Price</t>
  </si>
  <si>
    <t>Initial Price</t>
  </si>
  <si>
    <t>A year has 52 weeks.</t>
  </si>
  <si>
    <t>TTM (Yrs)</t>
  </si>
  <si>
    <t>Option Price</t>
  </si>
  <si>
    <t>Total Position Value</t>
  </si>
  <si>
    <t>Week</t>
  </si>
  <si>
    <t>Underlying Price</t>
  </si>
  <si>
    <t>d1</t>
  </si>
  <si>
    <t>d2</t>
  </si>
  <si>
    <t>N(d1)</t>
  </si>
  <si>
    <t>N(d2)</t>
  </si>
  <si>
    <t>Cumulative PnL</t>
  </si>
  <si>
    <t>We can use the Black-Scholes to price a Call.</t>
  </si>
  <si>
    <t>Initial Delta Hedging</t>
  </si>
  <si>
    <t>Continuous Delta Hedging</t>
  </si>
  <si>
    <t>We use the Stock to hedge.</t>
  </si>
  <si>
    <t>Delta</t>
  </si>
  <si>
    <t>Short Position Value</t>
  </si>
  <si>
    <t>Option Position Value</t>
  </si>
  <si>
    <t>Profit &amp; Loss (Options)</t>
  </si>
  <si>
    <t>Profit &amp; Loss (Short)</t>
  </si>
  <si>
    <t>Total Profit &amp; Loss</t>
  </si>
  <si>
    <t>Short Amount</t>
  </si>
  <si>
    <t>Rebalanced Weekly</t>
  </si>
  <si>
    <t>Portfolio: Only Call Options</t>
  </si>
  <si>
    <t>We can hedge a Long Option with a Short Stock (Overhedge)
We can visualise the Overhedge with a Graph (Payoff vs Stock Price)</t>
  </si>
  <si>
    <t>We always Hedge with the Number of Options, Not the Value.</t>
  </si>
  <si>
    <t>A lower Cumulative PnL = Closer to Perfect Hedge.</t>
  </si>
  <si>
    <t>←</t>
  </si>
  <si>
    <t>↓</t>
  </si>
  <si>
    <t>Total PnL should be less AFTER Hedge for it to make sense!</t>
  </si>
  <si>
    <t>Prob. 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</si>
</sst>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3D70-AABC-4FCD-B66A-D3632F863345}">
  <dimension ref="A1:R34"/>
  <sheetViews>
    <sheetView tabSelected="1" topLeftCell="C1" zoomScaleNormal="100" workbookViewId="0">
      <selection activeCell="J7" sqref="J7"/>
    </sheetView>
  </sheetViews>
  <sheetFormatPr defaultRowHeight="14.5" x14ac:dyDescent="0.35"/>
  <cols>
    <col min="1" max="1" width="15.81640625" style="1" bestFit="1" customWidth="1"/>
    <col min="2" max="2" width="25.36328125" style="1" bestFit="1" customWidth="1"/>
    <col min="3" max="3" width="8.7265625" style="1"/>
    <col min="4" max="5" width="11.453125" style="1" bestFit="1" customWidth="1"/>
    <col min="6" max="6" width="15" style="1" bestFit="1" customWidth="1"/>
    <col min="7" max="7" width="12.453125" style="1" bestFit="1" customWidth="1"/>
    <col min="8" max="8" width="11.81640625" style="1" bestFit="1" customWidth="1"/>
    <col min="9" max="9" width="12.453125" style="1" bestFit="1" customWidth="1"/>
    <col min="10" max="10" width="11.81640625" style="1" bestFit="1" customWidth="1"/>
    <col min="11" max="11" width="11.453125" style="1" bestFit="1" customWidth="1"/>
    <col min="12" max="12" width="19.7265625" style="1" bestFit="1" customWidth="1"/>
    <col min="13" max="13" width="20.1796875" style="1" bestFit="1" customWidth="1"/>
    <col min="14" max="14" width="20.1796875" style="1" customWidth="1"/>
    <col min="15" max="15" width="18.36328125" style="1" bestFit="1" customWidth="1"/>
    <col min="16" max="16" width="18" style="1" bestFit="1" customWidth="1"/>
    <col min="17" max="17" width="18.08984375" style="1" bestFit="1" customWidth="1"/>
    <col min="18" max="18" width="16.453125" style="1" customWidth="1"/>
    <col min="19" max="19" width="14.1796875" style="1" bestFit="1" customWidth="1"/>
    <col min="20" max="16384" width="8.7265625" style="1"/>
  </cols>
  <sheetData>
    <row r="1" spans="1:17" x14ac:dyDescent="0.35">
      <c r="B1" s="2" t="s">
        <v>0</v>
      </c>
    </row>
    <row r="2" spans="1:17" x14ac:dyDescent="0.35">
      <c r="A2" s="2" t="s">
        <v>5</v>
      </c>
      <c r="B2" s="1">
        <v>100</v>
      </c>
      <c r="G2" s="25" t="s">
        <v>30</v>
      </c>
      <c r="H2" s="26"/>
      <c r="I2" s="26"/>
      <c r="J2" s="26"/>
      <c r="K2" s="26"/>
    </row>
    <row r="3" spans="1:17" x14ac:dyDescent="0.35">
      <c r="A3" s="2" t="s">
        <v>4</v>
      </c>
      <c r="B3" s="1">
        <v>100</v>
      </c>
      <c r="G3" s="26"/>
      <c r="H3" s="26"/>
      <c r="I3" s="26"/>
      <c r="J3" s="26"/>
      <c r="K3" s="26"/>
    </row>
    <row r="4" spans="1:17" x14ac:dyDescent="0.35">
      <c r="A4" s="2" t="s">
        <v>1</v>
      </c>
      <c r="B4" s="3">
        <v>0.25</v>
      </c>
    </row>
    <row r="5" spans="1:17" x14ac:dyDescent="0.35">
      <c r="A5" s="2" t="s">
        <v>7</v>
      </c>
      <c r="B5" s="1">
        <f>12/52</f>
        <v>0.23076923076923078</v>
      </c>
      <c r="D5" s="1" t="s">
        <v>6</v>
      </c>
    </row>
    <row r="6" spans="1:17" x14ac:dyDescent="0.35">
      <c r="A6" s="2" t="s">
        <v>2</v>
      </c>
      <c r="B6" s="4">
        <f>0%</f>
        <v>0</v>
      </c>
      <c r="K6" s="1" t="s">
        <v>17</v>
      </c>
    </row>
    <row r="7" spans="1:17" x14ac:dyDescent="0.35">
      <c r="A7" s="2" t="s">
        <v>3</v>
      </c>
      <c r="B7" s="4">
        <f>0%</f>
        <v>0</v>
      </c>
      <c r="H7" s="1" t="s">
        <v>21</v>
      </c>
      <c r="J7" s="1" t="s">
        <v>36</v>
      </c>
    </row>
    <row r="8" spans="1:17" x14ac:dyDescent="0.35">
      <c r="D8" s="7" t="s">
        <v>10</v>
      </c>
      <c r="E8" s="7" t="s">
        <v>7</v>
      </c>
      <c r="F8" s="7" t="s">
        <v>11</v>
      </c>
      <c r="G8" s="7" t="s">
        <v>12</v>
      </c>
      <c r="H8" s="7" t="s">
        <v>14</v>
      </c>
      <c r="I8" s="7" t="s">
        <v>13</v>
      </c>
      <c r="J8" s="7" t="s">
        <v>15</v>
      </c>
      <c r="K8" s="7" t="s">
        <v>8</v>
      </c>
      <c r="L8" s="7" t="s">
        <v>9</v>
      </c>
      <c r="M8" s="7" t="s">
        <v>26</v>
      </c>
      <c r="N8" s="19"/>
    </row>
    <row r="9" spans="1:17" x14ac:dyDescent="0.35">
      <c r="B9" s="18" t="s">
        <v>29</v>
      </c>
      <c r="C9" s="17"/>
      <c r="D9" s="8">
        <v>0</v>
      </c>
      <c r="E9" s="8">
        <f>(12-D9)/52</f>
        <v>0.23076923076923078</v>
      </c>
      <c r="F9" s="8">
        <f>100</f>
        <v>100</v>
      </c>
      <c r="G9" s="9">
        <f>(LN(F9/$B$3)+($B$6+$B$4^2/2)*E9)/($B$4*SQRT(E9))</f>
        <v>6.0048057676907678E-2</v>
      </c>
      <c r="H9" s="9">
        <f>_xlfn.NORM.S.DIST(G9,1)</f>
        <v>0.52394132038673424</v>
      </c>
      <c r="I9" s="9">
        <f>G9-$B$4*SQRT(E9)</f>
        <v>-6.0048057676907678E-2</v>
      </c>
      <c r="J9" s="9">
        <f>_xlfn.NORM.S.DIST(I9,1)</f>
        <v>0.47605867961326581</v>
      </c>
      <c r="K9" s="8">
        <f>F9*H9-J9*$B$3*EXP(-$B$6*E9)</f>
        <v>4.7882640773468452</v>
      </c>
      <c r="L9" s="8">
        <f>1000*K9</f>
        <v>4788.2640773468456</v>
      </c>
      <c r="M9" s="8"/>
      <c r="N9" s="20"/>
    </row>
    <row r="10" spans="1:17" x14ac:dyDescent="0.35">
      <c r="D10" s="8">
        <v>1</v>
      </c>
      <c r="E10" s="8">
        <f>(12-D10)/52</f>
        <v>0.21153846153846154</v>
      </c>
      <c r="F10" s="8">
        <f>105</f>
        <v>105</v>
      </c>
      <c r="G10" s="9">
        <f t="shared" ref="G10:G12" si="0">(LN(F10/$B$3)+($B$6+$B$4^2/2)*E10)/($B$4*SQRT(E10))</f>
        <v>0.48181564170565416</v>
      </c>
      <c r="H10" s="9">
        <f t="shared" ref="H10:H13" si="1">_xlfn.NORM.S.DIST(G10,1)</f>
        <v>0.68503154160972191</v>
      </c>
      <c r="I10" s="9">
        <f t="shared" ref="I10:I13" si="2">G10-$B$4*SQRT(E10)</f>
        <v>0.36683236532967917</v>
      </c>
      <c r="J10" s="9">
        <f>_xlfn.NORM.S.DIST(I10,1)</f>
        <v>0.643127967981314</v>
      </c>
      <c r="K10" s="8">
        <f t="shared" ref="K10:K13" si="3">F10*H10-J10*$B$3*EXP(-$B$6*E10)</f>
        <v>7.6155150708894013</v>
      </c>
      <c r="L10" s="8">
        <f t="shared" ref="L10:L13" si="4">1000*K10</f>
        <v>7615.5150708894016</v>
      </c>
      <c r="M10" s="8">
        <f>L10-L9</f>
        <v>2827.250993542556</v>
      </c>
      <c r="N10" s="20"/>
      <c r="O10" s="24" t="s">
        <v>33</v>
      </c>
      <c r="Q10" s="2" t="s">
        <v>35</v>
      </c>
    </row>
    <row r="11" spans="1:17" x14ac:dyDescent="0.35">
      <c r="D11" s="8">
        <v>2</v>
      </c>
      <c r="E11" s="8">
        <f>(12-D11)/52</f>
        <v>0.19230769230769232</v>
      </c>
      <c r="F11" s="8">
        <f>100</f>
        <v>100</v>
      </c>
      <c r="G11" s="9">
        <f t="shared" si="0"/>
        <v>5.4816126206689332E-2</v>
      </c>
      <c r="H11" s="9">
        <f t="shared" si="1"/>
        <v>0.52185752356808446</v>
      </c>
      <c r="I11" s="9">
        <f t="shared" si="2"/>
        <v>-5.4816126206689318E-2</v>
      </c>
      <c r="J11" s="9">
        <f>_xlfn.NORM.S.DIST(I11,1)</f>
        <v>0.47814247643191549</v>
      </c>
      <c r="K11" s="8">
        <f t="shared" si="3"/>
        <v>4.3715047136168934</v>
      </c>
      <c r="L11" s="8">
        <f t="shared" si="4"/>
        <v>4371.5047136168932</v>
      </c>
      <c r="M11" s="8">
        <f t="shared" ref="M11:M13" si="5">L11-L10</f>
        <v>-3244.0103572725084</v>
      </c>
      <c r="N11" s="20"/>
      <c r="Q11" s="23" t="s">
        <v>34</v>
      </c>
    </row>
    <row r="12" spans="1:17" x14ac:dyDescent="0.35">
      <c r="D12" s="8">
        <v>3</v>
      </c>
      <c r="E12" s="8">
        <f>(12-D12)/52</f>
        <v>0.17307692307692307</v>
      </c>
      <c r="F12" s="8">
        <f>90</f>
        <v>90</v>
      </c>
      <c r="G12" s="9">
        <f t="shared" si="0"/>
        <v>-0.96101750090686922</v>
      </c>
      <c r="H12" s="9">
        <f t="shared" si="1"/>
        <v>0.16827168417912663</v>
      </c>
      <c r="I12" s="9">
        <f t="shared" si="2"/>
        <v>-1.0650237876990998</v>
      </c>
      <c r="J12" s="9">
        <f t="shared" ref="J12:J13" si="6">_xlfn.NORM.S.DIST(I12,1)</f>
        <v>0.14343258263536293</v>
      </c>
      <c r="K12" s="8">
        <f t="shared" si="3"/>
        <v>0.80119331258510407</v>
      </c>
      <c r="L12" s="8">
        <f t="shared" si="4"/>
        <v>801.19331258510408</v>
      </c>
      <c r="M12" s="8">
        <f t="shared" si="5"/>
        <v>-3570.311401031789</v>
      </c>
      <c r="N12" s="20"/>
    </row>
    <row r="13" spans="1:17" x14ac:dyDescent="0.35">
      <c r="D13" s="8">
        <v>4</v>
      </c>
      <c r="E13" s="8">
        <f>(12-D13)/52</f>
        <v>0.15384615384615385</v>
      </c>
      <c r="F13" s="8">
        <f>100</f>
        <v>100</v>
      </c>
      <c r="G13" s="9">
        <f>(LN(F13/$B$3)+($B$6+$B$4^2/2)*E13)/($B$4*SQRT(E13))</f>
        <v>4.9029033784546004E-2</v>
      </c>
      <c r="H13" s="9">
        <f t="shared" si="1"/>
        <v>0.51955192092859503</v>
      </c>
      <c r="I13" s="9">
        <f t="shared" si="2"/>
        <v>-4.9029033784546018E-2</v>
      </c>
      <c r="J13" s="9">
        <f t="shared" si="6"/>
        <v>0.48044807907140502</v>
      </c>
      <c r="K13" s="8">
        <f t="shared" si="3"/>
        <v>3.9103841857190034</v>
      </c>
      <c r="L13" s="8">
        <f t="shared" si="4"/>
        <v>3910.3841857190032</v>
      </c>
      <c r="M13" s="10">
        <f t="shared" si="5"/>
        <v>3109.190873133899</v>
      </c>
      <c r="N13" s="20"/>
    </row>
    <row r="14" spans="1:17" x14ac:dyDescent="0.35">
      <c r="M14" s="11">
        <f>SUM(M10:M13)</f>
        <v>-877.87989162784243</v>
      </c>
      <c r="N14" s="7" t="s">
        <v>16</v>
      </c>
    </row>
    <row r="16" spans="1:17" x14ac:dyDescent="0.35">
      <c r="B16" s="16" t="s">
        <v>18</v>
      </c>
      <c r="C16" s="13"/>
      <c r="D16" s="7" t="s">
        <v>10</v>
      </c>
      <c r="E16" s="7" t="s">
        <v>7</v>
      </c>
      <c r="F16" s="7" t="s">
        <v>11</v>
      </c>
      <c r="G16" s="7" t="s">
        <v>12</v>
      </c>
      <c r="H16" s="7" t="s">
        <v>14</v>
      </c>
      <c r="I16" s="7" t="s">
        <v>13</v>
      </c>
      <c r="J16" s="7" t="s">
        <v>15</v>
      </c>
      <c r="K16" s="7" t="s">
        <v>8</v>
      </c>
      <c r="L16" s="7" t="s">
        <v>23</v>
      </c>
      <c r="M16" s="7" t="s">
        <v>24</v>
      </c>
      <c r="N16" s="7" t="s">
        <v>27</v>
      </c>
      <c r="O16" s="7" t="s">
        <v>22</v>
      </c>
      <c r="P16" s="7" t="s">
        <v>25</v>
      </c>
      <c r="Q16" s="7" t="s">
        <v>26</v>
      </c>
    </row>
    <row r="17" spans="2:18" x14ac:dyDescent="0.35">
      <c r="B17" s="14" t="s">
        <v>20</v>
      </c>
      <c r="C17" s="15"/>
      <c r="D17" s="8">
        <v>0</v>
      </c>
      <c r="E17" s="8">
        <f>(12-D17)/52</f>
        <v>0.23076923076923078</v>
      </c>
      <c r="F17" s="8">
        <f>100</f>
        <v>100</v>
      </c>
      <c r="G17" s="9">
        <f>(LN(F17/$B$3)+($B$6+$B$4^2/2)*E17)/($B$4*SQRT(E17))</f>
        <v>6.0048057676907678E-2</v>
      </c>
      <c r="H17" s="9">
        <f>_xlfn.NORM.S.DIST(G17,1)</f>
        <v>0.52394132038673424</v>
      </c>
      <c r="I17" s="9">
        <f>G17-$B$4*SQRT(E17)</f>
        <v>-6.0048057676907678E-2</v>
      </c>
      <c r="J17" s="9">
        <f>_xlfn.NORM.S.DIST(I17,1)</f>
        <v>0.47605867961326581</v>
      </c>
      <c r="K17" s="8">
        <f>F17*H17-J17*$B$3*EXP(-$B$6*E17)</f>
        <v>4.7882640773468452</v>
      </c>
      <c r="L17" s="8">
        <f>1000*K17</f>
        <v>4788.2640773468456</v>
      </c>
      <c r="M17" s="8"/>
      <c r="N17" s="8">
        <f>1000*H17</f>
        <v>523.94132038673422</v>
      </c>
      <c r="O17" s="8">
        <f>N17*F17</f>
        <v>52394.132038673422</v>
      </c>
      <c r="P17" s="8"/>
      <c r="Q17" s="8"/>
    </row>
    <row r="18" spans="2:18" x14ac:dyDescent="0.35">
      <c r="D18" s="8">
        <v>1</v>
      </c>
      <c r="E18" s="8">
        <f>(12-D18)/52</f>
        <v>0.21153846153846154</v>
      </c>
      <c r="F18" s="8">
        <f>105</f>
        <v>105</v>
      </c>
      <c r="G18" s="9">
        <f t="shared" ref="G18:G20" si="7">(LN(F18/$B$3)+($B$6+$B$4^2/2)*E18)/($B$4*SQRT(E18))</f>
        <v>0.48181564170565416</v>
      </c>
      <c r="H18" s="9">
        <f t="shared" ref="H18:H21" si="8">_xlfn.NORM.S.DIST(G18,1)</f>
        <v>0.68503154160972191</v>
      </c>
      <c r="I18" s="9">
        <f t="shared" ref="I18:I21" si="9">G18-$B$4*SQRT(E18)</f>
        <v>0.36683236532967917</v>
      </c>
      <c r="J18" s="9">
        <f>_xlfn.NORM.S.DIST(I18,1)</f>
        <v>0.643127967981314</v>
      </c>
      <c r="K18" s="8">
        <f t="shared" ref="K18:K21" si="10">F18*H18-J18*$B$3*EXP(-$B$6*E18)</f>
        <v>7.6155150708894013</v>
      </c>
      <c r="L18" s="8">
        <f t="shared" ref="L18:L21" si="11">1000*K18</f>
        <v>7615.5150708894016</v>
      </c>
      <c r="M18" s="8">
        <f>L18-L17</f>
        <v>2827.250993542556</v>
      </c>
      <c r="N18" s="8">
        <v>523.94132038673422</v>
      </c>
      <c r="O18" s="8">
        <f t="shared" ref="O18:O21" si="12">N18*F18</f>
        <v>55013.838640607093</v>
      </c>
      <c r="P18" s="8">
        <f>-(O18-O17)</f>
        <v>-2619.7066019336708</v>
      </c>
      <c r="Q18" s="8">
        <f>M18+P18</f>
        <v>207.54439160888523</v>
      </c>
    </row>
    <row r="19" spans="2:18" x14ac:dyDescent="0.35">
      <c r="D19" s="8">
        <v>2</v>
      </c>
      <c r="E19" s="8">
        <f t="shared" ref="E19:E20" si="13">(12-D19)/52</f>
        <v>0.19230769230769232</v>
      </c>
      <c r="F19" s="8">
        <f>100</f>
        <v>100</v>
      </c>
      <c r="G19" s="9">
        <f t="shared" si="7"/>
        <v>5.4816126206689332E-2</v>
      </c>
      <c r="H19" s="9">
        <f t="shared" si="8"/>
        <v>0.52185752356808446</v>
      </c>
      <c r="I19" s="9">
        <f t="shared" si="9"/>
        <v>-5.4816126206689318E-2</v>
      </c>
      <c r="J19" s="9">
        <f>_xlfn.NORM.S.DIST(I19,1)</f>
        <v>0.47814247643191549</v>
      </c>
      <c r="K19" s="8">
        <f t="shared" si="10"/>
        <v>4.3715047136168934</v>
      </c>
      <c r="L19" s="8">
        <f t="shared" si="11"/>
        <v>4371.5047136168932</v>
      </c>
      <c r="M19" s="8">
        <f t="shared" ref="M19:M21" si="14">L19-L18</f>
        <v>-3244.0103572725084</v>
      </c>
      <c r="N19" s="8">
        <v>523.94132038673422</v>
      </c>
      <c r="O19" s="8">
        <f t="shared" si="12"/>
        <v>52394.132038673422</v>
      </c>
      <c r="P19" s="8">
        <f>-(O19-O18)</f>
        <v>2619.7066019336708</v>
      </c>
      <c r="Q19" s="8">
        <f t="shared" ref="Q19:Q21" si="15">M19+P19</f>
        <v>-624.30375533883762</v>
      </c>
    </row>
    <row r="20" spans="2:18" x14ac:dyDescent="0.35">
      <c r="D20" s="8">
        <v>3</v>
      </c>
      <c r="E20" s="8">
        <f t="shared" si="13"/>
        <v>0.17307692307692307</v>
      </c>
      <c r="F20" s="8">
        <f>90</f>
        <v>90</v>
      </c>
      <c r="G20" s="9">
        <f t="shared" si="7"/>
        <v>-0.96101750090686922</v>
      </c>
      <c r="H20" s="9">
        <f t="shared" si="8"/>
        <v>0.16827168417912663</v>
      </c>
      <c r="I20" s="9">
        <f t="shared" si="9"/>
        <v>-1.0650237876990998</v>
      </c>
      <c r="J20" s="9">
        <f t="shared" ref="J20:J21" si="16">_xlfn.NORM.S.DIST(I20,1)</f>
        <v>0.14343258263536293</v>
      </c>
      <c r="K20" s="8">
        <f t="shared" si="10"/>
        <v>0.80119331258510407</v>
      </c>
      <c r="L20" s="8">
        <f t="shared" si="11"/>
        <v>801.19331258510408</v>
      </c>
      <c r="M20" s="8">
        <f t="shared" si="14"/>
        <v>-3570.311401031789</v>
      </c>
      <c r="N20" s="8">
        <v>523.94132038673422</v>
      </c>
      <c r="O20" s="8">
        <f t="shared" si="12"/>
        <v>47154.718834806081</v>
      </c>
      <c r="P20" s="8">
        <f t="shared" ref="P20:P21" si="17">-(O20-O19)</f>
        <v>5239.4132038673415</v>
      </c>
      <c r="Q20" s="8">
        <f t="shared" si="15"/>
        <v>1669.1018028355525</v>
      </c>
    </row>
    <row r="21" spans="2:18" x14ac:dyDescent="0.35">
      <c r="D21" s="8">
        <v>4</v>
      </c>
      <c r="E21" s="8">
        <f>(12-D21)/52</f>
        <v>0.15384615384615385</v>
      </c>
      <c r="F21" s="8">
        <f>100</f>
        <v>100</v>
      </c>
      <c r="G21" s="9">
        <f>(LN(F21/$B$3)+($B$6+$B$4^2/2)*E21)/($B$4*SQRT(E21))</f>
        <v>4.9029033784546004E-2</v>
      </c>
      <c r="H21" s="9">
        <f t="shared" si="8"/>
        <v>0.51955192092859503</v>
      </c>
      <c r="I21" s="9">
        <f t="shared" si="9"/>
        <v>-4.9029033784546018E-2</v>
      </c>
      <c r="J21" s="9">
        <f t="shared" si="16"/>
        <v>0.48044807907140502</v>
      </c>
      <c r="K21" s="10">
        <f t="shared" si="10"/>
        <v>3.9103841857190034</v>
      </c>
      <c r="L21" s="10">
        <f t="shared" si="11"/>
        <v>3910.3841857190032</v>
      </c>
      <c r="M21" s="8">
        <f t="shared" si="14"/>
        <v>3109.190873133899</v>
      </c>
      <c r="N21" s="8">
        <v>523.94132038673422</v>
      </c>
      <c r="O21" s="8">
        <f t="shared" si="12"/>
        <v>52394.132038673422</v>
      </c>
      <c r="P21" s="8">
        <f t="shared" si="17"/>
        <v>-5239.4132038673415</v>
      </c>
      <c r="Q21" s="10">
        <f t="shared" si="15"/>
        <v>-2130.2223307334425</v>
      </c>
    </row>
    <row r="22" spans="2:18" x14ac:dyDescent="0.35">
      <c r="K22" s="22"/>
      <c r="L22" s="22"/>
      <c r="M22" s="5"/>
      <c r="N22" s="5"/>
      <c r="O22" s="2"/>
      <c r="Q22" s="12">
        <f>SUM(Q18:Q21)</f>
        <v>-877.87989162784243</v>
      </c>
      <c r="R22" s="7" t="s">
        <v>16</v>
      </c>
    </row>
    <row r="23" spans="2:18" x14ac:dyDescent="0.35">
      <c r="O23" s="8" t="s">
        <v>28</v>
      </c>
    </row>
    <row r="24" spans="2:18" x14ac:dyDescent="0.35">
      <c r="B24" s="16" t="s">
        <v>19</v>
      </c>
      <c r="C24" s="13"/>
      <c r="D24" s="7" t="s">
        <v>10</v>
      </c>
      <c r="E24" s="7" t="s">
        <v>7</v>
      </c>
      <c r="F24" s="7" t="s">
        <v>11</v>
      </c>
      <c r="G24" s="7" t="s">
        <v>12</v>
      </c>
      <c r="H24" s="7" t="s">
        <v>14</v>
      </c>
      <c r="I24" s="7" t="s">
        <v>13</v>
      </c>
      <c r="J24" s="7" t="s">
        <v>15</v>
      </c>
      <c r="K24" s="7" t="s">
        <v>8</v>
      </c>
      <c r="L24" s="7" t="s">
        <v>23</v>
      </c>
      <c r="M24" s="7" t="s">
        <v>24</v>
      </c>
      <c r="N24" s="7" t="s">
        <v>27</v>
      </c>
      <c r="O24" s="7" t="s">
        <v>22</v>
      </c>
      <c r="P24" s="7" t="s">
        <v>25</v>
      </c>
      <c r="Q24" s="7" t="s">
        <v>26</v>
      </c>
    </row>
    <row r="25" spans="2:18" x14ac:dyDescent="0.35">
      <c r="B25" s="14" t="s">
        <v>20</v>
      </c>
      <c r="C25" s="15"/>
      <c r="D25" s="8">
        <v>0</v>
      </c>
      <c r="E25" s="8">
        <f>(12-D25)/52</f>
        <v>0.23076923076923078</v>
      </c>
      <c r="F25" s="8">
        <f>100</f>
        <v>100</v>
      </c>
      <c r="G25" s="9">
        <f>(LN(F25/$B$3)+($B$6+$B$4^2/2)*E25)/($B$4*SQRT(E25))</f>
        <v>6.0048057676907678E-2</v>
      </c>
      <c r="H25" s="9">
        <f>_xlfn.NORM.S.DIST(G25,1)</f>
        <v>0.52394132038673424</v>
      </c>
      <c r="I25" s="9">
        <f>G25-$B$4*SQRT(E25)</f>
        <v>-6.0048057676907678E-2</v>
      </c>
      <c r="J25" s="9">
        <f>_xlfn.NORM.S.DIST(I25,1)</f>
        <v>0.47605867961326581</v>
      </c>
      <c r="K25" s="8">
        <f>F25*H25-J25*$B$3*EXP(-$B$6*E25)</f>
        <v>4.7882640773468452</v>
      </c>
      <c r="L25" s="8">
        <f>1000*K25</f>
        <v>4788.2640773468456</v>
      </c>
      <c r="M25" s="8"/>
      <c r="N25" s="8">
        <f>1000*H25</f>
        <v>523.94132038673422</v>
      </c>
      <c r="O25" s="8">
        <f>N25*F25</f>
        <v>52394.132038673422</v>
      </c>
      <c r="P25" s="8"/>
      <c r="Q25" s="8"/>
    </row>
    <row r="26" spans="2:18" x14ac:dyDescent="0.35">
      <c r="D26" s="8">
        <v>1</v>
      </c>
      <c r="E26" s="8">
        <f>(12-D26)/52</f>
        <v>0.21153846153846154</v>
      </c>
      <c r="F26" s="8">
        <f>105</f>
        <v>105</v>
      </c>
      <c r="G26" s="9">
        <f t="shared" ref="G26:G28" si="18">(LN(F26/$B$3)+($B$6+$B$4^2/2)*E26)/($B$4*SQRT(E26))</f>
        <v>0.48181564170565416</v>
      </c>
      <c r="H26" s="9">
        <f t="shared" ref="H26:H29" si="19">_xlfn.NORM.S.DIST(G26,1)</f>
        <v>0.68503154160972191</v>
      </c>
      <c r="I26" s="9">
        <f t="shared" ref="I26:I29" si="20">G26-$B$4*SQRT(E26)</f>
        <v>0.36683236532967917</v>
      </c>
      <c r="J26" s="9">
        <f>_xlfn.NORM.S.DIST(I26,1)</f>
        <v>0.643127967981314</v>
      </c>
      <c r="K26" s="8">
        <f t="shared" ref="K26:K29" si="21">F26*H26-J26*$B$3*EXP(-$B$6*E26)</f>
        <v>7.6155150708894013</v>
      </c>
      <c r="L26" s="8">
        <f>1000*K26</f>
        <v>7615.5150708894016</v>
      </c>
      <c r="M26" s="8">
        <f>L26-L25</f>
        <v>2827.250993542556</v>
      </c>
      <c r="N26" s="8">
        <f>1000*H26</f>
        <v>685.0315416097219</v>
      </c>
      <c r="O26" s="8">
        <f>N25*F26+(N26-N25)*F26</f>
        <v>71928.311869020807</v>
      </c>
      <c r="P26" s="8">
        <f>-(O26-O25)</f>
        <v>-19534.179830347384</v>
      </c>
      <c r="Q26" s="8">
        <f>M26+P26</f>
        <v>-16706.928836804829</v>
      </c>
    </row>
    <row r="27" spans="2:18" x14ac:dyDescent="0.35">
      <c r="D27" s="8">
        <v>2</v>
      </c>
      <c r="E27" s="8">
        <f t="shared" ref="E27:E28" si="22">(12-D27)/52</f>
        <v>0.19230769230769232</v>
      </c>
      <c r="F27" s="8">
        <f>100</f>
        <v>100</v>
      </c>
      <c r="G27" s="9">
        <f t="shared" si="18"/>
        <v>5.4816126206689332E-2</v>
      </c>
      <c r="H27" s="9">
        <f t="shared" si="19"/>
        <v>0.52185752356808446</v>
      </c>
      <c r="I27" s="9">
        <f t="shared" si="20"/>
        <v>-5.4816126206689318E-2</v>
      </c>
      <c r="J27" s="9">
        <f>_xlfn.NORM.S.DIST(I27,1)</f>
        <v>0.47814247643191549</v>
      </c>
      <c r="K27" s="8">
        <f t="shared" si="21"/>
        <v>4.3715047136168934</v>
      </c>
      <c r="L27" s="8">
        <f t="shared" ref="L27:L29" si="23">1000*K27</f>
        <v>4371.5047136168932</v>
      </c>
      <c r="M27" s="8">
        <f>L27-L26</f>
        <v>-3244.0103572725084</v>
      </c>
      <c r="N27" s="8">
        <f>1000*H27</f>
        <v>521.8575235680845</v>
      </c>
      <c r="O27" s="8">
        <f>N26*F27+(N27-N26)*F27</f>
        <v>52185.752356808451</v>
      </c>
      <c r="P27" s="8">
        <f t="shared" ref="P27:P29" si="24">-(O27-O26)</f>
        <v>19742.559512212356</v>
      </c>
      <c r="Q27" s="8">
        <f>M27+P27</f>
        <v>16498.549154939847</v>
      </c>
    </row>
    <row r="28" spans="2:18" x14ac:dyDescent="0.35">
      <c r="D28" s="8">
        <v>3</v>
      </c>
      <c r="E28" s="8">
        <f t="shared" si="22"/>
        <v>0.17307692307692307</v>
      </c>
      <c r="F28" s="8">
        <f>90</f>
        <v>90</v>
      </c>
      <c r="G28" s="9">
        <f t="shared" si="18"/>
        <v>-0.96101750090686922</v>
      </c>
      <c r="H28" s="9">
        <f t="shared" si="19"/>
        <v>0.16827168417912663</v>
      </c>
      <c r="I28" s="9">
        <f t="shared" si="20"/>
        <v>-1.0650237876990998</v>
      </c>
      <c r="J28" s="9">
        <f t="shared" ref="J28:J29" si="25">_xlfn.NORM.S.DIST(I28,1)</f>
        <v>0.14343258263536293</v>
      </c>
      <c r="K28" s="8">
        <f t="shared" si="21"/>
        <v>0.80119331258510407</v>
      </c>
      <c r="L28" s="8">
        <f t="shared" si="23"/>
        <v>801.19331258510408</v>
      </c>
      <c r="M28" s="8">
        <f t="shared" ref="M28:M29" si="26">L28-L27</f>
        <v>-3570.311401031789</v>
      </c>
      <c r="N28" s="8">
        <f t="shared" ref="N28:N29" si="27">1000*H28</f>
        <v>168.27168417912662</v>
      </c>
      <c r="O28" s="8">
        <f>N27*F28+(N28-N27)*F28</f>
        <v>15144.451576121399</v>
      </c>
      <c r="P28" s="8">
        <f t="shared" si="24"/>
        <v>37041.300780687052</v>
      </c>
      <c r="Q28" s="8">
        <f>M28+P28</f>
        <v>33470.989379655264</v>
      </c>
    </row>
    <row r="29" spans="2:18" x14ac:dyDescent="0.35">
      <c r="D29" s="8">
        <v>4</v>
      </c>
      <c r="E29" s="8">
        <f>(12-D29)/52</f>
        <v>0.15384615384615385</v>
      </c>
      <c r="F29" s="8">
        <f>100</f>
        <v>100</v>
      </c>
      <c r="G29" s="9">
        <f>(LN(F29/$B$3)+($B$6+$B$4^2/2)*E29)/($B$4*SQRT(E29))</f>
        <v>4.9029033784546004E-2</v>
      </c>
      <c r="H29" s="9">
        <f t="shared" si="19"/>
        <v>0.51955192092859503</v>
      </c>
      <c r="I29" s="9">
        <f t="shared" si="20"/>
        <v>-4.9029033784546018E-2</v>
      </c>
      <c r="J29" s="9">
        <f t="shared" si="25"/>
        <v>0.48044807907140502</v>
      </c>
      <c r="K29" s="8">
        <f t="shared" si="21"/>
        <v>3.9103841857190034</v>
      </c>
      <c r="L29" s="8">
        <f t="shared" si="23"/>
        <v>3910.3841857190032</v>
      </c>
      <c r="M29" s="8">
        <f t="shared" si="26"/>
        <v>3109.190873133899</v>
      </c>
      <c r="N29" s="8">
        <f t="shared" si="27"/>
        <v>519.551920928595</v>
      </c>
      <c r="O29" s="8">
        <f>N28*F29+(N29-N28)*F29</f>
        <v>51955.192092859499</v>
      </c>
      <c r="P29" s="8">
        <f t="shared" si="24"/>
        <v>-36810.7405167381</v>
      </c>
      <c r="Q29" s="10">
        <f>M29+P29</f>
        <v>-33701.549643604201</v>
      </c>
    </row>
    <row r="30" spans="2:18" x14ac:dyDescent="0.35">
      <c r="M30" s="5"/>
      <c r="N30" s="2"/>
      <c r="P30" s="6"/>
      <c r="Q30" s="11">
        <f>SUM(Q26:Q29)</f>
        <v>-438.93994581392326</v>
      </c>
      <c r="R30" s="7" t="s">
        <v>16</v>
      </c>
    </row>
    <row r="31" spans="2:18" x14ac:dyDescent="0.35">
      <c r="N31" s="1" t="s">
        <v>31</v>
      </c>
    </row>
    <row r="32" spans="2:18" x14ac:dyDescent="0.35"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 t="s">
        <v>32</v>
      </c>
    </row>
    <row r="33" spans="4:17" x14ac:dyDescent="0.35">
      <c r="D33" s="20"/>
      <c r="E33" s="20"/>
      <c r="F33" s="20"/>
      <c r="G33" s="21"/>
      <c r="H33" s="21"/>
      <c r="I33" s="21"/>
      <c r="J33" s="21"/>
      <c r="K33" s="20"/>
      <c r="L33" s="20"/>
      <c r="M33" s="20"/>
      <c r="N33" s="20"/>
      <c r="O33" s="20"/>
      <c r="P33" s="20"/>
      <c r="Q33" s="20"/>
    </row>
    <row r="34" spans="4:17" x14ac:dyDescent="0.35">
      <c r="D34" s="20"/>
      <c r="E34" s="20"/>
      <c r="F34" s="20"/>
      <c r="G34" s="21"/>
      <c r="H34" s="21"/>
      <c r="I34" s="21"/>
      <c r="J34" s="21"/>
      <c r="K34" s="20"/>
      <c r="L34" s="20"/>
      <c r="M34" s="20"/>
      <c r="N34" s="20"/>
      <c r="O34" s="20"/>
      <c r="P34" s="20"/>
      <c r="Q34" s="20"/>
    </row>
  </sheetData>
  <mergeCells count="1">
    <mergeCell ref="G2:K3"/>
  </mergeCells>
  <pageMargins left="0.7" right="0.7" top="0.75" bottom="0.75" header="0.3" footer="0.3"/>
  <ignoredErrors>
    <ignoredError sqref="F12 F10 I9:I13 F18:F20 F26:F28 I19:I21 I25:I29 I17:I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Kai</dc:creator>
  <cp:lastModifiedBy>Shu Kai</cp:lastModifiedBy>
  <dcterms:created xsi:type="dcterms:W3CDTF">2019-06-21T13:54:08Z</dcterms:created>
  <dcterms:modified xsi:type="dcterms:W3CDTF">2019-07-24T15:11:11Z</dcterms:modified>
</cp:coreProperties>
</file>