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amia\Projects\misura-coefficiente-viscosita\"/>
    </mc:Choice>
  </mc:AlternateContent>
  <xr:revisionPtr revIDLastSave="0" documentId="13_ncr:1_{96FDBDF8-1ED3-4996-8C25-C86D5D70B935}" xr6:coauthVersionLast="47" xr6:coauthVersionMax="47" xr10:uidLastSave="{00000000-0000-0000-0000-000000000000}"/>
  <bookViews>
    <workbookView xWindow="5535" yWindow="154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1" l="1"/>
  <c r="O14" i="1"/>
  <c r="O15" i="1"/>
  <c r="O16" i="1"/>
  <c r="O13" i="1"/>
  <c r="C27" i="1"/>
  <c r="C26" i="1"/>
  <c r="C25" i="1"/>
  <c r="B27" i="1"/>
  <c r="B26" i="1"/>
  <c r="B25" i="1"/>
  <c r="C24" i="1"/>
  <c r="B24" i="1"/>
  <c r="B10" i="1"/>
  <c r="L5" i="1" s="1"/>
  <c r="C47" i="1"/>
  <c r="C46" i="1"/>
  <c r="C45" i="1"/>
  <c r="C44" i="1"/>
  <c r="B47" i="1"/>
  <c r="B46" i="1"/>
  <c r="B45" i="1"/>
  <c r="B44" i="1"/>
  <c r="O17" i="1"/>
  <c r="L3" i="1"/>
  <c r="L4" i="1" s="1"/>
  <c r="Q4" i="1" s="1"/>
  <c r="C9" i="1"/>
  <c r="H9" i="1" s="1"/>
  <c r="B9" i="1"/>
  <c r="G9" i="1" s="1"/>
  <c r="H8" i="1"/>
  <c r="G8" i="1"/>
  <c r="H7" i="1"/>
  <c r="C13" i="1"/>
  <c r="H13" i="1" s="1"/>
  <c r="B13" i="1"/>
  <c r="C12" i="1"/>
  <c r="H12" i="1" s="1"/>
  <c r="B12" i="1"/>
  <c r="G12" i="1" s="1"/>
  <c r="C11" i="1"/>
  <c r="H11" i="1" s="1"/>
  <c r="B11" i="1"/>
  <c r="G11" i="1" s="1"/>
  <c r="C10" i="1"/>
  <c r="H10" i="1" s="1"/>
  <c r="E37" i="1"/>
  <c r="E36" i="1"/>
  <c r="B38" i="1"/>
  <c r="G38" i="1" s="1"/>
  <c r="B17" i="1"/>
  <c r="G17" i="1" s="1"/>
  <c r="C17" i="1"/>
  <c r="H17" i="1" s="1"/>
  <c r="C16" i="1"/>
  <c r="C15" i="1"/>
  <c r="H15" i="1" s="1"/>
  <c r="C14" i="1"/>
  <c r="H14" i="1" s="1"/>
  <c r="B16" i="1"/>
  <c r="G16" i="1" s="1"/>
  <c r="Q15" i="1" s="1"/>
  <c r="B15" i="1"/>
  <c r="G15" i="1" s="1"/>
  <c r="Q14" i="1" s="1"/>
  <c r="B14" i="1"/>
  <c r="G14" i="1" s="1"/>
  <c r="G7" i="1"/>
  <c r="M3" i="1"/>
  <c r="E4" i="1"/>
  <c r="H5" i="1"/>
  <c r="H6" i="1"/>
  <c r="G6" i="1"/>
  <c r="S14" i="1" s="1"/>
  <c r="G5" i="1"/>
  <c r="H4" i="1"/>
  <c r="H3" i="1"/>
  <c r="G4" i="1"/>
  <c r="G3" i="1"/>
  <c r="E6" i="1"/>
  <c r="E7" i="1"/>
  <c r="E8" i="1"/>
  <c r="E5" i="1"/>
  <c r="E3" i="1"/>
  <c r="T15" i="1" l="1"/>
  <c r="T14" i="1"/>
  <c r="S16" i="1"/>
  <c r="S15" i="1"/>
  <c r="E25" i="1"/>
  <c r="E30" i="1" s="1"/>
  <c r="B29" i="1"/>
  <c r="B30" i="1"/>
  <c r="B31" i="1"/>
  <c r="E24" i="1"/>
  <c r="E29" i="1" s="1"/>
  <c r="G44" i="1"/>
  <c r="K44" i="1" s="1"/>
  <c r="B32" i="1"/>
  <c r="E26" i="1"/>
  <c r="E31" i="1" s="1"/>
  <c r="E27" i="1"/>
  <c r="E32" i="1" s="1"/>
  <c r="G45" i="1"/>
  <c r="K45" i="1" s="1"/>
  <c r="O45" i="1" s="1"/>
  <c r="L37" i="1" s="1"/>
  <c r="Q3" i="1"/>
  <c r="O3" i="1"/>
  <c r="O4" i="1" s="1"/>
  <c r="M4" i="1" s="1"/>
  <c r="R4" i="1" s="1"/>
  <c r="E47" i="1"/>
  <c r="G46" i="1"/>
  <c r="K46" i="1" s="1"/>
  <c r="O46" i="1" s="1"/>
  <c r="L38" i="1" s="1"/>
  <c r="G47" i="1"/>
  <c r="K47" i="1" s="1"/>
  <c r="E44" i="1"/>
  <c r="E45" i="1"/>
  <c r="E46" i="1"/>
  <c r="L9" i="1"/>
  <c r="Q9" i="1" s="1"/>
  <c r="G30" i="1"/>
  <c r="L21" i="1" s="1"/>
  <c r="L6" i="1"/>
  <c r="Q6" i="1" s="1"/>
  <c r="E9" i="1"/>
  <c r="E11" i="1"/>
  <c r="O6" i="1" s="1"/>
  <c r="E16" i="1"/>
  <c r="M15" i="1" s="1"/>
  <c r="E13" i="1"/>
  <c r="O8" i="1" s="1"/>
  <c r="E17" i="1"/>
  <c r="G10" i="1"/>
  <c r="Q13" i="1" s="1"/>
  <c r="R3" i="1"/>
  <c r="E12" i="1"/>
  <c r="O7" i="1" s="1"/>
  <c r="E15" i="1"/>
  <c r="M14" i="1" s="1"/>
  <c r="H16" i="1"/>
  <c r="L7" i="1"/>
  <c r="L11" i="1" s="1"/>
  <c r="Q11" i="1" s="1"/>
  <c r="L15" i="1" s="1"/>
  <c r="E10" i="1"/>
  <c r="O5" i="1" s="1"/>
  <c r="M5" i="1" s="1"/>
  <c r="R5" i="1" s="1"/>
  <c r="E38" i="1"/>
  <c r="L8" i="1"/>
  <c r="Q8" i="1" s="1"/>
  <c r="G13" i="1"/>
  <c r="Q16" i="1" s="1"/>
  <c r="E14" i="1"/>
  <c r="Q5" i="1"/>
  <c r="T16" i="1" l="1"/>
  <c r="S13" i="1"/>
  <c r="T13" i="1" s="1"/>
  <c r="C30" i="1"/>
  <c r="H30" i="1" s="1"/>
  <c r="C32" i="1"/>
  <c r="H32" i="1" s="1"/>
  <c r="C31" i="1"/>
  <c r="H31" i="1" s="1"/>
  <c r="O44" i="1"/>
  <c r="L36" i="1" s="1"/>
  <c r="C29" i="1"/>
  <c r="H29" i="1" s="1"/>
  <c r="O12" i="1"/>
  <c r="O47" i="1"/>
  <c r="L39" i="1" s="1"/>
  <c r="G32" i="1"/>
  <c r="L23" i="1" s="1"/>
  <c r="G31" i="1"/>
  <c r="L22" i="1" s="1"/>
  <c r="M6" i="1"/>
  <c r="R6" i="1" s="1"/>
  <c r="L10" i="1"/>
  <c r="Q10" i="1" s="1"/>
  <c r="L14" i="1" s="1"/>
  <c r="C38" i="1"/>
  <c r="H38" i="1" s="1"/>
  <c r="J44" i="1"/>
  <c r="H44" i="1" s="1"/>
  <c r="L44" i="1" s="1"/>
  <c r="J45" i="1"/>
  <c r="H45" i="1" s="1"/>
  <c r="L45" i="1" s="1"/>
  <c r="J46" i="1"/>
  <c r="H46" i="1" s="1"/>
  <c r="L46" i="1" s="1"/>
  <c r="J47" i="1"/>
  <c r="H47" i="1" s="1"/>
  <c r="L47" i="1" s="1"/>
  <c r="P47" i="1" s="1"/>
  <c r="L13" i="1"/>
  <c r="M38" i="1"/>
  <c r="M22" i="1"/>
  <c r="G29" i="1"/>
  <c r="L20" i="1" s="1"/>
  <c r="O10" i="1"/>
  <c r="O11" i="1"/>
  <c r="M11" i="1" s="1"/>
  <c r="R11" i="1" s="1"/>
  <c r="Q7" i="1"/>
  <c r="M7" i="1"/>
  <c r="R7" i="1" s="1"/>
  <c r="M8" i="1"/>
  <c r="R8" i="1" s="1"/>
  <c r="O9" i="1"/>
  <c r="M9" i="1" s="1"/>
  <c r="R9" i="1" s="1"/>
  <c r="L12" i="1"/>
  <c r="Q12" i="1" s="1"/>
  <c r="L16" i="1" s="1"/>
  <c r="R46" i="1" l="1"/>
  <c r="P46" i="1"/>
  <c r="P45" i="1"/>
  <c r="R45" i="1" s="1"/>
  <c r="M13" i="1"/>
  <c r="P44" i="1"/>
  <c r="R44" i="1" s="1"/>
  <c r="R47" i="1"/>
  <c r="M10" i="1"/>
  <c r="R10" i="1" s="1"/>
  <c r="M37" i="1"/>
  <c r="M21" i="1"/>
  <c r="J30" i="1"/>
  <c r="J29" i="1"/>
  <c r="J31" i="1"/>
  <c r="J32" i="1"/>
  <c r="M39" i="1"/>
  <c r="M23" i="1"/>
  <c r="M20" i="1"/>
  <c r="M36" i="1"/>
  <c r="M12" i="1"/>
  <c r="R12" i="1" s="1"/>
</calcChain>
</file>

<file path=xl/sharedStrings.xml><?xml version="1.0" encoding="utf-8"?>
<sst xmlns="http://schemas.openxmlformats.org/spreadsheetml/2006/main" count="189" uniqueCount="95">
  <si>
    <t>T_iniziale</t>
  </si>
  <si>
    <t>T_finale</t>
  </si>
  <si>
    <t>Valore</t>
  </si>
  <si>
    <t>Incertezza</t>
  </si>
  <si>
    <t>Unità di m.</t>
  </si>
  <si>
    <t>Err. rel.</t>
  </si>
  <si>
    <t>Incert.</t>
  </si>
  <si>
    <t>Unità SI</t>
  </si>
  <si>
    <t>Grandezza</t>
  </si>
  <si>
    <t>m_prov</t>
  </si>
  <si>
    <t>V_flu</t>
  </si>
  <si>
    <t>rho_flu</t>
  </si>
  <si>
    <t>M_pr+flu</t>
  </si>
  <si>
    <t>m_flu</t>
  </si>
  <si>
    <t>MISURE DIRETTE</t>
  </si>
  <si>
    <t>MISURE INDIRETTE</t>
  </si>
  <si>
    <t>L_caduta</t>
  </si>
  <si>
    <t>MISURA VELOCITA' CON CRONOMETRO</t>
  </si>
  <si>
    <t>MISURA VELOCITA' CON IMAGE PROCESSING</t>
  </si>
  <si>
    <t>CALIBRAZIONE</t>
  </si>
  <si>
    <t>gamma</t>
  </si>
  <si>
    <t>L</t>
  </si>
  <si>
    <t>px</t>
  </si>
  <si>
    <t>px/s</t>
  </si>
  <si>
    <t>R_tubo</t>
  </si>
  <si>
    <t>r_sf1</t>
  </si>
  <si>
    <t>m_sf1</t>
  </si>
  <si>
    <t>r_sf2</t>
  </si>
  <si>
    <t>m_sf2</t>
  </si>
  <si>
    <t>r_rf3</t>
  </si>
  <si>
    <t>m_sf3</t>
  </si>
  <si>
    <t>r_sf4</t>
  </si>
  <si>
    <t>m_sf4</t>
  </si>
  <si>
    <t>V_sf1</t>
  </si>
  <si>
    <t>rho_sf1</t>
  </si>
  <si>
    <t>V_sf2</t>
  </si>
  <si>
    <t>rho_sf2</t>
  </si>
  <si>
    <t>V_sf3</t>
  </si>
  <si>
    <t>rho_sf3</t>
  </si>
  <si>
    <t>V_sf4</t>
  </si>
  <si>
    <t>rho_sf4</t>
  </si>
  <si>
    <t>beta_1</t>
  </si>
  <si>
    <t>beta_2</t>
  </si>
  <si>
    <t>beta_3</t>
  </si>
  <si>
    <t>beta_4</t>
  </si>
  <si>
    <t>°C</t>
  </si>
  <si>
    <t>K</t>
  </si>
  <si>
    <t>g</t>
  </si>
  <si>
    <t>kg</t>
  </si>
  <si>
    <t>m^3</t>
  </si>
  <si>
    <t>m</t>
  </si>
  <si>
    <t>mm</t>
  </si>
  <si>
    <t>beta</t>
  </si>
  <si>
    <t>v*1</t>
  </si>
  <si>
    <t>v*2</t>
  </si>
  <si>
    <t>v*3</t>
  </si>
  <si>
    <t>v*4</t>
  </si>
  <si>
    <t>v1</t>
  </si>
  <si>
    <t>v2</t>
  </si>
  <si>
    <t>v3</t>
  </si>
  <si>
    <t>v4</t>
  </si>
  <si>
    <t>mm/s</t>
  </si>
  <si>
    <t>m/s</t>
  </si>
  <si>
    <t>v1_corr</t>
  </si>
  <si>
    <t>v2_corr</t>
  </si>
  <si>
    <t>v3_corr</t>
  </si>
  <si>
    <t>v4_corr</t>
  </si>
  <si>
    <t>ml</t>
  </si>
  <si>
    <t>g/ml</t>
  </si>
  <si>
    <t>kg/m^3</t>
  </si>
  <si>
    <t>mm^3</t>
  </si>
  <si>
    <t>g/mm^3</t>
  </si>
  <si>
    <t>mm/px</t>
  </si>
  <si>
    <t>m/s^2</t>
  </si>
  <si>
    <t>kg/s^2</t>
  </si>
  <si>
    <t>t_cad1 (s)</t>
  </si>
  <si>
    <t>v1_cron</t>
  </si>
  <si>
    <t>v2_cron</t>
  </si>
  <si>
    <t>t_cad2 (s)</t>
  </si>
  <si>
    <t>t_cad3 (s)</t>
  </si>
  <si>
    <t>t_cad4 (s)</t>
  </si>
  <si>
    <t>v3_cron</t>
  </si>
  <si>
    <t>v4_cron</t>
  </si>
  <si>
    <t>v_corr</t>
  </si>
  <si>
    <t>m/px</t>
  </si>
  <si>
    <t>Medie dei fit</t>
  </si>
  <si>
    <t>Conversione in mm/s</t>
  </si>
  <si>
    <t>Conversione in m/s</t>
  </si>
  <si>
    <t>t_cad1</t>
  </si>
  <si>
    <t>s</t>
  </si>
  <si>
    <t>t_cad2</t>
  </si>
  <si>
    <t>t_cad3</t>
  </si>
  <si>
    <t>t_cad4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</si>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</sst>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9" xfId="0" applyFont="1" applyBorder="1"/>
    <xf numFmtId="0" fontId="0" fillId="0" borderId="18" xfId="0" applyBorder="1"/>
    <xf numFmtId="0" fontId="0" fillId="0" borderId="11" xfId="0" applyFill="1" applyBorder="1"/>
    <xf numFmtId="0" fontId="0" fillId="0" borderId="19" xfId="0" applyBorder="1"/>
    <xf numFmtId="0" fontId="0" fillId="0" borderId="0" xfId="0" applyFill="1" applyBorder="1"/>
    <xf numFmtId="0" fontId="0" fillId="0" borderId="1" xfId="0" applyFill="1" applyBorder="1"/>
    <xf numFmtId="0" fontId="0" fillId="0" borderId="20" xfId="0" applyBorder="1"/>
    <xf numFmtId="0" fontId="0" fillId="0" borderId="21" xfId="0" applyBorder="1"/>
    <xf numFmtId="0" fontId="0" fillId="0" borderId="14" xfId="0" applyFill="1" applyBorder="1"/>
    <xf numFmtId="0" fontId="0" fillId="0" borderId="15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" xfId="0" applyFill="1" applyBorder="1"/>
    <xf numFmtId="0" fontId="0" fillId="0" borderId="3" xfId="0" applyFill="1" applyBorder="1"/>
    <xf numFmtId="0" fontId="0" fillId="0" borderId="23" xfId="0" applyFill="1" applyBorder="1"/>
    <xf numFmtId="0" fontId="0" fillId="0" borderId="25" xfId="0" applyBorder="1"/>
    <xf numFmtId="0" fontId="0" fillId="0" borderId="8" xfId="0" applyBorder="1"/>
    <xf numFmtId="0" fontId="0" fillId="0" borderId="14" xfId="0" applyBorder="1"/>
    <xf numFmtId="0" fontId="0" fillId="2" borderId="10" xfId="0" applyFill="1" applyBorder="1"/>
    <xf numFmtId="0" fontId="0" fillId="2" borderId="12" xfId="0" applyFill="1" applyBorder="1"/>
    <xf numFmtId="0" fontId="0" fillId="2" borderId="16" xfId="0" applyFill="1" applyBorder="1"/>
    <xf numFmtId="0" fontId="0" fillId="2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Misure col cronometro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Tabelle1!$L$20:$L$23</c:f>
              <c:numCache>
                <c:formatCode>General</c:formatCode>
                <c:ptCount val="4"/>
                <c:pt idx="0">
                  <c:v>1.7305830459539658E-2</c:v>
                </c:pt>
                <c:pt idx="1">
                  <c:v>2.8094738635483625E-2</c:v>
                </c:pt>
                <c:pt idx="2">
                  <c:v>6.1845809558270952E-2</c:v>
                </c:pt>
                <c:pt idx="3">
                  <c:v>2.1824263645726059E-2</c:v>
                </c:pt>
              </c:numCache>
            </c:numRef>
          </c:xVal>
          <c:yVal>
            <c:numRef>
              <c:f>Tabelle1!$M$20:$M$23</c:f>
              <c:numCache>
                <c:formatCode>General</c:formatCode>
                <c:ptCount val="4"/>
                <c:pt idx="0">
                  <c:v>9.0715241784905237E-3</c:v>
                </c:pt>
                <c:pt idx="1">
                  <c:v>1.4424951072819318E-2</c:v>
                </c:pt>
                <c:pt idx="2">
                  <c:v>3.2297994604891973E-2</c:v>
                </c:pt>
                <c:pt idx="3">
                  <c:v>1.2602080160202037E-2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5-4889-ABB1-F77CCE13E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39648"/>
        <c:axId val="85047136"/>
      </c:scatterChart>
      <c:valAx>
        <c:axId val="8503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Velocità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7136"/>
        <c:crosses val="autoZero"/>
        <c:crossBetween val="midCat"/>
      </c:valAx>
      <c:valAx>
        <c:axId val="850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 (kg/s^2)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Misure con IMAQ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Tabelle1!$L$36:$L$39</c:f>
              <c:numCache>
                <c:formatCode>General</c:formatCode>
                <c:ptCount val="4"/>
                <c:pt idx="0">
                  <c:v>1.6243757024264567E-2</c:v>
                </c:pt>
                <c:pt idx="1">
                  <c:v>2.4707860208509597E-2</c:v>
                </c:pt>
                <c:pt idx="2">
                  <c:v>5.1900385086160725E-2</c:v>
                </c:pt>
                <c:pt idx="3">
                  <c:v>1.9168924349010231E-2</c:v>
                </c:pt>
              </c:numCache>
            </c:numRef>
          </c:xVal>
          <c:yVal>
            <c:numRef>
              <c:f>Tabelle1!$M$36:$M$39</c:f>
              <c:numCache>
                <c:formatCode>General</c:formatCode>
                <c:ptCount val="4"/>
                <c:pt idx="0">
                  <c:v>9.0715241784905237E-3</c:v>
                </c:pt>
                <c:pt idx="1">
                  <c:v>1.4424951072819318E-2</c:v>
                </c:pt>
                <c:pt idx="2">
                  <c:v>3.2297994604891973E-2</c:v>
                </c:pt>
                <c:pt idx="3">
                  <c:v>1.2602080160202037E-2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A-4E25-99D2-407D98464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942767"/>
        <c:axId val="1639944431"/>
      </c:scatterChart>
      <c:valAx>
        <c:axId val="163994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Velocità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44431"/>
        <c:crosses val="autoZero"/>
        <c:crossBetween val="midCat"/>
      </c:valAx>
      <c:valAx>
        <c:axId val="163994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Beta (kg/s^2)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4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17</xdr:row>
      <xdr:rowOff>38100</xdr:rowOff>
    </xdr:from>
    <xdr:to>
      <xdr:col>19</xdr:col>
      <xdr:colOff>22860</xdr:colOff>
      <xdr:row>31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F97E1-604F-0385-9704-FEDAB111A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33</xdr:row>
      <xdr:rowOff>66675</xdr:rowOff>
    </xdr:from>
    <xdr:to>
      <xdr:col>18</xdr:col>
      <xdr:colOff>47625</xdr:colOff>
      <xdr:row>42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F61BE-0092-1EDC-4847-B028D80E4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topLeftCell="B1" workbookViewId="0">
      <selection activeCell="V17" sqref="V17"/>
    </sheetView>
  </sheetViews>
  <sheetFormatPr defaultRowHeight="15" x14ac:dyDescent="0.25"/>
  <cols>
    <col min="8" max="8" width="9.140625" customWidth="1"/>
  </cols>
  <sheetData>
    <row r="1" spans="1:24" x14ac:dyDescent="0.25">
      <c r="A1" s="9" t="s">
        <v>14</v>
      </c>
      <c r="B1" s="10"/>
      <c r="C1" s="10"/>
      <c r="D1" s="10"/>
      <c r="E1" s="10"/>
      <c r="F1" s="10"/>
      <c r="G1" s="10"/>
      <c r="H1" s="10"/>
      <c r="I1" s="10"/>
      <c r="J1" s="17"/>
      <c r="K1" s="18" t="s">
        <v>15</v>
      </c>
      <c r="L1" s="10"/>
      <c r="M1" s="10"/>
      <c r="N1" s="10"/>
      <c r="O1" s="10"/>
      <c r="P1" s="10"/>
      <c r="Q1" s="10"/>
      <c r="R1" s="10"/>
      <c r="S1" s="10"/>
      <c r="T1" s="11"/>
    </row>
    <row r="2" spans="1:24" x14ac:dyDescent="0.25">
      <c r="A2" s="12" t="s">
        <v>8</v>
      </c>
      <c r="B2" s="5" t="s">
        <v>2</v>
      </c>
      <c r="C2" s="5" t="s">
        <v>3</v>
      </c>
      <c r="D2" s="5" t="s">
        <v>4</v>
      </c>
      <c r="E2" s="5" t="s">
        <v>5</v>
      </c>
      <c r="F2" s="5"/>
      <c r="G2" s="5" t="s">
        <v>2</v>
      </c>
      <c r="H2" s="5" t="s">
        <v>6</v>
      </c>
      <c r="I2" s="5" t="s">
        <v>7</v>
      </c>
      <c r="J2" s="1"/>
      <c r="K2" s="5" t="s">
        <v>8</v>
      </c>
      <c r="L2" s="5" t="s">
        <v>2</v>
      </c>
      <c r="M2" s="5" t="s">
        <v>3</v>
      </c>
      <c r="N2" s="5" t="s">
        <v>4</v>
      </c>
      <c r="O2" s="5" t="s">
        <v>5</v>
      </c>
      <c r="P2" s="5"/>
      <c r="Q2" s="5" t="s">
        <v>2</v>
      </c>
      <c r="R2" s="5" t="s">
        <v>6</v>
      </c>
      <c r="S2" s="5" t="s">
        <v>7</v>
      </c>
      <c r="T2" s="13"/>
    </row>
    <row r="3" spans="1:24" x14ac:dyDescent="0.25">
      <c r="A3" s="12" t="s">
        <v>0</v>
      </c>
      <c r="B3" s="5">
        <v>20</v>
      </c>
      <c r="C3" s="5">
        <v>0.5</v>
      </c>
      <c r="D3" s="5" t="s">
        <v>45</v>
      </c>
      <c r="E3" s="5">
        <f>C3/B3</f>
        <v>2.5000000000000001E-2</v>
      </c>
      <c r="F3" s="5"/>
      <c r="G3" s="5">
        <f>B3+273.15</f>
        <v>293.14999999999998</v>
      </c>
      <c r="H3" s="5">
        <f>C3</f>
        <v>0.5</v>
      </c>
      <c r="I3" s="5" t="s">
        <v>46</v>
      </c>
      <c r="J3" s="1"/>
      <c r="K3" s="5" t="s">
        <v>13</v>
      </c>
      <c r="L3" s="5">
        <f>B6-B5</f>
        <v>298</v>
      </c>
      <c r="M3" s="5">
        <f>C6+C5</f>
        <v>1</v>
      </c>
      <c r="N3" s="5" t="s">
        <v>47</v>
      </c>
      <c r="O3" s="5">
        <f>M3/L3</f>
        <v>3.3557046979865771E-3</v>
      </c>
      <c r="P3" s="5"/>
      <c r="Q3" s="5">
        <f>L3/1000</f>
        <v>0.29799999999999999</v>
      </c>
      <c r="R3" s="5">
        <f>M3/1000</f>
        <v>1E-3</v>
      </c>
      <c r="S3" s="5" t="s">
        <v>49</v>
      </c>
      <c r="T3" s="13"/>
    </row>
    <row r="4" spans="1:24" x14ac:dyDescent="0.25">
      <c r="A4" s="12" t="s">
        <v>1</v>
      </c>
      <c r="B4" s="5">
        <v>23</v>
      </c>
      <c r="C4" s="5">
        <v>0.5</v>
      </c>
      <c r="D4" s="5" t="s">
        <v>45</v>
      </c>
      <c r="E4" s="5">
        <f>C4/B4</f>
        <v>2.1739130434782608E-2</v>
      </c>
      <c r="F4" s="5"/>
      <c r="G4" s="5">
        <f>B4+273.15</f>
        <v>296.14999999999998</v>
      </c>
      <c r="H4" s="5">
        <f>C4</f>
        <v>0.5</v>
      </c>
      <c r="I4" s="5" t="s">
        <v>46</v>
      </c>
      <c r="J4" s="1"/>
      <c r="K4" s="5" t="s">
        <v>11</v>
      </c>
      <c r="L4" s="5">
        <f>L3/B7</f>
        <v>1.2416666666666667</v>
      </c>
      <c r="M4" s="5">
        <f>O4*L4</f>
        <v>9.3402777777777772E-3</v>
      </c>
      <c r="N4" s="5" t="s">
        <v>68</v>
      </c>
      <c r="O4" s="5">
        <f>O3+E7</f>
        <v>7.5223713646532433E-3</v>
      </c>
      <c r="P4" s="5"/>
      <c r="Q4" s="5">
        <f>L4*1000</f>
        <v>1241.6666666666667</v>
      </c>
      <c r="R4" s="5">
        <f>M4*1000</f>
        <v>9.3402777777777768</v>
      </c>
      <c r="S4" s="5" t="s">
        <v>69</v>
      </c>
      <c r="T4" s="13"/>
    </row>
    <row r="5" spans="1:24" x14ac:dyDescent="0.25">
      <c r="A5" s="12" t="s">
        <v>9</v>
      </c>
      <c r="B5" s="5">
        <v>226</v>
      </c>
      <c r="C5" s="5">
        <v>0.5</v>
      </c>
      <c r="D5" s="22" t="s">
        <v>47</v>
      </c>
      <c r="E5" s="5">
        <f>C5/B5</f>
        <v>2.2123893805309734E-3</v>
      </c>
      <c r="F5" s="5"/>
      <c r="G5" s="5">
        <f>B5/1000</f>
        <v>0.22600000000000001</v>
      </c>
      <c r="H5" s="5">
        <f>C5/1000</f>
        <v>5.0000000000000001E-4</v>
      </c>
      <c r="I5" s="22" t="s">
        <v>48</v>
      </c>
      <c r="J5" s="1"/>
      <c r="K5" s="2" t="s">
        <v>33</v>
      </c>
      <c r="L5" s="3">
        <f>4/3*PI()*B10*B10*B10</f>
        <v>2.0456922350316842</v>
      </c>
      <c r="M5" s="3">
        <f>L5*O5</f>
        <v>1.9482783190777946E-2</v>
      </c>
      <c r="N5" s="3" t="s">
        <v>70</v>
      </c>
      <c r="O5" s="3">
        <f>3*E10</f>
        <v>9.5238095238095247E-3</v>
      </c>
      <c r="P5" s="3"/>
      <c r="Q5" s="3">
        <f>L5/1000000000</f>
        <v>2.0456922350316842E-9</v>
      </c>
      <c r="R5" s="3">
        <f>M5/1000000000</f>
        <v>1.9482783190777945E-11</v>
      </c>
      <c r="S5" s="3" t="s">
        <v>49</v>
      </c>
      <c r="T5" s="21"/>
    </row>
    <row r="6" spans="1:24" x14ac:dyDescent="0.25">
      <c r="A6" s="12" t="s">
        <v>12</v>
      </c>
      <c r="B6" s="5">
        <v>524</v>
      </c>
      <c r="C6" s="5">
        <v>0.5</v>
      </c>
      <c r="D6" s="22" t="s">
        <v>47</v>
      </c>
      <c r="E6" s="5">
        <f t="shared" ref="E6:E9" si="0">C6/B6</f>
        <v>9.5419847328244271E-4</v>
      </c>
      <c r="F6" s="5"/>
      <c r="G6" s="5">
        <f>B6/1000</f>
        <v>0.52400000000000002</v>
      </c>
      <c r="H6" s="5">
        <f>C6/1000</f>
        <v>5.0000000000000001E-4</v>
      </c>
      <c r="I6" s="22" t="s">
        <v>48</v>
      </c>
      <c r="J6" s="1"/>
      <c r="K6" s="4" t="s">
        <v>35</v>
      </c>
      <c r="L6" s="5">
        <f>4/3*PI()*B11*B11*B11</f>
        <v>4.1449616660817803</v>
      </c>
      <c r="M6" s="5">
        <f t="shared" ref="M6:M8" si="1">L6*O6</f>
        <v>3.1196399895246717E-2</v>
      </c>
      <c r="N6" s="22" t="s">
        <v>70</v>
      </c>
      <c r="O6" s="5">
        <f>3*E11</f>
        <v>7.526342197691922E-3</v>
      </c>
      <c r="P6" s="5"/>
      <c r="Q6" s="5">
        <f t="shared" ref="Q6:R8" si="2">L6/1000000000</f>
        <v>4.1449616660817802E-9</v>
      </c>
      <c r="R6" s="5">
        <f t="shared" si="2"/>
        <v>3.1196399895246715E-11</v>
      </c>
      <c r="S6" s="22" t="s">
        <v>49</v>
      </c>
      <c r="T6" s="13"/>
    </row>
    <row r="7" spans="1:24" x14ac:dyDescent="0.25">
      <c r="A7" s="12" t="s">
        <v>10</v>
      </c>
      <c r="B7" s="5">
        <v>240</v>
      </c>
      <c r="C7" s="5">
        <v>1</v>
      </c>
      <c r="D7" s="22" t="s">
        <v>67</v>
      </c>
      <c r="E7" s="5">
        <f t="shared" si="0"/>
        <v>4.1666666666666666E-3</v>
      </c>
      <c r="F7" s="5"/>
      <c r="G7" s="5">
        <f>B7/1000000</f>
        <v>2.4000000000000001E-4</v>
      </c>
      <c r="H7" s="5">
        <f>C7/1000000</f>
        <v>9.9999999999999995E-7</v>
      </c>
      <c r="I7" s="22" t="s">
        <v>49</v>
      </c>
      <c r="J7" s="1"/>
      <c r="K7" s="4" t="s">
        <v>37</v>
      </c>
      <c r="L7" s="5">
        <f>4/3*PI()*B12*B12*B12</f>
        <v>14.066598850722963</v>
      </c>
      <c r="M7" s="5">
        <f t="shared" si="1"/>
        <v>7.0450411606291966E-2</v>
      </c>
      <c r="N7" s="22" t="s">
        <v>70</v>
      </c>
      <c r="O7" s="5">
        <f>3*E12</f>
        <v>5.008347245409015E-3</v>
      </c>
      <c r="P7" s="5"/>
      <c r="Q7" s="5">
        <f t="shared" si="2"/>
        <v>1.4066598850722962E-8</v>
      </c>
      <c r="R7" s="5">
        <f t="shared" si="2"/>
        <v>7.0450411606291967E-11</v>
      </c>
      <c r="S7" s="22" t="s">
        <v>49</v>
      </c>
      <c r="T7" s="13"/>
    </row>
    <row r="8" spans="1:24" x14ac:dyDescent="0.25">
      <c r="A8" s="12" t="s">
        <v>16</v>
      </c>
      <c r="B8" s="22">
        <v>188</v>
      </c>
      <c r="C8" s="22">
        <v>1</v>
      </c>
      <c r="D8" s="22" t="s">
        <v>51</v>
      </c>
      <c r="E8" s="5">
        <f t="shared" si="0"/>
        <v>5.3191489361702126E-3</v>
      </c>
      <c r="F8" s="5"/>
      <c r="G8" s="5">
        <f t="shared" ref="G8:G16" si="3">B8/1000</f>
        <v>0.188</v>
      </c>
      <c r="H8" s="5">
        <f t="shared" ref="H8:H16" si="4">C8/1000</f>
        <v>1E-3</v>
      </c>
      <c r="I8" s="22" t="s">
        <v>50</v>
      </c>
      <c r="J8" s="1"/>
      <c r="K8" s="4" t="s">
        <v>39</v>
      </c>
      <c r="L8" s="5">
        <f>4/3*PI()*B13*B13*B13</f>
        <v>106.60931858367162</v>
      </c>
      <c r="M8" s="5">
        <f t="shared" si="1"/>
        <v>0.54364772352713731</v>
      </c>
      <c r="N8" s="22" t="s">
        <v>70</v>
      </c>
      <c r="O8">
        <f>3*E13</f>
        <v>5.0994390617032127E-3</v>
      </c>
      <c r="P8" s="5"/>
      <c r="Q8" s="5">
        <f t="shared" si="2"/>
        <v>1.0660931858367162E-7</v>
      </c>
      <c r="R8" s="5">
        <f t="shared" si="2"/>
        <v>5.4364772352713727E-10</v>
      </c>
      <c r="S8" s="22" t="s">
        <v>49</v>
      </c>
      <c r="T8" s="13"/>
    </row>
    <row r="9" spans="1:24" x14ac:dyDescent="0.25">
      <c r="A9" s="5" t="s">
        <v>24</v>
      </c>
      <c r="B9" s="22">
        <f>111/2</f>
        <v>55.5</v>
      </c>
      <c r="C9" s="22">
        <f>1/2</f>
        <v>0.5</v>
      </c>
      <c r="D9" s="22" t="s">
        <v>51</v>
      </c>
      <c r="E9" s="25">
        <f t="shared" si="0"/>
        <v>9.0090090090090089E-3</v>
      </c>
      <c r="F9" s="5"/>
      <c r="G9" s="5">
        <f t="shared" si="3"/>
        <v>5.5500000000000001E-2</v>
      </c>
      <c r="H9" s="5">
        <f t="shared" si="4"/>
        <v>5.0000000000000001E-4</v>
      </c>
      <c r="I9" s="22" t="s">
        <v>50</v>
      </c>
      <c r="J9" s="6"/>
      <c r="K9" s="5" t="s">
        <v>34</v>
      </c>
      <c r="L9" s="5">
        <f>B14/L5</f>
        <v>7.9516685785409585E-3</v>
      </c>
      <c r="M9" s="22">
        <f>O9*L9</f>
        <v>1.5720219106288036E-4</v>
      </c>
      <c r="N9" s="22" t="s">
        <v>71</v>
      </c>
      <c r="O9" s="5">
        <f>E14+O5</f>
        <v>1.9769711163153784E-2</v>
      </c>
      <c r="P9" s="5"/>
      <c r="Q9" s="22">
        <f>L9*1000000</f>
        <v>7951.6685785409582</v>
      </c>
      <c r="R9" s="22">
        <f>M9*1000000</f>
        <v>157.20219106288036</v>
      </c>
      <c r="S9" s="22" t="s">
        <v>69</v>
      </c>
      <c r="T9" s="13"/>
    </row>
    <row r="10" spans="1:24" x14ac:dyDescent="0.25">
      <c r="A10" s="14" t="s">
        <v>25</v>
      </c>
      <c r="B10" s="3">
        <f>1.575/2</f>
        <v>0.78749999999999998</v>
      </c>
      <c r="C10" s="3">
        <f>0.005/2</f>
        <v>2.5000000000000001E-3</v>
      </c>
      <c r="D10" s="3" t="s">
        <v>51</v>
      </c>
      <c r="E10" s="5">
        <f t="shared" ref="E10:E16" si="5">C10/B10</f>
        <v>3.1746031746031746E-3</v>
      </c>
      <c r="F10" s="3"/>
      <c r="G10" s="3">
        <f t="shared" si="3"/>
        <v>7.8750000000000001E-4</v>
      </c>
      <c r="H10" s="3">
        <f t="shared" si="4"/>
        <v>2.5000000000000002E-6</v>
      </c>
      <c r="I10" s="3" t="s">
        <v>50</v>
      </c>
      <c r="J10" s="1"/>
      <c r="K10" s="5" t="s">
        <v>36</v>
      </c>
      <c r="L10" s="5">
        <f>B15/L6</f>
        <v>7.9051796630102249E-3</v>
      </c>
      <c r="M10" s="22">
        <f t="shared" ref="M10:M12" si="6">O10*L10</f>
        <v>9.9706546398142562E-5</v>
      </c>
      <c r="N10" s="22" t="s">
        <v>71</v>
      </c>
      <c r="O10">
        <f>E15+O6</f>
        <v>1.2612812187518982E-2</v>
      </c>
      <c r="P10" s="5"/>
      <c r="Q10" s="22">
        <f t="shared" ref="Q10:Q12" si="7">L10*1000000</f>
        <v>7905.1796630102244</v>
      </c>
      <c r="R10" s="22">
        <f t="shared" ref="R10:R12" si="8">M10*1000000</f>
        <v>99.706546398142564</v>
      </c>
      <c r="S10" s="22" t="s">
        <v>69</v>
      </c>
      <c r="T10" s="13"/>
    </row>
    <row r="11" spans="1:24" x14ac:dyDescent="0.25">
      <c r="A11" s="22" t="s">
        <v>27</v>
      </c>
      <c r="B11" s="22">
        <f>1.993/2</f>
        <v>0.99650000000000005</v>
      </c>
      <c r="C11" s="22">
        <f>0.005/2</f>
        <v>2.5000000000000001E-3</v>
      </c>
      <c r="D11" s="5" t="s">
        <v>51</v>
      </c>
      <c r="E11" s="5">
        <f t="shared" si="5"/>
        <v>2.5087807325639738E-3</v>
      </c>
      <c r="F11" s="5"/>
      <c r="G11" s="5">
        <f t="shared" si="3"/>
        <v>9.9649999999999999E-4</v>
      </c>
      <c r="H11" s="5">
        <f t="shared" si="4"/>
        <v>2.5000000000000002E-6</v>
      </c>
      <c r="I11" s="22" t="s">
        <v>50</v>
      </c>
      <c r="J11" s="1"/>
      <c r="K11" s="5" t="s">
        <v>38</v>
      </c>
      <c r="L11" s="5">
        <f>B16/L7</f>
        <v>7.8483790695663379E-3</v>
      </c>
      <c r="M11" s="22">
        <f t="shared" si="6"/>
        <v>5.1155806047802249E-5</v>
      </c>
      <c r="N11" s="22" t="s">
        <v>71</v>
      </c>
      <c r="O11" s="5">
        <f>E16+O7</f>
        <v>6.518009081157807E-3</v>
      </c>
      <c r="P11" s="5"/>
      <c r="Q11" s="22">
        <f t="shared" si="7"/>
        <v>7848.3790695663383</v>
      </c>
      <c r="R11" s="22">
        <f t="shared" si="8"/>
        <v>51.155806047802251</v>
      </c>
      <c r="S11" s="22" t="s">
        <v>69</v>
      </c>
      <c r="T11" s="13"/>
    </row>
    <row r="12" spans="1:24" ht="15.75" thickBot="1" x14ac:dyDescent="0.3">
      <c r="A12" s="22" t="s">
        <v>29</v>
      </c>
      <c r="B12" s="22">
        <f>2.995/2</f>
        <v>1.4975000000000001</v>
      </c>
      <c r="C12" s="22">
        <f>0.005/2</f>
        <v>2.5000000000000001E-3</v>
      </c>
      <c r="D12" s="22" t="s">
        <v>51</v>
      </c>
      <c r="E12" s="5">
        <f t="shared" si="5"/>
        <v>1.6694490818030051E-3</v>
      </c>
      <c r="F12" s="5"/>
      <c r="G12" s="5">
        <f t="shared" si="3"/>
        <v>1.4975000000000001E-3</v>
      </c>
      <c r="H12" s="5">
        <f t="shared" si="4"/>
        <v>2.5000000000000002E-6</v>
      </c>
      <c r="I12" s="22" t="s">
        <v>50</v>
      </c>
      <c r="J12" s="1"/>
      <c r="K12" s="5" t="s">
        <v>40</v>
      </c>
      <c r="L12" s="15">
        <f>B17/L8</f>
        <v>1.9097767690936498E-3</v>
      </c>
      <c r="M12" s="27">
        <f t="shared" si="6"/>
        <v>1.1302130767150276E-5</v>
      </c>
      <c r="N12" s="27" t="s">
        <v>71</v>
      </c>
      <c r="O12" s="15">
        <f>E17+O8</f>
        <v>5.9180376209697488E-3</v>
      </c>
      <c r="P12" s="5"/>
      <c r="Q12" s="22">
        <f t="shared" si="7"/>
        <v>1909.7767690936498</v>
      </c>
      <c r="R12" s="22">
        <f t="shared" si="8"/>
        <v>11.302130767150276</v>
      </c>
      <c r="S12" s="22" t="s">
        <v>69</v>
      </c>
      <c r="T12" s="13"/>
    </row>
    <row r="13" spans="1:24" x14ac:dyDescent="0.25">
      <c r="A13" s="22" t="s">
        <v>31</v>
      </c>
      <c r="B13" s="22">
        <f>5.883/2</f>
        <v>2.9415</v>
      </c>
      <c r="C13" s="22">
        <f>0.01/2</f>
        <v>5.0000000000000001E-3</v>
      </c>
      <c r="D13" s="22" t="s">
        <v>51</v>
      </c>
      <c r="E13" s="5">
        <f t="shared" si="5"/>
        <v>1.6998130205677375E-3</v>
      </c>
      <c r="F13" s="5"/>
      <c r="G13" s="5">
        <f t="shared" si="3"/>
        <v>2.9415000000000001E-3</v>
      </c>
      <c r="H13" s="5">
        <f t="shared" si="4"/>
        <v>5.0000000000000004E-6</v>
      </c>
      <c r="I13" s="22" t="s">
        <v>50</v>
      </c>
      <c r="J13" s="5"/>
      <c r="K13" s="29" t="s">
        <v>41</v>
      </c>
      <c r="L13" s="46">
        <f>2*(Q9-$Q$4)*$L$17*G10*G10/9</f>
        <v>9.0715241784905237E-3</v>
      </c>
      <c r="M13" s="10">
        <f>Q13*E14+S13*(($H$6+$H$5)/($G$6-$G$5)+$E$7)+(Q13+2*S13)*E10</f>
        <v>1.6755855050243142E-4</v>
      </c>
      <c r="N13" s="10" t="s">
        <v>74</v>
      </c>
      <c r="O13" s="47">
        <f>M13/L13</f>
        <v>1.8470826644515728E-2</v>
      </c>
      <c r="P13" s="41" t="s">
        <v>93</v>
      </c>
      <c r="Q13" s="10">
        <f>$Q$17/(9*PI())*3*G14/(2*G10)</f>
        <v>1.0750183787865523E-2</v>
      </c>
      <c r="R13" s="10" t="s">
        <v>94</v>
      </c>
      <c r="S13" s="10">
        <f>$Q$17/18*($G$6-$G$5)*(2*G10)*(2*G10)/$G$7</f>
        <v>1.6786596093750004E-3</v>
      </c>
      <c r="T13" s="43">
        <f>Q13-S13</f>
        <v>9.0715241784905219E-3</v>
      </c>
      <c r="U13" s="5"/>
      <c r="W13" s="5"/>
      <c r="X13" s="5"/>
    </row>
    <row r="14" spans="1:24" x14ac:dyDescent="0.25">
      <c r="A14" s="12" t="s">
        <v>26</v>
      </c>
      <c r="B14" s="22">
        <f>0.0488/3</f>
        <v>1.6266666666666669E-2</v>
      </c>
      <c r="C14" s="22">
        <f>0.0005/3</f>
        <v>1.6666666666666666E-4</v>
      </c>
      <c r="D14" s="5" t="s">
        <v>47</v>
      </c>
      <c r="E14" s="5">
        <f t="shared" si="5"/>
        <v>1.024590163934426E-2</v>
      </c>
      <c r="F14" s="5"/>
      <c r="G14" s="5">
        <f t="shared" si="3"/>
        <v>1.6266666666666668E-5</v>
      </c>
      <c r="H14" s="5">
        <f t="shared" si="4"/>
        <v>1.6666666666666665E-7</v>
      </c>
      <c r="I14" s="22" t="s">
        <v>48</v>
      </c>
      <c r="J14" s="5"/>
      <c r="K14" s="30" t="s">
        <v>42</v>
      </c>
      <c r="L14" s="28">
        <f t="shared" ref="L14:L16" si="9">2/9*(Q10-$Q$4)*$L$17*G11*G11</f>
        <v>1.4424951072819318E-2</v>
      </c>
      <c r="M14" s="5">
        <f>Q14*E15+S14*(($H$6+$H$5)/($G$6-$G$5)+$E$7)+(Q14+2*S14)*E11</f>
        <v>1.6368285562268716E-4</v>
      </c>
      <c r="N14" s="5" t="s">
        <v>74</v>
      </c>
      <c r="O14" s="48">
        <f t="shared" ref="O14:O16" si="10">M14/L14</f>
        <v>1.1347203522312938E-2</v>
      </c>
      <c r="P14" s="12" t="s">
        <v>93</v>
      </c>
      <c r="Q14" s="5">
        <f t="shared" ref="Q14:Q16" si="11">$Q$17/(9*PI())*3*G15/(2*G11)</f>
        <v>1.7112869731527657E-2</v>
      </c>
      <c r="R14" s="5" t="s">
        <v>94</v>
      </c>
      <c r="S14" s="5">
        <f t="shared" ref="S14:S16" si="12">$Q$17/18*($G$6-$G$5)*(2*G11)*(2*G11)/$G$7</f>
        <v>2.6879186587083332E-3</v>
      </c>
      <c r="T14" s="44">
        <f t="shared" ref="T14:T16" si="13">Q14-S14</f>
        <v>1.4424951072819324E-2</v>
      </c>
      <c r="U14" s="5"/>
      <c r="W14" s="5"/>
    </row>
    <row r="15" spans="1:24" x14ac:dyDescent="0.25">
      <c r="A15" s="22" t="s">
        <v>28</v>
      </c>
      <c r="B15" s="5">
        <f>0.0983/3</f>
        <v>3.2766666666666666E-2</v>
      </c>
      <c r="C15" s="5">
        <f>0.0005/3</f>
        <v>1.6666666666666666E-4</v>
      </c>
      <c r="D15" s="22" t="s">
        <v>47</v>
      </c>
      <c r="E15" s="5">
        <f t="shared" si="5"/>
        <v>5.0864699898270603E-3</v>
      </c>
      <c r="F15" s="5"/>
      <c r="G15" s="5">
        <f t="shared" si="3"/>
        <v>3.2766666666666666E-5</v>
      </c>
      <c r="H15" s="5">
        <f t="shared" si="4"/>
        <v>1.6666666666666665E-7</v>
      </c>
      <c r="I15" s="22" t="s">
        <v>48</v>
      </c>
      <c r="J15" s="5"/>
      <c r="K15" s="30" t="s">
        <v>43</v>
      </c>
      <c r="L15" s="28">
        <f t="shared" si="9"/>
        <v>3.2297994604891973E-2</v>
      </c>
      <c r="M15" s="5">
        <f>Q15*E16+S15*(($H$6+$H$5)/($G$6-$G$5)+$E$7)+(Q15+2*S15)*E12</f>
        <v>1.8790528957863335E-4</v>
      </c>
      <c r="N15" s="5" t="s">
        <v>74</v>
      </c>
      <c r="O15" s="48">
        <f t="shared" si="10"/>
        <v>5.8178624362694182E-3</v>
      </c>
      <c r="P15" s="12" t="s">
        <v>93</v>
      </c>
      <c r="Q15" s="5">
        <f t="shared" si="11"/>
        <v>3.8368085272600307E-2</v>
      </c>
      <c r="R15" s="5" t="s">
        <v>94</v>
      </c>
      <c r="S15" s="5">
        <f t="shared" si="12"/>
        <v>6.070090667708335E-3</v>
      </c>
      <c r="T15" s="44">
        <f t="shared" si="13"/>
        <v>3.2297994604891973E-2</v>
      </c>
      <c r="U15" s="5"/>
      <c r="W15" s="5"/>
    </row>
    <row r="16" spans="1:24" ht="15.75" thickBot="1" x14ac:dyDescent="0.3">
      <c r="A16" s="22" t="s">
        <v>30</v>
      </c>
      <c r="B16" s="5">
        <f>0.3312/3</f>
        <v>0.1104</v>
      </c>
      <c r="C16" s="5">
        <f>0.0005/3</f>
        <v>1.6666666666666666E-4</v>
      </c>
      <c r="D16" s="22" t="s">
        <v>47</v>
      </c>
      <c r="E16" s="5">
        <f t="shared" si="5"/>
        <v>1.5096618357487923E-3</v>
      </c>
      <c r="F16" s="5"/>
      <c r="G16" s="5">
        <f t="shared" si="3"/>
        <v>1.104E-4</v>
      </c>
      <c r="H16" s="5">
        <f t="shared" si="4"/>
        <v>1.6666666666666665E-7</v>
      </c>
      <c r="I16" s="22" t="s">
        <v>48</v>
      </c>
      <c r="J16" s="5"/>
      <c r="K16" s="31" t="s">
        <v>44</v>
      </c>
      <c r="L16" s="32">
        <f t="shared" si="9"/>
        <v>1.2602080160202037E-2</v>
      </c>
      <c r="M16" s="15">
        <f>Q16*E17+S16*(($H$6+$H$5)/($G$6-$G$5)+$E$7)+(Q16+2*S16)*E13</f>
        <v>3.4652054038814234E-4</v>
      </c>
      <c r="N16" s="15" t="s">
        <v>74</v>
      </c>
      <c r="O16" s="49">
        <f t="shared" si="10"/>
        <v>2.7497090637660798E-2</v>
      </c>
      <c r="P16" s="42" t="s">
        <v>93</v>
      </c>
      <c r="Q16" s="15">
        <f t="shared" si="11"/>
        <v>3.6022745120577043E-2</v>
      </c>
      <c r="R16" s="15" t="s">
        <v>94</v>
      </c>
      <c r="S16" s="15">
        <f t="shared" si="12"/>
        <v>2.3420664960375003E-2</v>
      </c>
      <c r="T16" s="45">
        <f t="shared" si="13"/>
        <v>1.2602080160202041E-2</v>
      </c>
      <c r="U16" s="5"/>
      <c r="W16" s="5"/>
    </row>
    <row r="17" spans="1:20" ht="15.75" thickBot="1" x14ac:dyDescent="0.3">
      <c r="A17" s="15" t="s">
        <v>32</v>
      </c>
      <c r="B17" s="15">
        <f>0.6108/3</f>
        <v>0.2036</v>
      </c>
      <c r="C17" s="15">
        <f>0.0005/3</f>
        <v>1.6666666666666666E-4</v>
      </c>
      <c r="D17" s="15" t="s">
        <v>47</v>
      </c>
      <c r="E17" s="15">
        <f t="shared" ref="E17" si="14">C17/B17</f>
        <v>8.1859855926653567E-4</v>
      </c>
      <c r="F17" s="15"/>
      <c r="G17" s="15">
        <f t="shared" ref="G17:H17" si="15">B17/1000</f>
        <v>2.0360000000000002E-4</v>
      </c>
      <c r="H17" s="15">
        <f t="shared" si="15"/>
        <v>1.6666666666666665E-7</v>
      </c>
      <c r="I17" s="15" t="s">
        <v>48</v>
      </c>
      <c r="J17" s="19"/>
      <c r="K17" s="24" t="s">
        <v>47</v>
      </c>
      <c r="L17" s="15">
        <v>9.81</v>
      </c>
      <c r="M17" s="15">
        <v>0.01</v>
      </c>
      <c r="N17" s="15" t="s">
        <v>73</v>
      </c>
      <c r="O17" s="15">
        <f>M17/L17</f>
        <v>1.0193679918450559E-3</v>
      </c>
      <c r="P17" s="15"/>
      <c r="Q17" s="15">
        <v>9.81</v>
      </c>
      <c r="R17" s="15">
        <v>0.01</v>
      </c>
      <c r="S17" s="15" t="s">
        <v>73</v>
      </c>
      <c r="T17" s="16"/>
    </row>
    <row r="18" spans="1:20" x14ac:dyDescent="0.25">
      <c r="A18" s="9" t="s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1"/>
    </row>
    <row r="19" spans="1:20" x14ac:dyDescent="0.25">
      <c r="A19" s="12" t="s">
        <v>75</v>
      </c>
      <c r="B19" s="5" t="s">
        <v>78</v>
      </c>
      <c r="C19" s="5" t="s">
        <v>79</v>
      </c>
      <c r="D19" s="5" t="s">
        <v>80</v>
      </c>
      <c r="E19" s="22"/>
      <c r="F19" s="22"/>
      <c r="G19" s="22"/>
      <c r="H19" s="22"/>
      <c r="I19" s="5"/>
      <c r="J19" s="5"/>
      <c r="K19" s="5"/>
      <c r="L19" s="33" t="s">
        <v>83</v>
      </c>
      <c r="M19" s="33" t="s">
        <v>52</v>
      </c>
      <c r="N19" s="5"/>
      <c r="O19" s="5"/>
      <c r="P19" s="5"/>
      <c r="Q19" s="5"/>
      <c r="R19" s="5"/>
      <c r="S19" s="5"/>
      <c r="T19" s="13"/>
    </row>
    <row r="20" spans="1:20" x14ac:dyDescent="0.25">
      <c r="A20" s="12">
        <v>11.37</v>
      </c>
      <c r="B20" s="5">
        <v>6.97</v>
      </c>
      <c r="C20" s="5">
        <v>3.36</v>
      </c>
      <c r="D20" s="5">
        <v>9.52</v>
      </c>
      <c r="E20" s="5"/>
      <c r="F20" s="5"/>
      <c r="G20" s="5"/>
      <c r="H20" s="5"/>
      <c r="I20" s="22"/>
      <c r="J20" s="22"/>
      <c r="K20" s="5"/>
      <c r="L20" s="33">
        <f>G29</f>
        <v>1.7305830459539658E-2</v>
      </c>
      <c r="M20" s="33">
        <f>L13</f>
        <v>9.0715241784905237E-3</v>
      </c>
      <c r="N20" s="5"/>
      <c r="O20" s="5"/>
      <c r="P20" s="5"/>
      <c r="Q20" s="5"/>
      <c r="R20" s="5"/>
      <c r="S20" s="5"/>
      <c r="T20" s="13"/>
    </row>
    <row r="21" spans="1:20" x14ac:dyDescent="0.25">
      <c r="A21" s="12">
        <v>11.15</v>
      </c>
      <c r="B21" s="5">
        <v>7.06</v>
      </c>
      <c r="C21" s="5">
        <v>3.17</v>
      </c>
      <c r="D21" s="5">
        <v>9.81</v>
      </c>
      <c r="E21" s="5"/>
      <c r="F21" s="5"/>
      <c r="G21" s="5"/>
      <c r="H21" s="5"/>
      <c r="I21" s="5"/>
      <c r="J21" s="5"/>
      <c r="K21" s="5"/>
      <c r="L21" s="33">
        <f t="shared" ref="L21:L23" si="16">G30</f>
        <v>2.8094738635483625E-2</v>
      </c>
      <c r="M21" s="33">
        <f t="shared" ref="M21:M23" si="17">L14</f>
        <v>1.4424951072819318E-2</v>
      </c>
      <c r="N21" s="5"/>
      <c r="O21" s="5"/>
      <c r="P21" s="5"/>
      <c r="Q21" s="5"/>
      <c r="R21" s="5"/>
      <c r="S21" s="5"/>
      <c r="T21" s="13"/>
    </row>
    <row r="22" spans="1:20" x14ac:dyDescent="0.25">
      <c r="A22" s="34">
        <v>11.18</v>
      </c>
      <c r="B22" s="25">
        <v>6.91</v>
      </c>
      <c r="C22" s="25">
        <v>3.18</v>
      </c>
      <c r="D22" s="25">
        <v>9.8000000000000007</v>
      </c>
      <c r="E22" s="5"/>
      <c r="F22" s="5"/>
      <c r="G22" s="5"/>
      <c r="H22" s="5"/>
      <c r="I22" s="5"/>
      <c r="J22" s="5"/>
      <c r="K22" s="5"/>
      <c r="L22" s="33">
        <f t="shared" si="16"/>
        <v>6.1845809558270952E-2</v>
      </c>
      <c r="M22" s="33">
        <f t="shared" si="17"/>
        <v>3.2297994604891973E-2</v>
      </c>
      <c r="N22" s="5"/>
      <c r="O22" s="5"/>
      <c r="P22" s="5"/>
      <c r="Q22" s="5"/>
      <c r="R22" s="5"/>
      <c r="S22" s="5"/>
      <c r="T22" s="13"/>
    </row>
    <row r="23" spans="1:20" x14ac:dyDescent="0.25">
      <c r="A23" s="20"/>
      <c r="B23" s="22"/>
      <c r="C23" s="22"/>
      <c r="D23" s="22"/>
      <c r="E23" s="22"/>
      <c r="F23" s="22"/>
      <c r="G23" s="22"/>
      <c r="H23" s="22"/>
      <c r="I23" s="22"/>
      <c r="J23" s="5"/>
      <c r="K23" s="5"/>
      <c r="L23" s="33">
        <f t="shared" si="16"/>
        <v>2.1824263645726059E-2</v>
      </c>
      <c r="M23" s="33">
        <f t="shared" si="17"/>
        <v>1.2602080160202037E-2</v>
      </c>
      <c r="N23" s="5"/>
      <c r="O23" s="5"/>
      <c r="P23" s="5"/>
      <c r="Q23" s="5"/>
      <c r="R23" s="5"/>
      <c r="S23" s="5"/>
      <c r="T23" s="13"/>
    </row>
    <row r="24" spans="1:20" x14ac:dyDescent="0.25">
      <c r="A24" s="20" t="s">
        <v>88</v>
      </c>
      <c r="B24" s="22">
        <f>AVERAGE(A20:A22)</f>
        <v>11.233333333333334</v>
      </c>
      <c r="C24" s="22">
        <f>(MAX(A20:A22)-MIN(A20:A22))/2</f>
        <v>0.10999999999999943</v>
      </c>
      <c r="D24" s="22" t="s">
        <v>89</v>
      </c>
      <c r="E24" s="22">
        <f>C24/B24</f>
        <v>9.7922848664687909E-3</v>
      </c>
      <c r="F24" s="22"/>
      <c r="G24" s="22"/>
      <c r="H24" s="22"/>
      <c r="I24" s="22"/>
      <c r="J24" s="5"/>
      <c r="K24" s="5"/>
      <c r="L24" s="22"/>
      <c r="M24" s="22"/>
      <c r="N24" s="5"/>
      <c r="O24" s="5"/>
      <c r="P24" s="5"/>
      <c r="Q24" s="5"/>
      <c r="R24" s="5"/>
      <c r="S24" s="5"/>
      <c r="T24" s="13"/>
    </row>
    <row r="25" spans="1:20" x14ac:dyDescent="0.25">
      <c r="A25" s="20" t="s">
        <v>90</v>
      </c>
      <c r="B25" s="22">
        <f>AVERAGE(B20:B22)</f>
        <v>6.9799999999999995</v>
      </c>
      <c r="C25" s="22">
        <f>(MAX(B20:B22)-MIN(B20:B22))/2</f>
        <v>7.4999999999999734E-2</v>
      </c>
      <c r="D25" s="22" t="s">
        <v>89</v>
      </c>
      <c r="E25" s="22">
        <f t="shared" ref="E25:E27" si="18">C25/B25</f>
        <v>1.0744985673352398E-2</v>
      </c>
      <c r="F25" s="22"/>
      <c r="G25" s="22"/>
      <c r="H25" s="22"/>
      <c r="I25" s="22"/>
      <c r="J25" s="5"/>
      <c r="K25" s="5"/>
      <c r="L25" s="22"/>
      <c r="M25" s="22"/>
      <c r="N25" s="5"/>
      <c r="O25" s="5"/>
      <c r="P25" s="5"/>
      <c r="Q25" s="5"/>
      <c r="R25" s="5"/>
      <c r="S25" s="5"/>
      <c r="T25" s="13"/>
    </row>
    <row r="26" spans="1:20" x14ac:dyDescent="0.25">
      <c r="A26" s="20" t="s">
        <v>91</v>
      </c>
      <c r="B26" s="22">
        <f>AVERAGE(C20:C22)</f>
        <v>3.2366666666666664</v>
      </c>
      <c r="C26" s="22">
        <f>(MAX(C20:C22)-MIN(C20:C22))/2</f>
        <v>9.4999999999999973E-2</v>
      </c>
      <c r="D26" s="22" t="s">
        <v>89</v>
      </c>
      <c r="E26" s="22">
        <f t="shared" si="18"/>
        <v>2.9351184346035009E-2</v>
      </c>
      <c r="F26" s="22"/>
      <c r="G26" s="22"/>
      <c r="H26" s="22"/>
      <c r="I26" s="22"/>
      <c r="J26" s="5"/>
      <c r="K26" s="5"/>
      <c r="L26" s="22"/>
      <c r="M26" s="22"/>
      <c r="N26" s="5"/>
      <c r="O26" s="5"/>
      <c r="P26" s="5"/>
      <c r="Q26" s="5"/>
      <c r="R26" s="5"/>
      <c r="S26" s="5"/>
      <c r="T26" s="13"/>
    </row>
    <row r="27" spans="1:20" x14ac:dyDescent="0.25">
      <c r="A27" s="20" t="s">
        <v>92</v>
      </c>
      <c r="B27" s="22">
        <f>AVERAGE(D20:D22)</f>
        <v>9.7099999999999991</v>
      </c>
      <c r="C27" s="22">
        <f>(MAX(D20:D22)-MIN(D20:D22))/2</f>
        <v>0.14500000000000046</v>
      </c>
      <c r="D27" s="22" t="s">
        <v>89</v>
      </c>
      <c r="E27" s="22">
        <f t="shared" si="18"/>
        <v>1.493305870236874E-2</v>
      </c>
      <c r="F27" s="22"/>
      <c r="G27" s="22"/>
      <c r="H27" s="22"/>
      <c r="I27" s="22"/>
      <c r="J27" s="5"/>
      <c r="K27" s="5"/>
      <c r="L27" s="22"/>
      <c r="M27" s="22"/>
      <c r="N27" s="5"/>
      <c r="O27" s="5"/>
      <c r="P27" s="5"/>
      <c r="Q27" s="5"/>
      <c r="R27" s="5"/>
      <c r="S27" s="5"/>
      <c r="T27" s="13"/>
    </row>
    <row r="28" spans="1:20" x14ac:dyDescent="0.25">
      <c r="A28" s="20"/>
      <c r="B28" s="22"/>
      <c r="C28" s="22"/>
      <c r="D28" s="22"/>
      <c r="E28" s="22"/>
      <c r="F28" s="22"/>
      <c r="G28" s="22"/>
      <c r="H28" s="22"/>
      <c r="I28" s="22"/>
      <c r="J28" s="5"/>
      <c r="K28" s="5"/>
      <c r="L28" s="22"/>
      <c r="M28" s="22"/>
      <c r="N28" s="5"/>
      <c r="O28" s="5"/>
      <c r="P28" s="5"/>
      <c r="Q28" s="5"/>
      <c r="R28" s="5"/>
      <c r="S28" s="5"/>
      <c r="T28" s="13"/>
    </row>
    <row r="29" spans="1:20" x14ac:dyDescent="0.25">
      <c r="A29" s="20" t="s">
        <v>76</v>
      </c>
      <c r="B29" s="22">
        <f>$G$8/B24</f>
        <v>1.6735905044510384E-2</v>
      </c>
      <c r="C29" s="22">
        <f>B29*E29</f>
        <v>2.5290352120737084E-4</v>
      </c>
      <c r="D29" s="22" t="s">
        <v>62</v>
      </c>
      <c r="E29" s="23">
        <f>E24+$E$8</f>
        <v>1.5111433802639004E-2</v>
      </c>
      <c r="F29" s="28" t="s">
        <v>63</v>
      </c>
      <c r="G29" s="28">
        <f>B29*(1+2.4*G10/$G$9)</f>
        <v>1.7305830459539658E-2</v>
      </c>
      <c r="H29" s="22">
        <f>C29+2.4/$G$9*(G10*C29+B29*H10+B29*G10/$G$9*$H$9)</f>
        <v>2.6845966161932814E-4</v>
      </c>
      <c r="I29" s="22" t="s">
        <v>62</v>
      </c>
      <c r="J29" s="5">
        <f>H29/G29</f>
        <v>1.551267142290433E-2</v>
      </c>
      <c r="K29" s="5"/>
      <c r="L29" s="5"/>
      <c r="M29" s="5"/>
      <c r="N29" s="5"/>
      <c r="O29" s="5"/>
      <c r="P29" s="5"/>
      <c r="Q29" s="5"/>
      <c r="R29" s="5"/>
      <c r="S29" s="5"/>
      <c r="T29" s="13"/>
    </row>
    <row r="30" spans="1:20" x14ac:dyDescent="0.25">
      <c r="A30" s="20" t="s">
        <v>77</v>
      </c>
      <c r="B30" s="22">
        <f>$G$8/B25</f>
        <v>2.6934097421203441E-2</v>
      </c>
      <c r="C30" s="22">
        <f t="shared" ref="C30:C32" si="19">B30*E30</f>
        <v>4.326729665602079E-4</v>
      </c>
      <c r="D30" s="22" t="s">
        <v>62</v>
      </c>
      <c r="E30" s="23">
        <f t="shared" ref="E30:E32" si="20">E25+$E$8</f>
        <v>1.606413460952261E-2</v>
      </c>
      <c r="F30" s="28" t="s">
        <v>64</v>
      </c>
      <c r="G30" s="28">
        <f>B30*(1+2.4*G11/$G$9)</f>
        <v>2.8094738635483625E-2</v>
      </c>
      <c r="H30" s="22">
        <f t="shared" ref="H30:H32" si="21">C30+2.4/$G$9*(G11*C30+B30*H11+B30*G11/$G$9*$H$9)</f>
        <v>4.6468568473124761E-4</v>
      </c>
      <c r="I30" s="22" t="s">
        <v>62</v>
      </c>
      <c r="J30" s="5">
        <f t="shared" ref="J30:J32" si="22">H30/G30</f>
        <v>1.6539954002076036E-2</v>
      </c>
      <c r="K30" s="5"/>
      <c r="L30" s="5"/>
      <c r="M30" s="5"/>
      <c r="N30" s="5"/>
      <c r="O30" s="5"/>
      <c r="P30" s="5"/>
      <c r="Q30" s="5"/>
      <c r="R30" s="5"/>
      <c r="S30" s="5"/>
      <c r="T30" s="13"/>
    </row>
    <row r="31" spans="1:20" x14ac:dyDescent="0.25">
      <c r="A31" s="20" t="s">
        <v>81</v>
      </c>
      <c r="B31" s="22">
        <f>$G$8/B26</f>
        <v>5.8084449021627196E-2</v>
      </c>
      <c r="C31" s="22">
        <f t="shared" si="19"/>
        <v>2.0138072060930739E-3</v>
      </c>
      <c r="D31" s="22" t="s">
        <v>62</v>
      </c>
      <c r="E31" s="23">
        <f t="shared" si="20"/>
        <v>3.4670333282205222E-2</v>
      </c>
      <c r="F31" s="28" t="s">
        <v>65</v>
      </c>
      <c r="G31" s="28">
        <f>B31*(1+2.4*G12/$G$9)</f>
        <v>6.1845809558270952E-2</v>
      </c>
      <c r="H31" s="22">
        <f t="shared" si="21"/>
        <v>2.1843803603480315E-3</v>
      </c>
      <c r="I31" s="22" t="s">
        <v>62</v>
      </c>
      <c r="J31" s="5">
        <f t="shared" si="22"/>
        <v>3.5319779560649363E-2</v>
      </c>
      <c r="K31" s="5"/>
      <c r="L31" s="5"/>
      <c r="M31" s="5"/>
      <c r="N31" s="5"/>
      <c r="O31" s="5"/>
      <c r="P31" s="5"/>
      <c r="Q31" s="5"/>
      <c r="R31" s="5"/>
      <c r="S31" s="5"/>
      <c r="T31" s="13"/>
    </row>
    <row r="32" spans="1:20" x14ac:dyDescent="0.25">
      <c r="A32" s="20" t="s">
        <v>82</v>
      </c>
      <c r="B32" s="22">
        <f>$G$8/B27</f>
        <v>1.9361483007209065E-2</v>
      </c>
      <c r="C32" s="22">
        <f t="shared" si="19"/>
        <v>3.9211277405204155E-4</v>
      </c>
      <c r="D32" s="22" t="s">
        <v>62</v>
      </c>
      <c r="E32" s="23">
        <f t="shared" si="20"/>
        <v>2.0252207638538952E-2</v>
      </c>
      <c r="F32" s="28" t="s">
        <v>66</v>
      </c>
      <c r="G32" s="28">
        <f>B32*(1+2.4*G13/$G$9)</f>
        <v>2.1824263645726059E-2</v>
      </c>
      <c r="H32" s="22">
        <f t="shared" si="21"/>
        <v>4.6836299846722708E-4</v>
      </c>
      <c r="I32" s="22" t="s">
        <v>62</v>
      </c>
      <c r="J32" s="5">
        <f t="shared" si="22"/>
        <v>2.1460655262884376E-2</v>
      </c>
      <c r="K32" s="5"/>
      <c r="L32" s="5"/>
      <c r="M32" s="5"/>
      <c r="N32" s="5"/>
      <c r="O32" s="5"/>
      <c r="P32" s="5"/>
      <c r="Q32" s="5"/>
      <c r="R32" s="5"/>
      <c r="S32" s="5"/>
      <c r="T32" s="13"/>
    </row>
    <row r="33" spans="1:20" ht="15.75" thickBot="1" x14ac:dyDescent="0.3">
      <c r="A33" s="26"/>
      <c r="B33" s="27"/>
      <c r="C33" s="27"/>
      <c r="D33" s="27"/>
      <c r="E33" s="27"/>
      <c r="F33" s="27"/>
      <c r="G33" s="27"/>
      <c r="H33" s="27"/>
      <c r="I33" s="27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6"/>
    </row>
    <row r="34" spans="1:20" x14ac:dyDescent="0.25">
      <c r="A34" s="9" t="s">
        <v>18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1"/>
    </row>
    <row r="35" spans="1:20" x14ac:dyDescent="0.25">
      <c r="A35" s="2" t="s">
        <v>19</v>
      </c>
      <c r="B35" s="3"/>
      <c r="C35" s="3"/>
      <c r="D35" s="3"/>
      <c r="E35" s="3"/>
      <c r="F35" s="3"/>
      <c r="G35" s="3"/>
      <c r="H35" s="3"/>
      <c r="I35" s="35"/>
      <c r="J35" s="5"/>
      <c r="K35" s="5"/>
      <c r="L35" s="33" t="s">
        <v>83</v>
      </c>
      <c r="M35" s="33" t="s">
        <v>52</v>
      </c>
      <c r="N35" s="5"/>
      <c r="O35" s="5"/>
      <c r="P35" s="5"/>
      <c r="Q35" s="5"/>
      <c r="R35" s="5"/>
      <c r="S35" s="5"/>
      <c r="T35" s="13"/>
    </row>
    <row r="36" spans="1:20" x14ac:dyDescent="0.25">
      <c r="A36" s="4" t="s">
        <v>21</v>
      </c>
      <c r="B36" s="5">
        <v>20</v>
      </c>
      <c r="C36" s="5">
        <v>1</v>
      </c>
      <c r="D36" s="5" t="s">
        <v>51</v>
      </c>
      <c r="E36" s="5">
        <f>C36/B36</f>
        <v>0.05</v>
      </c>
      <c r="F36" s="5"/>
      <c r="G36" s="5"/>
      <c r="H36" s="5"/>
      <c r="I36" s="1"/>
      <c r="J36" s="5"/>
      <c r="K36" s="5"/>
      <c r="L36" s="33">
        <f>O44</f>
        <v>1.6243757024264567E-2</v>
      </c>
      <c r="M36" s="33">
        <f>L13</f>
        <v>9.0715241784905237E-3</v>
      </c>
      <c r="N36" s="5"/>
      <c r="O36" s="5"/>
      <c r="P36" s="5"/>
      <c r="Q36" s="5"/>
      <c r="R36" s="5"/>
      <c r="S36" s="5"/>
      <c r="T36" s="13"/>
    </row>
    <row r="37" spans="1:20" x14ac:dyDescent="0.25">
      <c r="A37" s="4" t="s">
        <v>22</v>
      </c>
      <c r="B37" s="5">
        <v>172</v>
      </c>
      <c r="C37" s="5">
        <v>2</v>
      </c>
      <c r="D37" s="5" t="s">
        <v>22</v>
      </c>
      <c r="E37" s="5">
        <f>C37/B37</f>
        <v>1.1627906976744186E-2</v>
      </c>
      <c r="F37" s="5"/>
      <c r="G37" s="5"/>
      <c r="H37" s="5"/>
      <c r="I37" s="1"/>
      <c r="J37" s="5"/>
      <c r="K37" s="5"/>
      <c r="L37" s="33">
        <f t="shared" ref="L37:L39" si="23">O45</f>
        <v>2.4707860208509597E-2</v>
      </c>
      <c r="M37" s="33">
        <f>L14</f>
        <v>1.4424951072819318E-2</v>
      </c>
      <c r="N37" s="5"/>
      <c r="O37" s="5"/>
      <c r="P37" s="5"/>
      <c r="Q37" s="5"/>
      <c r="R37" s="5"/>
      <c r="S37" s="5"/>
      <c r="T37" s="13"/>
    </row>
    <row r="38" spans="1:20" x14ac:dyDescent="0.25">
      <c r="A38" s="7" t="s">
        <v>20</v>
      </c>
      <c r="B38" s="8">
        <f>B36/B37</f>
        <v>0.11627906976744186</v>
      </c>
      <c r="C38" s="8">
        <f>E38*B38</f>
        <v>7.1660356949702544E-3</v>
      </c>
      <c r="D38" s="8" t="s">
        <v>72</v>
      </c>
      <c r="E38" s="8">
        <f>E36+E37</f>
        <v>6.1627906976744189E-2</v>
      </c>
      <c r="F38" s="8"/>
      <c r="G38" s="8">
        <f>B38/1000</f>
        <v>1.1627906976744185E-4</v>
      </c>
      <c r="H38" s="8">
        <f>C38/1000</f>
        <v>7.166035694970254E-6</v>
      </c>
      <c r="I38" s="36" t="s">
        <v>84</v>
      </c>
      <c r="J38" s="5"/>
      <c r="K38" s="5"/>
      <c r="L38" s="33">
        <f t="shared" si="23"/>
        <v>5.1900385086160725E-2</v>
      </c>
      <c r="M38" s="33">
        <f>L15</f>
        <v>3.2297994604891973E-2</v>
      </c>
      <c r="N38" s="5"/>
      <c r="O38" s="5"/>
      <c r="P38" s="5"/>
      <c r="Q38" s="5"/>
      <c r="R38" s="5"/>
      <c r="S38" s="5"/>
      <c r="T38" s="13"/>
    </row>
    <row r="39" spans="1:20" x14ac:dyDescent="0.25">
      <c r="A39" s="37" t="s">
        <v>53</v>
      </c>
      <c r="B39" s="38"/>
      <c r="C39" s="38" t="s">
        <v>54</v>
      </c>
      <c r="D39" s="38"/>
      <c r="E39" s="38" t="s">
        <v>55</v>
      </c>
      <c r="F39" s="38"/>
      <c r="G39" s="38" t="s">
        <v>56</v>
      </c>
      <c r="H39" s="38"/>
      <c r="I39" s="39"/>
      <c r="J39" s="5"/>
      <c r="K39" s="5"/>
      <c r="L39" s="33">
        <f t="shared" si="23"/>
        <v>1.9168924349010231E-2</v>
      </c>
      <c r="M39" s="33">
        <f>L16</f>
        <v>1.2602080160202037E-2</v>
      </c>
      <c r="N39" s="5"/>
      <c r="O39" s="5"/>
      <c r="P39" s="5"/>
      <c r="Q39" s="5"/>
      <c r="R39" s="5"/>
      <c r="S39" s="5"/>
      <c r="T39" s="13"/>
    </row>
    <row r="40" spans="1:20" x14ac:dyDescent="0.25">
      <c r="A40" s="4">
        <v>127.82</v>
      </c>
      <c r="B40" s="1">
        <v>0.84950700000000001</v>
      </c>
      <c r="C40" s="5">
        <v>210.29499999999999</v>
      </c>
      <c r="D40" s="1">
        <v>0.83812299999999995</v>
      </c>
      <c r="E40" s="5">
        <v>417.464</v>
      </c>
      <c r="F40" s="1">
        <v>4.3804600000000002</v>
      </c>
      <c r="G40" s="5">
        <v>143.345</v>
      </c>
      <c r="H40" s="1">
        <v>0.77116799999999996</v>
      </c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13"/>
    </row>
    <row r="41" spans="1:20" x14ac:dyDescent="0.25">
      <c r="A41" s="4">
        <v>128.874</v>
      </c>
      <c r="B41" s="1">
        <v>0.97653500000000004</v>
      </c>
      <c r="C41" s="5">
        <v>200.94399999999999</v>
      </c>
      <c r="D41" s="1">
        <v>0.58395699999999995</v>
      </c>
      <c r="E41" s="5">
        <v>416.86399999999998</v>
      </c>
      <c r="F41" s="1">
        <v>6.1900500000000003</v>
      </c>
      <c r="G41" s="5">
        <v>145.06200000000001</v>
      </c>
      <c r="H41" s="1">
        <v>0.57354400000000005</v>
      </c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13"/>
    </row>
    <row r="42" spans="1:20" x14ac:dyDescent="0.25">
      <c r="A42" s="40">
        <v>136.40799999999999</v>
      </c>
      <c r="B42" s="6">
        <v>0.281107</v>
      </c>
      <c r="C42" s="25">
        <v>202.00800000000001</v>
      </c>
      <c r="D42" s="6">
        <v>1.1593800000000001</v>
      </c>
      <c r="E42" s="25">
        <v>424.37</v>
      </c>
      <c r="F42" s="6">
        <v>5.8482200000000004</v>
      </c>
      <c r="G42" s="25">
        <v>152.81200000000001</v>
      </c>
      <c r="H42" s="6">
        <v>0.87889700000000004</v>
      </c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13"/>
    </row>
    <row r="43" spans="1:20" x14ac:dyDescent="0.25">
      <c r="A43" s="12" t="s">
        <v>85</v>
      </c>
      <c r="B43" s="5"/>
      <c r="C43" s="5"/>
      <c r="D43" s="5"/>
      <c r="E43" s="5"/>
      <c r="F43" s="5" t="s">
        <v>86</v>
      </c>
      <c r="G43" s="5"/>
      <c r="H43" s="5"/>
      <c r="I43" s="5"/>
      <c r="J43" s="5"/>
      <c r="K43" s="5" t="s">
        <v>87</v>
      </c>
      <c r="L43" s="5"/>
      <c r="M43" s="5"/>
      <c r="N43" s="5"/>
      <c r="O43" s="5"/>
      <c r="P43" s="5"/>
      <c r="Q43" s="5"/>
      <c r="R43" s="5"/>
      <c r="S43" s="5"/>
      <c r="T43" s="13"/>
    </row>
    <row r="44" spans="1:20" x14ac:dyDescent="0.25">
      <c r="A44" s="20" t="s">
        <v>53</v>
      </c>
      <c r="B44" s="5">
        <f>(A40/B40/B40+A41/B41/B41+A42/B42/B42)/(1/B40/B40+1/B41/B41+1/B42/B42)</f>
        <v>135.09575235548837</v>
      </c>
      <c r="C44" s="5">
        <f>SQRT(B40*B40+B41*B41+B42*B42)</f>
        <v>1.3245013758856576</v>
      </c>
      <c r="D44" s="5" t="s">
        <v>23</v>
      </c>
      <c r="E44" s="1">
        <f>C44/B44</f>
        <v>9.8041674352602158E-3</v>
      </c>
      <c r="F44" s="5" t="s">
        <v>57</v>
      </c>
      <c r="G44" s="5">
        <f>B44*$B$38</f>
        <v>15.70880841342888</v>
      </c>
      <c r="H44" s="5">
        <f>J44*G44</f>
        <v>1.1221127715119725</v>
      </c>
      <c r="I44" s="5" t="s">
        <v>61</v>
      </c>
      <c r="J44" s="1">
        <f>$E$38+E44</f>
        <v>7.1432074412004401E-2</v>
      </c>
      <c r="K44" s="5">
        <f>G44/1000</f>
        <v>1.5708808413428879E-2</v>
      </c>
      <c r="L44" s="5">
        <f>H44/1000</f>
        <v>1.1221127715119726E-3</v>
      </c>
      <c r="M44" s="1" t="s">
        <v>62</v>
      </c>
      <c r="N44" s="28" t="s">
        <v>63</v>
      </c>
      <c r="O44" s="28">
        <f>K44*(1+2.4*G10/$G$9)</f>
        <v>1.6243757024264567E-2</v>
      </c>
      <c r="P44" s="5">
        <f>L44+2.4/$G$9*(G10*L44+K44*H10+K44*G10/$G$9*$H$9)</f>
        <v>1.1668428669003698E-3</v>
      </c>
      <c r="Q44" s="5" t="s">
        <v>62</v>
      </c>
      <c r="R44" s="5">
        <f>P44/O44</f>
        <v>7.1833312032269725E-2</v>
      </c>
      <c r="S44" s="5"/>
      <c r="T44" s="13"/>
    </row>
    <row r="45" spans="1:20" x14ac:dyDescent="0.25">
      <c r="A45" s="20" t="s">
        <v>54</v>
      </c>
      <c r="B45" s="5">
        <f>(C40/D40/D40+C41/D41/D41+C42/D42/D42)/(1/D40/D40+1/D41/D41+1/D42/D42)</f>
        <v>203.70937541062315</v>
      </c>
      <c r="C45" s="5">
        <f>SQRT(D40*D40+D41*D41+D42*D42)</f>
        <v>1.5451918733212389</v>
      </c>
      <c r="D45" s="5" t="s">
        <v>23</v>
      </c>
      <c r="E45" s="1">
        <f t="shared" ref="E45:E47" si="24">C45/B45</f>
        <v>7.5852761818475407E-3</v>
      </c>
      <c r="F45" s="5" t="s">
        <v>58</v>
      </c>
      <c r="G45" s="5">
        <f t="shared" ref="G45:G47" si="25">B45*$B$38</f>
        <v>23.687136675653854</v>
      </c>
      <c r="H45" s="5">
        <f t="shared" ref="H45:H47" si="26">J45*G45</f>
        <v>1.6394621292346259</v>
      </c>
      <c r="I45" s="5" t="s">
        <v>61</v>
      </c>
      <c r="J45" s="1">
        <f t="shared" ref="J45:J47" si="27">$E$38+E45</f>
        <v>6.9213183158591735E-2</v>
      </c>
      <c r="K45" s="5">
        <f t="shared" ref="K45:L47" si="28">G45/1000</f>
        <v>2.3687136675653853E-2</v>
      </c>
      <c r="L45" s="5">
        <f t="shared" si="28"/>
        <v>1.6394621292346258E-3</v>
      </c>
      <c r="M45" s="1" t="s">
        <v>62</v>
      </c>
      <c r="N45" s="28" t="s">
        <v>64</v>
      </c>
      <c r="O45" s="28">
        <f>K45*(1+2.4*G11/$G$9)</f>
        <v>2.4707860208509597E-2</v>
      </c>
      <c r="P45" s="5">
        <f t="shared" ref="P45:P47" si="29">L45+2.4/$G$9*(G11*L45+K45*H11+K45*G11/$G$9*$H$9)</f>
        <v>1.7218661331041632E-3</v>
      </c>
      <c r="Q45" s="5" t="s">
        <v>62</v>
      </c>
      <c r="R45" s="5">
        <f t="shared" ref="R45:R47" si="30">P45/O45</f>
        <v>6.9689002551145157E-2</v>
      </c>
      <c r="S45" s="5"/>
      <c r="T45" s="13"/>
    </row>
    <row r="46" spans="1:20" x14ac:dyDescent="0.25">
      <c r="A46" s="20" t="s">
        <v>55</v>
      </c>
      <c r="B46" s="22">
        <f>(E40/F40/F40+E41/F41/F41+E42/F42/F42)/(1/F40/F40+1/F41/F41+1/F42/F42)</f>
        <v>419.19744477653416</v>
      </c>
      <c r="C46" s="22">
        <f>SQRT(F40*F40+F41*F41+F42*F42)</f>
        <v>9.5763680997808347</v>
      </c>
      <c r="D46" s="5" t="s">
        <v>23</v>
      </c>
      <c r="E46" s="1">
        <f t="shared" si="24"/>
        <v>2.2844528799276929E-2</v>
      </c>
      <c r="F46" s="5" t="s">
        <v>59</v>
      </c>
      <c r="G46" s="5">
        <f t="shared" si="25"/>
        <v>48.743888927503974</v>
      </c>
      <c r="H46" s="5">
        <f t="shared" si="26"/>
        <v>4.1175150269020868</v>
      </c>
      <c r="I46" s="5" t="s">
        <v>61</v>
      </c>
      <c r="J46" s="1">
        <f t="shared" si="27"/>
        <v>8.4472435776021121E-2</v>
      </c>
      <c r="K46" s="5">
        <f t="shared" si="28"/>
        <v>4.8743888927503976E-2</v>
      </c>
      <c r="L46" s="5">
        <f t="shared" si="28"/>
        <v>4.1175150269020869E-3</v>
      </c>
      <c r="M46" s="1" t="s">
        <v>62</v>
      </c>
      <c r="N46" s="28" t="s">
        <v>65</v>
      </c>
      <c r="O46" s="28">
        <f>K46*(1+2.4*G12/$G$9)</f>
        <v>5.1900385086160725E-2</v>
      </c>
      <c r="P46" s="5">
        <f t="shared" si="29"/>
        <v>4.4178584578855014E-3</v>
      </c>
      <c r="Q46" s="5" t="s">
        <v>62</v>
      </c>
      <c r="R46" s="5">
        <f t="shared" si="30"/>
        <v>8.5121882054465262E-2</v>
      </c>
      <c r="S46" s="5"/>
      <c r="T46" s="13"/>
    </row>
    <row r="47" spans="1:20" ht="15.75" thickBot="1" x14ac:dyDescent="0.3">
      <c r="A47" s="26" t="s">
        <v>56</v>
      </c>
      <c r="B47" s="27">
        <f>(G40/H40/H40+G41/H41/H41+G42/H42/H42)/(1/H40/H40+1/H41/H41+1/H42/H42)</f>
        <v>146.2497776805252</v>
      </c>
      <c r="C47" s="15">
        <f>SQRT(H40*H40+H41*H41+H42*H42)</f>
        <v>1.3023489320335775</v>
      </c>
      <c r="D47" s="15" t="s">
        <v>23</v>
      </c>
      <c r="E47" s="19">
        <f t="shared" si="24"/>
        <v>8.904963499353066E-3</v>
      </c>
      <c r="F47" s="15" t="s">
        <v>60</v>
      </c>
      <c r="G47" s="15">
        <f t="shared" si="25"/>
        <v>17.005788102386649</v>
      </c>
      <c r="H47" s="15">
        <f t="shared" si="26"/>
        <v>1.1994670495695934</v>
      </c>
      <c r="I47" s="15" t="s">
        <v>61</v>
      </c>
      <c r="J47" s="19">
        <f t="shared" si="27"/>
        <v>7.0532870476097256E-2</v>
      </c>
      <c r="K47" s="15">
        <f t="shared" si="28"/>
        <v>1.7005788102386649E-2</v>
      </c>
      <c r="L47" s="15">
        <f t="shared" si="28"/>
        <v>1.1994670495695933E-3</v>
      </c>
      <c r="M47" s="19" t="s">
        <v>62</v>
      </c>
      <c r="N47" s="32" t="s">
        <v>66</v>
      </c>
      <c r="O47" s="32">
        <f>K47*(1+2.4*G13/$G$9)</f>
        <v>1.9168924349010231E-2</v>
      </c>
      <c r="P47" s="15">
        <f t="shared" si="29"/>
        <v>1.3752038993656642E-3</v>
      </c>
      <c r="Q47" s="15" t="s">
        <v>62</v>
      </c>
      <c r="R47" s="15">
        <f t="shared" si="30"/>
        <v>7.174131810044268E-2</v>
      </c>
      <c r="S47" s="15"/>
      <c r="T47" s="16"/>
    </row>
    <row r="49" spans="1:17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Damiano Scevola</dc:creator>
  <cp:lastModifiedBy>Damiano Scevola</cp:lastModifiedBy>
  <dcterms:created xsi:type="dcterms:W3CDTF">2015-06-05T18:19:34Z</dcterms:created>
  <dcterms:modified xsi:type="dcterms:W3CDTF">2022-05-16T13:42:26Z</dcterms:modified>
</cp:coreProperties>
</file>