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PU\OneDrive - DNV GL\"/>
    </mc:Choice>
  </mc:AlternateContent>
  <xr:revisionPtr revIDLastSave="0" documentId="8_{88101170-A25B-4B68-8386-40D0FC6F9466}" xr6:coauthVersionLast="31" xr6:coauthVersionMax="31" xr10:uidLastSave="{00000000-0000-0000-0000-000000000000}"/>
  <bookViews>
    <workbookView xWindow="0" yWindow="0" windowWidth="14925" windowHeight="7530" tabRatio="840" firstSheet="6" activeTab="8" xr2:uid="{00000000-000D-0000-FFFF-FFFF00000000}"/>
  </bookViews>
  <sheets>
    <sheet name="Sheet1" sheetId="8" state="hidden" r:id="rId1"/>
    <sheet name="Sheet2" sheetId="2" state="hidden" r:id="rId2"/>
    <sheet name="Sheet3" sheetId="3" state="hidden" r:id="rId3"/>
    <sheet name="Sheet4" sheetId="4" state="hidden" r:id="rId4"/>
    <sheet name="Sheet6" sheetId="6" state="hidden" r:id="rId5"/>
    <sheet name="Sheet7" sheetId="7" state="hidden" r:id="rId6"/>
    <sheet name="Design load sets" sheetId="24" r:id="rId7"/>
    <sheet name="SEA-1, SEA-2" sheetId="22" r:id="rId8"/>
    <sheet name="Tanks" sheetId="5" r:id="rId9"/>
    <sheet name="Calculations" sheetId="1" state="hidden" r:id="rId10"/>
  </sheets>
  <definedNames>
    <definedName name="Assessment">Sheet4!$A$1:$A$2</definedName>
    <definedName name="f_ps">Sheet2!$A$1:$A$4</definedName>
    <definedName name="f_r">Sheet3!$A$1:$A$3</definedName>
    <definedName name="r__f">Sheet3!$A$1:$A$6</definedName>
    <definedName name="R0">Sheet3!$A$1:$A$6</definedName>
    <definedName name="Ship_type">Sheet6!$A$1:$A$3</definedName>
    <definedName name="Ship_type_fatigue">Sheet1!$A$1:$A$9</definedName>
    <definedName name="Type_of_tank">Tanks!#REF!</definedName>
    <definedName name="Vessel_type">Sheet6!$A$1:$A$3</definedName>
    <definedName name="yes_no">Sheet7!$A$1:$A$2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5" l="1"/>
  <c r="D52" i="5" s="1"/>
  <c r="D60" i="5" s="1"/>
  <c r="D77" i="5"/>
  <c r="D67" i="5"/>
  <c r="D55" i="5" l="1"/>
  <c r="D50" i="5"/>
  <c r="D54" i="5"/>
  <c r="D57" i="5" s="1"/>
  <c r="D53" i="5"/>
  <c r="D61" i="22"/>
  <c r="D52" i="22"/>
  <c r="D28" i="22"/>
  <c r="D46" i="22"/>
  <c r="D30" i="22"/>
  <c r="D58" i="5" l="1"/>
  <c r="D61" i="5"/>
  <c r="D23" i="22"/>
  <c r="D22" i="22"/>
  <c r="D20" i="22" s="1"/>
  <c r="D21" i="22"/>
  <c r="D19" i="22"/>
  <c r="D39" i="5" l="1"/>
  <c r="D38" i="5"/>
  <c r="D37" i="5"/>
  <c r="J17" i="1" l="1"/>
  <c r="J45" i="1" l="1"/>
  <c r="J44" i="1"/>
  <c r="J43" i="1"/>
  <c r="J19" i="1"/>
  <c r="J18" i="1"/>
  <c r="D35" i="22"/>
  <c r="D29" i="22"/>
  <c r="D34" i="22" s="1"/>
  <c r="D33" i="22"/>
  <c r="D36" i="22" s="1"/>
  <c r="D25" i="22"/>
  <c r="D27" i="22" s="1"/>
  <c r="D24" i="22"/>
  <c r="D26" i="22" l="1"/>
  <c r="D38" i="22" s="1"/>
  <c r="D40" i="22" s="1"/>
  <c r="D44" i="22" s="1"/>
  <c r="D37" i="22"/>
  <c r="D32" i="22"/>
  <c r="D39" i="22" s="1"/>
  <c r="D43" i="22" s="1"/>
  <c r="D31" i="22"/>
  <c r="D42" i="22" l="1"/>
  <c r="D41" i="22"/>
  <c r="AE27" i="1"/>
  <c r="AD27" i="1"/>
  <c r="AE26" i="1"/>
  <c r="AD26" i="1"/>
  <c r="AE25" i="1"/>
  <c r="AE23" i="1"/>
  <c r="AE18" i="1"/>
  <c r="AD18" i="1"/>
  <c r="AD25" i="1" s="1"/>
  <c r="AE17" i="1"/>
  <c r="AD17" i="1"/>
  <c r="AE24" i="1" s="1"/>
  <c r="AE16" i="1"/>
  <c r="AD16" i="1"/>
  <c r="AD23" i="1" s="1"/>
  <c r="AE15" i="1"/>
  <c r="AD15" i="1"/>
  <c r="AD22" i="1" s="1"/>
  <c r="AE14" i="1"/>
  <c r="AD14" i="1"/>
  <c r="AE13" i="1"/>
  <c r="AD13" i="1"/>
  <c r="AE9" i="1"/>
  <c r="AD9" i="1"/>
  <c r="AE8" i="1"/>
  <c r="AD8" i="1"/>
  <c r="AE7" i="1"/>
  <c r="AD7" i="1"/>
  <c r="AE6" i="1"/>
  <c r="AD6" i="1"/>
  <c r="AE5" i="1"/>
  <c r="AD5" i="1"/>
  <c r="AE4" i="1"/>
  <c r="AD4" i="1"/>
  <c r="D45" i="22" l="1"/>
  <c r="AD24" i="1"/>
  <c r="AE22" i="1"/>
  <c r="I44" i="1" l="1"/>
  <c r="I45" i="1"/>
  <c r="I43" i="1"/>
  <c r="J36" i="1"/>
  <c r="J4" i="1" l="1"/>
  <c r="J29" i="1"/>
  <c r="J30" i="1" l="1"/>
  <c r="J31" i="1"/>
  <c r="J32" i="1"/>
  <c r="J33" i="1"/>
  <c r="J34" i="1"/>
  <c r="J35" i="1"/>
  <c r="J37" i="1"/>
  <c r="J38" i="1"/>
  <c r="L38" i="1" s="1"/>
  <c r="J39" i="1"/>
  <c r="J40" i="1"/>
  <c r="L40" i="1" s="1"/>
  <c r="J41" i="1"/>
  <c r="L41" i="1" s="1"/>
  <c r="J42" i="1"/>
  <c r="L42" i="1" s="1"/>
  <c r="L43" i="1"/>
  <c r="J28" i="1"/>
  <c r="J3" i="1"/>
  <c r="P29" i="1" l="1"/>
  <c r="P39" i="1"/>
  <c r="L37" i="1"/>
  <c r="P28" i="1"/>
  <c r="P40" i="1"/>
  <c r="R29" i="1"/>
  <c r="L39" i="1"/>
  <c r="P38" i="1" s="1"/>
  <c r="L36" i="1"/>
  <c r="P33" i="1"/>
  <c r="P31" i="1"/>
  <c r="P43" i="1"/>
  <c r="L32" i="1"/>
  <c r="P32" i="1" s="1"/>
  <c r="R30" i="1" s="1"/>
  <c r="P30" i="1"/>
  <c r="P41" i="1"/>
  <c r="J9" i="1"/>
  <c r="R38" i="1" l="1"/>
  <c r="R43" i="1"/>
  <c r="R28" i="1"/>
  <c r="P35" i="1"/>
  <c r="R31" i="1" s="1"/>
  <c r="T29" i="1" s="1"/>
  <c r="P34" i="1"/>
  <c r="T28" i="1"/>
  <c r="V28" i="1" s="1"/>
  <c r="J13" i="1"/>
  <c r="J14" i="1"/>
  <c r="L14" i="1" s="1"/>
  <c r="J15" i="1"/>
  <c r="J16" i="1"/>
  <c r="L16" i="1" s="1"/>
  <c r="J12" i="1"/>
  <c r="L12" i="1" s="1"/>
  <c r="J11" i="1"/>
  <c r="J10" i="1"/>
  <c r="J8" i="1"/>
  <c r="J6" i="1"/>
  <c r="J7" i="1"/>
  <c r="P15" i="1" s="1"/>
  <c r="J5" i="1"/>
  <c r="L17" i="1" l="1"/>
  <c r="L11" i="1"/>
  <c r="L10" i="1"/>
  <c r="V29" i="1"/>
  <c r="P44" i="1"/>
  <c r="X43" i="1" s="1"/>
  <c r="P4" i="1"/>
  <c r="P14" i="1"/>
  <c r="R4" i="1"/>
  <c r="T38" i="1"/>
  <c r="X38" i="1" s="1"/>
  <c r="P7" i="1"/>
  <c r="R5" i="1" s="1"/>
  <c r="L13" i="1"/>
  <c r="P13" i="1" s="1"/>
  <c r="L15" i="1"/>
  <c r="X29" i="1" l="1"/>
  <c r="X28" i="1"/>
  <c r="E40" i="1" s="1"/>
  <c r="X30" i="1"/>
  <c r="E44" i="1" s="1"/>
  <c r="C40" i="1"/>
  <c r="C43" i="1"/>
  <c r="C39" i="1"/>
  <c r="C44" i="1"/>
  <c r="D39" i="1"/>
  <c r="D42" i="1"/>
  <c r="D40" i="1"/>
  <c r="D41" i="1"/>
  <c r="P3" i="1"/>
  <c r="R3" i="1" s="1"/>
  <c r="P8" i="1"/>
  <c r="P9" i="1" s="1"/>
  <c r="P5" i="1"/>
  <c r="T3" i="1" s="1"/>
  <c r="V3" i="1" s="1"/>
  <c r="P10" i="1"/>
  <c r="R6" i="1" s="1"/>
  <c r="P18" i="1"/>
  <c r="R18" i="1" s="1"/>
  <c r="P6" i="1"/>
  <c r="P16" i="1"/>
  <c r="R13" i="1" s="1"/>
  <c r="E42" i="1" l="1"/>
  <c r="E41" i="1"/>
  <c r="Z5" i="1"/>
  <c r="X5" i="1"/>
  <c r="T4" i="1"/>
  <c r="E39" i="1"/>
  <c r="E43" i="1"/>
  <c r="T13" i="1"/>
  <c r="D33" i="5" l="1"/>
  <c r="E19" i="1"/>
  <c r="E18" i="1"/>
  <c r="P19" i="1"/>
  <c r="X18" i="1" s="1"/>
  <c r="V4" i="1"/>
  <c r="X13" i="1"/>
  <c r="D30" i="5" l="1"/>
  <c r="D31" i="5"/>
  <c r="D14" i="1"/>
  <c r="C19" i="1"/>
  <c r="X3" i="1"/>
  <c r="Z4" i="1"/>
  <c r="X4" i="1"/>
  <c r="C15" i="1"/>
  <c r="C18" i="1"/>
  <c r="C14" i="1"/>
  <c r="D15" i="1"/>
  <c r="D16" i="1"/>
  <c r="D17" i="1"/>
  <c r="D32" i="5" l="1"/>
  <c r="D51" i="5" s="1"/>
  <c r="D34" i="5"/>
  <c r="E15" i="1"/>
  <c r="E17" i="1"/>
  <c r="E16" i="1"/>
  <c r="E14" i="1"/>
  <c r="D56" i="5" l="1"/>
  <c r="D5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Chiniewicz, Marta</author>
  </authors>
  <commentList>
    <comment ref="C16" authorId="0" shapeId="0" xr:uid="{47AFA3B0-6E89-4B70-A856-CC9AF2CC4AA6}">
      <text>
        <r>
          <rPr>
            <b/>
            <sz val="9"/>
            <color indexed="81"/>
            <rFont val="Tahoma"/>
            <charset val="1"/>
          </rPr>
          <t>Chiniewicz, Marta:</t>
        </r>
        <r>
          <rPr>
            <sz val="9"/>
            <color indexed="81"/>
            <rFont val="Tahoma"/>
            <charset val="1"/>
          </rPr>
          <t xml:space="preserve">
Distance from baseline to lowest point of the exposed deck considered
</t>
        </r>
      </text>
    </comment>
    <comment ref="C17" authorId="0" shapeId="0" xr:uid="{A0CA37EA-3380-4B3E-A25E-E2D329D79EB1}">
      <text>
        <r>
          <rPr>
            <b/>
            <sz val="9"/>
            <color indexed="81"/>
            <rFont val="Tahoma"/>
            <charset val="1"/>
          </rPr>
          <t>Chiniewicz, Marta:</t>
        </r>
        <r>
          <rPr>
            <sz val="9"/>
            <color indexed="81"/>
            <rFont val="Tahoma"/>
            <charset val="1"/>
          </rPr>
          <t xml:space="preserve">
Distance from baseline to freeboard deck considered</t>
        </r>
      </text>
    </comment>
    <comment ref="C18" authorId="0" shapeId="0" xr:uid="{58E5F9FC-DEB0-42C5-9210-2D5225494736}">
      <text>
        <r>
          <rPr>
            <b/>
            <sz val="9"/>
            <color indexed="81"/>
            <rFont val="Tahoma"/>
            <charset val="1"/>
          </rPr>
          <t>Chiniewicz, Marta:</t>
        </r>
        <r>
          <rPr>
            <sz val="9"/>
            <color indexed="81"/>
            <rFont val="Tahoma"/>
            <charset val="1"/>
          </rPr>
          <t xml:space="preserve">
reduction factor related to service restrictions</t>
        </r>
      </text>
    </comment>
    <comment ref="C22" authorId="0" shapeId="0" xr:uid="{58411FD5-68EE-4199-A4C7-D45EC35A3850}">
      <text>
        <r>
          <rPr>
            <b/>
            <sz val="9"/>
            <color indexed="81"/>
            <rFont val="Tahoma"/>
            <charset val="1"/>
          </rPr>
          <t>Chiniewicz, Marta:</t>
        </r>
        <r>
          <rPr>
            <sz val="9"/>
            <color indexed="81"/>
            <rFont val="Tahoma"/>
            <charset val="1"/>
          </rPr>
          <t xml:space="preserve">
Assume L</t>
        </r>
        <r>
          <rPr>
            <vertAlign val="subscript"/>
            <sz val="9"/>
            <color indexed="81"/>
            <rFont val="Tahoma"/>
            <family val="2"/>
            <charset val="238"/>
          </rPr>
          <t>LL</t>
        </r>
        <r>
          <rPr>
            <sz val="9"/>
            <color indexed="81"/>
            <rFont val="Tahoma"/>
            <charset val="1"/>
          </rPr>
          <t>=L and x</t>
        </r>
        <r>
          <rPr>
            <vertAlign val="subscript"/>
            <sz val="9"/>
            <color indexed="81"/>
            <rFont val="Tahoma"/>
            <family val="2"/>
            <charset val="238"/>
          </rPr>
          <t>LL</t>
        </r>
        <r>
          <rPr>
            <sz val="9"/>
            <color indexed="81"/>
            <rFont val="Tahoma"/>
            <charset val="1"/>
          </rPr>
          <t xml:space="preserve">=x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Chiniewicz, Marta</author>
  </authors>
  <commentList>
    <comment ref="C43" authorId="0" shapeId="0" xr:uid="{23A3AC7D-F4DA-430B-8B99-4D8FDAFFB024}">
      <text>
        <r>
          <rPr>
            <b/>
            <sz val="9"/>
            <color indexed="81"/>
            <rFont val="Tahoma"/>
            <family val="2"/>
            <charset val="238"/>
          </rPr>
          <t>Chiniewicz, Marta:</t>
        </r>
        <r>
          <rPr>
            <sz val="9"/>
            <color indexed="81"/>
            <rFont val="Tahoma"/>
            <family val="2"/>
            <charset val="238"/>
          </rPr>
          <t xml:space="preserve">
heigh of air pipe or overflow pipe above the top of the tank
</t>
        </r>
      </text>
    </comment>
  </commentList>
</comments>
</file>

<file path=xl/sharedStrings.xml><?xml version="1.0" encoding="utf-8"?>
<sst xmlns="http://schemas.openxmlformats.org/spreadsheetml/2006/main" count="435" uniqueCount="251">
  <si>
    <t>Oblique 1</t>
  </si>
  <si>
    <t>Oblique 2</t>
  </si>
  <si>
    <t>Beam sea 1</t>
  </si>
  <si>
    <t>Beam sea 2</t>
  </si>
  <si>
    <t>Head sea 1</t>
  </si>
  <si>
    <t>Head sea 2</t>
  </si>
  <si>
    <t>a_x</t>
  </si>
  <si>
    <t>a_y</t>
  </si>
  <si>
    <t>a_z</t>
  </si>
  <si>
    <t>Direction</t>
  </si>
  <si>
    <t>Parametres</t>
  </si>
  <si>
    <r>
      <t>f</t>
    </r>
    <r>
      <rPr>
        <sz val="8"/>
        <color theme="1"/>
        <rFont val="Calibri"/>
        <family val="2"/>
        <scheme val="minor"/>
      </rPr>
      <t>ps</t>
    </r>
  </si>
  <si>
    <t>Extreme sea loads design load scenario</t>
  </si>
  <si>
    <t>Extreme sea loads design load scenario for vessels with service restriction</t>
  </si>
  <si>
    <t>Ballast water exchange design load scenario</t>
  </si>
  <si>
    <t>Ballast water exchange design load scenario for vessels with service restriction</t>
  </si>
  <si>
    <t>Load scenario</t>
  </si>
  <si>
    <t>R0</t>
  </si>
  <si>
    <t>R1</t>
  </si>
  <si>
    <t>R2</t>
  </si>
  <si>
    <t>Service area notation</t>
  </si>
  <si>
    <t>R3</t>
  </si>
  <si>
    <t>R4</t>
  </si>
  <si>
    <t>RE</t>
  </si>
  <si>
    <t>Strength or fatigue asessment</t>
  </si>
  <si>
    <t>Strength assessment</t>
  </si>
  <si>
    <t>Fatigue assessment</t>
  </si>
  <si>
    <t>Purpose</t>
  </si>
  <si>
    <r>
      <t>f</t>
    </r>
    <r>
      <rPr>
        <sz val="8"/>
        <color theme="1"/>
        <rFont val="Calibri"/>
        <family val="2"/>
        <scheme val="minor"/>
      </rPr>
      <t>fa</t>
    </r>
  </si>
  <si>
    <r>
      <t>f</t>
    </r>
    <r>
      <rPr>
        <sz val="8"/>
        <color theme="1"/>
        <rFont val="Calibri"/>
        <family val="2"/>
        <scheme val="minor"/>
      </rPr>
      <t>T</t>
    </r>
  </si>
  <si>
    <t>v</t>
  </si>
  <si>
    <t>Ship type</t>
  </si>
  <si>
    <t>Container vessel</t>
  </si>
  <si>
    <t>Tanker</t>
  </si>
  <si>
    <t>Other</t>
  </si>
  <si>
    <t>Value</t>
  </si>
  <si>
    <t>Bilge keel</t>
  </si>
  <si>
    <r>
      <t>f</t>
    </r>
    <r>
      <rPr>
        <sz val="8"/>
        <color theme="1"/>
        <rFont val="Calibri"/>
        <family val="2"/>
        <scheme val="minor"/>
      </rPr>
      <t>BK</t>
    </r>
  </si>
  <si>
    <t>Yes</t>
  </si>
  <si>
    <t>No</t>
  </si>
  <si>
    <t>GM (if not calculated, leave blank) [m]</t>
  </si>
  <si>
    <r>
      <t>k</t>
    </r>
    <r>
      <rPr>
        <sz val="8"/>
        <color theme="1"/>
        <rFont val="Calibri"/>
        <family val="2"/>
        <scheme val="minor"/>
      </rPr>
      <t xml:space="preserve">r </t>
    </r>
    <r>
      <rPr>
        <sz val="12"/>
        <color theme="1"/>
        <rFont val="Calibri"/>
        <family val="2"/>
        <scheme val="minor"/>
      </rPr>
      <t>(if not calculated, leave blank) [m]</t>
    </r>
  </si>
  <si>
    <t>B [m]</t>
  </si>
  <si>
    <t>L [m]</t>
  </si>
  <si>
    <r>
      <t>T</t>
    </r>
    <r>
      <rPr>
        <sz val="8"/>
        <color theme="1"/>
        <rFont val="Calibri"/>
        <family val="2"/>
        <scheme val="minor"/>
      </rPr>
      <t>SC</t>
    </r>
    <r>
      <rPr>
        <sz val="12"/>
        <color theme="1"/>
        <rFont val="Calibri"/>
        <family val="2"/>
        <scheme val="minor"/>
      </rPr>
      <t xml:space="preserve"> [m]</t>
    </r>
  </si>
  <si>
    <r>
      <t>C</t>
    </r>
    <r>
      <rPr>
        <sz val="8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 xml:space="preserve"> [-]</t>
    </r>
  </si>
  <si>
    <t>L1</t>
  </si>
  <si>
    <t>L2</t>
  </si>
  <si>
    <t>L3</t>
  </si>
  <si>
    <t>L4</t>
  </si>
  <si>
    <t>L5</t>
  </si>
  <si>
    <t>a_0</t>
  </si>
  <si>
    <t>lambda_phi</t>
  </si>
  <si>
    <t>f_p_heave</t>
  </si>
  <si>
    <t>f_p_pitch</t>
  </si>
  <si>
    <t>f_p_roll</t>
  </si>
  <si>
    <t>T_theta</t>
  </si>
  <si>
    <t>a_heave</t>
  </si>
  <si>
    <t>phi</t>
  </si>
  <si>
    <t>T_phi</t>
  </si>
  <si>
    <t>theta</t>
  </si>
  <si>
    <t>f_p_theta**</t>
  </si>
  <si>
    <t>f_p_phi **</t>
  </si>
  <si>
    <t>**</t>
  </si>
  <si>
    <t>a_pitch</t>
  </si>
  <si>
    <t>a_roll</t>
  </si>
  <si>
    <t>a_roll_z</t>
  </si>
  <si>
    <t>a_pitch_z</t>
  </si>
  <si>
    <t>a_z_env</t>
  </si>
  <si>
    <t>a_z_env_roll</t>
  </si>
  <si>
    <t>a_z_env_pitch</t>
  </si>
  <si>
    <t>f_v</t>
  </si>
  <si>
    <t>v (if specified in Pt.5) [kn]</t>
  </si>
  <si>
    <t>f_L</t>
  </si>
  <si>
    <t>R</t>
  </si>
  <si>
    <t>f_p_surge</t>
  </si>
  <si>
    <t>a_surge</t>
  </si>
  <si>
    <t>a_x_env</t>
  </si>
  <si>
    <t>a_pitch_x</t>
  </si>
  <si>
    <t>f_p_sway</t>
  </si>
  <si>
    <t>a_sway</t>
  </si>
  <si>
    <t>a_roll_y</t>
  </si>
  <si>
    <t>a_y_env</t>
  </si>
  <si>
    <t>uses f_p=1 according to rules when calculating a_pitch and a_roll</t>
  </si>
  <si>
    <r>
      <t>a</t>
    </r>
    <r>
      <rPr>
        <sz val="8"/>
        <color theme="1"/>
        <rFont val="Calibri"/>
        <family val="2"/>
        <scheme val="minor"/>
      </rPr>
      <t>x,env</t>
    </r>
  </si>
  <si>
    <r>
      <t>0.6a</t>
    </r>
    <r>
      <rPr>
        <sz val="8"/>
        <color theme="1"/>
        <rFont val="Calibri"/>
        <family val="2"/>
        <scheme val="minor"/>
      </rPr>
      <t>x,env</t>
    </r>
  </si>
  <si>
    <r>
      <t>a</t>
    </r>
    <r>
      <rPr>
        <sz val="8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/>
    </r>
  </si>
  <si>
    <r>
      <t>0.8a</t>
    </r>
    <r>
      <rPr>
        <sz val="8"/>
        <color theme="1"/>
        <rFont val="Calibri"/>
        <family val="2"/>
        <scheme val="minor"/>
      </rPr>
      <t>y,env</t>
    </r>
  </si>
  <si>
    <r>
      <t>a</t>
    </r>
    <r>
      <rPr>
        <sz val="8"/>
        <color theme="1"/>
        <rFont val="Calibri"/>
        <family val="2"/>
        <scheme val="minor"/>
      </rPr>
      <t>y,env</t>
    </r>
  </si>
  <si>
    <r>
      <t>a</t>
    </r>
    <r>
      <rPr>
        <sz val="8"/>
        <color theme="1"/>
        <rFont val="Calibri"/>
        <family val="2"/>
        <scheme val="minor"/>
      </rPr>
      <t>y</t>
    </r>
    <r>
      <rPr>
        <sz val="12"/>
        <color theme="1"/>
        <rFont val="Calibri"/>
        <family val="2"/>
        <scheme val="minor"/>
      </rPr>
      <t/>
    </r>
  </si>
  <si>
    <r>
      <t>a</t>
    </r>
    <r>
      <rPr>
        <sz val="8"/>
        <color theme="1"/>
        <rFont val="Calibri"/>
        <family val="2"/>
        <scheme val="minor"/>
      </rPr>
      <t>z</t>
    </r>
    <r>
      <rPr>
        <sz val="12"/>
        <color theme="1"/>
        <rFont val="Calibri"/>
        <family val="2"/>
        <scheme val="minor"/>
      </rPr>
      <t/>
    </r>
  </si>
  <si>
    <r>
      <t>g+a</t>
    </r>
    <r>
      <rPr>
        <sz val="8"/>
        <color theme="1"/>
        <rFont val="Calibri"/>
        <family val="2"/>
        <scheme val="minor"/>
      </rPr>
      <t>z,env</t>
    </r>
  </si>
  <si>
    <r>
      <t>g+a</t>
    </r>
    <r>
      <rPr>
        <sz val="8"/>
        <color theme="1"/>
        <rFont val="Calibri"/>
        <family val="2"/>
        <scheme val="minor"/>
      </rPr>
      <t>z,env-roll</t>
    </r>
  </si>
  <si>
    <r>
      <t>g+a</t>
    </r>
    <r>
      <rPr>
        <sz val="8"/>
        <color theme="1"/>
        <rFont val="Calibri"/>
        <family val="2"/>
        <scheme val="minor"/>
      </rPr>
      <t>z,env-pitch</t>
    </r>
  </si>
  <si>
    <t>D [m]</t>
  </si>
  <si>
    <t>g [m/s^2]</t>
  </si>
  <si>
    <t>Input</t>
  </si>
  <si>
    <r>
      <t>f</t>
    </r>
    <r>
      <rPr>
        <sz val="8"/>
        <color theme="1"/>
        <rFont val="Calibri"/>
        <family val="2"/>
        <scheme val="minor"/>
      </rPr>
      <t>r</t>
    </r>
  </si>
  <si>
    <t>v (if not specified in Pt.5, leave blank) [kn]</t>
  </si>
  <si>
    <t>GM</t>
  </si>
  <si>
    <t>User's input</t>
  </si>
  <si>
    <t>Incoming wave direction</t>
  </si>
  <si>
    <t>Results</t>
  </si>
  <si>
    <t>Oblique sea 1</t>
  </si>
  <si>
    <t>Oblique sea 2</t>
  </si>
  <si>
    <t>Full load</t>
  </si>
  <si>
    <t>Ballast condition</t>
  </si>
  <si>
    <r>
      <t>T</t>
    </r>
    <r>
      <rPr>
        <sz val="8"/>
        <color theme="1"/>
        <rFont val="Calibri"/>
        <family val="2"/>
        <scheme val="minor"/>
      </rPr>
      <t>Ballast</t>
    </r>
    <r>
      <rPr>
        <sz val="12"/>
        <color theme="1"/>
        <rFont val="Calibri"/>
        <family val="2"/>
        <scheme val="minor"/>
      </rPr>
      <t xml:space="preserve"> [m]</t>
    </r>
  </si>
  <si>
    <t>Governing case</t>
  </si>
  <si>
    <t>Governing load case</t>
  </si>
  <si>
    <r>
      <t>k</t>
    </r>
    <r>
      <rPr>
        <sz val="8"/>
        <color theme="1"/>
        <rFont val="Calibri"/>
        <family val="2"/>
        <scheme val="minor"/>
      </rPr>
      <t>r</t>
    </r>
  </si>
  <si>
    <t>Container ship</t>
  </si>
  <si>
    <t>Bulk carrier and dry cargo ship</t>
  </si>
  <si>
    <t>MPV / general cargo ship</t>
  </si>
  <si>
    <t>Gas carrier</t>
  </si>
  <si>
    <t>Ore carrier</t>
  </si>
  <si>
    <t>Passenger ship</t>
  </si>
  <si>
    <t>RO/RO</t>
  </si>
  <si>
    <t>Others</t>
  </si>
  <si>
    <r>
      <t>L</t>
    </r>
    <r>
      <rPr>
        <sz val="8"/>
        <color theme="1"/>
        <rFont val="Calibri"/>
        <family val="2"/>
        <scheme val="minor"/>
      </rPr>
      <t>bp</t>
    </r>
  </si>
  <si>
    <t>x</t>
  </si>
  <si>
    <t>y [m]</t>
  </si>
  <si>
    <t>z [m]</t>
  </si>
  <si>
    <t>x (distance from AP) [m]</t>
  </si>
  <si>
    <r>
      <t>g-a</t>
    </r>
    <r>
      <rPr>
        <sz val="8"/>
        <color theme="1"/>
        <rFont val="Calibri"/>
        <family val="2"/>
        <scheme val="minor"/>
      </rPr>
      <t>z,env</t>
    </r>
  </si>
  <si>
    <r>
      <t>g-a</t>
    </r>
    <r>
      <rPr>
        <sz val="8"/>
        <color theme="1"/>
        <rFont val="Calibri"/>
        <family val="2"/>
        <scheme val="minor"/>
      </rPr>
      <t>z,env-roll</t>
    </r>
  </si>
  <si>
    <r>
      <t>g-a</t>
    </r>
    <r>
      <rPr>
        <sz val="8"/>
        <color theme="1"/>
        <rFont val="Calibri"/>
        <family val="2"/>
        <scheme val="minor"/>
      </rPr>
      <t>z,env-pitch</t>
    </r>
  </si>
  <si>
    <t>y</t>
  </si>
  <si>
    <t>z</t>
  </si>
  <si>
    <t>x0</t>
  </si>
  <si>
    <t>y0</t>
  </si>
  <si>
    <t>z0</t>
  </si>
  <si>
    <t>ax env</t>
  </si>
  <si>
    <t>ay env</t>
  </si>
  <si>
    <t>az env</t>
  </si>
  <si>
    <t>CG from CL (mm)</t>
  </si>
  <si>
    <t>CG from BL (mm)</t>
  </si>
  <si>
    <t>CG (from AP) (mm) CGx</t>
  </si>
  <si>
    <t>Bounding geometry Min Z</t>
  </si>
  <si>
    <t>Bounding geometry Max Z</t>
  </si>
  <si>
    <t>Liquid density</t>
  </si>
  <si>
    <t>ax, max [m/s^2]</t>
  </si>
  <si>
    <t>ay [m/s^2]</t>
  </si>
  <si>
    <t>az [m/s^2]</t>
  </si>
  <si>
    <t>Bx</t>
  </si>
  <si>
    <t>V [knots] (service speed)</t>
  </si>
  <si>
    <t>frame spacing [mm]</t>
  </si>
  <si>
    <t>PLATE</t>
  </si>
  <si>
    <t>x [m]</t>
  </si>
  <si>
    <t>STIFFNERS</t>
  </si>
  <si>
    <t xml:space="preserve">x [m] </t>
  </si>
  <si>
    <t>x/L (plate)</t>
  </si>
  <si>
    <t>x/L (stiffners)</t>
  </si>
  <si>
    <t>f_4 (based on f_xl, plate)</t>
  </si>
  <si>
    <t>f_4 (stiffners)</t>
  </si>
  <si>
    <t>f_5 (plate)</t>
  </si>
  <si>
    <t>f_5 (stiffners)</t>
  </si>
  <si>
    <t>Pw,wl (plate)</t>
  </si>
  <si>
    <t>Pw,wl (stiffners)</t>
  </si>
  <si>
    <t>Plate</t>
  </si>
  <si>
    <t>R_eH</t>
  </si>
  <si>
    <t>C_a</t>
  </si>
  <si>
    <t>treq NEW</t>
  </si>
  <si>
    <t>Stiffeners</t>
  </si>
  <si>
    <t>l (stiffener length)</t>
  </si>
  <si>
    <t>f_u (HP-profile)</t>
  </si>
  <si>
    <t>f_bdg (10 for trv. Stiff?)</t>
  </si>
  <si>
    <t>C_s (=0,95, simplified)</t>
  </si>
  <si>
    <t>zreq NEW</t>
  </si>
  <si>
    <t>Bounding geometry Min X at top</t>
  </si>
  <si>
    <t>Bounding geometry Max X at top</t>
  </si>
  <si>
    <t>Bounding geometry Min Y at top</t>
  </si>
  <si>
    <t>Bounding geometry Max Y at top</t>
  </si>
  <si>
    <r>
      <t>L</t>
    </r>
    <r>
      <rPr>
        <sz val="11"/>
        <color theme="1"/>
        <rFont val="Calibri"/>
        <family val="2"/>
        <scheme val="minor"/>
      </rPr>
      <t>bp</t>
    </r>
  </si>
  <si>
    <r>
      <t>T</t>
    </r>
    <r>
      <rPr>
        <sz val="11"/>
        <color theme="1"/>
        <rFont val="Calibri"/>
        <family val="2"/>
        <scheme val="minor"/>
      </rPr>
      <t>Ballast [m]</t>
    </r>
  </si>
  <si>
    <r>
      <t>T</t>
    </r>
    <r>
      <rPr>
        <sz val="11"/>
        <color theme="1"/>
        <rFont val="Calibri"/>
        <family val="2"/>
        <scheme val="minor"/>
      </rPr>
      <t>SC [m]</t>
    </r>
  </si>
  <si>
    <r>
      <t>C</t>
    </r>
    <r>
      <rPr>
        <sz val="11"/>
        <color theme="1"/>
        <rFont val="Calibri"/>
        <family val="2"/>
        <scheme val="minor"/>
      </rPr>
      <t>B [-]</t>
    </r>
  </si>
  <si>
    <r>
      <t>GM</t>
    </r>
    <r>
      <rPr>
        <sz val="11"/>
        <color theme="1"/>
        <rFont val="Calibri"/>
        <family val="2"/>
        <scheme val="minor"/>
      </rPr>
      <t>full load (if not calculated, leave blank) [m]</t>
    </r>
  </si>
  <si>
    <r>
      <t>GM</t>
    </r>
    <r>
      <rPr>
        <sz val="11"/>
        <color theme="1"/>
        <rFont val="Calibri"/>
        <family val="2"/>
        <scheme val="minor"/>
      </rPr>
      <t>ballast (if not calculated, leave blank) [m]</t>
    </r>
  </si>
  <si>
    <r>
      <t>k</t>
    </r>
    <r>
      <rPr>
        <sz val="11"/>
        <color theme="1"/>
        <rFont val="Calibri"/>
        <family val="2"/>
        <scheme val="minor"/>
      </rPr>
      <t>r (if not calculated, leave blank) [m]</t>
    </r>
  </si>
  <si>
    <t>az env pitch</t>
  </si>
  <si>
    <t>az env roll</t>
  </si>
  <si>
    <t>k1</t>
  </si>
  <si>
    <t>k2</t>
  </si>
  <si>
    <t>P_ENV (plate)</t>
  </si>
  <si>
    <t>P_ENV (stiffener)</t>
  </si>
  <si>
    <t>treq</t>
  </si>
  <si>
    <t>zreq</t>
  </si>
  <si>
    <t>Pw + Ps  (stiffener)</t>
  </si>
  <si>
    <t>External shell and exposed deck</t>
  </si>
  <si>
    <t>Superstructure side</t>
  </si>
  <si>
    <t>SEA-1</t>
  </si>
  <si>
    <t>c</t>
  </si>
  <si>
    <r>
      <t>P</t>
    </r>
    <r>
      <rPr>
        <b/>
        <vertAlign val="subscript"/>
        <sz val="11"/>
        <rFont val="Calibri"/>
        <family val="2"/>
        <charset val="238"/>
        <scheme val="minor"/>
      </rPr>
      <t xml:space="preserve">D </t>
    </r>
    <r>
      <rPr>
        <b/>
        <sz val="11"/>
        <rFont val="Calibri"/>
        <family val="2"/>
        <charset val="238"/>
        <scheme val="minor"/>
      </rPr>
      <t>(plate)</t>
    </r>
  </si>
  <si>
    <r>
      <t>P</t>
    </r>
    <r>
      <rPr>
        <b/>
        <vertAlign val="subscript"/>
        <sz val="11"/>
        <rFont val="Calibri"/>
        <family val="2"/>
        <charset val="238"/>
        <scheme val="minor"/>
      </rPr>
      <t>D</t>
    </r>
    <r>
      <rPr>
        <b/>
        <sz val="11"/>
        <rFont val="Calibri"/>
        <family val="2"/>
        <scheme val="minor"/>
      </rPr>
      <t xml:space="preserve"> (stiffener)</t>
    </r>
  </si>
  <si>
    <r>
      <t>Pw</t>
    </r>
    <r>
      <rPr>
        <sz val="11"/>
        <rFont val="Calibri"/>
        <family val="2"/>
        <charset val="238"/>
        <scheme val="minor"/>
      </rPr>
      <t xml:space="preserve"> </t>
    </r>
    <r>
      <rPr>
        <b/>
        <sz val="11"/>
        <rFont val="Calibri"/>
        <family val="2"/>
        <scheme val="minor"/>
      </rPr>
      <t>+ Ps (plate)</t>
    </r>
  </si>
  <si>
    <t>CB</t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</si>
  <si>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SC</t>
    </r>
    <r>
      <rPr>
        <sz val="11"/>
        <color theme="1"/>
        <rFont val="Calibri"/>
        <family val="2"/>
        <scheme val="minor"/>
      </rPr>
      <t xml:space="preserve"> [m] (=T</t>
    </r>
    <r>
      <rPr>
        <vertAlign val="subscript"/>
        <sz val="11"/>
        <color theme="1"/>
        <rFont val="Calibri"/>
        <family val="2"/>
        <charset val="238"/>
        <scheme val="minor"/>
      </rPr>
      <t>LC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</si>
  <si>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LC</t>
    </r>
    <r>
      <rPr>
        <sz val="11"/>
        <color theme="1"/>
        <rFont val="Calibri"/>
        <family val="2"/>
        <scheme val="minor"/>
      </rPr>
      <t xml:space="preserve"> [m]</t>
    </r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</si>
  <si>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dk</t>
    </r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</si>
  <si>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fdk</t>
    </r>
  </si>
  <si>
    <t>χ (plate)</t>
  </si>
  <si>
    <t>χ (stiffener)</t>
  </si>
  <si>
    <r>
      <t>P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D-min </t>
    </r>
    <r>
      <rPr>
        <sz val="11"/>
        <color theme="1"/>
        <rFont val="Calibri"/>
        <family val="2"/>
        <scheme val="minor"/>
      </rPr>
      <t>(plate)</t>
    </r>
  </si>
  <si>
    <r>
      <t>P</t>
    </r>
    <r>
      <rPr>
        <vertAlign val="subscript"/>
        <sz val="11"/>
        <color theme="1"/>
        <rFont val="Calibri"/>
        <family val="2"/>
        <charset val="238"/>
        <scheme val="minor"/>
      </rPr>
      <t>D-min</t>
    </r>
    <r>
      <rPr>
        <sz val="11"/>
        <color theme="1"/>
        <rFont val="Calibri"/>
        <family val="2"/>
        <scheme val="minor"/>
      </rPr>
      <t xml:space="preserve"> (stiffener)</t>
    </r>
  </si>
  <si>
    <t>f_3</t>
  </si>
  <si>
    <t>fr</t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</si>
  <si>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yz</t>
    </r>
    <r>
      <rPr>
        <sz val="11"/>
        <color theme="1"/>
        <rFont val="Calibri"/>
        <family val="2"/>
        <scheme val="minor"/>
      </rPr>
      <t xml:space="preserve"> (plate)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</si>
  <si>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yz</t>
    </r>
    <r>
      <rPr>
        <sz val="11"/>
        <color theme="1"/>
        <rFont val="Calibri"/>
        <family val="2"/>
        <scheme val="minor"/>
      </rPr>
      <t xml:space="preserve"> (stiffener)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</si>
  <si>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yB</t>
    </r>
    <r>
      <rPr>
        <sz val="11"/>
        <color theme="1"/>
        <rFont val="Calibri"/>
        <family val="2"/>
        <scheme val="minor"/>
      </rPr>
      <t xml:space="preserve"> (plate)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</si>
  <si>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yB</t>
    </r>
    <r>
      <rPr>
        <sz val="11"/>
        <color theme="1"/>
        <rFont val="Calibri"/>
        <family val="2"/>
        <scheme val="minor"/>
      </rPr>
      <t>(stiffener)</t>
    </r>
  </si>
  <si>
    <t>Ps</t>
  </si>
  <si>
    <t>External shell</t>
  </si>
  <si>
    <t>SEA-2</t>
  </si>
  <si>
    <r>
      <t>max(P</t>
    </r>
    <r>
      <rPr>
        <b/>
        <vertAlign val="subscript"/>
        <sz val="11"/>
        <rFont val="Calibri"/>
        <family val="2"/>
        <charset val="238"/>
        <scheme val="minor"/>
      </rPr>
      <t>W</t>
    </r>
    <r>
      <rPr>
        <b/>
        <sz val="11"/>
        <rFont val="Calibri"/>
        <family val="2"/>
        <scheme val="minor"/>
      </rPr>
      <t>;P</t>
    </r>
    <r>
      <rPr>
        <b/>
        <vertAlign val="subscript"/>
        <sz val="11"/>
        <rFont val="Calibri"/>
        <family val="2"/>
        <charset val="238"/>
        <scheme val="minor"/>
      </rPr>
      <t>SI</t>
    </r>
    <r>
      <rPr>
        <b/>
        <sz val="11"/>
        <rFont val="Calibri"/>
        <family val="2"/>
        <scheme val="minor"/>
      </rPr>
      <t>) plate</t>
    </r>
  </si>
  <si>
    <r>
      <t>max(P</t>
    </r>
    <r>
      <rPr>
        <b/>
        <vertAlign val="subscript"/>
        <sz val="11"/>
        <rFont val="Calibri"/>
        <family val="2"/>
        <charset val="238"/>
        <scheme val="minor"/>
      </rPr>
      <t>W</t>
    </r>
    <r>
      <rPr>
        <b/>
        <sz val="11"/>
        <rFont val="Calibri"/>
        <family val="2"/>
        <scheme val="minor"/>
      </rPr>
      <t>;P</t>
    </r>
    <r>
      <rPr>
        <b/>
        <vertAlign val="subscript"/>
        <sz val="11"/>
        <rFont val="Calibri"/>
        <family val="2"/>
        <charset val="238"/>
        <scheme val="minor"/>
      </rPr>
      <t>SI</t>
    </r>
    <r>
      <rPr>
        <b/>
        <sz val="11"/>
        <rFont val="Calibri"/>
        <family val="2"/>
        <scheme val="minor"/>
      </rPr>
      <t>) stiffeners</t>
    </r>
  </si>
  <si>
    <t xml:space="preserve">Cw </t>
  </si>
  <si>
    <t>P</t>
  </si>
  <si>
    <t>Boundaries of water ballast tanks and ballast holds</t>
  </si>
  <si>
    <t>WB-1</t>
  </si>
  <si>
    <t>WB-3</t>
  </si>
  <si>
    <t>WB-4</t>
  </si>
  <si>
    <t>Pis-1</t>
  </si>
  <si>
    <t>Pld</t>
  </si>
  <si>
    <t>pis-1 + pld</t>
  </si>
  <si>
    <t>Pdrop-2</t>
  </si>
  <si>
    <t>hair</t>
  </si>
  <si>
    <t>Pis-4</t>
  </si>
  <si>
    <t>Pis-3</t>
  </si>
  <si>
    <t>PPV</t>
  </si>
  <si>
    <t>P0</t>
  </si>
  <si>
    <t>pis-3</t>
  </si>
  <si>
    <t>ZST</t>
  </si>
  <si>
    <t>Pis-ST</t>
  </si>
  <si>
    <t>TK-1</t>
  </si>
  <si>
    <t>TK-2</t>
  </si>
  <si>
    <t>TK-3</t>
  </si>
  <si>
    <t>pis-ST</t>
  </si>
  <si>
    <t>max(Pis-4;Pis-ST)</t>
  </si>
  <si>
    <t>Boundaries of tanks other than water tanks</t>
  </si>
  <si>
    <t>Compartment</t>
  </si>
  <si>
    <t>Double bottom tank</t>
  </si>
  <si>
    <t>Hopper side tanks</t>
  </si>
  <si>
    <t>Tanks</t>
  </si>
  <si>
    <t>Ballast hold</t>
  </si>
  <si>
    <t>Chain locker</t>
  </si>
  <si>
    <t>Independent tanks</t>
  </si>
  <si>
    <t>Ballast ducts</t>
  </si>
  <si>
    <t>Zbd</t>
  </si>
  <si>
    <t>zc</t>
  </si>
  <si>
    <t>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</si>
</sst>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bscript"/>
      <sz val="9"/>
      <color indexed="81"/>
      <name val="Tahoma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2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6" xfId="0" applyFont="1" applyBorder="1"/>
    <xf numFmtId="0" fontId="4" fillId="0" borderId="0" xfId="0" applyFont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7" fillId="0" borderId="0" xfId="2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17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quotePrefix="1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4" fillId="0" borderId="0" xfId="0" applyNumberFormat="1" applyFont="1" applyBorder="1"/>
    <xf numFmtId="164" fontId="4" fillId="0" borderId="7" xfId="0" applyNumberFormat="1" applyFont="1" applyBorder="1"/>
    <xf numFmtId="164" fontId="4" fillId="0" borderId="5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0" xfId="0" applyFont="1"/>
    <xf numFmtId="0" fontId="5" fillId="0" borderId="10" xfId="0" applyFont="1" applyBorder="1"/>
    <xf numFmtId="0" fontId="5" fillId="0" borderId="11" xfId="0" applyFont="1" applyBorder="1" applyAlignment="1">
      <alignment horizontal="center"/>
    </xf>
    <xf numFmtId="0" fontId="5" fillId="0" borderId="11" xfId="0" applyFont="1" applyBorder="1"/>
    <xf numFmtId="0" fontId="5" fillId="0" borderId="12" xfId="0" applyFont="1" applyBorder="1"/>
    <xf numFmtId="0" fontId="4" fillId="0" borderId="17" xfId="0" applyFont="1" applyBorder="1" applyAlignment="1">
      <alignment horizontal="right"/>
    </xf>
    <xf numFmtId="0" fontId="4" fillId="0" borderId="14" xfId="0" applyFont="1" applyBorder="1" applyAlignment="1">
      <alignment horizontal="center"/>
    </xf>
    <xf numFmtId="0" fontId="4" fillId="0" borderId="16" xfId="0" quotePrefix="1" applyFont="1" applyBorder="1"/>
    <xf numFmtId="0" fontId="4" fillId="0" borderId="11" xfId="0" applyFont="1" applyFill="1" applyBorder="1"/>
    <xf numFmtId="0" fontId="9" fillId="0" borderId="0" xfId="1" applyFont="1" applyFill="1"/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10" fillId="0" borderId="0" xfId="0" applyFont="1"/>
    <xf numFmtId="0" fontId="4" fillId="0" borderId="0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8" fillId="0" borderId="0" xfId="0" applyFont="1" applyBorder="1" applyAlignment="1"/>
    <xf numFmtId="0" fontId="11" fillId="0" borderId="0" xfId="1" applyFont="1" applyFill="1"/>
    <xf numFmtId="0" fontId="11" fillId="0" borderId="16" xfId="1" quotePrefix="1" applyFont="1" applyFill="1" applyBorder="1"/>
    <xf numFmtId="0" fontId="11" fillId="0" borderId="17" xfId="1" applyFont="1" applyFill="1" applyBorder="1"/>
    <xf numFmtId="0" fontId="11" fillId="0" borderId="0" xfId="1" applyFont="1" applyFill="1" applyBorder="1"/>
    <xf numFmtId="0" fontId="12" fillId="0" borderId="0" xfId="1" applyFont="1" applyFill="1"/>
    <xf numFmtId="0" fontId="11" fillId="0" borderId="0" xfId="0" applyFont="1" applyFill="1"/>
    <xf numFmtId="0" fontId="4" fillId="0" borderId="12" xfId="0" applyFont="1" applyBorder="1"/>
    <xf numFmtId="164" fontId="4" fillId="3" borderId="5" xfId="0" applyNumberFormat="1" applyFont="1" applyFill="1" applyBorder="1"/>
    <xf numFmtId="164" fontId="4" fillId="3" borderId="8" xfId="0" applyNumberFormat="1" applyFont="1" applyFill="1" applyBorder="1"/>
    <xf numFmtId="0" fontId="4" fillId="0" borderId="0" xfId="0" applyFont="1" applyFill="1" applyBorder="1"/>
    <xf numFmtId="14" fontId="4" fillId="0" borderId="0" xfId="0" applyNumberFormat="1" applyFont="1" applyFill="1" applyBorder="1"/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1" fillId="0" borderId="0" xfId="0" applyFont="1"/>
    <xf numFmtId="0" fontId="13" fillId="0" borderId="17" xfId="0" applyFont="1" applyBorder="1"/>
    <xf numFmtId="0" fontId="14" fillId="0" borderId="0" xfId="0" applyFont="1" applyBorder="1"/>
    <xf numFmtId="0" fontId="14" fillId="0" borderId="17" xfId="0" applyFont="1" applyBorder="1"/>
    <xf numFmtId="0" fontId="0" fillId="0" borderId="0" xfId="0" applyBorder="1" applyAlignment="1">
      <alignment horizontal="center"/>
    </xf>
    <xf numFmtId="0" fontId="0" fillId="0" borderId="16" xfId="0" applyBorder="1"/>
    <xf numFmtId="2" fontId="0" fillId="4" borderId="22" xfId="0" applyNumberFormat="1" applyFill="1" applyBorder="1" applyAlignment="1">
      <alignment horizontal="center" vertical="center"/>
    </xf>
    <xf numFmtId="0" fontId="0" fillId="4" borderId="22" xfId="0" applyFill="1" applyBorder="1" applyAlignment="1">
      <alignment horizontal="center"/>
    </xf>
    <xf numFmtId="2" fontId="0" fillId="0" borderId="22" xfId="0" applyNumberFormat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2" fillId="0" borderId="22" xfId="0" applyNumberFormat="1" applyFont="1" applyFill="1" applyBorder="1" applyAlignment="1">
      <alignment horizontal="center" vertical="center"/>
    </xf>
    <xf numFmtId="165" fontId="15" fillId="5" borderId="22" xfId="0" applyNumberFormat="1" applyFont="1" applyFill="1" applyBorder="1" applyAlignment="1">
      <alignment horizontal="center"/>
    </xf>
    <xf numFmtId="165" fontId="15" fillId="5" borderId="2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6" borderId="23" xfId="0" applyFont="1" applyFill="1" applyBorder="1"/>
    <xf numFmtId="0" fontId="0" fillId="6" borderId="23" xfId="0" applyFill="1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15" fillId="5" borderId="21" xfId="0" applyFont="1" applyFill="1" applyBorder="1"/>
    <xf numFmtId="2" fontId="15" fillId="5" borderId="21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22" xfId="0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6" fillId="0" borderId="9" xfId="0" applyFont="1" applyBorder="1"/>
    <xf numFmtId="0" fontId="5" fillId="0" borderId="9" xfId="0" applyFont="1" applyBorder="1"/>
    <xf numFmtId="0" fontId="5" fillId="0" borderId="9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6" xfId="0" applyFont="1" applyBorder="1"/>
    <xf numFmtId="0" fontId="0" fillId="0" borderId="16" xfId="0" applyFont="1" applyBorder="1" applyAlignment="1">
      <alignment wrapText="1"/>
    </xf>
    <xf numFmtId="0" fontId="12" fillId="5" borderId="13" xfId="0" applyFont="1" applyFill="1" applyBorder="1"/>
    <xf numFmtId="0" fontId="0" fillId="4" borderId="23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2" fontId="0" fillId="7" borderId="21" xfId="0" applyNumberFormat="1" applyFill="1" applyBorder="1" applyAlignment="1">
      <alignment horizontal="center" vertical="center"/>
    </xf>
    <xf numFmtId="0" fontId="0" fillId="0" borderId="23" xfId="0" applyBorder="1"/>
    <xf numFmtId="0" fontId="0" fillId="0" borderId="22" xfId="0" applyFill="1" applyBorder="1"/>
    <xf numFmtId="0" fontId="15" fillId="0" borderId="22" xfId="0" applyFont="1" applyFill="1" applyBorder="1"/>
    <xf numFmtId="0" fontId="15" fillId="5" borderId="22" xfId="0" applyFont="1" applyFill="1" applyBorder="1"/>
    <xf numFmtId="2" fontId="0" fillId="4" borderId="23" xfId="0" applyNumberFormat="1" applyFill="1" applyBorder="1" applyAlignment="1">
      <alignment horizontal="center" vertical="center"/>
    </xf>
    <xf numFmtId="0" fontId="15" fillId="5" borderId="23" xfId="0" applyFont="1" applyFill="1" applyBorder="1"/>
    <xf numFmtId="165" fontId="15" fillId="5" borderId="23" xfId="0" applyNumberFormat="1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0" borderId="22" xfId="0" applyFont="1" applyFill="1" applyBorder="1"/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12" fillId="5" borderId="0" xfId="0" applyFont="1" applyFill="1" applyBorder="1"/>
    <xf numFmtId="2" fontId="0" fillId="7" borderId="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6" fillId="6" borderId="22" xfId="0" applyFont="1" applyFill="1" applyBorder="1"/>
    <xf numFmtId="0" fontId="0" fillId="6" borderId="22" xfId="0" applyFill="1" applyBorder="1" applyAlignment="1">
      <alignment horizontal="center"/>
    </xf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420094</xdr:colOff>
      <xdr:row>46</xdr:row>
      <xdr:rowOff>172670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7E6E08-4B89-401D-837B-98564DD7C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125694" cy="8745170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2</xdr:row>
      <xdr:rowOff>95250</xdr:rowOff>
    </xdr:from>
    <xdr:to>
      <xdr:col>24</xdr:col>
      <xdr:colOff>201005</xdr:colOff>
      <xdr:row>31</xdr:row>
      <xdr:rowOff>38863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920044-4B97-4D2A-937F-C4CD23A32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0" y="476250"/>
          <a:ext cx="7020905" cy="5468113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104775</xdr:rowOff>
    </xdr:from>
    <xdr:to>
      <xdr:col>36</xdr:col>
      <xdr:colOff>543937</xdr:colOff>
      <xdr:row>49</xdr:row>
      <xdr:rowOff>115578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B499580-6DA1-44A8-8BB7-8408AFEE3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295275"/>
          <a:ext cx="7249537" cy="91548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17</xdr:col>
      <xdr:colOff>94842</xdr:colOff>
      <xdr:row>24</xdr:row>
      <xdr:rowOff>1822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676287-9A52-4FE4-8E02-0F03E3BE3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4179" y="204107"/>
          <a:ext cx="6830378" cy="4658375"/>
        </a:xfrm>
        <a:prstGeom prst="rect">
          <a:avLst/>
        </a:prstGeom>
      </xdr:spPr>
    </xdr:pic>
    <xdr:clientData/>
  </xdr:twoCellAnchor>
  <xdr:twoCellAnchor editAs="oneCell">
    <xdr:from>
      <xdr:col>6</xdr:col>
      <xdr:colOff>77931</xdr:colOff>
      <xdr:row>24</xdr:row>
      <xdr:rowOff>192027</xdr:rowOff>
    </xdr:from>
    <xdr:to>
      <xdr:col>17</xdr:col>
      <xdr:colOff>107441</xdr:colOff>
      <xdr:row>63</xdr:row>
      <xdr:rowOff>36401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AAFF77-211F-4494-BC93-E1D6ADD1C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07431" y="5044174"/>
          <a:ext cx="6685804" cy="754281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30</xdr:col>
      <xdr:colOff>562985</xdr:colOff>
      <xdr:row>61</xdr:row>
      <xdr:rowOff>8090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ABD680-604D-4335-BBE2-C62AA2797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17932" y="199159"/>
          <a:ext cx="7230484" cy="1198412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30</xdr:col>
      <xdr:colOff>429616</xdr:colOff>
      <xdr:row>122</xdr:row>
      <xdr:rowOff>20409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8B3D9D-D40B-4C4B-82E2-497E64770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17932" y="12460432"/>
          <a:ext cx="7097115" cy="9735909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112058</xdr:colOff>
      <xdr:row>68</xdr:row>
      <xdr:rowOff>168087</xdr:rowOff>
    </xdr:from>
    <xdr:to>
      <xdr:col>17</xdr:col>
      <xdr:colOff>172411</xdr:colOff>
      <xdr:row>92</xdr:row>
      <xdr:rowOff>78440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54DAD1-04D0-4240-88FC-4F84E9A72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41558" y="12841940"/>
          <a:ext cx="6716647" cy="4482353"/>
        </a:xfrm>
        <a:prstGeom prst="rect">
          <a:avLst/>
        </a:prstGeom>
      </xdr:spPr>
    </xdr:pic>
    <xdr:clientData/>
  </xdr:twoCellAnchor>
  <xdr:twoCellAnchor editAs="oneCell">
    <xdr:from>
      <xdr:col>0</xdr:col>
      <xdr:colOff>862853</xdr:colOff>
      <xdr:row>63</xdr:row>
      <xdr:rowOff>168088</xdr:rowOff>
    </xdr:from>
    <xdr:to>
      <xdr:col>5</xdr:col>
      <xdr:colOff>162248</xdr:colOff>
      <xdr:row>71</xdr:row>
      <xdr:rowOff>101616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72BB8E-3C2B-4A60-A30F-84B0BF413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2853" y="11889441"/>
          <a:ext cx="6325483" cy="1457528"/>
        </a:xfrm>
        <a:prstGeom prst="rect">
          <a:avLst/>
        </a:prstGeom>
      </xdr:spPr>
    </xdr:pic>
    <xdr:clientData/>
  </xdr:twoCellAnchor>
  <xdr:twoCellAnchor editAs="oneCell">
    <xdr:from>
      <xdr:col>6</xdr:col>
      <xdr:colOff>100853</xdr:colOff>
      <xdr:row>93</xdr:row>
      <xdr:rowOff>22411</xdr:rowOff>
    </xdr:from>
    <xdr:to>
      <xdr:col>19</xdr:col>
      <xdr:colOff>7809</xdr:colOff>
      <xdr:row>101</xdr:row>
      <xdr:rowOff>3571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568BC09-BA0B-4C56-9816-FC4AFE3AE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32059" y="17682882"/>
          <a:ext cx="7773485" cy="1505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593912</xdr:colOff>
      <xdr:row>57</xdr:row>
      <xdr:rowOff>56030</xdr:rowOff>
    </xdr:from>
    <xdr:to>
      <xdr:col>12</xdr:col>
      <xdr:colOff>101180</xdr:colOff>
      <xdr:row>66</xdr:row>
      <xdr:rowOff>41153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993AD0-F45A-41F6-AB1E-21A8484E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736" y="10578354"/>
          <a:ext cx="6354062" cy="1800476"/>
        </a:xfrm>
        <a:prstGeom prst="rect">
          <a:avLst/>
        </a:prstGeom>
      </xdr:spPr>
    </xdr:pic>
    <xdr:clientData/>
  </xdr:twoCellAnchor>
  <xdr:twoCellAnchor editAs="oneCell">
    <xdr:from>
      <xdr:col>17</xdr:col>
      <xdr:colOff>358588</xdr:colOff>
      <xdr:row>2</xdr:row>
      <xdr:rowOff>134472</xdr:rowOff>
    </xdr:from>
    <xdr:to>
      <xdr:col>31</xdr:col>
      <xdr:colOff>508269</xdr:colOff>
      <xdr:row>49</xdr:row>
      <xdr:rowOff>25862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D1E438-50F1-4305-870E-EF5DC3DD8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38794" y="571501"/>
          <a:ext cx="8621328" cy="8968155"/>
        </a:xfrm>
        <a:prstGeom prst="rect">
          <a:avLst/>
        </a:prstGeom>
      </xdr:spPr>
    </xdr:pic>
    <xdr:clientData/>
  </xdr:twoCellAnchor>
  <xdr:twoCellAnchor editAs="oneCell">
    <xdr:from>
      <xdr:col>19</xdr:col>
      <xdr:colOff>268941</xdr:colOff>
      <xdr:row>54</xdr:row>
      <xdr:rowOff>112059</xdr:rowOff>
    </xdr:from>
    <xdr:to>
      <xdr:col>32</xdr:col>
      <xdr:colOff>71106</xdr:colOff>
      <xdr:row>62</xdr:row>
      <xdr:rowOff>117888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8BA3ECE-221B-4768-AF67-9AAAF6E0E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59382" y="10029265"/>
          <a:ext cx="7668695" cy="1619476"/>
        </a:xfrm>
        <a:prstGeom prst="rect">
          <a:avLst/>
        </a:prstGeom>
      </xdr:spPr>
    </xdr:pic>
    <xdr:clientData/>
  </xdr:twoCellAnchor>
  <xdr:twoCellAnchor editAs="oneCell">
    <xdr:from>
      <xdr:col>13</xdr:col>
      <xdr:colOff>78442</xdr:colOff>
      <xdr:row>75</xdr:row>
      <xdr:rowOff>156883</xdr:rowOff>
    </xdr:from>
    <xdr:to>
      <xdr:col>26</xdr:col>
      <xdr:colOff>442661</xdr:colOff>
      <xdr:row>106</xdr:row>
      <xdr:rowOff>77062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C5CCEA6-93EB-48B9-A306-73FF25EE3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64971" y="13413442"/>
          <a:ext cx="8230749" cy="6173061"/>
        </a:xfrm>
        <a:prstGeom prst="rect">
          <a:avLst/>
        </a:prstGeom>
      </xdr:spPr>
    </xdr:pic>
    <xdr:clientData/>
  </xdr:twoCellAnchor>
  <xdr:twoCellAnchor editAs="oneCell">
    <xdr:from>
      <xdr:col>13</xdr:col>
      <xdr:colOff>100854</xdr:colOff>
      <xdr:row>108</xdr:row>
      <xdr:rowOff>33617</xdr:rowOff>
    </xdr:from>
    <xdr:to>
      <xdr:col>26</xdr:col>
      <xdr:colOff>112598</xdr:colOff>
      <xdr:row>130</xdr:row>
      <xdr:rowOff>92514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DE172A-14E1-4E70-9476-24EDA7772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87383" y="20349882"/>
          <a:ext cx="7878274" cy="4496427"/>
        </a:xfrm>
        <a:prstGeom prst="rect">
          <a:avLst/>
        </a:prstGeom>
      </xdr:spPr>
    </xdr:pic>
    <xdr:clientData/>
  </xdr:twoCellAnchor>
  <xdr:twoCellAnchor editAs="oneCell">
    <xdr:from>
      <xdr:col>17</xdr:col>
      <xdr:colOff>380999</xdr:colOff>
      <xdr:row>67</xdr:row>
      <xdr:rowOff>190501</xdr:rowOff>
    </xdr:from>
    <xdr:to>
      <xdr:col>30</xdr:col>
      <xdr:colOff>316534</xdr:colOff>
      <xdr:row>71</xdr:row>
      <xdr:rowOff>40994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238C68C-B5B0-43FC-81D2-1A2F38912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61205" y="12729883"/>
          <a:ext cx="7802064" cy="657317"/>
        </a:xfrm>
        <a:prstGeom prst="rect">
          <a:avLst/>
        </a:prstGeom>
      </xdr:spPr>
    </xdr:pic>
    <xdr:clientData/>
  </xdr:twoCellAnchor>
  <xdr:twoCellAnchor editAs="oneCell">
    <xdr:from>
      <xdr:col>5</xdr:col>
      <xdr:colOff>246527</xdr:colOff>
      <xdr:row>10</xdr:row>
      <xdr:rowOff>145679</xdr:rowOff>
    </xdr:from>
    <xdr:to>
      <xdr:col>14</xdr:col>
      <xdr:colOff>248773</xdr:colOff>
      <xdr:row>52</xdr:row>
      <xdr:rowOff>108139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95F9B6E-61A1-48CC-B6DC-818C7BB68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54351" y="2196355"/>
          <a:ext cx="8059275" cy="8030696"/>
        </a:xfrm>
        <a:prstGeom prst="rect">
          <a:avLst/>
        </a:prstGeom>
      </xdr:spPr>
    </xdr:pic>
    <xdr:clientData/>
  </xdr:twoCellAnchor>
  <xdr:twoCellAnchor editAs="oneCell">
    <xdr:from>
      <xdr:col>5</xdr:col>
      <xdr:colOff>56029</xdr:colOff>
      <xdr:row>81</xdr:row>
      <xdr:rowOff>67235</xdr:rowOff>
    </xdr:from>
    <xdr:to>
      <xdr:col>11</xdr:col>
      <xdr:colOff>206520</xdr:colOff>
      <xdr:row>88</xdr:row>
      <xdr:rowOff>27084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5CAD574-FFB5-4E21-86AF-B4EB75ABF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63853" y="15430500"/>
          <a:ext cx="6392167" cy="1371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9"/>
  <sheetViews>
    <sheetView workbookViewId="0">
      <selection activeCell="E9" sqref="E9"/>
    </sheetView>
  </sheetViews>
  <sheetFormatPr defaultRowHeight="15" x14ac:dyDescent="0.25"/>
  <cols>
    <col min="1" max="1" width="27.85546875" bestFit="1" customWidth="1"/>
  </cols>
  <sheetData>
    <row r="1" spans="1:1" x14ac:dyDescent="0.25">
      <c r="A1" t="s">
        <v>111</v>
      </c>
    </row>
    <row r="2" spans="1:1" x14ac:dyDescent="0.25">
      <c r="A2" t="s">
        <v>33</v>
      </c>
    </row>
    <row r="3" spans="1:1" x14ac:dyDescent="0.25">
      <c r="A3" t="s">
        <v>112</v>
      </c>
    </row>
    <row r="4" spans="1:1" x14ac:dyDescent="0.25">
      <c r="A4" t="s">
        <v>113</v>
      </c>
    </row>
    <row r="5" spans="1:1" x14ac:dyDescent="0.25">
      <c r="A5" t="s">
        <v>114</v>
      </c>
    </row>
    <row r="6" spans="1:1" x14ac:dyDescent="0.25">
      <c r="A6" t="s">
        <v>115</v>
      </c>
    </row>
    <row r="7" spans="1:1" x14ac:dyDescent="0.25">
      <c r="A7" t="s">
        <v>116</v>
      </c>
    </row>
    <row r="8" spans="1:1" x14ac:dyDescent="0.25">
      <c r="A8" t="s">
        <v>117</v>
      </c>
    </row>
    <row r="9" spans="1:1" x14ac:dyDescent="0.25">
      <c r="A9" t="s">
        <v>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E47"/>
  <sheetViews>
    <sheetView topLeftCell="K1" zoomScale="80" zoomScaleNormal="80" workbookViewId="0">
      <selection activeCell="B47" sqref="B47"/>
    </sheetView>
  </sheetViews>
  <sheetFormatPr defaultColWidth="9.140625" defaultRowHeight="15.75" x14ac:dyDescent="0.25"/>
  <cols>
    <col min="1" max="1" width="9.140625" style="1"/>
    <col min="2" max="2" width="12.140625" style="1" bestFit="1" customWidth="1"/>
    <col min="3" max="4" width="8.85546875" style="1" bestFit="1" customWidth="1"/>
    <col min="5" max="5" width="16" style="1" bestFit="1" customWidth="1"/>
    <col min="6" max="7" width="9.140625" style="1"/>
    <col min="8" max="8" width="11.85546875" style="1" bestFit="1" customWidth="1"/>
    <col min="9" max="9" width="37.5703125" style="1" bestFit="1" customWidth="1"/>
    <col min="10" max="10" width="77" style="7" bestFit="1" customWidth="1"/>
    <col min="11" max="14" width="9.140625" style="1"/>
    <col min="15" max="15" width="11.85546875" style="1" bestFit="1" customWidth="1"/>
    <col min="16" max="16" width="10.140625" style="1" bestFit="1" customWidth="1"/>
    <col min="17" max="18" width="9.140625" style="1"/>
    <col min="19" max="19" width="10" style="1" bestFit="1" customWidth="1"/>
    <col min="20" max="20" width="9.140625" style="1"/>
    <col min="21" max="21" width="9.85546875" style="1" bestFit="1" customWidth="1"/>
    <col min="22" max="22" width="9.140625" style="1"/>
    <col min="23" max="23" width="14.42578125" style="1" bestFit="1" customWidth="1"/>
    <col min="24" max="24" width="9.140625" style="7" customWidth="1"/>
    <col min="25" max="16384" width="9.140625" style="1"/>
  </cols>
  <sheetData>
    <row r="1" spans="1:31" ht="21" x14ac:dyDescent="0.35">
      <c r="A1" s="45" t="s">
        <v>105</v>
      </c>
      <c r="F1" s="5"/>
      <c r="G1" s="5"/>
      <c r="H1" s="5"/>
      <c r="X1" s="1"/>
    </row>
    <row r="2" spans="1:31" ht="16.5" customHeight="1" thickBot="1" x14ac:dyDescent="0.3">
      <c r="F2" s="5"/>
      <c r="G2" s="5"/>
      <c r="H2" s="5"/>
      <c r="I2" s="32" t="s">
        <v>10</v>
      </c>
      <c r="J2" s="33" t="s">
        <v>100</v>
      </c>
      <c r="K2" s="34" t="s">
        <v>27</v>
      </c>
      <c r="L2" s="35" t="s">
        <v>35</v>
      </c>
      <c r="O2" s="16" t="s">
        <v>46</v>
      </c>
      <c r="P2" s="17" t="s">
        <v>46</v>
      </c>
      <c r="Q2" s="16" t="s">
        <v>47</v>
      </c>
      <c r="R2" s="17" t="s">
        <v>47</v>
      </c>
      <c r="S2" s="16" t="s">
        <v>48</v>
      </c>
      <c r="T2" s="17" t="s">
        <v>48</v>
      </c>
      <c r="U2" s="18" t="s">
        <v>49</v>
      </c>
      <c r="V2" s="18" t="s">
        <v>49</v>
      </c>
      <c r="W2" s="16" t="s">
        <v>50</v>
      </c>
      <c r="X2" s="17" t="s">
        <v>50</v>
      </c>
      <c r="AC2" s="1" t="s">
        <v>102</v>
      </c>
    </row>
    <row r="3" spans="1:31" ht="15.75" customHeight="1" x14ac:dyDescent="0.25">
      <c r="B3" s="3" t="s">
        <v>9</v>
      </c>
      <c r="C3" s="24" t="s">
        <v>86</v>
      </c>
      <c r="D3" s="24" t="s">
        <v>89</v>
      </c>
      <c r="E3" s="29" t="s">
        <v>90</v>
      </c>
      <c r="I3" s="14" t="s">
        <v>31</v>
      </c>
      <c r="J3" s="22" t="str">
        <f>Tanks!D2</f>
        <v>Other</v>
      </c>
      <c r="K3" s="22"/>
      <c r="L3" s="19"/>
      <c r="N3" s="23" t="s">
        <v>8</v>
      </c>
      <c r="O3" s="14" t="s">
        <v>53</v>
      </c>
      <c r="P3" s="15">
        <f>IF(J14="Strength assessment",L15,L14*((0.27+0.02*L7)-17*J5*10^-5))</f>
        <v>1</v>
      </c>
      <c r="Q3" s="14" t="s">
        <v>57</v>
      </c>
      <c r="R3" s="63">
        <f>IF(J5&lt;100,0.8*((1+0.03*L13)*(0.72+(2*J5/700))*(1.15-(6.5/SQRT(L20*J5))))*P3*P4*L20,IF(J5&lt;150,(0.4+(J5/250))*(1+0.03*L13*(3-(J5/50)))*(1.15-(6.5/SQRT(L20*J5)))*P3*P4*L20,(1.15-(6.5/SQRT(L20*J5)))*P3*P4*L20))</f>
        <v>5.4556547506176054</v>
      </c>
      <c r="S3" s="14" t="s">
        <v>64</v>
      </c>
      <c r="T3" s="1">
        <f>IF(J5&lt;100,0.8*(1+0.05*L13)*P5*(0.72+2*J5/700)*(1.75-22/SQRT(L20*J5))*R4*(PI()/180)*(2*PI()/R5)^2,IF(J5&lt;150,(0.4*J5/250)*(1+0.05*L13*(3-J5/50))*P5*(1.75-22/SQRT(L20*J5))*R4*(PI()/180)*(2*PI()/R5)^2,P5*(1.75-22/SQRT(L20*J5))*R4*(PI()/180)*(2*PI()/R5)^2))</f>
        <v>0.2197996280736346</v>
      </c>
      <c r="U3" s="5" t="s">
        <v>67</v>
      </c>
      <c r="V3" s="52">
        <f>T3*(1.08*L17-0.45*J5)</f>
        <v>-4.4602004288255612</v>
      </c>
      <c r="W3" s="14" t="s">
        <v>68</v>
      </c>
      <c r="X3" s="41">
        <f>SQRT(R3^2+((0.95+EXP(-J5/15))*V3)^2+(1.2*V4)^2)</f>
        <v>6.9492651914861625</v>
      </c>
      <c r="Y3" s="14"/>
      <c r="AC3" s="1" t="s">
        <v>101</v>
      </c>
      <c r="AD3" s="1" t="s">
        <v>141</v>
      </c>
      <c r="AE3" s="1" t="s">
        <v>109</v>
      </c>
    </row>
    <row r="4" spans="1:31" ht="15.75" customHeight="1" x14ac:dyDescent="0.25">
      <c r="B4" s="4" t="s">
        <v>0</v>
      </c>
      <c r="C4" s="22" t="s">
        <v>85</v>
      </c>
      <c r="D4" s="22" t="s">
        <v>87</v>
      </c>
      <c r="E4" s="30" t="s">
        <v>91</v>
      </c>
      <c r="I4" s="14" t="s">
        <v>119</v>
      </c>
      <c r="J4" s="22">
        <f>Tanks!D4</f>
        <v>72</v>
      </c>
      <c r="K4" s="22"/>
      <c r="L4" s="19"/>
      <c r="N4" s="2"/>
      <c r="O4" s="14" t="s">
        <v>51</v>
      </c>
      <c r="P4" s="15">
        <f>(1.58-0.47*J8)*((2.4/SQRT(J5))+(34/J5)-(600/J5^2))</f>
        <v>0.8199288630336341</v>
      </c>
      <c r="Q4" s="14" t="s">
        <v>58</v>
      </c>
      <c r="R4" s="5">
        <f>920*1*(J5^-0.84)*(1+(2.57/SQRT(L20*J5))^1.2)</f>
        <v>26.124211674722677</v>
      </c>
      <c r="S4" s="14" t="s">
        <v>65</v>
      </c>
      <c r="T4" s="1">
        <f>P8*R6*(PI()/180)*(2*PI()/P10)^2</f>
        <v>0.14434133854772935</v>
      </c>
      <c r="U4" s="14" t="s">
        <v>66</v>
      </c>
      <c r="V4" s="5">
        <f>T4*J18</f>
        <v>0.46189228335273391</v>
      </c>
      <c r="W4" s="14" t="s">
        <v>69</v>
      </c>
      <c r="X4" s="65">
        <f>SQRT(R3^2+((0.95+EXP(-J5/15))*0)^2+(1.2*V4)^2)</f>
        <v>5.4837382150484171</v>
      </c>
      <c r="Z4" s="1">
        <f>(R3^2+(1.2*V4)^2)^0.5</f>
        <v>5.4837382150484171</v>
      </c>
      <c r="AC4" s="1" t="s">
        <v>103</v>
      </c>
      <c r="AD4" s="1">
        <f>MAX(Calculations!AB15,Calculations!AB40)</f>
        <v>0</v>
      </c>
      <c r="AE4" s="1" t="str">
        <f>IF(Calculations!AB15&gt;Calculations!AB40,"Full load",IF(Calculations!AB15=Calculations!AB40,"Full load / Ballast condition","Ballast condition"))</f>
        <v>Full load / Ballast condition</v>
      </c>
    </row>
    <row r="5" spans="1:31" x14ac:dyDescent="0.25">
      <c r="B5" s="4" t="s">
        <v>1</v>
      </c>
      <c r="C5" s="22" t="s">
        <v>85</v>
      </c>
      <c r="D5" s="22" t="s">
        <v>87</v>
      </c>
      <c r="E5" s="60" t="s">
        <v>124</v>
      </c>
      <c r="I5" s="14" t="s">
        <v>43</v>
      </c>
      <c r="J5" s="22">
        <f>Tanks!D5</f>
        <v>74.34</v>
      </c>
      <c r="K5" s="5"/>
      <c r="L5" s="15"/>
      <c r="N5" s="2"/>
      <c r="O5" s="14" t="s">
        <v>54</v>
      </c>
      <c r="P5" s="15">
        <f>IF(J14="Strength assessment",L15,L14*(0.28-(5+6*L7)*J5*10^-5))</f>
        <v>1</v>
      </c>
      <c r="Q5" s="14" t="s">
        <v>59</v>
      </c>
      <c r="R5" s="49">
        <f>SQRT(2*PI()*P7/L20)</f>
        <v>7.5588779302224296</v>
      </c>
      <c r="S5" s="50"/>
      <c r="T5" s="51"/>
      <c r="W5" s="14" t="s">
        <v>70</v>
      </c>
      <c r="X5" s="64">
        <f>SQRT(R3^2+((0.95+EXP(-J5/15))*V3)^2+(1.2*0)^2)</f>
        <v>6.9271257133356015</v>
      </c>
      <c r="Y5" s="14"/>
      <c r="Z5" s="1">
        <f>(R3^2+((0.95+EXP(-1*J5/15))*V3)^2)^0.5</f>
        <v>6.9271257133356015</v>
      </c>
      <c r="AC5" s="1" t="s">
        <v>104</v>
      </c>
      <c r="AD5" s="1">
        <f>MAX(Calculations!AB16,Calculations!AB41)</f>
        <v>0</v>
      </c>
      <c r="AE5" s="1" t="str">
        <f>IF(Calculations!AB16&gt;Calculations!AB41,"Full load",IF(Calculations!AB16=Calculations!AB41,"Full load / Ballast condition","Ballast condition"))</f>
        <v>Full load / Ballast condition</v>
      </c>
    </row>
    <row r="6" spans="1:31" x14ac:dyDescent="0.25">
      <c r="B6" s="4" t="s">
        <v>2</v>
      </c>
      <c r="C6" s="22">
        <v>0</v>
      </c>
      <c r="D6" s="22" t="s">
        <v>88</v>
      </c>
      <c r="E6" s="30" t="s">
        <v>92</v>
      </c>
      <c r="I6" s="14" t="s">
        <v>42</v>
      </c>
      <c r="J6" s="22">
        <f>Tanks!D6</f>
        <v>17.2</v>
      </c>
      <c r="K6" s="5"/>
      <c r="L6" s="15"/>
      <c r="N6" s="2"/>
      <c r="O6" s="14" t="s">
        <v>62</v>
      </c>
      <c r="P6" s="5">
        <f>IF(J14="Strength assessment",L15,L14*((0.27-0.02*L7)-(13-5*L7)*J5*10^-5))</f>
        <v>1</v>
      </c>
      <c r="Q6" s="14" t="s">
        <v>60</v>
      </c>
      <c r="R6" s="5">
        <f>(9000*(1.4-0.035*P10)*1*L12)/((1.15*J6+55)*PI())</f>
        <v>41.667712130130447</v>
      </c>
      <c r="S6" s="14"/>
      <c r="T6" s="15"/>
      <c r="W6" s="14"/>
      <c r="X6" s="19"/>
      <c r="AC6" s="1" t="s">
        <v>2</v>
      </c>
      <c r="AD6" s="1">
        <f>MAX(Calculations!AB17,Calculations!AB42)</f>
        <v>0</v>
      </c>
      <c r="AE6" s="1" t="str">
        <f>IF(Calculations!AB17&gt;Calculations!AB42,"Full load",IF(Calculations!AB17=Calculations!AB42,"Full load / Ballast condition","Ballast condition"))</f>
        <v>Full load / Ballast condition</v>
      </c>
    </row>
    <row r="7" spans="1:31" x14ac:dyDescent="0.25">
      <c r="B7" s="4" t="s">
        <v>3</v>
      </c>
      <c r="C7" s="22">
        <v>0</v>
      </c>
      <c r="D7" s="22" t="s">
        <v>88</v>
      </c>
      <c r="E7" s="60" t="s">
        <v>125</v>
      </c>
      <c r="I7" s="14" t="s">
        <v>44</v>
      </c>
      <c r="J7" s="22">
        <f>Tanks!D8</f>
        <v>8.5</v>
      </c>
      <c r="K7" s="46" t="s">
        <v>29</v>
      </c>
      <c r="L7" s="47">
        <v>1</v>
      </c>
      <c r="N7" s="2"/>
      <c r="O7" s="14" t="s">
        <v>52</v>
      </c>
      <c r="P7" s="15">
        <f>0.6*(1+L7)*J5</f>
        <v>89.207999999999998</v>
      </c>
      <c r="Q7" s="14"/>
      <c r="R7" s="15"/>
      <c r="S7" s="14"/>
      <c r="T7" s="15"/>
      <c r="W7" s="14"/>
      <c r="X7" s="19"/>
      <c r="AC7" s="1" t="s">
        <v>3</v>
      </c>
      <c r="AD7" s="1">
        <f>MAX(Calculations!AB18,Calculations!AB43)</f>
        <v>0</v>
      </c>
      <c r="AE7" s="1" t="str">
        <f>IF(Calculations!AB18&gt;Calculations!AB43,"Full load",IF(Calculations!AB18=Calculations!AB43,"Full load / Ballast condition","Ballast condition"))</f>
        <v>Full load / Ballast condition</v>
      </c>
    </row>
    <row r="8" spans="1:31" x14ac:dyDescent="0.25">
      <c r="B8" s="4" t="s">
        <v>4</v>
      </c>
      <c r="C8" s="22" t="s">
        <v>84</v>
      </c>
      <c r="D8" s="22">
        <v>0</v>
      </c>
      <c r="E8" s="30" t="s">
        <v>93</v>
      </c>
      <c r="I8" s="14" t="s">
        <v>45</v>
      </c>
      <c r="J8" s="22">
        <f>Tanks!D9</f>
        <v>0.57999999999999996</v>
      </c>
      <c r="K8" s="5"/>
      <c r="L8" s="15"/>
      <c r="N8" s="2"/>
      <c r="O8" s="14" t="s">
        <v>55</v>
      </c>
      <c r="P8" s="15">
        <f>IF(J14="Strength assessment",L15,L14*(0.23-4*L7*J5*10^-4))</f>
        <v>1</v>
      </c>
      <c r="Q8" s="14"/>
      <c r="R8" s="15"/>
      <c r="S8" s="14"/>
      <c r="T8" s="15"/>
      <c r="W8" s="14"/>
      <c r="X8" s="19"/>
      <c r="AC8" s="1" t="s">
        <v>4</v>
      </c>
      <c r="AD8" s="1">
        <f>MAX(Calculations!AB19,Calculations!AB44)</f>
        <v>0</v>
      </c>
      <c r="AE8" s="1" t="str">
        <f>IF(Calculations!AB19&gt;Calculations!AB44,"Full load",IF(Calculations!AB19=Calculations!AB44,"Full load / Ballast condition","Ballast condition"))</f>
        <v>Full load / Ballast condition</v>
      </c>
    </row>
    <row r="9" spans="1:31" ht="16.5" thickBot="1" x14ac:dyDescent="0.3">
      <c r="B9" s="6" t="s">
        <v>5</v>
      </c>
      <c r="C9" s="25" t="s">
        <v>84</v>
      </c>
      <c r="D9" s="25">
        <v>0</v>
      </c>
      <c r="E9" s="61" t="s">
        <v>126</v>
      </c>
      <c r="I9" s="14" t="s">
        <v>94</v>
      </c>
      <c r="J9" s="22">
        <f>Tanks!D10</f>
        <v>12.35</v>
      </c>
      <c r="K9" s="5"/>
      <c r="L9" s="15"/>
      <c r="N9" s="2"/>
      <c r="O9" s="14" t="s">
        <v>61</v>
      </c>
      <c r="P9" s="15">
        <f>P8</f>
        <v>1</v>
      </c>
      <c r="Q9" s="14"/>
      <c r="R9" s="15"/>
      <c r="S9" s="14"/>
      <c r="T9" s="15"/>
      <c r="W9" s="14"/>
      <c r="X9" s="19"/>
      <c r="AC9" s="1" t="s">
        <v>5</v>
      </c>
      <c r="AD9" s="1">
        <f>MAX(Calculations!AB20,Calculations!AB45)</f>
        <v>0</v>
      </c>
      <c r="AE9" s="1" t="str">
        <f>IF(Calculations!AB20&gt;Calculations!AB45,"Full load",IF(Calculations!AB20=Calculations!AB45,"Full load / Ballast condition","Ballast condition"))</f>
        <v>Full load / Ballast condition</v>
      </c>
    </row>
    <row r="10" spans="1:31" x14ac:dyDescent="0.25">
      <c r="I10" s="14" t="s">
        <v>40</v>
      </c>
      <c r="J10" s="22">
        <f>Tanks!D12</f>
        <v>0</v>
      </c>
      <c r="K10" s="5" t="s">
        <v>99</v>
      </c>
      <c r="L10" s="15">
        <f>IF(J10=0,IF(J3="Other",0.07*J6,IF(J3="Tanker",0.12*J6,IF(J6&lt;=32.2,0.05*J6,IF(J6&lt;40,J6*(0.05+0.06*(J6-32.2)/7.8),0.11*J6)))),J10)</f>
        <v>1.204</v>
      </c>
      <c r="N10" s="2"/>
      <c r="O10" s="14" t="s">
        <v>56</v>
      </c>
      <c r="P10" s="5">
        <f>(2.3*PI()*L11)/SQRT(L20*L10)</f>
        <v>14.103373759886164</v>
      </c>
      <c r="Q10" s="14"/>
      <c r="R10" s="15"/>
      <c r="S10" s="14"/>
      <c r="T10" s="15"/>
      <c r="W10" s="14"/>
      <c r="X10" s="19"/>
    </row>
    <row r="11" spans="1:31" x14ac:dyDescent="0.25">
      <c r="I11" s="14" t="s">
        <v>41</v>
      </c>
      <c r="J11" s="22">
        <f>Tanks!D14</f>
        <v>0</v>
      </c>
      <c r="K11" s="5" t="s">
        <v>110</v>
      </c>
      <c r="L11" s="15">
        <f>IF(J11=0,0.39*J6,J11)</f>
        <v>6.7080000000000002</v>
      </c>
      <c r="N11" s="2"/>
      <c r="O11" s="14"/>
      <c r="Q11" s="14"/>
      <c r="R11" s="15"/>
      <c r="S11" s="14"/>
      <c r="T11" s="15"/>
      <c r="W11" s="14"/>
      <c r="X11" s="19"/>
    </row>
    <row r="12" spans="1:31" ht="16.5" thickBot="1" x14ac:dyDescent="0.3">
      <c r="I12" s="14" t="s">
        <v>36</v>
      </c>
      <c r="J12" s="22" t="str">
        <f>Tanks!D15</f>
        <v>No</v>
      </c>
      <c r="K12" s="5" t="s">
        <v>37</v>
      </c>
      <c r="L12" s="15">
        <f>IF(J12="Yes",1,1.2)</f>
        <v>1.2</v>
      </c>
      <c r="N12" s="2"/>
      <c r="O12" s="14"/>
      <c r="P12" s="15"/>
      <c r="Q12" s="10"/>
      <c r="R12" s="12"/>
      <c r="S12" s="10"/>
      <c r="T12" s="12"/>
      <c r="U12" s="11"/>
      <c r="V12" s="11"/>
      <c r="W12" s="10"/>
      <c r="X12" s="20"/>
      <c r="AC12" s="1" t="s">
        <v>101</v>
      </c>
      <c r="AD12" s="1" t="s">
        <v>142</v>
      </c>
      <c r="AE12" s="1" t="s">
        <v>108</v>
      </c>
    </row>
    <row r="13" spans="1:31" x14ac:dyDescent="0.25">
      <c r="B13" s="3" t="s">
        <v>9</v>
      </c>
      <c r="C13" s="24" t="s">
        <v>86</v>
      </c>
      <c r="D13" s="24" t="s">
        <v>89</v>
      </c>
      <c r="E13" s="29" t="s">
        <v>90</v>
      </c>
      <c r="I13" s="14" t="s">
        <v>72</v>
      </c>
      <c r="J13" s="22">
        <f>Tanks!D16</f>
        <v>0</v>
      </c>
      <c r="K13" s="5" t="s">
        <v>30</v>
      </c>
      <c r="L13" s="36">
        <f>IF(J13=0,IF(J5&lt;100,0,IF(J5&lt;150,0.1*(J5-100),5)),J13)</f>
        <v>0</v>
      </c>
      <c r="N13" s="23" t="s">
        <v>6</v>
      </c>
      <c r="O13" s="8" t="s">
        <v>71</v>
      </c>
      <c r="P13" s="39">
        <f>0.2*L13*(-0.105+0.12*(J19-0.875*J7)/J7)</f>
        <v>0</v>
      </c>
      <c r="Q13" s="14" t="s">
        <v>76</v>
      </c>
      <c r="R13" s="5">
        <f>0.2*(1.6+1.5/SQRT(L20*J5))*P16*P4*L20</f>
        <v>2.6632760562631579</v>
      </c>
      <c r="S13" s="14" t="s">
        <v>78</v>
      </c>
      <c r="T13" s="1">
        <f>T3*(J19-P15)</f>
        <v>-1.1011961366489094</v>
      </c>
      <c r="U13" s="14"/>
      <c r="V13" s="5"/>
      <c r="W13" s="14" t="s">
        <v>77</v>
      </c>
      <c r="X13" s="42">
        <f>IF(J19&lt;0.875*J7,P14*SQRT(R13^2+((J5/325)*L20*SIN(R4*(PI()/180))+T13)^2),IF(J19&lt;1.75*J7,(0.595+0.12*(J19-0.875*J7)/J7)*SQRT(R13^2+((J5/325)*L20*SIN(R4*(PI()/180))+T13)^2),(0.7+P13)*SQRT(R13^2+((J5/325)*L20*SIN(R4*(PI()/180))+T13)^2)))</f>
        <v>1.2713406065958852</v>
      </c>
      <c r="Y13" s="14"/>
      <c r="Z13" s="40"/>
      <c r="AC13" s="1" t="s">
        <v>103</v>
      </c>
      <c r="AD13" s="1">
        <f>MAX(Calculations!AC15,Calculations!AC40)</f>
        <v>0</v>
      </c>
      <c r="AE13" s="1" t="str">
        <f>IF(Calculations!AC15&gt;Calculations!AC40,"Full load",IF(Calculations!AC15=Calculations!AC40,"Full load / Ballast condition","Ballast condition"))</f>
        <v>Full load</v>
      </c>
    </row>
    <row r="14" spans="1:31" x14ac:dyDescent="0.25">
      <c r="B14" s="4" t="s">
        <v>0</v>
      </c>
      <c r="C14" s="26">
        <f>0.6*X13</f>
        <v>0.76280436395753115</v>
      </c>
      <c r="D14" s="26">
        <f>0.8*X18</f>
        <v>5.4388989942068244</v>
      </c>
      <c r="E14" s="28">
        <f>L20+X3</f>
        <v>16.759265191486165</v>
      </c>
      <c r="I14" s="14" t="s">
        <v>24</v>
      </c>
      <c r="J14" s="22" t="str">
        <f>Tanks!D17</f>
        <v>Strength assessment</v>
      </c>
      <c r="K14" s="5" t="s">
        <v>28</v>
      </c>
      <c r="L14" s="15" t="str">
        <f>IF(J14="Fatigue assessment",0.9,"")</f>
        <v/>
      </c>
      <c r="N14" s="2"/>
      <c r="O14" s="14" t="s">
        <v>73</v>
      </c>
      <c r="P14" s="15">
        <f>IF(J5&lt;100,0.455+0.16*J19/J7,IF(J5&lt;150,0.455+0.14*((J5/50)-2)+0.16*(3-J5/50)*J19/J7,0.595))</f>
        <v>0.47692941176470588</v>
      </c>
      <c r="Q14" s="14"/>
      <c r="R14" s="15"/>
      <c r="U14" s="14"/>
      <c r="W14" s="14"/>
      <c r="X14" s="43"/>
      <c r="Z14" s="41"/>
      <c r="AC14" s="1" t="s">
        <v>104</v>
      </c>
      <c r="AD14" s="1">
        <f>MAX(Calculations!AC16,Calculations!AC41)</f>
        <v>0</v>
      </c>
      <c r="AE14" s="1" t="str">
        <f>IF(Calculations!AC16&gt;Calculations!AC41,"Full load",IF(Calculations!AC16=Calculations!AC41,"Full load / Ballast condition","Ballast condition"))</f>
        <v>Full load</v>
      </c>
    </row>
    <row r="15" spans="1:31" x14ac:dyDescent="0.25">
      <c r="B15" s="4" t="s">
        <v>1</v>
      </c>
      <c r="C15" s="26">
        <f>0.6*X13</f>
        <v>0.76280436395753115</v>
      </c>
      <c r="D15" s="26">
        <f>0.8*X18</f>
        <v>5.4388989942068244</v>
      </c>
      <c r="E15" s="56">
        <f>L20-X3</f>
        <v>2.860734808513838</v>
      </c>
      <c r="I15" s="14" t="s">
        <v>16</v>
      </c>
      <c r="J15" s="22" t="str">
        <f>Tanks!D18</f>
        <v>Extreme sea loads design load scenario</v>
      </c>
      <c r="K15" s="21" t="s">
        <v>11</v>
      </c>
      <c r="L15" s="15">
        <f>IF(J15="Extreme sea loads design load scenario",1,IF(J15="Extreme sea loads design load scenario for vessels with service restriction",L16,IF(J15="Ballast water exchange design load scenario",0.8,IF(J15="Ballast water exchange design load scenario for vessels with service restriction",0.8*L16,"error"))))</f>
        <v>1</v>
      </c>
      <c r="N15" s="2"/>
      <c r="O15" s="14" t="s">
        <v>74</v>
      </c>
      <c r="P15" s="15">
        <f>MIN(0.25*J9+0.5*J7,0.5*J9)</f>
        <v>6.1749999999999998</v>
      </c>
      <c r="Q15" s="14"/>
      <c r="R15" s="15"/>
      <c r="U15" s="14"/>
      <c r="W15" s="14"/>
      <c r="X15" s="43"/>
      <c r="AC15" s="1" t="s">
        <v>2</v>
      </c>
      <c r="AD15" s="1">
        <f>MAX(Calculations!AC17,Calculations!AC42)</f>
        <v>0</v>
      </c>
      <c r="AE15" s="1" t="str">
        <f>IF(Calculations!AC17&gt;Calculations!AC42,"Full load",IF(Calculations!AC17=Calculations!AC42,"Full load / Ballast condition","Ballast condition"))</f>
        <v>Full load</v>
      </c>
    </row>
    <row r="16" spans="1:31" x14ac:dyDescent="0.25">
      <c r="B16" s="4" t="s">
        <v>2</v>
      </c>
      <c r="C16" s="26">
        <v>0</v>
      </c>
      <c r="D16" s="26">
        <f>X18</f>
        <v>6.7986237427585303</v>
      </c>
      <c r="E16" s="28">
        <f>L20+X4</f>
        <v>15.293738215048418</v>
      </c>
      <c r="I16" s="14" t="s">
        <v>20</v>
      </c>
      <c r="J16" s="22">
        <f>Tanks!D19</f>
        <v>0</v>
      </c>
      <c r="K16" s="21" t="s">
        <v>97</v>
      </c>
      <c r="L16" s="15">
        <f>IF(J16="R0",1,IF(J16="R1",0.9,IF(J16="R2",0.8,IF(J16="R3",0.7,IF(J16="R4",0.6,IF(J16="RE",0.5,1))))))</f>
        <v>1</v>
      </c>
      <c r="N16" s="2"/>
      <c r="O16" s="14" t="s">
        <v>75</v>
      </c>
      <c r="P16" s="5">
        <f>IF(J14="Strength assessment",L15,L14*(0.27-(15+4*L7)*J5*10^-5))</f>
        <v>1</v>
      </c>
      <c r="Q16" s="14"/>
      <c r="R16" s="15"/>
      <c r="U16" s="14"/>
      <c r="W16" s="14"/>
      <c r="X16" s="43"/>
      <c r="AC16" s="1" t="s">
        <v>3</v>
      </c>
      <c r="AD16" s="1">
        <f>MAX(Calculations!AC18,Calculations!AC43)</f>
        <v>0</v>
      </c>
      <c r="AE16" s="1" t="str">
        <f>IF(Calculations!AC18&gt;Calculations!AC43,"Full load",IF(Calculations!AC18=Calculations!AC43,"Full load / Ballast condition","Ballast condition"))</f>
        <v>Full load</v>
      </c>
    </row>
    <row r="17" spans="1:31" x14ac:dyDescent="0.25">
      <c r="B17" s="4" t="s">
        <v>3</v>
      </c>
      <c r="C17" s="26">
        <v>0</v>
      </c>
      <c r="D17" s="26">
        <f>X18</f>
        <v>6.7986237427585303</v>
      </c>
      <c r="E17" s="56">
        <f>L20-X4</f>
        <v>4.3262617849515834</v>
      </c>
      <c r="I17" s="14" t="s">
        <v>123</v>
      </c>
      <c r="J17" s="22">
        <f>Tanks!$D$20/1000</f>
        <v>9.8460000000000001</v>
      </c>
      <c r="K17" s="5" t="s">
        <v>120</v>
      </c>
      <c r="L17" s="15">
        <f>J17-(J4-J5)</f>
        <v>12.186000000000003</v>
      </c>
      <c r="N17" s="2"/>
      <c r="O17" s="14"/>
      <c r="P17" s="15"/>
      <c r="Q17" s="14"/>
      <c r="R17" s="15"/>
      <c r="U17" s="14"/>
      <c r="W17" s="14"/>
      <c r="X17" s="43"/>
      <c r="AC17" s="1" t="s">
        <v>4</v>
      </c>
      <c r="AD17" s="1">
        <f>MAX(Calculations!AC19,Calculations!AC44)</f>
        <v>0</v>
      </c>
      <c r="AE17" s="1" t="str">
        <f>IF(Calculations!AC19&gt;Calculations!AC44,"Full load",IF(Calculations!AC19=Calculations!AC44,"Full load / Ballast condition","Ballast condition"))</f>
        <v>Full load / Ballast condition</v>
      </c>
    </row>
    <row r="18" spans="1:31" x14ac:dyDescent="0.25">
      <c r="B18" s="4" t="s">
        <v>4</v>
      </c>
      <c r="C18" s="26">
        <f>X13</f>
        <v>1.2713406065958852</v>
      </c>
      <c r="D18" s="26">
        <v>0</v>
      </c>
      <c r="E18" s="28">
        <f>L20+X5</f>
        <v>16.737125713335601</v>
      </c>
      <c r="I18" s="14" t="s">
        <v>121</v>
      </c>
      <c r="J18" s="22">
        <f>Tanks!$D$21/1000</f>
        <v>3.2</v>
      </c>
      <c r="K18" s="5"/>
      <c r="L18" s="15"/>
      <c r="N18" s="23" t="s">
        <v>7</v>
      </c>
      <c r="O18" s="8" t="s">
        <v>79</v>
      </c>
      <c r="P18" s="9">
        <f>IF(J14="Strength assessment",L15,L14*(0.24-(6-2*L7)*J6*10^-4))</f>
        <v>1</v>
      </c>
      <c r="Q18" s="8" t="s">
        <v>80</v>
      </c>
      <c r="R18" s="9">
        <f>0.3*(2.25-20/SQRT(L20*J5))*P18*P4*L20</f>
        <v>3.642256560233502</v>
      </c>
      <c r="S18" s="8"/>
      <c r="T18" s="9"/>
      <c r="U18" s="8"/>
      <c r="V18" s="9"/>
      <c r="W18" s="8" t="s">
        <v>82</v>
      </c>
      <c r="X18" s="44">
        <f>(1-EXP(-J6*J5/(215*L10)))*SQRT(R18^2+(L20*SIN(R6*(PI()/180))+P19)^2)</f>
        <v>6.7986237427585303</v>
      </c>
      <c r="AC18" s="1" t="s">
        <v>5</v>
      </c>
      <c r="AD18" s="1">
        <f>MAX(Calculations!AC20,Calculations!AC45)</f>
        <v>0</v>
      </c>
      <c r="AE18" s="1" t="str">
        <f>IF(Calculations!AC20&gt;Calculations!AC45,"Full load",IF(Calculations!AC20=Calculations!AC45,"Full load / Ballast condition","Ballast condition"))</f>
        <v>Full load / Ballast condition</v>
      </c>
    </row>
    <row r="19" spans="1:31" ht="16.5" thickBot="1" x14ac:dyDescent="0.3">
      <c r="B19" s="6" t="s">
        <v>5</v>
      </c>
      <c r="C19" s="27">
        <f>X13</f>
        <v>1.2713406065958852</v>
      </c>
      <c r="D19" s="27">
        <v>0</v>
      </c>
      <c r="E19" s="57">
        <f>L20-X5</f>
        <v>2.882874286664399</v>
      </c>
      <c r="I19" s="14" t="s">
        <v>122</v>
      </c>
      <c r="J19" s="22">
        <f>Tanks!$D$22/1000</f>
        <v>1.165</v>
      </c>
      <c r="K19" s="5"/>
      <c r="L19" s="15"/>
      <c r="O19" s="10" t="s">
        <v>81</v>
      </c>
      <c r="P19" s="12">
        <f>T4*(J19-P15)</f>
        <v>-0.723150106124124</v>
      </c>
      <c r="Q19" s="10"/>
      <c r="R19" s="11"/>
      <c r="S19" s="10"/>
      <c r="T19" s="11"/>
      <c r="U19" s="10"/>
      <c r="V19" s="11"/>
      <c r="W19" s="10"/>
      <c r="X19" s="20"/>
    </row>
    <row r="20" spans="1:31" x14ac:dyDescent="0.25">
      <c r="I20" s="14" t="s">
        <v>95</v>
      </c>
      <c r="J20" s="22"/>
      <c r="K20" s="5"/>
      <c r="L20" s="19">
        <v>9.81</v>
      </c>
    </row>
    <row r="21" spans="1:31" x14ac:dyDescent="0.25">
      <c r="F21" s="58"/>
      <c r="G21" s="59"/>
      <c r="I21" s="10"/>
      <c r="J21" s="37"/>
      <c r="K21" s="11"/>
      <c r="L21" s="20"/>
      <c r="AC21" s="1" t="s">
        <v>101</v>
      </c>
      <c r="AD21" s="1" t="s">
        <v>143</v>
      </c>
      <c r="AE21" s="1" t="s">
        <v>108</v>
      </c>
    </row>
    <row r="22" spans="1:31" x14ac:dyDescent="0.25">
      <c r="F22" s="58"/>
      <c r="G22" s="58"/>
      <c r="O22" s="5" t="s">
        <v>63</v>
      </c>
      <c r="P22" s="15" t="s">
        <v>83</v>
      </c>
      <c r="AC22" s="1" t="s">
        <v>103</v>
      </c>
      <c r="AD22" s="1">
        <f>MAX(Calculations!AD15,Calculations!AD40)</f>
        <v>0</v>
      </c>
      <c r="AE22" s="1" t="str">
        <f>IF(Calculations!AD15&gt;Calculations!AD40,"Full load",IF(Calculations!AD15=Calculations!AD40,"Full load / Ballast condition","Ballast condition"))</f>
        <v>Full load / Ballast condition</v>
      </c>
    </row>
    <row r="23" spans="1:31" x14ac:dyDescent="0.25">
      <c r="F23" s="58"/>
      <c r="G23" s="58"/>
      <c r="AC23" s="1" t="s">
        <v>104</v>
      </c>
      <c r="AD23" s="1">
        <f>MAX(Calculations!AD16,Calculations!AD41)</f>
        <v>0</v>
      </c>
      <c r="AE23" s="1" t="str">
        <f>IF(Calculations!AD16&gt;Calculations!AD41,"Full load",IF(Calculations!AD16=Calculations!AD41,"Full load / Ballast condition","Ballast condition"))</f>
        <v>Full load / Ballast condition</v>
      </c>
    </row>
    <row r="24" spans="1:31" x14ac:dyDescent="0.25">
      <c r="F24" s="58"/>
      <c r="G24" s="58"/>
      <c r="AC24" s="1" t="s">
        <v>2</v>
      </c>
      <c r="AD24" s="1">
        <f>MAX(Calculations!AD17,Calculations!AD42)</f>
        <v>0</v>
      </c>
      <c r="AE24" s="1" t="str">
        <f>IF(Calculations!AD17&gt;Calculations!AD42,"Full load",IF(Calculations!AD17=Calculations!AD42,"Full load / Ballast condition","Ballast condition"))</f>
        <v>Full load / Ballast condition</v>
      </c>
    </row>
    <row r="25" spans="1:31" x14ac:dyDescent="0.25">
      <c r="F25" s="58"/>
      <c r="G25" s="58"/>
      <c r="AC25" s="1" t="s">
        <v>3</v>
      </c>
      <c r="AD25" s="1">
        <f>MAX(Calculations!AD18,Calculations!AD43)</f>
        <v>0</v>
      </c>
      <c r="AE25" s="1" t="str">
        <f>IF(Calculations!AD18&gt;Calculations!AD43,"Full load",IF(Calculations!AD18=Calculations!AD43,"Full load / Ballast condition","Ballast condition"))</f>
        <v>Full load / Ballast condition</v>
      </c>
    </row>
    <row r="26" spans="1:31" ht="21" x14ac:dyDescent="0.35">
      <c r="A26" s="45" t="s">
        <v>106</v>
      </c>
      <c r="F26" s="58"/>
      <c r="G26" s="58"/>
      <c r="AC26" s="1" t="s">
        <v>4</v>
      </c>
      <c r="AD26" s="1">
        <f>MAX(Calculations!AD19,Calculations!AD44)</f>
        <v>0</v>
      </c>
      <c r="AE26" s="1" t="str">
        <f>IF(Calculations!AD19&gt;Calculations!AD44,"Full load",IF(Calculations!AD19=Calculations!AD44,"Full load / Ballast condition","Ballast condition"))</f>
        <v>Full load / Ballast condition</v>
      </c>
    </row>
    <row r="27" spans="1:31" ht="16.5" thickBot="1" x14ac:dyDescent="0.3">
      <c r="F27" s="58"/>
      <c r="G27" s="58"/>
      <c r="I27" s="32" t="s">
        <v>10</v>
      </c>
      <c r="J27" s="33" t="s">
        <v>100</v>
      </c>
      <c r="K27" s="34" t="s">
        <v>27</v>
      </c>
      <c r="L27" s="35" t="s">
        <v>35</v>
      </c>
      <c r="O27" s="16" t="s">
        <v>46</v>
      </c>
      <c r="P27" s="17" t="s">
        <v>46</v>
      </c>
      <c r="Q27" s="16" t="s">
        <v>47</v>
      </c>
      <c r="R27" s="17" t="s">
        <v>47</v>
      </c>
      <c r="S27" s="16" t="s">
        <v>48</v>
      </c>
      <c r="T27" s="17" t="s">
        <v>48</v>
      </c>
      <c r="U27" s="18" t="s">
        <v>49</v>
      </c>
      <c r="V27" s="18" t="s">
        <v>49</v>
      </c>
      <c r="W27" s="16" t="s">
        <v>50</v>
      </c>
      <c r="X27" s="17" t="s">
        <v>50</v>
      </c>
      <c r="AC27" s="1" t="s">
        <v>5</v>
      </c>
      <c r="AD27" s="1">
        <f>MAX(Calculations!AD20,Calculations!AD45)</f>
        <v>0</v>
      </c>
      <c r="AE27" s="1" t="str">
        <f>IF(Calculations!AD20&gt;Calculations!AD45,"Full load",IF(Calculations!AD20=Calculations!AD45,"Full load / Ballast condition","Ballast condition"))</f>
        <v>Full load / Ballast condition</v>
      </c>
    </row>
    <row r="28" spans="1:31" x14ac:dyDescent="0.25">
      <c r="B28" s="3" t="s">
        <v>9</v>
      </c>
      <c r="C28" s="24" t="s">
        <v>86</v>
      </c>
      <c r="D28" s="24" t="s">
        <v>89</v>
      </c>
      <c r="E28" s="29" t="s">
        <v>90</v>
      </c>
      <c r="I28" s="14" t="s">
        <v>31</v>
      </c>
      <c r="J28" s="22" t="str">
        <f>Tanks!D2</f>
        <v>Other</v>
      </c>
      <c r="K28" s="5"/>
      <c r="L28" s="15"/>
      <c r="N28" s="23" t="s">
        <v>8</v>
      </c>
      <c r="O28" s="14" t="s">
        <v>53</v>
      </c>
      <c r="P28" s="15">
        <f>IF(J40="Strength assessment",L41,L40*((0.27+0.02*L32)-17*J30*10^-5))</f>
        <v>1</v>
      </c>
      <c r="Q28" s="14" t="s">
        <v>57</v>
      </c>
      <c r="R28" s="63">
        <f>IF(J30&lt;100,0.8*((1+0.03*L39)*(0.72+(2*J30/700))*(1.15-(6.5/SQRT(L46*J30))))*P28*P29*L46,IF(J30&lt;150,(0.4+(J30/250))*(1+0.03*L39*(3-(J30/50)))*(1.15-(6.5/SQRT(L46*J30)))*P28*P29*L46,(1.15-(6.5/SQRT(L46*J30)))*P28*P29*L46))</f>
        <v>5.4556547506176054</v>
      </c>
      <c r="S28" s="14" t="s">
        <v>64</v>
      </c>
      <c r="T28" s="5">
        <f>IF(J30&lt;100,0.8*(1+0.05*L39)*P30*(0.72+2*J30/700)*(1.75-22/SQRT(L46*J30))*R29*(PI()/180)*(2*PI()/R30)^2,IF(J30&lt;150,(0.4*J30/250)*(1+0.05*L39*(3-J30/50))*P30*(1.75-22/SQRT(L46*J30))*R29*(PI()/180)*(2*PI()/R30)^2,P30*(1.75-22/SQRT(L46*J30))*R29*(PI()/180)*(2*PI()/R30)^2))</f>
        <v>0.29306617076484615</v>
      </c>
      <c r="U28" s="8" t="s">
        <v>67</v>
      </c>
      <c r="V28" s="1">
        <f>T28*(1.08*L43-0.45*J30)</f>
        <v>-5.9469339051007486</v>
      </c>
      <c r="W28" s="8" t="s">
        <v>68</v>
      </c>
      <c r="X28" s="55">
        <f>SQRT(R28^2+((0.95+EXP(-J30/15))*V28)^2+(1.2*V29)^2)</f>
        <v>7.9034232635635862</v>
      </c>
      <c r="Z28" s="49"/>
      <c r="AA28" s="53"/>
      <c r="AB28" s="53"/>
      <c r="AC28" s="54"/>
      <c r="AD28" s="54"/>
    </row>
    <row r="29" spans="1:31" x14ac:dyDescent="0.25">
      <c r="B29" s="4" t="s">
        <v>0</v>
      </c>
      <c r="C29" s="22" t="s">
        <v>85</v>
      </c>
      <c r="D29" s="22" t="s">
        <v>87</v>
      </c>
      <c r="E29" s="30" t="s">
        <v>91</v>
      </c>
      <c r="I29" s="14" t="s">
        <v>119</v>
      </c>
      <c r="J29" s="22">
        <f>Tanks!D4</f>
        <v>72</v>
      </c>
      <c r="K29" s="5"/>
      <c r="L29" s="15"/>
      <c r="N29" s="2"/>
      <c r="O29" s="14" t="s">
        <v>51</v>
      </c>
      <c r="P29" s="15">
        <f>(1.58-0.47*J34)*((2.4/SQRT(J30))+(34/J30)-(600/J30^2))</f>
        <v>0.8199288630336341</v>
      </c>
      <c r="Q29" s="14" t="s">
        <v>58</v>
      </c>
      <c r="R29" s="5">
        <f>920*1*(J30^-0.84)*(1+(2.57/SQRT(L46*J30))^1.2)</f>
        <v>26.124211674722677</v>
      </c>
      <c r="S29" s="14" t="s">
        <v>65</v>
      </c>
      <c r="T29" s="5">
        <f>P33*R31*(PI()/180)*(2*PI()/P35)^2</f>
        <v>0.14434133854772935</v>
      </c>
      <c r="U29" s="14" t="s">
        <v>66</v>
      </c>
      <c r="V29" s="1">
        <f>T29*J44</f>
        <v>0.46189228335273391</v>
      </c>
      <c r="W29" s="14" t="s">
        <v>69</v>
      </c>
      <c r="X29" s="15">
        <f>SQRT(R28^2+((0.95+EXP(-J30/15))*0)^2+(1.2*V29)^2)</f>
        <v>5.4837382150484171</v>
      </c>
    </row>
    <row r="30" spans="1:31" x14ac:dyDescent="0.25">
      <c r="B30" s="4" t="s">
        <v>1</v>
      </c>
      <c r="C30" s="22" t="s">
        <v>85</v>
      </c>
      <c r="D30" s="22" t="s">
        <v>87</v>
      </c>
      <c r="E30" s="60" t="s">
        <v>124</v>
      </c>
      <c r="I30" s="14" t="s">
        <v>43</v>
      </c>
      <c r="J30" s="22">
        <f>Tanks!D5</f>
        <v>74.34</v>
      </c>
      <c r="K30" s="5"/>
      <c r="L30" s="15"/>
      <c r="N30" s="2"/>
      <c r="O30" s="14" t="s">
        <v>54</v>
      </c>
      <c r="P30" s="15">
        <f>IF(J40="Strength assessment",L41,L40*(0.28-(5+6*L32)*J30*10^-5))</f>
        <v>1</v>
      </c>
      <c r="Q30" s="14" t="s">
        <v>59</v>
      </c>
      <c r="R30" s="5">
        <f>SQRT(2*PI()*P32/L46)</f>
        <v>6.5461803116781612</v>
      </c>
      <c r="S30" s="38"/>
      <c r="T30" s="15"/>
      <c r="U30" s="5"/>
      <c r="V30" s="5"/>
      <c r="W30" s="14" t="s">
        <v>70</v>
      </c>
      <c r="X30" s="15">
        <f>SQRT(R28^2+((0.95+EXP(-J30/15))*V28)^2+(1.2*0)^2)</f>
        <v>7.883963675068026</v>
      </c>
    </row>
    <row r="31" spans="1:31" x14ac:dyDescent="0.25">
      <c r="B31" s="4" t="s">
        <v>2</v>
      </c>
      <c r="C31" s="22">
        <v>0</v>
      </c>
      <c r="D31" s="22" t="s">
        <v>88</v>
      </c>
      <c r="E31" s="30" t="s">
        <v>92</v>
      </c>
      <c r="I31" s="14" t="s">
        <v>42</v>
      </c>
      <c r="J31" s="22">
        <f>Tanks!D6</f>
        <v>17.2</v>
      </c>
      <c r="K31" s="5"/>
      <c r="L31" s="15"/>
      <c r="N31" s="2"/>
      <c r="O31" s="14" t="s">
        <v>62</v>
      </c>
      <c r="P31" s="5">
        <f>IF(J40="Strength assessment",L41,L40*((0.27-0.02*L32)-(13-5*L32)*J30*10^-5))</f>
        <v>1</v>
      </c>
      <c r="Q31" s="14" t="s">
        <v>60</v>
      </c>
      <c r="R31" s="5">
        <f>(9000*(1.4-0.035*P35)*1*L38)/((1.15*J31+55)*PI())</f>
        <v>41.667712130130447</v>
      </c>
      <c r="S31" s="14"/>
      <c r="T31" s="15"/>
      <c r="U31" s="5"/>
      <c r="V31" s="5"/>
      <c r="W31" s="14"/>
      <c r="X31" s="19"/>
    </row>
    <row r="32" spans="1:31" x14ac:dyDescent="0.25">
      <c r="B32" s="4" t="s">
        <v>3</v>
      </c>
      <c r="C32" s="22">
        <v>0</v>
      </c>
      <c r="D32" s="22" t="s">
        <v>88</v>
      </c>
      <c r="E32" s="60" t="s">
        <v>125</v>
      </c>
      <c r="G32" s="62"/>
      <c r="I32" s="14" t="s">
        <v>107</v>
      </c>
      <c r="J32" s="22">
        <f>Tanks!D7</f>
        <v>2.5</v>
      </c>
      <c r="K32" s="116" t="s">
        <v>29</v>
      </c>
      <c r="L32" s="117">
        <f>IF(J32/J33&lt;0.5,0.5,J32/J33)</f>
        <v>0.5</v>
      </c>
      <c r="N32" s="2"/>
      <c r="O32" s="14" t="s">
        <v>52</v>
      </c>
      <c r="P32" s="15">
        <f>0.6*(1+L32)*J30</f>
        <v>66.905999999999992</v>
      </c>
      <c r="Q32" s="14"/>
      <c r="R32" s="15"/>
      <c r="S32" s="14"/>
      <c r="T32" s="15"/>
      <c r="U32" s="5"/>
      <c r="V32" s="5"/>
      <c r="W32" s="14"/>
      <c r="X32" s="19"/>
    </row>
    <row r="33" spans="2:24" x14ac:dyDescent="0.25">
      <c r="B33" s="4" t="s">
        <v>4</v>
      </c>
      <c r="C33" s="22" t="s">
        <v>84</v>
      </c>
      <c r="D33" s="22">
        <v>0</v>
      </c>
      <c r="E33" s="30" t="s">
        <v>93</v>
      </c>
      <c r="I33" s="14" t="s">
        <v>44</v>
      </c>
      <c r="J33" s="22">
        <f>Tanks!D8</f>
        <v>8.5</v>
      </c>
      <c r="K33" s="116"/>
      <c r="L33" s="117"/>
      <c r="N33" s="2"/>
      <c r="O33" s="14" t="s">
        <v>55</v>
      </c>
      <c r="P33" s="15">
        <f>IF(J40="Strength assessment",L41,L40*(0.23-4*L32*J30*10^-4))</f>
        <v>1</v>
      </c>
      <c r="Q33" s="14"/>
      <c r="R33" s="15"/>
      <c r="S33" s="14"/>
      <c r="T33" s="15"/>
      <c r="U33" s="5"/>
      <c r="V33" s="5"/>
      <c r="W33" s="14"/>
      <c r="X33" s="19"/>
    </row>
    <row r="34" spans="2:24" ht="16.5" thickBot="1" x14ac:dyDescent="0.3">
      <c r="B34" s="6" t="s">
        <v>5</v>
      </c>
      <c r="C34" s="25" t="s">
        <v>84</v>
      </c>
      <c r="D34" s="25">
        <v>0</v>
      </c>
      <c r="E34" s="61" t="s">
        <v>126</v>
      </c>
      <c r="I34" s="14" t="s">
        <v>45</v>
      </c>
      <c r="J34" s="22">
        <f>Tanks!D9</f>
        <v>0.57999999999999996</v>
      </c>
      <c r="K34" s="5"/>
      <c r="L34" s="15"/>
      <c r="N34" s="2"/>
      <c r="O34" s="14" t="s">
        <v>61</v>
      </c>
      <c r="P34" s="15">
        <f>P33</f>
        <v>1</v>
      </c>
      <c r="Q34" s="14"/>
      <c r="R34" s="15"/>
      <c r="S34" s="14"/>
      <c r="T34" s="15"/>
      <c r="U34" s="5"/>
      <c r="V34" s="5"/>
      <c r="W34" s="14"/>
      <c r="X34" s="19"/>
    </row>
    <row r="35" spans="2:24" x14ac:dyDescent="0.25">
      <c r="I35" s="14" t="s">
        <v>94</v>
      </c>
      <c r="J35" s="22">
        <f>Tanks!D10</f>
        <v>12.35</v>
      </c>
      <c r="K35" s="5"/>
      <c r="L35" s="15"/>
      <c r="N35" s="2"/>
      <c r="O35" s="14" t="s">
        <v>56</v>
      </c>
      <c r="P35" s="5">
        <f>(2.3*PI()*L37)/SQRT(L46*L36)</f>
        <v>14.103373759886164</v>
      </c>
      <c r="Q35" s="14"/>
      <c r="R35" s="15"/>
      <c r="S35" s="14"/>
      <c r="T35" s="15"/>
      <c r="U35" s="5"/>
      <c r="V35" s="5"/>
      <c r="W35" s="14"/>
      <c r="X35" s="19"/>
    </row>
    <row r="36" spans="2:24" x14ac:dyDescent="0.25">
      <c r="I36" s="14" t="s">
        <v>40</v>
      </c>
      <c r="J36" s="22">
        <f>Tanks!D13</f>
        <v>0</v>
      </c>
      <c r="K36" s="5" t="s">
        <v>99</v>
      </c>
      <c r="L36" s="15">
        <f>IF(J36=0,IF(J28="Other",0.07*J31,IF(J28="Tanker",0.12*J31,IF(J31&lt;=32.2,0.05*J31,IF(J31&lt;40,J31*(0.05+0.06*(J31-32.2)/7.8),0.11*J31)))),J36)</f>
        <v>1.204</v>
      </c>
      <c r="N36" s="2"/>
      <c r="O36" s="14"/>
      <c r="P36" s="5"/>
      <c r="Q36" s="14"/>
      <c r="R36" s="15"/>
      <c r="S36" s="14"/>
      <c r="T36" s="15"/>
      <c r="U36" s="5"/>
      <c r="V36" s="5"/>
      <c r="W36" s="14"/>
      <c r="X36" s="19"/>
    </row>
    <row r="37" spans="2:24" ht="16.5" thickBot="1" x14ac:dyDescent="0.3">
      <c r="I37" s="14" t="s">
        <v>41</v>
      </c>
      <c r="J37" s="22">
        <f>Tanks!D14</f>
        <v>0</v>
      </c>
      <c r="K37" s="5" t="s">
        <v>110</v>
      </c>
      <c r="L37" s="15">
        <f>IF(J37=0,IF(J28="Tanker",0.35*J31,0.39*J31),J37)</f>
        <v>6.7080000000000002</v>
      </c>
      <c r="N37" s="2"/>
      <c r="O37" s="14"/>
      <c r="P37" s="15"/>
      <c r="Q37" s="10"/>
      <c r="R37" s="12"/>
      <c r="S37" s="10"/>
      <c r="T37" s="12"/>
      <c r="U37" s="11"/>
      <c r="V37" s="11"/>
      <c r="W37" s="10"/>
      <c r="X37" s="20"/>
    </row>
    <row r="38" spans="2:24" x14ac:dyDescent="0.25">
      <c r="B38" s="3" t="s">
        <v>9</v>
      </c>
      <c r="C38" s="24" t="s">
        <v>86</v>
      </c>
      <c r="D38" s="24" t="s">
        <v>89</v>
      </c>
      <c r="E38" s="29" t="s">
        <v>90</v>
      </c>
      <c r="I38" s="14" t="s">
        <v>36</v>
      </c>
      <c r="J38" s="22" t="str">
        <f>Tanks!D15</f>
        <v>No</v>
      </c>
      <c r="K38" s="5" t="s">
        <v>37</v>
      </c>
      <c r="L38" s="15">
        <f>IF(J38="Yes",1,1.2)</f>
        <v>1.2</v>
      </c>
      <c r="N38" s="23" t="s">
        <v>6</v>
      </c>
      <c r="O38" s="8" t="s">
        <v>71</v>
      </c>
      <c r="P38" s="39">
        <f>0.2*L39*(-0.105+0.12*(J45-0.875*J32)/J32)</f>
        <v>0</v>
      </c>
      <c r="Q38" s="14" t="s">
        <v>76</v>
      </c>
      <c r="R38" s="5">
        <f>0.2*(1.6+1.5/SQRT(L46*J30))*P41*P29*L46</f>
        <v>2.6632760562631579</v>
      </c>
      <c r="S38" s="14" t="s">
        <v>78</v>
      </c>
      <c r="T38" s="5">
        <f>T28*(J45-P40)</f>
        <v>-0.92975242675147451</v>
      </c>
      <c r="U38" s="14"/>
      <c r="V38" s="5"/>
      <c r="W38" s="14" t="s">
        <v>77</v>
      </c>
      <c r="X38" s="43">
        <f>IF(J45&lt;0.875*J32,P39*SQRT(R38^2+((J30/325)*L46*SIN(R29*(PI()/180))+T38)^2),IF(J45&lt;1.75*J32,(0.595+0.12*(J45-0.875*J32)/J32)*SQRT(R38^2+((J30/325)*L46*SIN(R29*(PI()/180))+T38)^2),(0.7+P38)*SQRT(R38^2+((J30/325)*L46*SIN(R29*(PI()/180))+T38)^2)))</f>
        <v>1.4107022168089898</v>
      </c>
    </row>
    <row r="39" spans="2:24" x14ac:dyDescent="0.25">
      <c r="B39" s="4" t="s">
        <v>0</v>
      </c>
      <c r="C39" s="26">
        <f>0.6*X38</f>
        <v>0.84642133008539389</v>
      </c>
      <c r="D39" s="26">
        <f>0.8*X43</f>
        <v>5.6184074390381564</v>
      </c>
      <c r="E39" s="28">
        <f>L46+X28</f>
        <v>17.713423263563588</v>
      </c>
      <c r="I39" s="14" t="s">
        <v>72</v>
      </c>
      <c r="J39" s="22">
        <f>Tanks!D16</f>
        <v>0</v>
      </c>
      <c r="K39" s="5" t="s">
        <v>30</v>
      </c>
      <c r="L39" s="36">
        <f>IF(J39=0,IF(J30&lt;100,0,IF(J30&lt;150,0.1*(J30-100),5)),J39)</f>
        <v>0</v>
      </c>
      <c r="N39" s="2"/>
      <c r="O39" s="14" t="s">
        <v>73</v>
      </c>
      <c r="P39" s="15">
        <f>IF(J30&lt;100,0.455+0.16*J45/J32,IF(J30&lt;150,0.455+0.14*((J30/50)-2)+0.16*(3-J30/50)*J45/J32,0.595))</f>
        <v>0.52956000000000003</v>
      </c>
      <c r="Q39" s="14"/>
      <c r="R39" s="15"/>
      <c r="S39" s="5"/>
      <c r="T39" s="5"/>
      <c r="U39" s="14"/>
      <c r="V39" s="5"/>
      <c r="W39" s="14"/>
      <c r="X39" s="43"/>
    </row>
    <row r="40" spans="2:24" x14ac:dyDescent="0.25">
      <c r="B40" s="4" t="s">
        <v>1</v>
      </c>
      <c r="C40" s="26">
        <f>0.6*X38</f>
        <v>0.84642133008539389</v>
      </c>
      <c r="D40" s="26">
        <f>0.8*X43</f>
        <v>5.6184074390381564</v>
      </c>
      <c r="E40" s="56">
        <f>L46-X28</f>
        <v>1.9065767364364143</v>
      </c>
      <c r="I40" s="14" t="s">
        <v>24</v>
      </c>
      <c r="J40" s="22" t="str">
        <f>Tanks!D17</f>
        <v>Strength assessment</v>
      </c>
      <c r="K40" s="5" t="s">
        <v>28</v>
      </c>
      <c r="L40" s="15" t="str">
        <f>IF(J40="Fatigue assessment",0.9,"")</f>
        <v/>
      </c>
      <c r="N40" s="2"/>
      <c r="O40" s="14" t="s">
        <v>74</v>
      </c>
      <c r="P40" s="15">
        <f>MIN(0.25*J35+0.5*J32,0.5*J35)</f>
        <v>4.3375000000000004</v>
      </c>
      <c r="Q40" s="14"/>
      <c r="R40" s="15"/>
      <c r="S40" s="5"/>
      <c r="T40" s="5"/>
      <c r="U40" s="14"/>
      <c r="V40" s="5"/>
      <c r="W40" s="14"/>
      <c r="X40" s="43"/>
    </row>
    <row r="41" spans="2:24" x14ac:dyDescent="0.25">
      <c r="B41" s="4" t="s">
        <v>2</v>
      </c>
      <c r="C41" s="26">
        <v>0</v>
      </c>
      <c r="D41" s="26">
        <f>X43</f>
        <v>7.0230092987976951</v>
      </c>
      <c r="E41" s="28">
        <f>L46+X29</f>
        <v>15.293738215048418</v>
      </c>
      <c r="I41" s="14" t="s">
        <v>16</v>
      </c>
      <c r="J41" s="22" t="str">
        <f>Tanks!D18</f>
        <v>Extreme sea loads design load scenario</v>
      </c>
      <c r="K41" s="21" t="s">
        <v>11</v>
      </c>
      <c r="L41" s="15">
        <f>IF(J41="Extreme sea loads design load scenario",1,IF(J41="Extreme sea loads design load scenario for vessels with service restriction",L42,IF(J41="Ballast water exchange design load scenario",0.8,IF(J41="Ballast water exchange design load scenario for vessels with service restriction",0.8*L42,"error"))))</f>
        <v>1</v>
      </c>
      <c r="N41" s="2"/>
      <c r="O41" s="14" t="s">
        <v>75</v>
      </c>
      <c r="P41" s="5">
        <f>IF(J40="Strength assessment",L41,L40*(0.27-(15+4*L32)*J30*10^-5))</f>
        <v>1</v>
      </c>
      <c r="Q41" s="14"/>
      <c r="R41" s="15"/>
      <c r="S41" s="5"/>
      <c r="T41" s="5"/>
      <c r="U41" s="14"/>
      <c r="V41" s="5"/>
      <c r="W41" s="14"/>
      <c r="X41" s="43"/>
    </row>
    <row r="42" spans="2:24" x14ac:dyDescent="0.25">
      <c r="B42" s="4" t="s">
        <v>3</v>
      </c>
      <c r="C42" s="26">
        <v>0</v>
      </c>
      <c r="D42" s="26">
        <f>X43</f>
        <v>7.0230092987976951</v>
      </c>
      <c r="E42" s="56">
        <f>L46-X29</f>
        <v>4.3262617849515834</v>
      </c>
      <c r="I42" s="14" t="s">
        <v>20</v>
      </c>
      <c r="J42" s="22">
        <f>Tanks!D19</f>
        <v>0</v>
      </c>
      <c r="K42" s="21" t="s">
        <v>97</v>
      </c>
      <c r="L42" s="15">
        <f>IF(J42="R0",1,IF(J42="R1",0.9,IF(J42="R2",0.8,IF(J42="R3",0.7,IF(J42="R4",0.6,IF(J42="RE",0.5,1))))))</f>
        <v>1</v>
      </c>
      <c r="N42" s="2"/>
      <c r="O42" s="14"/>
      <c r="P42" s="15"/>
      <c r="Q42" s="14"/>
      <c r="R42" s="15"/>
      <c r="S42" s="5"/>
      <c r="T42" s="5"/>
      <c r="U42" s="14"/>
      <c r="V42" s="5"/>
      <c r="W42" s="14"/>
      <c r="X42" s="43"/>
    </row>
    <row r="43" spans="2:24" x14ac:dyDescent="0.25">
      <c r="B43" s="4" t="s">
        <v>4</v>
      </c>
      <c r="C43" s="26">
        <f>X38</f>
        <v>1.4107022168089898</v>
      </c>
      <c r="D43" s="26">
        <v>0</v>
      </c>
      <c r="E43" s="28">
        <f>L46+X30</f>
        <v>17.693963675068026</v>
      </c>
      <c r="I43" s="14" t="str">
        <f>I17</f>
        <v>x (distance from AP) [m]</v>
      </c>
      <c r="J43" s="22">
        <f>Tanks!$D$20/1000</f>
        <v>9.8460000000000001</v>
      </c>
      <c r="K43" s="5" t="s">
        <v>120</v>
      </c>
      <c r="L43" s="15">
        <f>J43-(J29-J30)</f>
        <v>12.186000000000003</v>
      </c>
      <c r="N43" s="23" t="s">
        <v>7</v>
      </c>
      <c r="O43" s="8" t="s">
        <v>79</v>
      </c>
      <c r="P43" s="9">
        <f>IF(J40="Strength assessment",L41,L40*(0.24-(6-2*L32)*J31*10^-4))</f>
        <v>1</v>
      </c>
      <c r="Q43" s="8" t="s">
        <v>80</v>
      </c>
      <c r="R43" s="9">
        <f>0.3*(2.25-20/SQRT(L46*J30))*P43*P29*L46</f>
        <v>3.642256560233502</v>
      </c>
      <c r="S43" s="8"/>
      <c r="T43" s="9"/>
      <c r="U43" s="8"/>
      <c r="V43" s="9"/>
      <c r="W43" s="8" t="s">
        <v>82</v>
      </c>
      <c r="X43" s="44">
        <f>(1-EXP(-J31*J30/(215*L36)))*SQRT(R43^2+(L46*SIN(R31*(PI()/180))+P44)^2)</f>
        <v>7.0230092987976951</v>
      </c>
    </row>
    <row r="44" spans="2:24" ht="16.5" thickBot="1" x14ac:dyDescent="0.3">
      <c r="B44" s="6" t="s">
        <v>5</v>
      </c>
      <c r="C44" s="27">
        <f>X38</f>
        <v>1.4107022168089898</v>
      </c>
      <c r="D44" s="27">
        <v>0</v>
      </c>
      <c r="E44" s="57">
        <f>L46-X30</f>
        <v>1.9260363249319745</v>
      </c>
      <c r="I44" s="14" t="str">
        <f t="shared" ref="I44:I45" si="0">I18</f>
        <v>y [m]</v>
      </c>
      <c r="J44" s="22">
        <f>Tanks!$D$21/1000</f>
        <v>3.2</v>
      </c>
      <c r="K44" s="5"/>
      <c r="L44" s="15"/>
      <c r="O44" s="10" t="s">
        <v>81</v>
      </c>
      <c r="P44" s="12">
        <f>T29*(J45-P40)</f>
        <v>-0.45792289654267138</v>
      </c>
      <c r="Q44" s="10"/>
      <c r="R44" s="11"/>
      <c r="S44" s="10"/>
      <c r="T44" s="11"/>
      <c r="U44" s="10"/>
      <c r="V44" s="11"/>
      <c r="W44" s="10"/>
      <c r="X44" s="20"/>
    </row>
    <row r="45" spans="2:24" x14ac:dyDescent="0.25">
      <c r="I45" s="14" t="str">
        <f t="shared" si="0"/>
        <v>z [m]</v>
      </c>
      <c r="J45" s="22">
        <f>Tanks!$D$22/1000</f>
        <v>1.165</v>
      </c>
      <c r="K45" s="5"/>
      <c r="L45" s="15"/>
    </row>
    <row r="46" spans="2:24" x14ac:dyDescent="0.25">
      <c r="I46" s="14" t="s">
        <v>95</v>
      </c>
      <c r="J46" s="22"/>
      <c r="K46" s="5"/>
      <c r="L46" s="19">
        <v>9.81</v>
      </c>
    </row>
    <row r="47" spans="2:24" x14ac:dyDescent="0.25">
      <c r="I47" s="10"/>
      <c r="J47" s="37"/>
      <c r="K47" s="11"/>
      <c r="L47" s="20"/>
      <c r="O47" s="5" t="s">
        <v>63</v>
      </c>
      <c r="P47" s="15" t="s">
        <v>83</v>
      </c>
    </row>
  </sheetData>
  <mergeCells count="2">
    <mergeCell ref="K32:K33"/>
    <mergeCell ref="L32:L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4"/>
  <sheetViews>
    <sheetView workbookViewId="0">
      <selection activeCell="E9" sqref="E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6"/>
  <sheetViews>
    <sheetView workbookViewId="0">
      <selection activeCell="E9" sqref="E9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21</v>
      </c>
    </row>
    <row r="5" spans="1:1" x14ac:dyDescent="0.25">
      <c r="A5" t="s">
        <v>22</v>
      </c>
    </row>
    <row r="6" spans="1:1" x14ac:dyDescent="0.25">
      <c r="A6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2"/>
  <sheetViews>
    <sheetView workbookViewId="0">
      <selection activeCell="E9" sqref="E9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1"/>
  <sheetViews>
    <sheetView workbookViewId="0">
      <selection activeCell="E9" sqref="E9"/>
    </sheetView>
  </sheetViews>
  <sheetFormatPr defaultRowHeight="15" x14ac:dyDescent="0.25"/>
  <sheetData>
    <row r="1" spans="1:12" x14ac:dyDescent="0.25">
      <c r="A1" t="s">
        <v>32</v>
      </c>
    </row>
    <row r="2" spans="1:12" x14ac:dyDescent="0.25">
      <c r="A2" t="s">
        <v>33</v>
      </c>
    </row>
    <row r="3" spans="1:12" x14ac:dyDescent="0.25">
      <c r="A3" t="s">
        <v>34</v>
      </c>
    </row>
    <row r="11" spans="1:12" x14ac:dyDescent="0.25">
      <c r="L11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2"/>
  <sheetViews>
    <sheetView workbookViewId="0">
      <selection activeCell="E9" sqref="E9"/>
    </sheetView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FF6D-F14F-461C-82A0-BF1F720B2DD0}">
  <dimension ref="A1"/>
  <sheetViews>
    <sheetView workbookViewId="0">
      <selection activeCell="U54" sqref="U5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A6C6-D188-47D3-8AAA-31C4808778E2}">
  <sheetPr codeName="Sheet14"/>
  <dimension ref="A1:D61"/>
  <sheetViews>
    <sheetView zoomScale="85" zoomScaleNormal="85" workbookViewId="0">
      <selection activeCell="C49" sqref="C49:D49"/>
    </sheetView>
  </sheetViews>
  <sheetFormatPr defaultRowHeight="15" x14ac:dyDescent="0.25"/>
  <cols>
    <col min="1" max="1" width="20.85546875" customWidth="1"/>
    <col min="2" max="2" width="17.85546875" customWidth="1"/>
    <col min="3" max="3" width="43.140625" bestFit="1" customWidth="1"/>
    <col min="4" max="4" width="14.42578125" customWidth="1"/>
  </cols>
  <sheetData>
    <row r="1" spans="1:4" ht="15.75" x14ac:dyDescent="0.25">
      <c r="C1" s="87" t="s">
        <v>10</v>
      </c>
      <c r="D1" s="88" t="s">
        <v>96</v>
      </c>
    </row>
    <row r="2" spans="1:4" x14ac:dyDescent="0.25">
      <c r="A2" s="66"/>
      <c r="B2" s="66"/>
      <c r="C2" s="97" t="s">
        <v>43</v>
      </c>
      <c r="D2" s="101">
        <v>74.34</v>
      </c>
    </row>
    <row r="3" spans="1:4" x14ac:dyDescent="0.25">
      <c r="A3" s="66"/>
      <c r="B3" s="66"/>
      <c r="C3" s="78" t="s">
        <v>42</v>
      </c>
      <c r="D3" s="68">
        <v>17.2</v>
      </c>
    </row>
    <row r="4" spans="1:4" x14ac:dyDescent="0.25">
      <c r="A4" s="66"/>
      <c r="B4" s="66"/>
      <c r="C4" s="78" t="s">
        <v>144</v>
      </c>
      <c r="D4" s="68">
        <v>15.48</v>
      </c>
    </row>
    <row r="5" spans="1:4" x14ac:dyDescent="0.25">
      <c r="A5" s="66"/>
      <c r="B5" s="66"/>
      <c r="C5" s="78" t="s">
        <v>145</v>
      </c>
      <c r="D5" s="68">
        <v>15</v>
      </c>
    </row>
    <row r="6" spans="1:4" x14ac:dyDescent="0.25">
      <c r="A6" s="66"/>
      <c r="B6" s="66"/>
      <c r="C6" s="78" t="s">
        <v>146</v>
      </c>
      <c r="D6" s="69">
        <v>600</v>
      </c>
    </row>
    <row r="7" spans="1:4" x14ac:dyDescent="0.25">
      <c r="A7" s="107"/>
      <c r="B7" s="114" t="s">
        <v>147</v>
      </c>
      <c r="C7" s="78" t="s">
        <v>148</v>
      </c>
      <c r="D7" s="68">
        <v>7.8</v>
      </c>
    </row>
    <row r="8" spans="1:4" x14ac:dyDescent="0.25">
      <c r="A8" s="107"/>
      <c r="B8" s="114"/>
      <c r="C8" s="98" t="s">
        <v>121</v>
      </c>
      <c r="D8" s="68">
        <v>4.25</v>
      </c>
    </row>
    <row r="9" spans="1:4" x14ac:dyDescent="0.25">
      <c r="A9" s="107"/>
      <c r="B9" s="114"/>
      <c r="C9" s="98" t="s">
        <v>122</v>
      </c>
      <c r="D9" s="68">
        <v>2.8</v>
      </c>
    </row>
    <row r="10" spans="1:4" x14ac:dyDescent="0.25">
      <c r="A10" s="107"/>
      <c r="B10" s="115" t="s">
        <v>149</v>
      </c>
      <c r="C10" s="98" t="s">
        <v>150</v>
      </c>
      <c r="D10" s="68">
        <v>8</v>
      </c>
    </row>
    <row r="11" spans="1:4" x14ac:dyDescent="0.25">
      <c r="A11" s="107"/>
      <c r="B11" s="115"/>
      <c r="C11" s="98" t="s">
        <v>121</v>
      </c>
      <c r="D11" s="68">
        <v>2.5</v>
      </c>
    </row>
    <row r="12" spans="1:4" x14ac:dyDescent="0.25">
      <c r="A12" s="107"/>
      <c r="B12" s="115"/>
      <c r="C12" s="98" t="s">
        <v>122</v>
      </c>
      <c r="D12" s="68">
        <v>3.8</v>
      </c>
    </row>
    <row r="13" spans="1:4" x14ac:dyDescent="0.25">
      <c r="A13" s="66"/>
      <c r="B13" s="66"/>
      <c r="C13" s="78" t="s">
        <v>196</v>
      </c>
      <c r="D13" s="68">
        <v>0.57999999999999996</v>
      </c>
    </row>
    <row r="14" spans="1:4" ht="18" x14ac:dyDescent="0.35">
      <c r="A14" s="66"/>
      <c r="B14" s="66"/>
      <c r="C14" s="78" t="s">
        <v>197</v>
      </c>
      <c r="D14" s="68">
        <v>8.5</v>
      </c>
    </row>
    <row r="15" spans="1:4" ht="18" x14ac:dyDescent="0.35">
      <c r="A15" s="66"/>
      <c r="B15" s="66"/>
      <c r="C15" s="78" t="s">
        <v>198</v>
      </c>
      <c r="D15" s="68">
        <v>8.5</v>
      </c>
    </row>
    <row r="16" spans="1:4" ht="18" x14ac:dyDescent="0.35">
      <c r="A16" s="66"/>
      <c r="B16" s="66"/>
      <c r="C16" s="78" t="s">
        <v>199</v>
      </c>
      <c r="D16" s="68">
        <v>5</v>
      </c>
    </row>
    <row r="17" spans="1:4" ht="18" x14ac:dyDescent="0.35">
      <c r="A17" s="66"/>
      <c r="B17" s="66"/>
      <c r="C17" s="78" t="s">
        <v>200</v>
      </c>
      <c r="D17" s="68">
        <v>3.8</v>
      </c>
    </row>
    <row r="18" spans="1:4" x14ac:dyDescent="0.25">
      <c r="A18" s="66"/>
      <c r="B18" s="66"/>
      <c r="C18" s="78" t="s">
        <v>206</v>
      </c>
      <c r="D18" s="68">
        <v>1</v>
      </c>
    </row>
    <row r="19" spans="1:4" x14ac:dyDescent="0.25">
      <c r="A19" s="66"/>
      <c r="B19" s="66"/>
      <c r="C19" s="78" t="s">
        <v>192</v>
      </c>
      <c r="D19" s="71">
        <f>(D16-D17)/2.3</f>
        <v>0.52173913043478271</v>
      </c>
    </row>
    <row r="20" spans="1:4" x14ac:dyDescent="0.25">
      <c r="A20" s="66"/>
      <c r="B20" s="66"/>
      <c r="C20" s="78" t="s">
        <v>201</v>
      </c>
      <c r="D20" s="71">
        <f>IF(D9=D17,1,IF(D22=0,0,IF(D19&lt;3,0.75^D19,2.5/D22)))</f>
        <v>0.86062621793717964</v>
      </c>
    </row>
    <row r="21" spans="1:4" x14ac:dyDescent="0.25">
      <c r="A21" s="66"/>
      <c r="B21" s="66"/>
      <c r="C21" s="78" t="s">
        <v>202</v>
      </c>
      <c r="D21" s="71">
        <f>IF(D12=D17,1,IF(D22=0,0,IF(D19&lt;3,0.75^D19,2.5/D22)))</f>
        <v>1</v>
      </c>
    </row>
    <row r="22" spans="1:4" ht="18" x14ac:dyDescent="0.35">
      <c r="A22" s="66"/>
      <c r="B22" s="66"/>
      <c r="C22" s="78" t="s">
        <v>203</v>
      </c>
      <c r="D22" s="71">
        <f>IF(D7/D2&gt;0.75,12.2+D2/9*(5*D7/D2-2)+3.6*D7/D2,14.9+0.195*D2)</f>
        <v>29.396300000000004</v>
      </c>
    </row>
    <row r="23" spans="1:4" ht="18" x14ac:dyDescent="0.35">
      <c r="A23" s="66"/>
      <c r="B23" s="66"/>
      <c r="C23" s="78" t="s">
        <v>204</v>
      </c>
      <c r="D23" s="71">
        <f>IF(D10/D2&gt;0.75,12.2+D2/9*(5*D10/D2-2)+3.6*D10/D2,14.9+0.195*D2)</f>
        <v>29.396300000000004</v>
      </c>
    </row>
    <row r="24" spans="1:4" ht="18" x14ac:dyDescent="0.35">
      <c r="A24" s="66"/>
      <c r="B24" s="66"/>
      <c r="C24" s="78" t="s">
        <v>209</v>
      </c>
      <c r="D24" s="70">
        <f>MIN(ABS(2*D8)/D4,1)</f>
        <v>0.54909560723514206</v>
      </c>
    </row>
    <row r="25" spans="1:4" ht="18" x14ac:dyDescent="0.35">
      <c r="A25" s="66"/>
      <c r="B25" s="66"/>
      <c r="C25" s="78" t="s">
        <v>210</v>
      </c>
      <c r="D25" s="70">
        <f t="shared" ref="D25" si="0">MIN(ABS(2*D11)/D4,1)</f>
        <v>0.32299741602067183</v>
      </c>
    </row>
    <row r="26" spans="1:4" ht="18" x14ac:dyDescent="0.35">
      <c r="A26" s="66"/>
      <c r="B26" s="66"/>
      <c r="C26" s="78" t="s">
        <v>207</v>
      </c>
      <c r="D26" s="70">
        <f>0.5*D9/D14+2.5*D24+2</f>
        <v>3.5374449004407964</v>
      </c>
    </row>
    <row r="27" spans="1:4" ht="18" x14ac:dyDescent="0.35">
      <c r="A27" s="66"/>
      <c r="B27" s="66"/>
      <c r="C27" s="78" t="s">
        <v>208</v>
      </c>
      <c r="D27" s="70">
        <f>0.5*D12/D14+2.5*D25+2</f>
        <v>3.0310229518163854</v>
      </c>
    </row>
    <row r="28" spans="1:4" x14ac:dyDescent="0.25">
      <c r="A28" s="66"/>
      <c r="B28" s="66"/>
      <c r="C28" s="78" t="s">
        <v>151</v>
      </c>
      <c r="D28" s="70">
        <f>D7/D2</f>
        <v>0.10492332526230831</v>
      </c>
    </row>
    <row r="29" spans="1:4" x14ac:dyDescent="0.25">
      <c r="A29" s="66"/>
      <c r="B29" s="66"/>
      <c r="C29" s="78" t="s">
        <v>152</v>
      </c>
      <c r="D29" s="70">
        <f>D10/D2</f>
        <v>0.10761366693570083</v>
      </c>
    </row>
    <row r="30" spans="1:4" x14ac:dyDescent="0.25">
      <c r="A30" s="66"/>
      <c r="B30" s="66"/>
      <c r="C30" s="78" t="s">
        <v>205</v>
      </c>
      <c r="D30" s="70">
        <f>MAX(0.6,0.05+D13,1.1-0.1*(D2/D3))</f>
        <v>0.66779069767441868</v>
      </c>
    </row>
    <row r="31" spans="1:4" x14ac:dyDescent="0.25">
      <c r="A31" s="66"/>
      <c r="B31" s="66"/>
      <c r="C31" s="98" t="s">
        <v>153</v>
      </c>
      <c r="D31" s="71">
        <f>IF(D28&gt;0.85,(0.2*D28-0.02)/0.15,1)</f>
        <v>1</v>
      </c>
    </row>
    <row r="32" spans="1:4" x14ac:dyDescent="0.25">
      <c r="A32" s="66"/>
      <c r="B32" s="66"/>
      <c r="C32" s="98" t="s">
        <v>154</v>
      </c>
      <c r="D32" s="71">
        <f>IF(D29&gt;0.85,(0.2*D29-0.02)/0.15,1)</f>
        <v>1</v>
      </c>
    </row>
    <row r="33" spans="1:4" x14ac:dyDescent="0.25">
      <c r="A33" s="66"/>
      <c r="B33" s="66"/>
      <c r="C33" s="98" t="s">
        <v>155</v>
      </c>
      <c r="D33" s="71">
        <f>IF(D28&lt;0.2,(-5*D28+2),IF(D28&gt;0.6,(5*D28-2),1))</f>
        <v>1.4753833736884583</v>
      </c>
    </row>
    <row r="34" spans="1:4" x14ac:dyDescent="0.25">
      <c r="A34" s="66"/>
      <c r="B34" s="66"/>
      <c r="C34" s="98" t="s">
        <v>156</v>
      </c>
      <c r="D34" s="71">
        <f>IF(D29&lt;0.2,(-5*D29+2),IF(D29&gt;0.6,(5*D29-2),1))</f>
        <v>1.461931665321496</v>
      </c>
    </row>
    <row r="35" spans="1:4" x14ac:dyDescent="0.25">
      <c r="A35" s="66"/>
      <c r="B35" s="66"/>
      <c r="C35" s="78" t="s">
        <v>216</v>
      </c>
      <c r="D35" s="70">
        <f>0.0856*D2</f>
        <v>6.3635039999999998</v>
      </c>
    </row>
    <row r="36" spans="1:4" x14ac:dyDescent="0.25">
      <c r="A36" s="66"/>
      <c r="B36" s="66"/>
      <c r="C36" s="78" t="s">
        <v>157</v>
      </c>
      <c r="D36" s="70">
        <f>MAX((MAX(0.6,0.05+D13,1.1-(0.1*D2/D3))*(2+(55/D2))*(0.5*(D14/D14)+(2.5*(1))+2)*D35),5*D33*0.2*(4+D14/D14)*(1-D13/3)*D35*((1.2*D2-15)/D2)^0.5)</f>
        <v>58.214680781395359</v>
      </c>
    </row>
    <row r="37" spans="1:4" x14ac:dyDescent="0.25">
      <c r="A37" s="66"/>
      <c r="B37" s="66"/>
      <c r="C37" s="78" t="s">
        <v>158</v>
      </c>
      <c r="D37" s="70">
        <f>MAX((MAX(0.6,0.05+D13,1.1-(0.1*D2/D3))*(2+(55/D2))*(0.5*(D14/D14)+(2.5*(1))+2)*D35),5*D34*0.2*(4+D14/D14)*(1-D13/3)*D35*((1.2*D2-15)/D2)^0.5)</f>
        <v>58.214680781395359</v>
      </c>
    </row>
    <row r="38" spans="1:4" x14ac:dyDescent="0.25">
      <c r="A38" s="66"/>
      <c r="B38" s="66"/>
      <c r="C38" s="99" t="s">
        <v>184</v>
      </c>
      <c r="D38" s="72">
        <f>MAX(D18*D30*(2+55/D2)*D26*D35,5*D18*D31*D33*(1-D13/3)*D35*((1.2*D2-15)/D2)^0.5)</f>
        <v>41.186245132187167</v>
      </c>
    </row>
    <row r="39" spans="1:4" x14ac:dyDescent="0.25">
      <c r="A39" s="66"/>
      <c r="B39" s="66"/>
      <c r="C39" s="99" t="s">
        <v>185</v>
      </c>
      <c r="D39" s="72">
        <f>MAX(D18*D30*(2+55/D2)*D27*D35,5*D18*D32*D34*(1-D13/3)*D35*((1.2*D2-15)/D2)^0.5)</f>
        <v>37.488804838318806</v>
      </c>
    </row>
    <row r="40" spans="1:4" ht="15" customHeight="1" x14ac:dyDescent="0.25">
      <c r="A40" s="111" t="s">
        <v>189</v>
      </c>
      <c r="B40" s="113" t="s">
        <v>191</v>
      </c>
      <c r="C40" s="102" t="s">
        <v>195</v>
      </c>
      <c r="D40" s="103">
        <f>IF(D9&lt;=D14,D38+9.81*1.025*(D14-D9),IF(D9&lt;D36/(1.025*9.81)+D14,D36-1.025*9.81*(D9-D14),0))</f>
        <v>98.501170132187156</v>
      </c>
    </row>
    <row r="41" spans="1:4" x14ac:dyDescent="0.25">
      <c r="A41" s="112"/>
      <c r="B41" s="114"/>
      <c r="C41" s="100" t="s">
        <v>188</v>
      </c>
      <c r="D41" s="73">
        <f>IF(D12&lt;=D14,D39+9.81*1.025*(D14-D12),IF(D12&lt;D37/(1.025*9.81)+D14,D37-1.025*9.81*(D12-D14),0))</f>
        <v>84.748479838318801</v>
      </c>
    </row>
    <row r="42" spans="1:4" ht="18" x14ac:dyDescent="0.35">
      <c r="A42" s="112"/>
      <c r="B42" s="114"/>
      <c r="C42" s="100" t="s">
        <v>193</v>
      </c>
      <c r="D42" s="73">
        <f>MAX(D20*D22,D38-9.81*1.025*(D9-D16))</f>
        <v>63.307795132187167</v>
      </c>
    </row>
    <row r="43" spans="1:4" ht="18" x14ac:dyDescent="0.35">
      <c r="A43" s="112"/>
      <c r="B43" s="114"/>
      <c r="C43" s="100" t="s">
        <v>194</v>
      </c>
      <c r="D43" s="73">
        <f>MAX(D21*D23,D39-9.81*1.025*(D12-D16))</f>
        <v>49.555104838318805</v>
      </c>
    </row>
    <row r="44" spans="1:4" ht="18" x14ac:dyDescent="0.35">
      <c r="A44" s="112" t="s">
        <v>190</v>
      </c>
      <c r="B44" s="114"/>
      <c r="C44" s="100" t="s">
        <v>214</v>
      </c>
      <c r="D44" s="73">
        <f>MAX(D40,3*D35*(D13+0.7)-2*(D9-D14))</f>
        <v>98.501170132187156</v>
      </c>
    </row>
    <row r="45" spans="1:4" ht="18" x14ac:dyDescent="0.35">
      <c r="A45" s="112"/>
      <c r="B45" s="114"/>
      <c r="C45" s="100" t="s">
        <v>215</v>
      </c>
      <c r="D45" s="73">
        <f>MAX(D41,3*D35*(D13+0.7)-2*(D12-D14))</f>
        <v>84.748479838318801</v>
      </c>
    </row>
    <row r="46" spans="1:4" x14ac:dyDescent="0.25">
      <c r="A46" s="104" t="s">
        <v>212</v>
      </c>
      <c r="B46" s="105" t="s">
        <v>213</v>
      </c>
      <c r="C46" s="81" t="s">
        <v>211</v>
      </c>
      <c r="D46" s="74">
        <f>IF(D9&lt;=D14,9.81*1.025*(D14-D9),0)</f>
        <v>57.314924999999995</v>
      </c>
    </row>
    <row r="47" spans="1:4" x14ac:dyDescent="0.25">
      <c r="D47" s="75"/>
    </row>
    <row r="48" spans="1:4" x14ac:dyDescent="0.25">
      <c r="C48" s="76" t="s">
        <v>159</v>
      </c>
      <c r="D48" s="77"/>
    </row>
    <row r="49" spans="3:4" x14ac:dyDescent="0.25">
      <c r="C49" s="106" t="s">
        <v>217</v>
      </c>
      <c r="D49" s="69"/>
    </row>
    <row r="50" spans="3:4" x14ac:dyDescent="0.25">
      <c r="C50" s="78" t="s">
        <v>160</v>
      </c>
      <c r="D50" s="79">
        <v>235</v>
      </c>
    </row>
    <row r="51" spans="3:4" x14ac:dyDescent="0.25">
      <c r="C51" s="78" t="s">
        <v>161</v>
      </c>
      <c r="D51" s="80">
        <v>0.95</v>
      </c>
    </row>
    <row r="52" spans="3:4" x14ac:dyDescent="0.25">
      <c r="C52" s="81" t="s">
        <v>186</v>
      </c>
      <c r="D52" s="82">
        <f>0.0158*1*D6*SQRT(ABS(D49)/(D51*D50))</f>
        <v>0</v>
      </c>
    </row>
    <row r="53" spans="3:4" x14ac:dyDescent="0.25">
      <c r="C53" s="83"/>
      <c r="D53" s="66"/>
    </row>
    <row r="54" spans="3:4" x14ac:dyDescent="0.25">
      <c r="C54" s="76" t="s">
        <v>163</v>
      </c>
      <c r="D54" s="77"/>
    </row>
    <row r="55" spans="3:4" x14ac:dyDescent="0.25">
      <c r="C55" s="78" t="s">
        <v>164</v>
      </c>
      <c r="D55" s="68">
        <v>3.5</v>
      </c>
    </row>
    <row r="56" spans="3:4" x14ac:dyDescent="0.25">
      <c r="C56" s="78" t="s">
        <v>165</v>
      </c>
      <c r="D56" s="85">
        <v>1</v>
      </c>
    </row>
    <row r="57" spans="3:4" x14ac:dyDescent="0.25">
      <c r="C57" s="78" t="s">
        <v>166</v>
      </c>
      <c r="D57" s="85">
        <v>12</v>
      </c>
    </row>
    <row r="58" spans="3:4" x14ac:dyDescent="0.25">
      <c r="C58" s="78" t="s">
        <v>217</v>
      </c>
      <c r="D58" s="85"/>
    </row>
    <row r="59" spans="3:4" x14ac:dyDescent="0.25">
      <c r="C59" s="78" t="s">
        <v>167</v>
      </c>
      <c r="D59" s="84">
        <v>0.95</v>
      </c>
    </row>
    <row r="60" spans="3:4" x14ac:dyDescent="0.25">
      <c r="C60" s="78" t="s">
        <v>160</v>
      </c>
      <c r="D60" s="84">
        <v>235</v>
      </c>
    </row>
    <row r="61" spans="3:4" x14ac:dyDescent="0.25">
      <c r="C61" s="81" t="s">
        <v>187</v>
      </c>
      <c r="D61" s="74">
        <f>(D56*ABS(D58)*D6*D55^2/(D57*D59*D60))</f>
        <v>0</v>
      </c>
    </row>
  </sheetData>
  <mergeCells count="5">
    <mergeCell ref="A40:A43"/>
    <mergeCell ref="B40:B45"/>
    <mergeCell ref="A44:A45"/>
    <mergeCell ref="B7:B9"/>
    <mergeCell ref="B10:B1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77"/>
  <sheetViews>
    <sheetView tabSelected="1" zoomScale="85" zoomScaleNormal="85" workbookViewId="0">
      <selection activeCell="D35" sqref="D35"/>
    </sheetView>
  </sheetViews>
  <sheetFormatPr defaultColWidth="9.140625" defaultRowHeight="15.75" x14ac:dyDescent="0.25"/>
  <cols>
    <col min="1" max="1" width="20.7109375" style="1" customWidth="1"/>
    <col min="2" max="2" width="9.140625" style="1"/>
    <col min="3" max="3" width="44.42578125" style="1" bestFit="1" customWidth="1"/>
    <col min="4" max="4" width="48.85546875" style="1" customWidth="1"/>
    <col min="5" max="5" width="9.140625" style="1"/>
    <col min="6" max="6" width="10.7109375" style="1" bestFit="1" customWidth="1"/>
    <col min="7" max="7" width="27" style="1" bestFit="1" customWidth="1"/>
    <col min="8" max="8" width="10.5703125" style="1" bestFit="1" customWidth="1"/>
    <col min="9" max="9" width="27" style="1" customWidth="1"/>
    <col min="10" max="16384" width="9.140625" style="1"/>
  </cols>
  <sheetData>
    <row r="1" spans="3:9" ht="18.75" x14ac:dyDescent="0.3">
      <c r="C1" s="86" t="s">
        <v>10</v>
      </c>
      <c r="D1" s="89" t="s">
        <v>96</v>
      </c>
      <c r="E1" s="31"/>
      <c r="F1" s="48"/>
      <c r="G1" s="48"/>
      <c r="H1" s="48"/>
      <c r="I1" s="48"/>
    </row>
    <row r="2" spans="3:9" x14ac:dyDescent="0.25">
      <c r="C2" s="90" t="s">
        <v>31</v>
      </c>
      <c r="D2" s="93" t="s">
        <v>34</v>
      </c>
      <c r="F2" s="1">
        <v>1</v>
      </c>
      <c r="G2" s="1" t="s">
        <v>241</v>
      </c>
    </row>
    <row r="3" spans="3:9" x14ac:dyDescent="0.25">
      <c r="C3" s="90" t="s">
        <v>240</v>
      </c>
      <c r="D3" s="94">
        <v>2</v>
      </c>
      <c r="F3" s="1">
        <v>2</v>
      </c>
      <c r="G3" s="1" t="s">
        <v>242</v>
      </c>
    </row>
    <row r="4" spans="3:9" x14ac:dyDescent="0.25">
      <c r="C4" s="90" t="s">
        <v>173</v>
      </c>
      <c r="D4" s="94">
        <v>72</v>
      </c>
      <c r="F4" s="1">
        <v>3</v>
      </c>
      <c r="G4" s="1" t="s">
        <v>243</v>
      </c>
    </row>
    <row r="5" spans="3:9" x14ac:dyDescent="0.25">
      <c r="C5" s="90" t="s">
        <v>43</v>
      </c>
      <c r="D5" s="94">
        <v>74.34</v>
      </c>
      <c r="F5" s="1">
        <v>4</v>
      </c>
      <c r="G5" s="1" t="s">
        <v>244</v>
      </c>
    </row>
    <row r="6" spans="3:9" x14ac:dyDescent="0.25">
      <c r="C6" s="90" t="s">
        <v>42</v>
      </c>
      <c r="D6" s="94">
        <v>17.2</v>
      </c>
      <c r="F6" s="1">
        <v>5</v>
      </c>
      <c r="G6" s="1" t="s">
        <v>245</v>
      </c>
    </row>
    <row r="7" spans="3:9" x14ac:dyDescent="0.25">
      <c r="C7" s="90" t="s">
        <v>174</v>
      </c>
      <c r="D7" s="94">
        <v>2.5</v>
      </c>
      <c r="F7" s="1">
        <v>6</v>
      </c>
      <c r="G7" s="1" t="s">
        <v>246</v>
      </c>
    </row>
    <row r="8" spans="3:9" x14ac:dyDescent="0.25">
      <c r="C8" s="90" t="s">
        <v>175</v>
      </c>
      <c r="D8" s="94">
        <v>8.5</v>
      </c>
      <c r="F8" s="1">
        <v>7</v>
      </c>
      <c r="G8" s="1" t="s">
        <v>247</v>
      </c>
    </row>
    <row r="9" spans="3:9" x14ac:dyDescent="0.25">
      <c r="C9" s="90" t="s">
        <v>176</v>
      </c>
      <c r="D9" s="94">
        <v>0.57999999999999996</v>
      </c>
    </row>
    <row r="10" spans="3:9" x14ac:dyDescent="0.25">
      <c r="C10" s="90" t="s">
        <v>94</v>
      </c>
      <c r="D10" s="94">
        <v>12.35</v>
      </c>
    </row>
    <row r="11" spans="3:9" x14ac:dyDescent="0.25">
      <c r="C11" s="67" t="s">
        <v>146</v>
      </c>
      <c r="D11" s="85">
        <v>600</v>
      </c>
    </row>
    <row r="12" spans="3:9" x14ac:dyDescent="0.25">
      <c r="C12" s="90" t="s">
        <v>177</v>
      </c>
      <c r="D12" s="94"/>
    </row>
    <row r="13" spans="3:9" x14ac:dyDescent="0.25">
      <c r="C13" s="90" t="s">
        <v>178</v>
      </c>
      <c r="D13" s="94"/>
    </row>
    <row r="14" spans="3:9" x14ac:dyDescent="0.25">
      <c r="C14" s="90" t="s">
        <v>179</v>
      </c>
      <c r="D14" s="94"/>
    </row>
    <row r="15" spans="3:9" x14ac:dyDescent="0.25">
      <c r="C15" s="90" t="s">
        <v>36</v>
      </c>
      <c r="D15" s="94" t="s">
        <v>39</v>
      </c>
    </row>
    <row r="16" spans="3:9" x14ac:dyDescent="0.25">
      <c r="C16" s="90" t="s">
        <v>98</v>
      </c>
      <c r="D16" s="94"/>
    </row>
    <row r="17" spans="3:4" hidden="1" x14ac:dyDescent="0.25">
      <c r="C17" s="90" t="s">
        <v>24</v>
      </c>
      <c r="D17" s="94" t="s">
        <v>25</v>
      </c>
    </row>
    <row r="18" spans="3:4" hidden="1" x14ac:dyDescent="0.25">
      <c r="C18" s="90" t="s">
        <v>16</v>
      </c>
      <c r="D18" s="94" t="s">
        <v>12</v>
      </c>
    </row>
    <row r="19" spans="3:4" x14ac:dyDescent="0.25">
      <c r="C19" s="90" t="s">
        <v>20</v>
      </c>
      <c r="D19" s="94"/>
    </row>
    <row r="20" spans="3:4" x14ac:dyDescent="0.25">
      <c r="C20" s="91" t="s">
        <v>137</v>
      </c>
      <c r="D20" s="94">
        <v>9846</v>
      </c>
    </row>
    <row r="21" spans="3:4" x14ac:dyDescent="0.25">
      <c r="C21" s="91" t="s">
        <v>135</v>
      </c>
      <c r="D21" s="94">
        <v>3200</v>
      </c>
    </row>
    <row r="22" spans="3:4" x14ac:dyDescent="0.25">
      <c r="C22" s="91" t="s">
        <v>136</v>
      </c>
      <c r="D22" s="94">
        <v>1165</v>
      </c>
    </row>
    <row r="23" spans="3:4" x14ac:dyDescent="0.25">
      <c r="C23" s="91" t="s">
        <v>140</v>
      </c>
      <c r="D23" s="94">
        <v>1.0249999999999999</v>
      </c>
    </row>
    <row r="24" spans="3:4" x14ac:dyDescent="0.25">
      <c r="C24" s="91" t="s">
        <v>169</v>
      </c>
      <c r="D24" s="94">
        <v>7250</v>
      </c>
    </row>
    <row r="25" spans="3:4" x14ac:dyDescent="0.25">
      <c r="C25" s="91" t="s">
        <v>170</v>
      </c>
      <c r="D25" s="94">
        <v>12250</v>
      </c>
    </row>
    <row r="26" spans="3:4" x14ac:dyDescent="0.25">
      <c r="C26" s="91" t="s">
        <v>171</v>
      </c>
      <c r="D26" s="94">
        <v>1750</v>
      </c>
    </row>
    <row r="27" spans="3:4" x14ac:dyDescent="0.25">
      <c r="C27" s="91" t="s">
        <v>172</v>
      </c>
      <c r="D27" s="94">
        <v>5000</v>
      </c>
    </row>
    <row r="28" spans="3:4" x14ac:dyDescent="0.25">
      <c r="C28" s="91" t="s">
        <v>138</v>
      </c>
      <c r="D28" s="94">
        <v>0</v>
      </c>
    </row>
    <row r="29" spans="3:4" x14ac:dyDescent="0.25">
      <c r="C29" s="91" t="s">
        <v>139</v>
      </c>
      <c r="D29" s="94">
        <v>1700</v>
      </c>
    </row>
    <row r="30" spans="3:4" x14ac:dyDescent="0.25">
      <c r="C30" s="90" t="s">
        <v>132</v>
      </c>
      <c r="D30" s="95">
        <f>MAX(Calculations!$X$13,Calculations!X$38)</f>
        <v>1.4107022168089898</v>
      </c>
    </row>
    <row r="31" spans="3:4" x14ac:dyDescent="0.25">
      <c r="C31" s="91" t="s">
        <v>133</v>
      </c>
      <c r="D31" s="95">
        <f>MAX(Calculations!X$43,Calculations!X$18)</f>
        <v>7.0230092987976951</v>
      </c>
    </row>
    <row r="32" spans="3:4" x14ac:dyDescent="0.25">
      <c r="C32" s="91" t="s">
        <v>134</v>
      </c>
      <c r="D32" s="95">
        <f>MAX(Calculations!X$3,Calculations!X$28)</f>
        <v>7.9034232635635862</v>
      </c>
    </row>
    <row r="33" spans="3:4" x14ac:dyDescent="0.25">
      <c r="C33" s="91" t="s">
        <v>180</v>
      </c>
      <c r="D33" s="95">
        <f>MAX(Calculations!X5,Calculations!X30)</f>
        <v>7.883963675068026</v>
      </c>
    </row>
    <row r="34" spans="3:4" x14ac:dyDescent="0.25">
      <c r="C34" s="91" t="s">
        <v>181</v>
      </c>
      <c r="D34" s="95">
        <f>MAX(Calculations!X29,Calculations!X4)</f>
        <v>5.4837382150484171</v>
      </c>
    </row>
    <row r="35" spans="3:4" x14ac:dyDescent="0.25">
      <c r="C35" t="s">
        <v>182</v>
      </c>
      <c r="D35" s="95">
        <v>2</v>
      </c>
    </row>
    <row r="36" spans="3:4" x14ac:dyDescent="0.25">
      <c r="C36" t="s">
        <v>183</v>
      </c>
      <c r="D36" s="95">
        <v>1.2</v>
      </c>
    </row>
    <row r="37" spans="3:4" x14ac:dyDescent="0.25">
      <c r="C37" s="91" t="s">
        <v>129</v>
      </c>
      <c r="D37" s="95">
        <f>ABS(D24-D25)/2000</f>
        <v>2.5</v>
      </c>
    </row>
    <row r="38" spans="3:4" x14ac:dyDescent="0.25">
      <c r="C38" s="91" t="s">
        <v>130</v>
      </c>
      <c r="D38" s="95">
        <f>ABS(D26-D27)/2000</f>
        <v>1.625</v>
      </c>
    </row>
    <row r="39" spans="3:4" x14ac:dyDescent="0.25">
      <c r="C39" s="90" t="s">
        <v>131</v>
      </c>
      <c r="D39" s="95">
        <f>D29/1000</f>
        <v>1.7</v>
      </c>
    </row>
    <row r="40" spans="3:4" x14ac:dyDescent="0.25">
      <c r="C40" s="90" t="s">
        <v>120</v>
      </c>
      <c r="D40" s="94">
        <v>7250</v>
      </c>
    </row>
    <row r="41" spans="3:4" x14ac:dyDescent="0.25">
      <c r="C41" s="90" t="s">
        <v>127</v>
      </c>
      <c r="D41" s="94">
        <v>1750</v>
      </c>
    </row>
    <row r="42" spans="3:4" x14ac:dyDescent="0.25">
      <c r="C42" s="90" t="s">
        <v>128</v>
      </c>
      <c r="D42" s="94">
        <v>1700</v>
      </c>
    </row>
    <row r="43" spans="3:4" x14ac:dyDescent="0.25">
      <c r="C43" s="90" t="s">
        <v>226</v>
      </c>
      <c r="D43" s="94">
        <v>18</v>
      </c>
    </row>
    <row r="44" spans="3:4" x14ac:dyDescent="0.25">
      <c r="C44" s="90" t="s">
        <v>225</v>
      </c>
      <c r="D44" s="94">
        <v>25</v>
      </c>
    </row>
    <row r="45" spans="3:4" x14ac:dyDescent="0.25">
      <c r="C45" s="90" t="s">
        <v>248</v>
      </c>
      <c r="D45" s="94"/>
    </row>
    <row r="46" spans="3:4" x14ac:dyDescent="0.25">
      <c r="C46" s="90" t="s">
        <v>250</v>
      </c>
      <c r="D46" s="94"/>
    </row>
    <row r="47" spans="3:4" x14ac:dyDescent="0.25">
      <c r="C47" s="90" t="s">
        <v>249</v>
      </c>
      <c r="D47" s="94"/>
    </row>
    <row r="48" spans="3:4" x14ac:dyDescent="0.25">
      <c r="C48" s="90" t="s">
        <v>232</v>
      </c>
      <c r="D48" s="95">
        <f>IF(D3="1",MAX(D29/1000+D43,D45),IF(D3="2",MAX(D29/1000+D43,D29/1000+2.4),IF(D3="3",MAX(D29/1000+D43,D29/1000+2.4,D29/1000+0.1*D49),IF(D3="4",D46+0.9,D47))))</f>
        <v>0</v>
      </c>
    </row>
    <row r="49" spans="1:4" x14ac:dyDescent="0.25">
      <c r="C49" s="90" t="s">
        <v>229</v>
      </c>
      <c r="D49" s="94"/>
    </row>
    <row r="50" spans="1:4" x14ac:dyDescent="0.25">
      <c r="C50" s="90" t="s">
        <v>230</v>
      </c>
      <c r="D50" s="94">
        <f>IF(D5&lt;=50,10,0.3*D5-5)</f>
        <v>17.302</v>
      </c>
    </row>
    <row r="51" spans="1:4" x14ac:dyDescent="0.25">
      <c r="C51" s="90" t="s">
        <v>223</v>
      </c>
      <c r="D51" s="95">
        <f>MAX(D23*((0.6*D30*ABS(D37-D40/1000))+0.6*D31*ABS(D38-D41/1000)+D32*ABS(D39-D42/1000)),D23*D35*(D30*ABS(D37-D40/1000)),D23*D36*(D31*ABS(D38-D41/1000)),15)</f>
        <v>15</v>
      </c>
    </row>
    <row r="52" spans="1:4" x14ac:dyDescent="0.25">
      <c r="C52" s="90" t="s">
        <v>233</v>
      </c>
      <c r="D52" s="95">
        <f>10*(D48-D42/1000)</f>
        <v>-17</v>
      </c>
    </row>
    <row r="53" spans="1:4" x14ac:dyDescent="0.25">
      <c r="C53" s="90" t="s">
        <v>222</v>
      </c>
      <c r="D53" s="95">
        <f>IF(D49="",D23*9.81*(D29/1000-D42/1000)+D49,D23*9.81*(D29/1000-D42/1000))</f>
        <v>0</v>
      </c>
    </row>
    <row r="54" spans="1:4" x14ac:dyDescent="0.25">
      <c r="C54" s="90" t="s">
        <v>227</v>
      </c>
      <c r="D54" s="95">
        <f>D23*9.81*(D29/1000-D42/1000+D43)+D44</f>
        <v>205.99449999999999</v>
      </c>
    </row>
    <row r="55" spans="1:4" x14ac:dyDescent="0.25">
      <c r="C55" s="90" t="s">
        <v>228</v>
      </c>
      <c r="D55" s="95">
        <f>IF(D49="",D23*9.81*(D29/1000-D42/1000)+D49,D23*9.81*(D29/1000-D42/1000)+D50)</f>
        <v>0</v>
      </c>
    </row>
    <row r="56" spans="1:4" x14ac:dyDescent="0.25">
      <c r="A56" s="113" t="s">
        <v>218</v>
      </c>
      <c r="B56" s="108" t="s">
        <v>219</v>
      </c>
      <c r="C56" s="92" t="s">
        <v>224</v>
      </c>
      <c r="D56" s="96">
        <f>D51+D53</f>
        <v>15</v>
      </c>
    </row>
    <row r="57" spans="1:4" x14ac:dyDescent="0.25">
      <c r="A57" s="114"/>
      <c r="B57" s="1" t="s">
        <v>220</v>
      </c>
      <c r="C57" s="92" t="s">
        <v>238</v>
      </c>
      <c r="D57" s="110">
        <f>MAX(D54,D52)</f>
        <v>205.99449999999999</v>
      </c>
    </row>
    <row r="58" spans="1:4" x14ac:dyDescent="0.25">
      <c r="A58" s="114"/>
      <c r="B58" s="1" t="s">
        <v>221</v>
      </c>
      <c r="C58" s="109" t="s">
        <v>231</v>
      </c>
      <c r="D58" s="110">
        <f>D55</f>
        <v>0</v>
      </c>
    </row>
    <row r="59" spans="1:4" x14ac:dyDescent="0.25">
      <c r="A59" s="113" t="s">
        <v>239</v>
      </c>
      <c r="B59" s="1" t="s">
        <v>234</v>
      </c>
      <c r="C59" s="92" t="s">
        <v>224</v>
      </c>
      <c r="D59" s="110">
        <f>D53+D51</f>
        <v>15</v>
      </c>
    </row>
    <row r="60" spans="1:4" x14ac:dyDescent="0.25">
      <c r="A60" s="114"/>
      <c r="B60" s="1" t="s">
        <v>235</v>
      </c>
      <c r="C60" s="92" t="s">
        <v>237</v>
      </c>
      <c r="D60" s="110">
        <f>D52</f>
        <v>-17</v>
      </c>
    </row>
    <row r="61" spans="1:4" x14ac:dyDescent="0.25">
      <c r="A61" s="114"/>
      <c r="B61" s="1" t="s">
        <v>236</v>
      </c>
      <c r="C61" s="109" t="s">
        <v>231</v>
      </c>
      <c r="D61" s="110">
        <f>D55</f>
        <v>0</v>
      </c>
    </row>
    <row r="63" spans="1:4" x14ac:dyDescent="0.25">
      <c r="C63" s="76" t="s">
        <v>159</v>
      </c>
      <c r="D63" s="77"/>
    </row>
    <row r="64" spans="1:4" x14ac:dyDescent="0.25">
      <c r="C64" s="106" t="s">
        <v>217</v>
      </c>
      <c r="D64" s="69"/>
    </row>
    <row r="65" spans="3:4" x14ac:dyDescent="0.25">
      <c r="C65" s="78" t="s">
        <v>160</v>
      </c>
      <c r="D65" s="79">
        <v>235</v>
      </c>
    </row>
    <row r="66" spans="3:4" x14ac:dyDescent="0.25">
      <c r="C66" s="78" t="s">
        <v>161</v>
      </c>
      <c r="D66" s="80">
        <v>0.95</v>
      </c>
    </row>
    <row r="67" spans="3:4" x14ac:dyDescent="0.25">
      <c r="C67" s="81" t="s">
        <v>162</v>
      </c>
      <c r="D67" s="82">
        <f>0.0158*1*D11*SQRT(ABS(D64)/(D66*D65))</f>
        <v>0</v>
      </c>
    </row>
    <row r="68" spans="3:4" x14ac:dyDescent="0.25">
      <c r="C68" s="83"/>
      <c r="D68" s="66"/>
    </row>
    <row r="69" spans="3:4" x14ac:dyDescent="0.25">
      <c r="C69" s="76" t="s">
        <v>163</v>
      </c>
      <c r="D69" s="77"/>
    </row>
    <row r="70" spans="3:4" x14ac:dyDescent="0.25">
      <c r="C70" s="118"/>
      <c r="D70" s="119"/>
    </row>
    <row r="71" spans="3:4" x14ac:dyDescent="0.25">
      <c r="C71" s="106" t="s">
        <v>217</v>
      </c>
      <c r="D71" s="69"/>
    </row>
    <row r="72" spans="3:4" x14ac:dyDescent="0.25">
      <c r="C72" s="78" t="s">
        <v>164</v>
      </c>
      <c r="D72" s="68">
        <v>3.5</v>
      </c>
    </row>
    <row r="73" spans="3:4" x14ac:dyDescent="0.25">
      <c r="C73" s="78" t="s">
        <v>165</v>
      </c>
      <c r="D73" s="85">
        <v>1</v>
      </c>
    </row>
    <row r="74" spans="3:4" x14ac:dyDescent="0.25">
      <c r="C74" s="78" t="s">
        <v>166</v>
      </c>
      <c r="D74" s="85">
        <v>12</v>
      </c>
    </row>
    <row r="75" spans="3:4" x14ac:dyDescent="0.25">
      <c r="C75" s="78" t="s">
        <v>167</v>
      </c>
      <c r="D75" s="84">
        <v>0.95</v>
      </c>
    </row>
    <row r="76" spans="3:4" x14ac:dyDescent="0.25">
      <c r="C76" s="78" t="s">
        <v>160</v>
      </c>
      <c r="D76" s="84">
        <v>235</v>
      </c>
    </row>
    <row r="77" spans="3:4" x14ac:dyDescent="0.25">
      <c r="C77" s="81" t="s">
        <v>168</v>
      </c>
      <c r="D77" s="74">
        <f>(D73*ABS(D71)*D11*D72^2/(D74*D75*D76))</f>
        <v>0</v>
      </c>
    </row>
  </sheetData>
  <mergeCells count="2">
    <mergeCell ref="A56:A58"/>
    <mergeCell ref="A59:A61"/>
  </mergeCells>
  <dataValidations count="6">
    <dataValidation type="list" errorStyle="warning" showInputMessage="1" showErrorMessage="1" errorTitle="Error" error="Wrong or missing input" promptTitle="Select design load scenario" prompt="Specified in Pt.3 Ch.4 Sec.7" sqref="D18" xr:uid="{00000000-0002-0000-0000-000000000000}">
      <formula1>f_ps</formula1>
    </dataValidation>
    <dataValidation type="list" showInputMessage="1" showErrorMessage="1" errorTitle="Error" error="Wrong or missing input" prompt="Select whether the vessel has bilge keel or not" sqref="D15" xr:uid="{00000000-0002-0000-0000-000001000000}">
      <formula1>yes_no</formula1>
    </dataValidation>
    <dataValidation type="list" showInputMessage="1" showErrorMessage="1" errorTitle="Error" error="Wrong or missing input" prompt="Select ship type" sqref="D2" xr:uid="{00000000-0002-0000-0000-000002000000}">
      <formula1>Ship_type</formula1>
    </dataValidation>
    <dataValidation type="list" allowBlank="1" showInputMessage="1" showErrorMessage="1" errorTitle="Error" error="Wrong or missing input" promptTitle="Assessment" prompt="Select either strength or fatigue assessment" sqref="D17" xr:uid="{00000000-0002-0000-0000-000003000000}">
      <formula1>Assessment</formula1>
    </dataValidation>
    <dataValidation type="list" allowBlank="1" showInputMessage="1" showErrorMessage="1" errorTitle="Error" error="Wrong or missing input" promptTitle="Service area notation" prompt="Only necessary to fill in if vessel has service restriction. Notations defined in Pt.1 Ch.2 Sec.5" sqref="D19" xr:uid="{00000000-0002-0000-0000-000004000000}">
      <formula1>R0</formula1>
    </dataValidation>
    <dataValidation type="list" showInputMessage="1" showErrorMessage="1" errorTitle="Error" error="Wrong or missing input" prompt="Select compartment type" sqref="D3" xr:uid="{3230A284-4B20-47E9-9003-603E3F955648}">
      <formula1>$F$2:$F$8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F999F22F7AC94D97D1A9112693C55B" ma:contentTypeVersion="0" ma:contentTypeDescription="Create a new document." ma:contentTypeScope="" ma:versionID="f3bfd8d414959d1968c9f7508a3e5fb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357391-572D-4E47-B07E-4380E81D97FB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E69A59-8D3E-4F5C-A394-9B7C87B8CA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646412C-50C3-4C35-A051-0212AC297B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Sheet1</vt:lpstr>
      <vt:lpstr>Sheet2</vt:lpstr>
      <vt:lpstr>Sheet3</vt:lpstr>
      <vt:lpstr>Sheet4</vt:lpstr>
      <vt:lpstr>Sheet6</vt:lpstr>
      <vt:lpstr>Sheet7</vt:lpstr>
      <vt:lpstr>Design load sets</vt:lpstr>
      <vt:lpstr>SEA-1, SEA-2</vt:lpstr>
      <vt:lpstr>Tanks</vt:lpstr>
      <vt:lpstr>Calculations</vt:lpstr>
      <vt:lpstr>Assessment</vt:lpstr>
      <vt:lpstr>f_ps</vt:lpstr>
      <vt:lpstr>f_r</vt:lpstr>
      <vt:lpstr>r__f</vt:lpstr>
      <vt:lpstr>R0</vt:lpstr>
      <vt:lpstr>Ship_type</vt:lpstr>
      <vt:lpstr>Ship_type_fatigue</vt:lpstr>
      <vt:lpstr>Vessel_type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Borgnes, Mathias</dc:creator>
  <cp:lastModifiedBy>Chiniewicz, Marta</cp:lastModifiedBy>
  <dcterms:created xsi:type="dcterms:W3CDTF">2017-06-20T11:12:05Z</dcterms:created>
  <dcterms:modified xsi:type="dcterms:W3CDTF">2018-07-27T12:07:25Z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0x0101004CF999F22F7AC94D97D1A9112693C55B</vt:lpwstr>
  </property>
</Properties>
</file>