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urmaud/Documents/PhD_1/HSQC0 /Algo/Algo_Results/"/>
    </mc:Choice>
  </mc:AlternateContent>
  <xr:revisionPtr revIDLastSave="0" documentId="13_ncr:1_{32ADEEB4-4D9F-3541-BB38-D2E666C9ECC3}" xr6:coauthVersionLast="47" xr6:coauthVersionMax="47" xr10:uidLastSave="{00000000-0000-0000-0000-000000000000}"/>
  <bookViews>
    <workbookView xWindow="-38400" yWindow="2020" windowWidth="38400" windowHeight="21600" activeTab="1" xr2:uid="{00000000-000D-0000-FFFF-FFFF00000000}"/>
  </bookViews>
  <sheets>
    <sheet name="fitted_parameters" sheetId="1" r:id="rId1"/>
    <sheet name="145_Alli" sheetId="7" r:id="rId2"/>
    <sheet name="145_Aro_Analysis" sheetId="6" r:id="rId3"/>
    <sheet name="5-5 analysis" sheetId="2" r:id="rId4"/>
    <sheet name="5-5 analysis_Aro" sheetId="3" r:id="rId5"/>
    <sheet name="CBA102_MF85_5-5" sheetId="4" r:id="rId6"/>
    <sheet name="CBA102_MF85_5-5_Aro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7" l="1"/>
  <c r="I19" i="7"/>
  <c r="H19" i="7"/>
  <c r="O16" i="7"/>
  <c r="O30" i="7"/>
  <c r="O31" i="7"/>
  <c r="O32" i="7"/>
  <c r="O29" i="7"/>
  <c r="N31" i="7"/>
  <c r="N29" i="7"/>
  <c r="O27" i="7"/>
  <c r="O17" i="7"/>
  <c r="J18" i="7"/>
  <c r="I18" i="7"/>
  <c r="H18" i="7"/>
  <c r="K18" i="7" s="1"/>
  <c r="M18" i="7" s="1"/>
  <c r="O18" i="7" s="1"/>
  <c r="J17" i="7"/>
  <c r="K17" i="7"/>
  <c r="M17" i="7" s="1"/>
  <c r="I17" i="7"/>
  <c r="H17" i="7"/>
  <c r="O14" i="6"/>
  <c r="M15" i="6"/>
  <c r="M14" i="6"/>
  <c r="J15" i="6"/>
  <c r="I15" i="6"/>
  <c r="H15" i="6"/>
  <c r="K15" i="6" s="1"/>
  <c r="J14" i="6"/>
  <c r="I14" i="6"/>
  <c r="H14" i="6"/>
  <c r="K14" i="6" s="1"/>
  <c r="O12" i="7"/>
  <c r="O13" i="7"/>
  <c r="O14" i="7"/>
  <c r="O15" i="7"/>
  <c r="O11" i="7"/>
  <c r="M15" i="7"/>
  <c r="M14" i="7"/>
  <c r="M12" i="7"/>
  <c r="M11" i="7"/>
  <c r="J15" i="7"/>
  <c r="I15" i="7"/>
  <c r="H15" i="7"/>
  <c r="K15" i="7" s="1"/>
  <c r="J14" i="7"/>
  <c r="I14" i="7"/>
  <c r="H14" i="7"/>
  <c r="K14" i="7" s="1"/>
  <c r="J12" i="7"/>
  <c r="I12" i="7"/>
  <c r="H12" i="7"/>
  <c r="K12" i="7" s="1"/>
  <c r="J11" i="7"/>
  <c r="I11" i="7"/>
  <c r="H11" i="7"/>
  <c r="K11" i="7" s="1"/>
  <c r="J16" i="7"/>
  <c r="I16" i="7"/>
  <c r="H16" i="7"/>
  <c r="Q14" i="7"/>
  <c r="C2" i="7"/>
  <c r="C1" i="7"/>
  <c r="O27" i="6"/>
  <c r="K16" i="6"/>
  <c r="K13" i="6"/>
  <c r="J16" i="6"/>
  <c r="I16" i="6"/>
  <c r="H16" i="6"/>
  <c r="Q14" i="6"/>
  <c r="J13" i="6"/>
  <c r="I13" i="6"/>
  <c r="H13" i="6"/>
  <c r="C2" i="6"/>
  <c r="C1" i="6"/>
  <c r="K19" i="7" l="1"/>
  <c r="M19" i="7" s="1"/>
  <c r="O19" i="7" s="1"/>
  <c r="K16" i="7"/>
  <c r="M16" i="7" s="1"/>
  <c r="M16" i="6"/>
  <c r="M13" i="6"/>
  <c r="O13" i="6" s="1"/>
  <c r="J16" i="5"/>
  <c r="I16" i="5"/>
  <c r="H16" i="5"/>
  <c r="K16" i="5" s="1"/>
  <c r="M16" i="5" s="1"/>
  <c r="Q14" i="5"/>
  <c r="J13" i="5"/>
  <c r="I13" i="5"/>
  <c r="H13" i="5"/>
  <c r="K13" i="5" s="1"/>
  <c r="M13" i="5" s="1"/>
  <c r="C2" i="5"/>
  <c r="C1" i="5"/>
  <c r="O33" i="4"/>
  <c r="O32" i="4"/>
  <c r="J16" i="4"/>
  <c r="I16" i="4"/>
  <c r="H16" i="4"/>
  <c r="K16" i="4" s="1"/>
  <c r="M16" i="4" s="1"/>
  <c r="Q14" i="4"/>
  <c r="J13" i="4"/>
  <c r="I13" i="4"/>
  <c r="H13" i="4"/>
  <c r="K13" i="4" s="1"/>
  <c r="M13" i="4" s="1"/>
  <c r="J12" i="4"/>
  <c r="I12" i="4"/>
  <c r="H12" i="4"/>
  <c r="K12" i="4" s="1"/>
  <c r="M12" i="4" s="1"/>
  <c r="C2" i="4"/>
  <c r="C1" i="4"/>
  <c r="O33" i="2"/>
  <c r="O32" i="2"/>
  <c r="O22" i="3"/>
  <c r="O21" i="3"/>
  <c r="M16" i="3"/>
  <c r="O13" i="3" s="1"/>
  <c r="J16" i="3"/>
  <c r="I16" i="3"/>
  <c r="H16" i="3"/>
  <c r="Q14" i="3"/>
  <c r="J13" i="3"/>
  <c r="I13" i="3"/>
  <c r="H13" i="3"/>
  <c r="C2" i="3"/>
  <c r="C1" i="3"/>
  <c r="O13" i="5" l="1"/>
  <c r="O21" i="5" s="1"/>
  <c r="O22" i="5" s="1"/>
  <c r="O13" i="4"/>
  <c r="O12" i="4"/>
  <c r="O16" i="4" s="1"/>
  <c r="K16" i="3"/>
  <c r="K13" i="3"/>
  <c r="M13" i="3" s="1"/>
  <c r="J16" i="2"/>
  <c r="I16" i="2"/>
  <c r="H16" i="2"/>
  <c r="Q14" i="2"/>
  <c r="J13" i="2"/>
  <c r="I13" i="2"/>
  <c r="H13" i="2"/>
  <c r="J12" i="2"/>
  <c r="I12" i="2"/>
  <c r="H12" i="2"/>
  <c r="K12" i="2" l="1"/>
  <c r="M12" i="2" s="1"/>
  <c r="K13" i="2"/>
  <c r="M13" i="2" s="1"/>
  <c r="K16" i="2"/>
  <c r="M16" i="2" s="1"/>
  <c r="E28" i="1"/>
  <c r="C2" i="2"/>
  <c r="C1" i="2"/>
  <c r="R6" i="1"/>
  <c r="R4" i="1"/>
  <c r="Q3" i="1"/>
  <c r="Q4" i="1"/>
  <c r="Q6" i="1"/>
  <c r="Q2" i="1"/>
  <c r="P3" i="1"/>
  <c r="P4" i="1"/>
  <c r="P6" i="1"/>
  <c r="P2" i="1"/>
  <c r="F24" i="1"/>
  <c r="F25" i="1"/>
  <c r="T14" i="1"/>
  <c r="P8" i="1"/>
  <c r="K27" i="1"/>
  <c r="L27" i="1"/>
  <c r="M27" i="1"/>
  <c r="K28" i="1"/>
  <c r="L28" i="1"/>
  <c r="M28" i="1"/>
  <c r="L26" i="1"/>
  <c r="M26" i="1"/>
  <c r="K26" i="1"/>
  <c r="S14" i="1"/>
  <c r="S15" i="1"/>
  <c r="S16" i="1"/>
  <c r="S17" i="1"/>
  <c r="S18" i="1"/>
  <c r="S13" i="1"/>
  <c r="R14" i="1"/>
  <c r="R15" i="1"/>
  <c r="R16" i="1"/>
  <c r="R17" i="1"/>
  <c r="R18" i="1"/>
  <c r="R13" i="1"/>
  <c r="Q14" i="1"/>
  <c r="Q15" i="1"/>
  <c r="Q16" i="1"/>
  <c r="Q17" i="1"/>
  <c r="Q18" i="1"/>
  <c r="Q13" i="1"/>
  <c r="O13" i="2" l="1"/>
  <c r="O12" i="2"/>
  <c r="O16" i="2" s="1"/>
  <c r="T13" i="1"/>
  <c r="T15" i="1"/>
  <c r="U15" i="1" l="1"/>
  <c r="T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F5F21379-85E3-EB4D-ABEF-F319F8D9D834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67CB1D62-80AB-5A44-AF8E-6DD9F955A79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5E977900-3E7A-D74A-8F19-51EBA9BC8C2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  <comment ref="C18" authorId="0" shapeId="0" xr:uid="{B23B001E-F251-4642-9BF7-2DC802CF82C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5295BC35-2DF1-A440-B136-EFC4C9B325F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31FDDCD1-28A7-7D4B-9F05-9C112B2BC4D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7ACD2307-5A2D-0E4D-BB86-CE061E3E3F2E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EF8EA667-F96D-D644-877C-B98CD3B42B95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990C4072-67BD-8349-91C7-FAB704B6D79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C026EEA7-9E5A-8145-A679-5C7539CEC82B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AD720293-2A0F-1B45-88B0-3F20695E9C6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A63C7917-2FEF-AB49-B724-A5BED3D0CC6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0483D656-1165-9840-856E-1E5391B8AEB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AD7E52F4-1C41-FB46-9BCD-2FBB98BC80D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6E7135D4-7C53-C943-A716-9C4C097A5BD5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4CE25646-EBF5-4547-87C3-2AE3CC83D1C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A8933F10-DF6B-4E4E-B02E-CA30315A597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Moles in the NMR sample</t>
        </r>
      </text>
    </comment>
    <comment ref="P10" authorId="0" shapeId="0" xr:uid="{858E9A8D-D775-C24C-B79B-DE650E4C14AA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Predicted moles in Hydrogenolysis sample</t>
        </r>
      </text>
    </comment>
    <comment ref="C14" authorId="0" shapeId="0" xr:uid="{E1ABFF34-3062-6B41-B0D3-29CA2B6A6A9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gamma has to be checked</t>
        </r>
      </text>
    </comment>
  </commentList>
</comments>
</file>

<file path=xl/sharedStrings.xml><?xml version="1.0" encoding="utf-8"?>
<sst xmlns="http://schemas.openxmlformats.org/spreadsheetml/2006/main" count="182" uniqueCount="58">
  <si>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</si>
  <si>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</si>
  <si>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</si>
  <si>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</si>
  <si>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</si>
  <si>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</si>
  <si>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</si>
  <si>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</si>
  <si>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</si>
  <si>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</si>
  <si>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</si>
  <si>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</si>
  <si>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V0</t>
  </si>
  <si>
    <t>[17.42584838]</t>
  </si>
  <si>
    <t>[17.38460499]</t>
  </si>
  <si>
    <t>[17.42245598]</t>
  </si>
  <si>
    <t>[16.55305929]</t>
  </si>
  <si>
    <t>Alpha</t>
  </si>
  <si>
    <t>Beta</t>
  </si>
  <si>
    <t>Gamma</t>
  </si>
  <si>
    <t>Free</t>
  </si>
  <si>
    <t xml:space="preserve">Total </t>
  </si>
  <si>
    <t>Lignin</t>
  </si>
  <si>
    <t>PS</t>
  </si>
  <si>
    <t>exp</t>
  </si>
  <si>
    <t>n</t>
  </si>
  <si>
    <t>Ratio</t>
  </si>
  <si>
    <t>B</t>
  </si>
  <si>
    <t>G</t>
  </si>
  <si>
    <t xml:space="preserve">Ratio </t>
  </si>
  <si>
    <t xml:space="preserve">BO4 % </t>
  </si>
  <si>
    <t>BO4 mmol</t>
  </si>
  <si>
    <t>mmol / g</t>
  </si>
  <si>
    <t>Protected</t>
  </si>
  <si>
    <t>total</t>
  </si>
  <si>
    <t>Absolute volume</t>
  </si>
  <si>
    <t>Ln (vol)</t>
  </si>
  <si>
    <t>Volume</t>
  </si>
  <si>
    <t>C-H number</t>
  </si>
  <si>
    <t>HSQC0</t>
  </si>
  <si>
    <t>n0_lignin /g lignin</t>
  </si>
  <si>
    <t>n0</t>
  </si>
  <si>
    <t>mmol / g wood</t>
  </si>
  <si>
    <t>Tot</t>
  </si>
  <si>
    <t>PS_alliph</t>
  </si>
  <si>
    <t>5 5</t>
  </si>
  <si>
    <t>PS_aro</t>
  </si>
  <si>
    <t>Aromatic content</t>
  </si>
  <si>
    <t>145 transition</t>
  </si>
  <si>
    <t>A free</t>
  </si>
  <si>
    <t>PS_alli</t>
  </si>
  <si>
    <t>Acetal</t>
  </si>
  <si>
    <t>G2</t>
  </si>
  <si>
    <t>A LCC</t>
  </si>
  <si>
    <t>LCC</t>
  </si>
  <si>
    <t xml:space="preserve">Free </t>
  </si>
  <si>
    <t>Cl</t>
  </si>
  <si>
    <t>A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</si>
</sst>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0" borderId="10" xfId="0" applyFont="1" applyBorder="1"/>
    <xf numFmtId="0" fontId="18" fillId="0" borderId="0" xfId="0" applyFont="1"/>
    <xf numFmtId="0" fontId="0" fillId="0" borderId="10" xfId="0" applyBorder="1"/>
    <xf numFmtId="164" fontId="0" fillId="0" borderId="0" xfId="42" applyNumberFormat="1" applyFont="1"/>
    <xf numFmtId="0" fontId="19" fillId="8" borderId="10" xfId="15" applyFont="1" applyBorder="1"/>
    <xf numFmtId="0" fontId="6" fillId="2" borderId="10" xfId="43" applyBorder="1"/>
    <xf numFmtId="0" fontId="0" fillId="0" borderId="11" xfId="0" applyBorder="1"/>
    <xf numFmtId="16" fontId="18" fillId="0" borderId="10" xfId="0" applyNumberFormat="1" applyFont="1" applyBorder="1"/>
    <xf numFmtId="0" fontId="18" fillId="0" borderId="10" xfId="0" applyNumberFormat="1" applyFont="1" applyBorder="1"/>
    <xf numFmtId="0" fontId="18" fillId="33" borderId="10" xfId="0" applyFont="1" applyFill="1" applyBorder="1"/>
    <xf numFmtId="0" fontId="0" fillId="33" borderId="10" xfId="0" applyFill="1" applyBorder="1"/>
    <xf numFmtId="0" fontId="19" fillId="33" borderId="10" xfId="15" applyFont="1" applyFill="1" applyBorder="1"/>
    <xf numFmtId="0" fontId="18" fillId="34" borderId="10" xfId="0" applyFont="1" applyFill="1" applyBorder="1"/>
    <xf numFmtId="0" fontId="0" fillId="34" borderId="10" xfId="0" applyFill="1" applyBorder="1"/>
    <xf numFmtId="0" fontId="18" fillId="35" borderId="10" xfId="0" applyFont="1" applyFill="1" applyBorder="1"/>
    <xf numFmtId="0" fontId="6" fillId="35" borderId="10" xfId="43" applyFill="1" applyBorder="1"/>
    <xf numFmtId="0" fontId="0" fillId="0" borderId="12" xfId="0" applyBorder="1"/>
    <xf numFmtId="0" fontId="0" fillId="0" borderId="11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3" xr:uid="{3B13BFB3-A7E7-C540-8B1D-A34E6F59EEB4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'145_Alli'!$H$10:$J$10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'145_Alli'!$H$19:$J$19</c:f>
              <c:numCache>
                <c:formatCode>General</c:formatCode>
                <c:ptCount val="3"/>
                <c:pt idx="0">
                  <c:v>19.773883570072055</c:v>
                </c:pt>
                <c:pt idx="1">
                  <c:v>18.295740909396518</c:v>
                </c:pt>
                <c:pt idx="2">
                  <c:v>16.519351914292429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A-2043-8C5B-1B1EF3B0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'145_Aro_Analysis'!$H$10:$J$10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'145_Aro_Analysis'!$H$15:$J$15</c:f>
              <c:numCache>
                <c:formatCode>General</c:formatCode>
                <c:ptCount val="3"/>
                <c:pt idx="0">
                  <c:v>23.180287283244876</c:v>
                </c:pt>
                <c:pt idx="1">
                  <c:v>21.787976573938838</c:v>
                </c:pt>
                <c:pt idx="2">
                  <c:v>20.425439148102583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F-5E4D-B486-A8E72C57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'5-5 analysis'!$H$10:$J$10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'5-5 analysis'!$H$12:$J$12</c:f>
              <c:numCache>
                <c:formatCode>General</c:formatCode>
                <c:ptCount val="3"/>
                <c:pt idx="0">
                  <c:v>20.40252323836814</c:v>
                </c:pt>
                <c:pt idx="1">
                  <c:v>19.154537912760098</c:v>
                </c:pt>
                <c:pt idx="2">
                  <c:v>17.66314436443907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2-2D4A-86CD-A52BA64A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'5-5 analysis_Aro'!$H$10:$J$10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'5-5 analysis_Aro'!$H$16:$J$16</c:f>
              <c:numCache>
                <c:formatCode>General</c:formatCode>
                <c:ptCount val="3"/>
                <c:pt idx="0">
                  <c:v>24.858416393560766</c:v>
                </c:pt>
                <c:pt idx="1">
                  <c:v>23.509449231451963</c:v>
                </c:pt>
                <c:pt idx="2">
                  <c:v>22.279914599917294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D-EE4B-8716-72CF41C5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'CBA102_MF85_5-5'!$H$10:$J$10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'CBA102_MF85_5-5'!$H$13:$J$13</c:f>
              <c:numCache>
                <c:formatCode>General</c:formatCode>
                <c:ptCount val="3"/>
                <c:pt idx="0">
                  <c:v>20.188813282549265</c:v>
                </c:pt>
                <c:pt idx="1">
                  <c:v>19.451085566907359</c:v>
                </c:pt>
                <c:pt idx="2">
                  <c:v>16.904596553251473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8-594F-9242-9EBC1716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12948381452313E-2"/>
                  <c:y val="-0.2614114902303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'CBA102_MF85_5-5_Aro'!$H$10:$J$10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'CBA102_MF85_5-5_Aro'!$H$16:$J$16</c:f>
              <c:numCache>
                <c:formatCode>General</c:formatCode>
                <c:ptCount val="3"/>
                <c:pt idx="0">
                  <c:v>24.858416393560766</c:v>
                </c:pt>
                <c:pt idx="1">
                  <c:v>23.509449231451963</c:v>
                </c:pt>
                <c:pt idx="2">
                  <c:v>22.279914599917294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6645-A789-712C0BF5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48928"/>
        <c:axId val="1045573184"/>
      </c:scatterChart>
      <c:valAx>
        <c:axId val="10455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73184"/>
        <c:crosses val="autoZero"/>
        <c:crossBetween val="midCat"/>
      </c:valAx>
      <c:valAx>
        <c:axId val="1045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455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594783</xdr:colOff>
      <xdr:row>26</xdr:row>
      <xdr:rowOff>129117</xdr:rowOff>
    </xdr:from>
    <xdr:to>
      <xdr:col>10</xdr:col>
      <xdr:colOff>213783</xdr:colOff>
      <xdr:row>40</xdr:row>
      <xdr:rowOff>27517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56B27-D38E-3D45-B64F-A0CBEA51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18</xdr:row>
      <xdr:rowOff>44450</xdr:rowOff>
    </xdr:from>
    <xdr:to>
      <xdr:col>10</xdr:col>
      <xdr:colOff>298450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F66C-08B6-9E4C-99CA-82E4E4F44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18</xdr:row>
      <xdr:rowOff>44450</xdr:rowOff>
    </xdr:from>
    <xdr:to>
      <xdr:col>10</xdr:col>
      <xdr:colOff>298450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11811-2DFA-0443-B584-B4B61670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18</xdr:row>
      <xdr:rowOff>44450</xdr:rowOff>
    </xdr:from>
    <xdr:to>
      <xdr:col>10</xdr:col>
      <xdr:colOff>298450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A5288-4574-4342-A818-E63248408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18</xdr:row>
      <xdr:rowOff>44450</xdr:rowOff>
    </xdr:from>
    <xdr:to>
      <xdr:col>10</xdr:col>
      <xdr:colOff>298450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DDA38-6C52-EA4F-9967-D24ECBE8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18</xdr:row>
      <xdr:rowOff>44450</xdr:rowOff>
    </xdr:from>
    <xdr:to>
      <xdr:col>10</xdr:col>
      <xdr:colOff>298450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32C16-35AF-344A-9E03-7A8D2AC9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H22" sqref="H2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</v>
      </c>
      <c r="P1" t="s">
        <v>31</v>
      </c>
      <c r="Q1" s="1" t="s">
        <v>32</v>
      </c>
    </row>
    <row r="2" spans="1:21" x14ac:dyDescent="0.2">
      <c r="A2">
        <v>1</v>
      </c>
      <c r="B2">
        <v>4.0853999999999999</v>
      </c>
      <c r="C2">
        <v>74.435000000000002</v>
      </c>
      <c r="D2">
        <v>30009000</v>
      </c>
      <c r="E2">
        <v>28079892.9139417</v>
      </c>
      <c r="F2">
        <v>4.1086460814741903</v>
      </c>
      <c r="G2">
        <v>74.306843035007205</v>
      </c>
      <c r="H2">
        <v>9.1098954311810101E-2</v>
      </c>
      <c r="I2">
        <v>0.717910403199011</v>
      </c>
      <c r="J2">
        <v>11538755.054350501</v>
      </c>
      <c r="K2">
        <v>16.261221932319099</v>
      </c>
      <c r="L2">
        <v>0.93149787660931505</v>
      </c>
      <c r="M2" t="s">
        <v>13</v>
      </c>
      <c r="N2">
        <v>0.11554935</v>
      </c>
      <c r="O2" t="s">
        <v>17</v>
      </c>
      <c r="P2">
        <f>N2*$F$24</f>
        <v>5.7401935161290323E-2</v>
      </c>
      <c r="Q2">
        <f>1000*P2/$E$24</f>
        <v>0.53248548387096772</v>
      </c>
    </row>
    <row r="3" spans="1:21" x14ac:dyDescent="0.2">
      <c r="A3">
        <v>1</v>
      </c>
      <c r="B3">
        <v>4.5098000000000003</v>
      </c>
      <c r="C3">
        <v>81.209999999999994</v>
      </c>
      <c r="D3">
        <v>42837000</v>
      </c>
      <c r="E3">
        <v>37610231.601370603</v>
      </c>
      <c r="F3">
        <v>4.5153247391734999</v>
      </c>
      <c r="G3">
        <v>81.273565649801995</v>
      </c>
      <c r="H3">
        <v>6.0477810507650699E-2</v>
      </c>
      <c r="I3">
        <v>0.69448499953327103</v>
      </c>
      <c r="J3">
        <v>9925326.5837010797</v>
      </c>
      <c r="K3">
        <v>16.110600289154899</v>
      </c>
      <c r="L3">
        <v>0.92953146158175903</v>
      </c>
      <c r="M3" t="s">
        <v>14</v>
      </c>
      <c r="N3">
        <v>0.11088065</v>
      </c>
      <c r="O3" t="s">
        <v>18</v>
      </c>
      <c r="P3">
        <f t="shared" ref="P3:P6" si="0">N3*$F$24</f>
        <v>5.5082645483870964E-2</v>
      </c>
      <c r="Q3">
        <f t="shared" ref="Q3:Q6" si="1">1000*P3/$E$24</f>
        <v>0.5109707373271889</v>
      </c>
    </row>
    <row r="4" spans="1:21" x14ac:dyDescent="0.2">
      <c r="A4">
        <v>1</v>
      </c>
      <c r="B4">
        <v>4.2782999999999998</v>
      </c>
      <c r="C4">
        <v>68.628</v>
      </c>
      <c r="D4">
        <v>38062000</v>
      </c>
      <c r="E4">
        <v>34564412.140917704</v>
      </c>
      <c r="F4">
        <v>4.2718646119611599</v>
      </c>
      <c r="G4">
        <v>68.607630552866794</v>
      </c>
      <c r="H4">
        <v>6.9531180682279994E-2</v>
      </c>
      <c r="I4">
        <v>0.65358888846441399</v>
      </c>
      <c r="J4">
        <v>9869458.09917471</v>
      </c>
      <c r="K4">
        <v>16.104955506069999</v>
      </c>
      <c r="L4">
        <v>0.89716973437132996</v>
      </c>
      <c r="M4" t="s">
        <v>15</v>
      </c>
      <c r="N4">
        <v>0.11515802999999999</v>
      </c>
      <c r="O4" t="s">
        <v>19</v>
      </c>
      <c r="P4">
        <f t="shared" si="0"/>
        <v>5.7207537483870967E-2</v>
      </c>
      <c r="Q4">
        <f t="shared" si="1"/>
        <v>0.5306821658986175</v>
      </c>
      <c r="R4" s="1">
        <f>AVERAGE(Q2:Q4)</f>
        <v>0.52471279569892471</v>
      </c>
      <c r="S4" s="1" t="s">
        <v>33</v>
      </c>
    </row>
    <row r="5" spans="1:21" x14ac:dyDescent="0.2">
      <c r="A5">
        <v>1</v>
      </c>
      <c r="B5">
        <v>4.4711999999999996</v>
      </c>
      <c r="C5">
        <v>105.08</v>
      </c>
      <c r="D5">
        <v>70451000</v>
      </c>
      <c r="E5">
        <v>31084508.6426786</v>
      </c>
      <c r="F5">
        <v>4.47385659434857</v>
      </c>
      <c r="G5">
        <v>105.04085563968199</v>
      </c>
      <c r="H5">
        <v>2.2799662482801498E-2</v>
      </c>
      <c r="I5">
        <v>0.51512024577388904</v>
      </c>
      <c r="J5">
        <v>2293828.3309283201</v>
      </c>
      <c r="K5">
        <v>14.6457327399254</v>
      </c>
      <c r="L5">
        <v>0.99330786434982699</v>
      </c>
    </row>
    <row r="6" spans="1:21" x14ac:dyDescent="0.2">
      <c r="A6">
        <v>1</v>
      </c>
      <c r="B6">
        <v>4.7541000000000002</v>
      </c>
      <c r="C6">
        <v>72.016000000000005</v>
      </c>
      <c r="D6">
        <v>24627000</v>
      </c>
      <c r="E6">
        <v>22472023.3913408</v>
      </c>
      <c r="F6">
        <v>4.7613775790213504</v>
      </c>
      <c r="G6">
        <v>72.067953818592798</v>
      </c>
      <c r="H6">
        <v>5.5691628240790297E-2</v>
      </c>
      <c r="I6">
        <v>0.68931672328082305</v>
      </c>
      <c r="J6">
        <v>5420393.0146973599</v>
      </c>
      <c r="K6">
        <v>15.5056788827237</v>
      </c>
      <c r="L6">
        <v>0.95089151316003895</v>
      </c>
      <c r="M6" t="s">
        <v>16</v>
      </c>
      <c r="N6">
        <v>4.8274749999999998E-2</v>
      </c>
      <c r="O6" t="s">
        <v>20</v>
      </c>
      <c r="P6">
        <f t="shared" si="0"/>
        <v>2.398165E-2</v>
      </c>
      <c r="Q6">
        <f t="shared" si="1"/>
        <v>0.22246428571428573</v>
      </c>
      <c r="R6" s="1">
        <f>R4+Q6</f>
        <v>0.74717708141321038</v>
      </c>
      <c r="S6" s="1" t="s">
        <v>34</v>
      </c>
    </row>
    <row r="7" spans="1:21" x14ac:dyDescent="0.2">
      <c r="A7">
        <v>1</v>
      </c>
      <c r="B7">
        <v>1.8480000000000001</v>
      </c>
      <c r="C7">
        <v>40.56</v>
      </c>
      <c r="D7">
        <v>75265000</v>
      </c>
      <c r="E7">
        <v>73738676.927167401</v>
      </c>
      <c r="F7">
        <v>1.8514096908986899</v>
      </c>
      <c r="G7">
        <v>40.469582287852603</v>
      </c>
      <c r="H7">
        <v>6.90984779598319E-2</v>
      </c>
      <c r="I7">
        <v>0.55317149374093899</v>
      </c>
      <c r="J7">
        <v>17709385.110670101</v>
      </c>
      <c r="K7">
        <v>16.689605289261799</v>
      </c>
      <c r="L7">
        <v>0.97720082049984902</v>
      </c>
    </row>
    <row r="8" spans="1:21" x14ac:dyDescent="0.2">
      <c r="A8">
        <v>2</v>
      </c>
      <c r="B8">
        <v>4.0853999999999999</v>
      </c>
      <c r="C8">
        <v>74.435000000000002</v>
      </c>
      <c r="D8">
        <v>8502200</v>
      </c>
      <c r="E8">
        <v>8033163.46291635</v>
      </c>
      <c r="F8">
        <v>4.1120072110655297</v>
      </c>
      <c r="G8">
        <v>74.350705967100097</v>
      </c>
      <c r="H8">
        <v>8.8015178452165097E-2</v>
      </c>
      <c r="I8">
        <v>0.70592166208557305</v>
      </c>
      <c r="J8">
        <v>3136032.5048101302</v>
      </c>
      <c r="K8">
        <v>14.958469025452899</v>
      </c>
      <c r="L8">
        <v>0.92276360035864102</v>
      </c>
      <c r="O8" t="s">
        <v>21</v>
      </c>
      <c r="P8">
        <f>(0.1155+0.11088+0.115)/3+0.0482</f>
        <v>0.16199333333333335</v>
      </c>
      <c r="Q8">
        <v>361</v>
      </c>
    </row>
    <row r="9" spans="1:21" x14ac:dyDescent="0.2">
      <c r="A9">
        <v>2</v>
      </c>
      <c r="B9">
        <v>4.5098000000000003</v>
      </c>
      <c r="C9">
        <v>81.209999999999994</v>
      </c>
      <c r="D9">
        <v>12498000</v>
      </c>
      <c r="E9">
        <v>11118047.0272504</v>
      </c>
      <c r="F9">
        <v>4.5157347001402197</v>
      </c>
      <c r="G9">
        <v>81.277458035407903</v>
      </c>
      <c r="H9">
        <v>5.5636840300312802E-2</v>
      </c>
      <c r="I9">
        <v>0.65079640142651396</v>
      </c>
      <c r="J9">
        <v>2529391.0392835899</v>
      </c>
      <c r="K9">
        <v>14.7434891357964</v>
      </c>
      <c r="L9">
        <v>0.93584887700632602</v>
      </c>
    </row>
    <row r="10" spans="1:21" x14ac:dyDescent="0.2">
      <c r="A10">
        <v>2</v>
      </c>
      <c r="B10">
        <v>4.2782999999999998</v>
      </c>
      <c r="C10">
        <v>68.628</v>
      </c>
      <c r="D10">
        <v>10560000</v>
      </c>
      <c r="E10">
        <v>9589913.7810813393</v>
      </c>
      <c r="F10">
        <v>4.2729849082659799</v>
      </c>
      <c r="G10">
        <v>68.622746123355995</v>
      </c>
      <c r="H10">
        <v>6.4877313578173307E-2</v>
      </c>
      <c r="I10">
        <v>0.63413296005423003</v>
      </c>
      <c r="J10">
        <v>2478949.93786821</v>
      </c>
      <c r="K10">
        <v>14.723345616327</v>
      </c>
      <c r="L10">
        <v>0.89111352412492595</v>
      </c>
    </row>
    <row r="11" spans="1:21" x14ac:dyDescent="0.2">
      <c r="A11">
        <v>2</v>
      </c>
      <c r="B11">
        <v>4.4711999999999996</v>
      </c>
      <c r="C11">
        <v>105.08</v>
      </c>
      <c r="D11">
        <v>21386000</v>
      </c>
      <c r="E11">
        <v>10026795.814095501</v>
      </c>
      <c r="F11">
        <v>4.4727255078564001</v>
      </c>
      <c r="G11">
        <v>105.048806796626</v>
      </c>
      <c r="H11">
        <v>2.2303423396822501E-2</v>
      </c>
      <c r="I11">
        <v>0.49752848492563401</v>
      </c>
      <c r="J11">
        <v>699087.47081611399</v>
      </c>
      <c r="K11">
        <v>13.4575311504629</v>
      </c>
      <c r="L11">
        <v>0.99206772186579495</v>
      </c>
    </row>
    <row r="12" spans="1:21" x14ac:dyDescent="0.2">
      <c r="A12">
        <v>2</v>
      </c>
      <c r="B12">
        <v>4.7541000000000002</v>
      </c>
      <c r="C12">
        <v>72.016000000000005</v>
      </c>
      <c r="D12">
        <v>7961700</v>
      </c>
      <c r="E12">
        <v>7398681.1488525104</v>
      </c>
      <c r="F12">
        <v>4.7624551776755801</v>
      </c>
      <c r="G12">
        <v>72.080908203332697</v>
      </c>
      <c r="H12">
        <v>5.0883896652075003E-2</v>
      </c>
      <c r="I12">
        <v>0.68433836023160499</v>
      </c>
      <c r="J12">
        <v>1618771.0413464899</v>
      </c>
      <c r="K12">
        <v>14.2971778028607</v>
      </c>
      <c r="L12">
        <v>0.951519687614934</v>
      </c>
      <c r="N12">
        <v>1</v>
      </c>
      <c r="O12">
        <v>2</v>
      </c>
      <c r="P12">
        <v>3</v>
      </c>
      <c r="R12" t="s">
        <v>24</v>
      </c>
      <c r="S12" t="s">
        <v>25</v>
      </c>
      <c r="T12" t="s">
        <v>26</v>
      </c>
    </row>
    <row r="13" spans="1:21" x14ac:dyDescent="0.2">
      <c r="A13">
        <v>2</v>
      </c>
      <c r="B13">
        <v>1.8480000000000001</v>
      </c>
      <c r="C13">
        <v>40.56</v>
      </c>
      <c r="D13">
        <v>20006000</v>
      </c>
      <c r="E13">
        <v>19263013.8493894</v>
      </c>
      <c r="F13">
        <v>1.8514549316029401</v>
      </c>
      <c r="G13">
        <v>40.500107109305098</v>
      </c>
      <c r="H13">
        <v>6.9638190797772906E-2</v>
      </c>
      <c r="I13">
        <v>0.55168170989278198</v>
      </c>
      <c r="J13">
        <v>4649863.1430105204</v>
      </c>
      <c r="K13">
        <v>15.352348345519699</v>
      </c>
      <c r="L13">
        <v>0.97167943706623705</v>
      </c>
      <c r="N13">
        <v>16.261221932319099</v>
      </c>
      <c r="O13">
        <v>14.958469025452899</v>
      </c>
      <c r="P13">
        <v>13.862905814848</v>
      </c>
      <c r="Q13">
        <f>INTERCEPT(N13:P13,$N$12:$P$12)</f>
        <v>17.4258483750111</v>
      </c>
      <c r="R13">
        <f>EXP(Q13)</f>
        <v>36978542.687144324</v>
      </c>
      <c r="S13">
        <f>$F$25*R13/$R$18</f>
        <v>6.3552144750077436E-2</v>
      </c>
      <c r="T13">
        <f>S13/$F$24</f>
        <v>0.12792964202937665</v>
      </c>
    </row>
    <row r="14" spans="1:21" x14ac:dyDescent="0.2">
      <c r="A14">
        <v>3</v>
      </c>
      <c r="B14">
        <v>4.0726000000000004</v>
      </c>
      <c r="C14">
        <v>74.435000000000002</v>
      </c>
      <c r="D14">
        <v>2390700</v>
      </c>
      <c r="E14">
        <v>2440175.2744792299</v>
      </c>
      <c r="F14">
        <v>4.1205919172389498</v>
      </c>
      <c r="G14">
        <v>74.356924354997204</v>
      </c>
      <c r="H14">
        <v>9.8858474542535199E-2</v>
      </c>
      <c r="I14">
        <v>0.69178111697477596</v>
      </c>
      <c r="J14">
        <v>1048536.3684026001</v>
      </c>
      <c r="K14">
        <v>13.862905814848</v>
      </c>
      <c r="L14">
        <v>0.94051381071612095</v>
      </c>
      <c r="N14">
        <v>16.110600289154899</v>
      </c>
      <c r="O14">
        <v>14.7434891357964</v>
      </c>
      <c r="P14">
        <v>13.5160376582159</v>
      </c>
      <c r="Q14">
        <f t="shared" ref="Q14:Q18" si="2">INTERCEPT(N14:P14,$N$12:$P$12)</f>
        <v>17.384604991994731</v>
      </c>
      <c r="R14">
        <f t="shared" ref="R14:R18" si="3">EXP(Q14)</f>
        <v>35484445.091807656</v>
      </c>
      <c r="S14">
        <f t="shared" ref="S14:S18" si="4">$F$25*R14/$R$18</f>
        <v>6.0984355439045734E-2</v>
      </c>
      <c r="T14">
        <f t="shared" ref="T14:T15" si="5">S14/$F$24</f>
        <v>0.12276071549418298</v>
      </c>
    </row>
    <row r="15" spans="1:21" x14ac:dyDescent="0.2">
      <c r="A15">
        <v>3</v>
      </c>
      <c r="B15">
        <v>4.5098000000000003</v>
      </c>
      <c r="C15">
        <v>81.372</v>
      </c>
      <c r="D15">
        <v>3878400</v>
      </c>
      <c r="E15">
        <v>3545747.65991526</v>
      </c>
      <c r="F15">
        <v>4.5166922294932004</v>
      </c>
      <c r="G15">
        <v>81.272623413471194</v>
      </c>
      <c r="H15">
        <v>5.0706627983464703E-2</v>
      </c>
      <c r="I15">
        <v>0.65612736041458297</v>
      </c>
      <c r="J15">
        <v>741208.80908286001</v>
      </c>
      <c r="K15">
        <v>13.5160376582159</v>
      </c>
      <c r="L15">
        <v>0.91962085718410003</v>
      </c>
      <c r="N15">
        <v>16.104955506069999</v>
      </c>
      <c r="O15">
        <v>14.723345616327</v>
      </c>
      <c r="P15">
        <v>13.4378998442783</v>
      </c>
      <c r="Q15">
        <f t="shared" si="2"/>
        <v>17.4224559840168</v>
      </c>
      <c r="R15">
        <f t="shared" si="3"/>
        <v>36853309.551932022</v>
      </c>
      <c r="S15">
        <f t="shared" si="4"/>
        <v>6.3336916302492205E-2</v>
      </c>
      <c r="T15">
        <f t="shared" si="5"/>
        <v>0.12749638995956222</v>
      </c>
      <c r="U15">
        <f>AVERAGE(T13:T16)</f>
        <v>0.12606224916104061</v>
      </c>
    </row>
    <row r="16" spans="1:21" x14ac:dyDescent="0.2">
      <c r="A16">
        <v>3</v>
      </c>
      <c r="B16">
        <v>4.2782999999999998</v>
      </c>
      <c r="C16">
        <v>68.628</v>
      </c>
      <c r="D16">
        <v>3346400</v>
      </c>
      <c r="E16">
        <v>3277401.9019213398</v>
      </c>
      <c r="F16">
        <v>4.2734950221581602</v>
      </c>
      <c r="G16">
        <v>68.632373269660903</v>
      </c>
      <c r="H16">
        <v>5.4288018919854103E-2</v>
      </c>
      <c r="I16">
        <v>0.61318593879639305</v>
      </c>
      <c r="J16">
        <v>685497.30344972399</v>
      </c>
      <c r="K16">
        <v>13.4378998442783</v>
      </c>
      <c r="L16">
        <v>0.94661307347508294</v>
      </c>
      <c r="N16">
        <v>14.6457327399254</v>
      </c>
      <c r="O16">
        <v>13.4575311504629</v>
      </c>
      <c r="P16">
        <v>12.349745974050499</v>
      </c>
      <c r="Q16">
        <f t="shared" si="2"/>
        <v>15.7803233873545</v>
      </c>
      <c r="R16">
        <f t="shared" si="3"/>
        <v>7133577.2691885717</v>
      </c>
      <c r="S16">
        <f t="shared" si="4"/>
        <v>1.2259924330521109E-2</v>
      </c>
    </row>
    <row r="17" spans="1:20" x14ac:dyDescent="0.2">
      <c r="A17">
        <v>3</v>
      </c>
      <c r="B17">
        <v>4.4711999999999996</v>
      </c>
      <c r="C17">
        <v>105.08</v>
      </c>
      <c r="D17">
        <v>7006500</v>
      </c>
      <c r="E17">
        <v>3341929.1964163701</v>
      </c>
      <c r="F17">
        <v>4.4707802232029801</v>
      </c>
      <c r="G17">
        <v>105.033526561522</v>
      </c>
      <c r="H17">
        <v>2.1042366745401199E-2</v>
      </c>
      <c r="I17">
        <v>0.52258246244182904</v>
      </c>
      <c r="J17">
        <v>230901.380487797</v>
      </c>
      <c r="K17">
        <v>12.349745974050499</v>
      </c>
      <c r="L17">
        <v>0.99005255465357</v>
      </c>
      <c r="N17">
        <v>15.5056788827237</v>
      </c>
      <c r="O17">
        <v>14.2971778028607</v>
      </c>
      <c r="P17">
        <v>13.3303577274545</v>
      </c>
      <c r="Q17">
        <f t="shared" si="2"/>
        <v>16.553059292948834</v>
      </c>
      <c r="R17">
        <f t="shared" si="3"/>
        <v>15449068.88190921</v>
      </c>
      <c r="S17">
        <f t="shared" si="4"/>
        <v>2.6551112901978785E-2</v>
      </c>
      <c r="T17">
        <f>U15+S17</f>
        <v>0.1526133620630194</v>
      </c>
    </row>
    <row r="18" spans="1:20" x14ac:dyDescent="0.2">
      <c r="A18">
        <v>3</v>
      </c>
      <c r="B18">
        <v>4.7541000000000002</v>
      </c>
      <c r="C18">
        <v>72.176999999999893</v>
      </c>
      <c r="D18">
        <v>2555300</v>
      </c>
      <c r="E18">
        <v>2320359.2132719602</v>
      </c>
      <c r="F18">
        <v>4.7623261128638203</v>
      </c>
      <c r="G18">
        <v>72.126326990112702</v>
      </c>
      <c r="H18">
        <v>6.3320125397340596E-2</v>
      </c>
      <c r="I18">
        <v>0.66684353531492302</v>
      </c>
      <c r="J18">
        <v>615603.10663796298</v>
      </c>
      <c r="K18">
        <v>13.3303577274545</v>
      </c>
      <c r="L18">
        <v>0.93423416024893502</v>
      </c>
      <c r="N18">
        <v>16.689605289261799</v>
      </c>
      <c r="O18">
        <v>15.352348345519699</v>
      </c>
      <c r="P18">
        <v>14.047207440923801</v>
      </c>
      <c r="Q18">
        <f t="shared" si="2"/>
        <v>18.005451540239765</v>
      </c>
      <c r="R18">
        <f t="shared" si="3"/>
        <v>66018894.560501143</v>
      </c>
      <c r="S18">
        <f t="shared" si="4"/>
        <v>0.11346153846153847</v>
      </c>
    </row>
    <row r="19" spans="1:20" x14ac:dyDescent="0.2">
      <c r="A19">
        <v>3</v>
      </c>
      <c r="B19">
        <v>1.8480000000000001</v>
      </c>
      <c r="C19">
        <v>40.56</v>
      </c>
      <c r="D19">
        <v>5566200</v>
      </c>
      <c r="E19">
        <v>5286342.9216299597</v>
      </c>
      <c r="F19">
        <v>1.85343756940226</v>
      </c>
      <c r="G19">
        <v>40.523077247360703</v>
      </c>
      <c r="H19">
        <v>7.06438367435894E-2</v>
      </c>
      <c r="I19">
        <v>0.53729796916317996</v>
      </c>
      <c r="J19">
        <v>1260737.5198784401</v>
      </c>
      <c r="K19">
        <v>14.047207440923801</v>
      </c>
      <c r="L19">
        <v>0.96237672575095701</v>
      </c>
    </row>
    <row r="21" spans="1:20" x14ac:dyDescent="0.2">
      <c r="K21" t="s">
        <v>4</v>
      </c>
      <c r="L21" t="s">
        <v>27</v>
      </c>
      <c r="M21" t="s">
        <v>28</v>
      </c>
    </row>
    <row r="22" spans="1:20" x14ac:dyDescent="0.2">
      <c r="K22">
        <v>11538755.054350501</v>
      </c>
      <c r="L22">
        <v>9925326.5837010797</v>
      </c>
      <c r="M22">
        <v>9869458.09917471</v>
      </c>
    </row>
    <row r="23" spans="1:20" x14ac:dyDescent="0.2">
      <c r="K23">
        <v>3136032.5048101302</v>
      </c>
      <c r="L23">
        <v>2929391.0392835899</v>
      </c>
      <c r="M23">
        <v>2878949.93786821</v>
      </c>
    </row>
    <row r="24" spans="1:20" x14ac:dyDescent="0.2">
      <c r="D24" t="s">
        <v>22</v>
      </c>
      <c r="E24">
        <v>107.8</v>
      </c>
      <c r="F24">
        <f>E24/217</f>
        <v>0.49677419354838709</v>
      </c>
      <c r="K24">
        <v>1048536.3684026001</v>
      </c>
      <c r="L24">
        <v>941208.80908286001</v>
      </c>
      <c r="M24">
        <v>885497.30344972399</v>
      </c>
    </row>
    <row r="25" spans="1:20" x14ac:dyDescent="0.2">
      <c r="D25" t="s">
        <v>23</v>
      </c>
      <c r="E25">
        <v>11.8</v>
      </c>
      <c r="F25">
        <f>E25/104</f>
        <v>0.11346153846153847</v>
      </c>
      <c r="J25" t="s">
        <v>26</v>
      </c>
      <c r="K25" t="s">
        <v>4</v>
      </c>
      <c r="L25" t="s">
        <v>27</v>
      </c>
      <c r="M25" t="s">
        <v>28</v>
      </c>
    </row>
    <row r="26" spans="1:20" x14ac:dyDescent="0.2">
      <c r="J26">
        <v>1</v>
      </c>
      <c r="K26">
        <f>K22/K$22</f>
        <v>1</v>
      </c>
      <c r="L26">
        <f t="shared" ref="L26:M26" si="6">L22/L$22</f>
        <v>1</v>
      </c>
      <c r="M26">
        <f t="shared" si="6"/>
        <v>1</v>
      </c>
    </row>
    <row r="27" spans="1:20" x14ac:dyDescent="0.2">
      <c r="J27">
        <v>2</v>
      </c>
      <c r="K27">
        <f t="shared" ref="K27:M27" si="7">K23/K$22</f>
        <v>0.27178257013331258</v>
      </c>
      <c r="L27">
        <f t="shared" si="7"/>
        <v>0.29514303782145596</v>
      </c>
      <c r="M27">
        <f t="shared" si="7"/>
        <v>0.29170293940545222</v>
      </c>
    </row>
    <row r="28" spans="1:20" x14ac:dyDescent="0.2">
      <c r="D28" t="s">
        <v>29</v>
      </c>
      <c r="E28">
        <f>P8/F24</f>
        <v>0.32609047619047621</v>
      </c>
      <c r="J28">
        <v>3</v>
      </c>
      <c r="K28">
        <f t="shared" ref="K28:M28" si="8">K24/K$22</f>
        <v>9.0870840351816501E-2</v>
      </c>
      <c r="L28">
        <f t="shared" si="8"/>
        <v>9.4829001458598891E-2</v>
      </c>
      <c r="M28">
        <f t="shared" si="8"/>
        <v>8.9720964874836426E-2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AB39-388A-494A-9D55-F29CF49FEC85}">
  <dimension ref="A1:Q33"/>
  <sheetViews>
    <sheetView tabSelected="1" topLeftCell="A8" zoomScale="133" zoomScaleNormal="133" workbookViewId="0">
      <selection activeCell="N29" sqref="N29:N32"/>
    </sheetView>
  </sheetViews>
  <sheetFormatPr baseColWidth="10" defaultRowHeight="16" x14ac:dyDescent="0.2"/>
  <cols>
    <col min="2" max="2" width="11.1640625" bestFit="1" customWidth="1"/>
    <col min="3" max="3" width="17.1640625" customWidth="1"/>
    <col min="4" max="5" width="14" bestFit="1" customWidth="1"/>
    <col min="6" max="6" width="12.83203125" bestFit="1" customWidth="1"/>
    <col min="8" max="11" width="11.1640625" bestFit="1" customWidth="1"/>
    <col min="13" max="13" width="13.6640625" bestFit="1" customWidth="1"/>
    <col min="15" max="15" width="11.1640625" bestFit="1" customWidth="1"/>
    <col min="17" max="17" width="11.1640625" bestFit="1" customWidth="1"/>
    <col min="21" max="21" width="13.6640625" bestFit="1" customWidth="1"/>
    <col min="22" max="22" width="12.83203125" bestFit="1" customWidth="1"/>
    <col min="24" max="24" width="11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11" t="s">
        <v>4</v>
      </c>
      <c r="C11" s="12">
        <v>1</v>
      </c>
      <c r="D11">
        <v>6412200000</v>
      </c>
      <c r="E11">
        <v>1568200000</v>
      </c>
      <c r="F11">
        <v>477920000</v>
      </c>
      <c r="G11" t="s">
        <v>26</v>
      </c>
      <c r="H11" s="4">
        <f t="shared" ref="H11:H12" si="0">LN(D11)</f>
        <v>22.581468262723181</v>
      </c>
      <c r="I11" s="4">
        <f>LN(E11)</f>
        <v>21.173194301761097</v>
      </c>
      <c r="J11" s="4">
        <f t="shared" ref="J11:J12" si="1">LN(F11)</f>
        <v>19.984953912432072</v>
      </c>
      <c r="K11" s="4">
        <f>INTERCEPT(H11:J11,$D$10:$F$10)</f>
        <v>23.843053175929892</v>
      </c>
      <c r="M11" s="4">
        <f>EXP(K11)/C11</f>
        <v>22641564153.11166</v>
      </c>
      <c r="O11" s="4">
        <f>$C$2*M11/($B$1*0.001*$M$16)</f>
        <v>0.72610854408611758</v>
      </c>
      <c r="P11" s="4"/>
      <c r="Q11" s="5"/>
    </row>
    <row r="12" spans="1:17" ht="19" x14ac:dyDescent="0.25">
      <c r="B12" s="11" t="s">
        <v>27</v>
      </c>
      <c r="C12" s="12">
        <v>1</v>
      </c>
      <c r="D12">
        <v>5752000000</v>
      </c>
      <c r="E12">
        <v>1560800000</v>
      </c>
      <c r="F12">
        <v>478440000</v>
      </c>
      <c r="H12" s="4">
        <f t="shared" si="0"/>
        <v>22.472813457365156</v>
      </c>
      <c r="I12" s="4">
        <f>LN(E12)</f>
        <v>21.168464347273176</v>
      </c>
      <c r="J12" s="4">
        <f t="shared" si="1"/>
        <v>19.986041369145539</v>
      </c>
      <c r="K12" s="4">
        <f>INTERCEPT(H12:J12,$D$10:$F$10)</f>
        <v>23.695878479480907</v>
      </c>
      <c r="M12" s="4">
        <f>EXP(K12)/C12</f>
        <v>19542911597.176712</v>
      </c>
      <c r="O12" s="4">
        <f t="shared" ref="O12:O15" si="2">$C$2*M12/($B$1*0.001*$M$16)</f>
        <v>0.62673563500600715</v>
      </c>
      <c r="P12" s="4"/>
      <c r="Q12" s="5"/>
    </row>
    <row r="13" spans="1:17" ht="19" x14ac:dyDescent="0.25">
      <c r="B13" s="11" t="s">
        <v>28</v>
      </c>
      <c r="C13" s="12">
        <v>1</v>
      </c>
      <c r="H13" s="4"/>
      <c r="I13" s="4"/>
      <c r="J13" s="4"/>
      <c r="K13" s="4"/>
      <c r="M13" s="4"/>
      <c r="O13" s="4">
        <f t="shared" si="2"/>
        <v>0</v>
      </c>
      <c r="P13" s="4"/>
      <c r="Q13" s="5"/>
    </row>
    <row r="14" spans="1:17" ht="19" x14ac:dyDescent="0.25">
      <c r="B14" s="11" t="s">
        <v>51</v>
      </c>
      <c r="C14" s="13">
        <v>1</v>
      </c>
      <c r="D14">
        <v>6154900000</v>
      </c>
      <c r="E14">
        <v>1643300000</v>
      </c>
      <c r="F14">
        <v>521800000</v>
      </c>
      <c r="H14" s="4">
        <f t="shared" ref="H14:H15" si="3">LN(D14)</f>
        <v>22.540514349497148</v>
      </c>
      <c r="I14" s="4">
        <f>LN(E14)</f>
        <v>21.219972252151518</v>
      </c>
      <c r="J14" s="4">
        <f t="shared" ref="J14:J15" si="4">LN(F14)</f>
        <v>20.072794930666902</v>
      </c>
      <c r="K14" s="4">
        <f>INTERCEPT(H14:J14,$D$10:$F$10)</f>
        <v>23.745479929602102</v>
      </c>
      <c r="M14" s="4">
        <f>EXP(K14)/C14</f>
        <v>20536711565.97506</v>
      </c>
      <c r="O14" s="4">
        <f t="shared" si="2"/>
        <v>0.65860651828850447</v>
      </c>
      <c r="P14" s="4"/>
      <c r="Q14" s="5">
        <f>1-Q13</f>
        <v>1</v>
      </c>
    </row>
    <row r="15" spans="1:17" ht="19" x14ac:dyDescent="0.25">
      <c r="B15" s="14" t="s">
        <v>49</v>
      </c>
      <c r="C15" s="15">
        <v>1</v>
      </c>
      <c r="D15">
        <v>2276900000</v>
      </c>
      <c r="E15">
        <v>860660000</v>
      </c>
      <c r="F15">
        <v>306460000</v>
      </c>
      <c r="H15" s="4">
        <f t="shared" si="3"/>
        <v>21.546080705628395</v>
      </c>
      <c r="I15" s="4">
        <f>LN(E15)</f>
        <v>20.573210094739366</v>
      </c>
      <c r="J15" s="4">
        <f t="shared" si="4"/>
        <v>19.540597799114305</v>
      </c>
      <c r="K15" s="4">
        <f>INTERCEPT(H15:J15,$D$10:$F$10)</f>
        <v>22.558779106341447</v>
      </c>
      <c r="M15" s="4">
        <f>EXP(K15)/C15</f>
        <v>6268350672.4501839</v>
      </c>
      <c r="N15" t="s">
        <v>20</v>
      </c>
      <c r="O15" s="4">
        <f t="shared" si="2"/>
        <v>0.20102422914843188</v>
      </c>
      <c r="P15" s="4"/>
      <c r="Q15" s="5"/>
    </row>
    <row r="16" spans="1:17" ht="19" x14ac:dyDescent="0.25">
      <c r="B16" s="16" t="s">
        <v>50</v>
      </c>
      <c r="C16" s="17">
        <v>1</v>
      </c>
      <c r="D16">
        <v>8791500000</v>
      </c>
      <c r="E16">
        <v>2303100000</v>
      </c>
      <c r="F16">
        <v>623850000</v>
      </c>
      <c r="H16" s="4">
        <f t="shared" ref="H16:J17" si="5">LN(D16)</f>
        <v>22.897051182548868</v>
      </c>
      <c r="I16" s="4">
        <f>LN(E16)</f>
        <v>21.557521878466236</v>
      </c>
      <c r="J16" s="4">
        <f t="shared" si="5"/>
        <v>20.251420512821305</v>
      </c>
      <c r="K16" s="4">
        <f>INTERCEPT(H16:J16,$D$10:$F$10)</f>
        <v>24.214295194339698</v>
      </c>
      <c r="M16" s="4">
        <f>EXP(K16)/C16</f>
        <v>32819713539.472797</v>
      </c>
      <c r="N16" t="s">
        <v>51</v>
      </c>
      <c r="O16" s="4">
        <f>AVERAGE(O11,O12,O14)</f>
        <v>0.67048356579354307</v>
      </c>
      <c r="P16" s="4"/>
      <c r="Q16" s="5"/>
    </row>
    <row r="17" spans="2:16" ht="19" x14ac:dyDescent="0.25">
      <c r="B17" s="3" t="s">
        <v>53</v>
      </c>
      <c r="C17" s="8">
        <v>1</v>
      </c>
      <c r="D17">
        <v>1306700000</v>
      </c>
      <c r="E17">
        <v>452330000</v>
      </c>
      <c r="F17">
        <v>168120000</v>
      </c>
      <c r="H17" s="8">
        <f t="shared" si="5"/>
        <v>20.990770711959374</v>
      </c>
      <c r="I17" s="8">
        <f>LN(E17)</f>
        <v>19.929922559907123</v>
      </c>
      <c r="J17" s="8">
        <f t="shared" si="5"/>
        <v>18.940188568101188</v>
      </c>
      <c r="K17" s="8">
        <f>INTERCEPT(H17:J17,$D$10:$F$10)</f>
        <v>22.004209423847417</v>
      </c>
      <c r="M17" s="8">
        <f>EXP(K17)/C17</f>
        <v>3600035069.3510022</v>
      </c>
      <c r="N17" t="s">
        <v>54</v>
      </c>
      <c r="O17" s="4">
        <f>$C$2*M17/($B$1*0.001*$M$16)</f>
        <v>0.11545210415624814</v>
      </c>
    </row>
    <row r="18" spans="2:16" ht="19" x14ac:dyDescent="0.25">
      <c r="B18" s="2" t="s">
        <v>52</v>
      </c>
      <c r="C18" s="6">
        <v>3</v>
      </c>
      <c r="D18">
        <v>85511000000</v>
      </c>
      <c r="E18">
        <v>21456000000</v>
      </c>
      <c r="F18">
        <v>6610100000</v>
      </c>
      <c r="H18" s="8">
        <f t="shared" ref="H18:H19" si="6">LN(D18)</f>
        <v>25.171910859584546</v>
      </c>
      <c r="I18" s="8">
        <f>LN(E18)</f>
        <v>23.789270163485735</v>
      </c>
      <c r="J18" s="8">
        <f t="shared" ref="J18:J19" si="7">LN(F18)</f>
        <v>22.61186461928861</v>
      </c>
      <c r="K18" s="8">
        <f>INTERCEPT(H18:J18,$D$10:$F$10)</f>
        <v>26.417728121082234</v>
      </c>
      <c r="M18" s="8">
        <f>1.15*EXP(K18)/C18</f>
        <v>113933157400.97589</v>
      </c>
      <c r="O18" s="18">
        <f>$C$2*M18/($B$1*0.001*$M$16)</f>
        <v>3.6538040607140507</v>
      </c>
    </row>
    <row r="19" spans="2:16" x14ac:dyDescent="0.2">
      <c r="B19" t="s">
        <v>57</v>
      </c>
      <c r="C19">
        <v>1</v>
      </c>
      <c r="D19">
        <v>386980000</v>
      </c>
      <c r="E19">
        <v>88255000</v>
      </c>
      <c r="F19">
        <v>14937000</v>
      </c>
      <c r="H19" s="19">
        <f t="shared" si="6"/>
        <v>19.773883570072055</v>
      </c>
      <c r="I19" s="19">
        <f>LN(E19)</f>
        <v>18.295740909396518</v>
      </c>
      <c r="J19" s="19">
        <f t="shared" si="7"/>
        <v>16.519351914292429</v>
      </c>
      <c r="K19" s="19">
        <f>INTERCEPT(H19:J19,$D$10:$F$10)</f>
        <v>21.450857120366628</v>
      </c>
      <c r="M19" s="19">
        <f>1.15*EXP(K19)/C19</f>
        <v>2380601592.7260432</v>
      </c>
      <c r="O19" s="19">
        <f>$C$2*M19/($B$1*0.001*$M$16)</f>
        <v>7.6345218239078222E-2</v>
      </c>
    </row>
    <row r="27" spans="2:16" x14ac:dyDescent="0.2">
      <c r="M27" t="s">
        <v>47</v>
      </c>
      <c r="O27">
        <f>O18</f>
        <v>3.6538040607140507</v>
      </c>
      <c r="P27" t="s">
        <v>42</v>
      </c>
    </row>
    <row r="29" spans="2:16" x14ac:dyDescent="0.2">
      <c r="M29" t="s">
        <v>55</v>
      </c>
      <c r="N29">
        <f>O15</f>
        <v>0.20102422914843188</v>
      </c>
      <c r="O29">
        <f>N29/$O$27</f>
        <v>5.5017791268518759E-2</v>
      </c>
    </row>
    <row r="30" spans="2:16" x14ac:dyDescent="0.2">
      <c r="M30" t="s">
        <v>56</v>
      </c>
      <c r="N30">
        <v>7.6345218239078222E-2</v>
      </c>
      <c r="O30">
        <f t="shared" ref="O30:O32" si="8">N30/$O$27</f>
        <v>2.0894721493127447E-2</v>
      </c>
    </row>
    <row r="31" spans="2:16" x14ac:dyDescent="0.2">
      <c r="M31" t="s">
        <v>54</v>
      </c>
      <c r="N31">
        <f>O17</f>
        <v>0.11545210415624814</v>
      </c>
      <c r="O31">
        <f t="shared" si="8"/>
        <v>3.1597781993182666E-2</v>
      </c>
    </row>
    <row r="32" spans="2:16" x14ac:dyDescent="0.2">
      <c r="M32" t="s">
        <v>51</v>
      </c>
      <c r="N32">
        <v>0.67048356579354307</v>
      </c>
      <c r="O32">
        <f t="shared" si="8"/>
        <v>0.18350287936964871</v>
      </c>
    </row>
    <row r="33" spans="14:14" x14ac:dyDescent="0.2">
      <c r="N33" s="4"/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CED-397C-3C42-8559-3B424E41E922}">
  <dimension ref="A1:Q27"/>
  <sheetViews>
    <sheetView workbookViewId="0">
      <selection activeCell="D13" sqref="D13:F13"/>
    </sheetView>
  </sheetViews>
  <sheetFormatPr baseColWidth="10" defaultRowHeight="16" x14ac:dyDescent="0.2"/>
  <cols>
    <col min="3" max="3" width="17.1640625" customWidth="1"/>
    <col min="4" max="5" width="11.1640625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9">
        <v>44686</v>
      </c>
      <c r="C11" s="4"/>
      <c r="G11" t="s">
        <v>26</v>
      </c>
      <c r="H11" s="4"/>
      <c r="I11" s="4"/>
      <c r="J11" s="4"/>
      <c r="K11" s="4"/>
      <c r="M11" s="4"/>
      <c r="O11" s="4" t="s">
        <v>42</v>
      </c>
      <c r="P11" s="4"/>
      <c r="Q11" s="5"/>
    </row>
    <row r="12" spans="1:17" ht="19" x14ac:dyDescent="0.25">
      <c r="B12" s="2"/>
      <c r="C12" s="4"/>
      <c r="H12" s="4"/>
      <c r="I12" s="4"/>
      <c r="J12" s="4"/>
      <c r="K12" s="4"/>
      <c r="M12" s="4"/>
      <c r="O12" s="4"/>
      <c r="P12" s="4"/>
      <c r="Q12" s="5"/>
    </row>
    <row r="13" spans="1:17" ht="19" x14ac:dyDescent="0.25">
      <c r="B13" s="2" t="s">
        <v>28</v>
      </c>
      <c r="C13" s="4">
        <v>3</v>
      </c>
      <c r="D13">
        <v>85511000000</v>
      </c>
      <c r="E13">
        <v>21456000000</v>
      </c>
      <c r="F13">
        <v>6610100000</v>
      </c>
      <c r="H13" s="4">
        <f t="shared" ref="H13:J13" si="0">LN(D13)</f>
        <v>25.171910859584546</v>
      </c>
      <c r="I13" s="4">
        <f t="shared" si="0"/>
        <v>23.789270163485735</v>
      </c>
      <c r="J13" s="4">
        <f t="shared" si="0"/>
        <v>22.61186461928861</v>
      </c>
      <c r="K13" s="4">
        <f>INTERCEPT(H13:J13,$D$10:$F$10)</f>
        <v>26.417728121082234</v>
      </c>
      <c r="M13" s="4">
        <f>EXP(K13)/C13</f>
        <v>99072310783.457291</v>
      </c>
      <c r="O13" s="4">
        <f>$C$2*M13/($M$16*$B$1*0.001)</f>
        <v>2.382709008670425</v>
      </c>
      <c r="P13" s="4"/>
      <c r="Q13" s="5"/>
    </row>
    <row r="14" spans="1:17" ht="19" x14ac:dyDescent="0.25">
      <c r="B14" s="2" t="s">
        <v>52</v>
      </c>
      <c r="C14" s="6">
        <v>1</v>
      </c>
      <c r="D14">
        <v>37568000000</v>
      </c>
      <c r="E14">
        <v>8361000000</v>
      </c>
      <c r="F14">
        <v>2251400000</v>
      </c>
      <c r="H14" s="4">
        <f t="shared" ref="H14:H15" si="1">LN(D14)</f>
        <v>24.349418461152041</v>
      </c>
      <c r="I14" s="4">
        <f t="shared" ref="I14:I15" si="2">LN(E14)</f>
        <v>22.846843874114331</v>
      </c>
      <c r="J14" s="4">
        <f t="shared" ref="J14:J15" si="3">LN(F14)</f>
        <v>21.534818081884978</v>
      </c>
      <c r="K14" s="4">
        <f>INTERCEPT(H14:J14,$D$10:$F$10)</f>
        <v>25.724960518317513</v>
      </c>
      <c r="M14" s="4">
        <f>EXP(K14)/C14</f>
        <v>148664885356.18506</v>
      </c>
      <c r="O14" s="4">
        <f>$C$2*M14/($M$16*$B$1*0.001)</f>
        <v>3.575420405660763</v>
      </c>
      <c r="P14" s="4"/>
      <c r="Q14" s="5">
        <f>1-Q13</f>
        <v>1</v>
      </c>
    </row>
    <row r="15" spans="1:17" ht="19" x14ac:dyDescent="0.25">
      <c r="B15" s="2" t="s">
        <v>46</v>
      </c>
      <c r="C15" s="4">
        <v>1</v>
      </c>
      <c r="D15">
        <v>11670000000</v>
      </c>
      <c r="E15">
        <v>2900000000</v>
      </c>
      <c r="F15">
        <v>742430000</v>
      </c>
      <c r="H15" s="4">
        <f t="shared" si="1"/>
        <v>23.180287283244876</v>
      </c>
      <c r="I15" s="4">
        <f t="shared" si="2"/>
        <v>21.787976573938838</v>
      </c>
      <c r="J15" s="4">
        <f t="shared" si="3"/>
        <v>20.425439148102583</v>
      </c>
      <c r="K15" s="4">
        <f>INTERCEPT(H15:J15,$D$10:$F$10)</f>
        <v>24.552749136904392</v>
      </c>
      <c r="M15" s="4">
        <f>EXP(K15)/C15</f>
        <v>46038743866.578117</v>
      </c>
      <c r="O15" s="4" t="s">
        <v>43</v>
      </c>
      <c r="P15" s="4"/>
      <c r="Q15" s="5"/>
    </row>
    <row r="16" spans="1:17" ht="19" x14ac:dyDescent="0.25">
      <c r="B16" s="2" t="s">
        <v>46</v>
      </c>
      <c r="C16" s="7">
        <v>5</v>
      </c>
      <c r="D16">
        <v>61962000000</v>
      </c>
      <c r="E16">
        <v>16235000000</v>
      </c>
      <c r="F16">
        <v>4779200000</v>
      </c>
      <c r="H16" s="4">
        <f t="shared" ref="H16:J16" si="4">LN(D16)</f>
        <v>24.849787130863731</v>
      </c>
      <c r="I16" s="4">
        <f>LN(E16)</f>
        <v>23.51043524250122</v>
      </c>
      <c r="J16" s="4">
        <f t="shared" si="4"/>
        <v>22.287539005426119</v>
      </c>
      <c r="K16" s="4">
        <f>INTERCEPT(H16:J16,$D$10:$F$10)</f>
        <v>26.111501918367971</v>
      </c>
      <c r="M16" s="4">
        <f>EXP(K16)/C16</f>
        <v>43763413888.993073</v>
      </c>
      <c r="O16" s="4"/>
      <c r="P16" s="4"/>
      <c r="Q16" s="5"/>
    </row>
    <row r="17" spans="2:16" ht="19" x14ac:dyDescent="0.25">
      <c r="B17" s="3"/>
      <c r="C17" s="8"/>
      <c r="H17" s="8"/>
      <c r="I17" s="8"/>
      <c r="J17" s="8"/>
      <c r="K17" s="8"/>
      <c r="M17" s="8"/>
      <c r="O17" s="4"/>
    </row>
    <row r="27" spans="2:16" x14ac:dyDescent="0.2">
      <c r="M27" t="s">
        <v>47</v>
      </c>
      <c r="O27">
        <f>O13*1.15</f>
        <v>2.7401153599709884</v>
      </c>
      <c r="P27" t="s">
        <v>42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CA16-13AD-2348-B72D-D5B82CB1679A}">
  <dimension ref="A1:Q33"/>
  <sheetViews>
    <sheetView workbookViewId="0">
      <selection activeCell="M23" sqref="M23"/>
    </sheetView>
  </sheetViews>
  <sheetFormatPr baseColWidth="10" defaultRowHeight="16" x14ac:dyDescent="0.2"/>
  <cols>
    <col min="3" max="3" width="17.1640625" customWidth="1"/>
    <col min="4" max="5" width="11.1640625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9">
        <v>44686</v>
      </c>
      <c r="C11" s="4"/>
      <c r="G11" t="s">
        <v>26</v>
      </c>
      <c r="H11" s="4"/>
      <c r="I11" s="4"/>
      <c r="J11" s="4"/>
      <c r="K11" s="4"/>
      <c r="M11" s="4"/>
      <c r="O11" s="4" t="s">
        <v>42</v>
      </c>
      <c r="P11" s="4"/>
      <c r="Q11" s="5"/>
    </row>
    <row r="12" spans="1:17" ht="19" x14ac:dyDescent="0.25">
      <c r="B12" s="2" t="s">
        <v>17</v>
      </c>
      <c r="C12" s="4">
        <v>1</v>
      </c>
      <c r="D12">
        <v>725610000</v>
      </c>
      <c r="E12">
        <v>208310000</v>
      </c>
      <c r="F12">
        <v>46882000</v>
      </c>
      <c r="H12" s="4">
        <f t="shared" ref="H12:J13" si="0">LN(D12)</f>
        <v>20.40252323836814</v>
      </c>
      <c r="I12" s="4">
        <f t="shared" si="0"/>
        <v>19.154537912760098</v>
      </c>
      <c r="J12" s="4">
        <f t="shared" si="0"/>
        <v>17.66314436443907</v>
      </c>
      <c r="K12" s="4">
        <f>INTERCEPT(H12:J12,$D$16:$F$16)</f>
        <v>17.920196821655736</v>
      </c>
      <c r="M12" s="4">
        <f>EXP(K12)/C12</f>
        <v>60623721.701026894</v>
      </c>
      <c r="O12" s="4">
        <f>$C$2*M12/($M$16*$B$1*0.001)</f>
        <v>8.6033161733586078E-2</v>
      </c>
      <c r="P12" s="4"/>
      <c r="Q12" s="5"/>
    </row>
    <row r="13" spans="1:17" ht="19" x14ac:dyDescent="0.25">
      <c r="B13" s="2" t="s">
        <v>18</v>
      </c>
      <c r="C13" s="4">
        <v>1</v>
      </c>
      <c r="D13">
        <v>585990000</v>
      </c>
      <c r="E13">
        <v>280220000</v>
      </c>
      <c r="F13">
        <v>21957000</v>
      </c>
      <c r="H13" s="4">
        <f t="shared" si="0"/>
        <v>20.188813282549265</v>
      </c>
      <c r="I13" s="4">
        <f t="shared" si="0"/>
        <v>19.451085566907359</v>
      </c>
      <c r="J13" s="4">
        <f t="shared" si="0"/>
        <v>16.904596553251473</v>
      </c>
      <c r="K13" s="4">
        <f>INTERCEPT(H13:J13,$D$16:$F$16)</f>
        <v>17.594202961490854</v>
      </c>
      <c r="M13" s="4">
        <f>EXP(K13)/C13</f>
        <v>43758785.476120889</v>
      </c>
      <c r="O13" s="4">
        <f>$C$2*M13/($M$16*$B$1*0.001)</f>
        <v>6.2099563710365811E-2</v>
      </c>
      <c r="P13" s="4"/>
      <c r="Q13" s="5"/>
    </row>
    <row r="14" spans="1:17" ht="19" x14ac:dyDescent="0.25">
      <c r="B14" s="2"/>
      <c r="C14" s="6"/>
      <c r="H14" s="4"/>
      <c r="I14" s="4"/>
      <c r="J14" s="4"/>
      <c r="K14" s="4"/>
      <c r="M14" s="4"/>
      <c r="O14" s="4"/>
      <c r="P14" s="4"/>
      <c r="Q14" s="5">
        <f>1-Q13</f>
        <v>1</v>
      </c>
    </row>
    <row r="15" spans="1:17" ht="19" x14ac:dyDescent="0.25">
      <c r="B15" s="2"/>
      <c r="C15" s="4"/>
      <c r="H15" s="4"/>
      <c r="I15" s="4"/>
      <c r="J15" s="4"/>
      <c r="K15" s="4"/>
      <c r="M15" s="4"/>
      <c r="O15" s="4" t="s">
        <v>43</v>
      </c>
      <c r="P15" s="4"/>
      <c r="Q15" s="5"/>
    </row>
    <row r="16" spans="1:17" ht="19" x14ac:dyDescent="0.25">
      <c r="B16" s="2" t="s">
        <v>44</v>
      </c>
      <c r="C16" s="7">
        <v>1</v>
      </c>
      <c r="D16">
        <v>8647600000</v>
      </c>
      <c r="E16">
        <v>2254500000</v>
      </c>
      <c r="F16">
        <v>623850000</v>
      </c>
      <c r="H16" s="4">
        <f t="shared" ref="H16:J16" si="1">LN(D16)</f>
        <v>22.880547662744583</v>
      </c>
      <c r="I16" s="4">
        <f t="shared" si="1"/>
        <v>21.536194055825412</v>
      </c>
      <c r="J16" s="4">
        <f t="shared" si="1"/>
        <v>20.251420512821305</v>
      </c>
      <c r="K16" s="4">
        <f>INTERCEPT(H16:J16,$D$16:$F$16)</f>
        <v>20.424405529993699</v>
      </c>
      <c r="M16" s="4">
        <f>EXP(K16)/C16</f>
        <v>741663007.36444604</v>
      </c>
      <c r="O16" s="4">
        <f>AVERAGE(O13, O12+O14)</f>
        <v>7.4066362721975948E-2</v>
      </c>
      <c r="P16" s="4"/>
      <c r="Q16" s="5"/>
    </row>
    <row r="17" spans="2:16" ht="19" x14ac:dyDescent="0.25">
      <c r="B17" s="3"/>
      <c r="C17" s="8"/>
      <c r="H17" s="8"/>
      <c r="I17" s="8"/>
      <c r="J17" s="8"/>
      <c r="K17" s="8"/>
      <c r="M17" s="8"/>
      <c r="O17" s="4"/>
    </row>
    <row r="22" spans="2:16" x14ac:dyDescent="0.2">
      <c r="N22" t="s">
        <v>45</v>
      </c>
    </row>
    <row r="23" spans="2:16" x14ac:dyDescent="0.2">
      <c r="M23">
        <v>3</v>
      </c>
      <c r="N23" t="s">
        <v>17</v>
      </c>
      <c r="O23">
        <v>8.6033161733586078E-2</v>
      </c>
      <c r="P23" t="s">
        <v>42</v>
      </c>
    </row>
    <row r="24" spans="2:16" x14ac:dyDescent="0.2">
      <c r="N24" t="s">
        <v>18</v>
      </c>
      <c r="O24">
        <v>6.2099563710365811E-2</v>
      </c>
      <c r="P24" t="s">
        <v>42</v>
      </c>
    </row>
    <row r="27" spans="2:16" x14ac:dyDescent="0.2">
      <c r="M27" t="s">
        <v>47</v>
      </c>
      <c r="O27">
        <v>2.4040476538286031</v>
      </c>
      <c r="P27" t="s">
        <v>42</v>
      </c>
    </row>
    <row r="28" spans="2:16" x14ac:dyDescent="0.2">
      <c r="M28" t="s">
        <v>48</v>
      </c>
      <c r="O28">
        <v>2.7646548019028931</v>
      </c>
      <c r="P28" t="s">
        <v>42</v>
      </c>
    </row>
    <row r="31" spans="2:16" x14ac:dyDescent="0.2">
      <c r="M31" t="s">
        <v>26</v>
      </c>
    </row>
    <row r="32" spans="2:16" x14ac:dyDescent="0.2">
      <c r="N32" t="s">
        <v>17</v>
      </c>
      <c r="O32">
        <f>O23/O28</f>
        <v>3.1118952599206974E-2</v>
      </c>
    </row>
    <row r="33" spans="14:15" x14ac:dyDescent="0.2">
      <c r="N33" t="s">
        <v>18</v>
      </c>
      <c r="O33">
        <f>O24/O28</f>
        <v>2.2461959325852581E-2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40F3-0DF3-9849-B52A-A057FCCBEE4F}">
  <dimension ref="A1:Q22"/>
  <sheetViews>
    <sheetView workbookViewId="0">
      <selection activeCell="N26" sqref="N26"/>
    </sheetView>
  </sheetViews>
  <sheetFormatPr baseColWidth="10" defaultRowHeight="16" x14ac:dyDescent="0.2"/>
  <cols>
    <col min="3" max="3" width="17.1640625" customWidth="1"/>
    <col min="4" max="5" width="12.1640625" bestFit="1" customWidth="1"/>
    <col min="6" max="6" width="11.1640625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10" t="s">
        <v>45</v>
      </c>
      <c r="C11" s="4"/>
      <c r="G11" t="s">
        <v>26</v>
      </c>
      <c r="H11" s="4"/>
      <c r="I11" s="4"/>
      <c r="J11" s="4"/>
      <c r="K11" s="4"/>
      <c r="M11" s="4"/>
      <c r="O11" s="4" t="s">
        <v>42</v>
      </c>
      <c r="P11" s="4"/>
      <c r="Q11" s="5"/>
    </row>
    <row r="12" spans="1:17" ht="19" x14ac:dyDescent="0.25">
      <c r="B12" s="2"/>
      <c r="C12" s="4"/>
      <c r="H12" s="4"/>
      <c r="I12" s="4"/>
      <c r="J12" s="4"/>
      <c r="K12" s="4"/>
      <c r="M12" s="4"/>
      <c r="O12" s="4"/>
      <c r="P12" s="4"/>
      <c r="Q12" s="5"/>
    </row>
    <row r="13" spans="1:17" ht="19" x14ac:dyDescent="0.25">
      <c r="B13" s="2" t="s">
        <v>28</v>
      </c>
      <c r="C13" s="4">
        <v>3</v>
      </c>
      <c r="D13">
        <v>86016000000</v>
      </c>
      <c r="E13">
        <v>21512000000</v>
      </c>
      <c r="F13">
        <v>6668500000</v>
      </c>
      <c r="H13" s="4">
        <f t="shared" ref="H13:J13" si="0">LN(D13)</f>
        <v>25.177799162407041</v>
      </c>
      <c r="I13" s="4">
        <f t="shared" si="0"/>
        <v>23.791876755912973</v>
      </c>
      <c r="J13" s="4">
        <f t="shared" si="0"/>
        <v>22.620660784026722</v>
      </c>
      <c r="K13" s="4">
        <f>INTERCEPT(H13:J13,$D$16:$F$16)</f>
        <v>22.746172017577987</v>
      </c>
      <c r="M13" s="4">
        <f>EXP(K13)/C13</f>
        <v>2520088177.4518123</v>
      </c>
      <c r="O13" s="4">
        <f>C2*(M13/M16)/(0.001*B1)</f>
        <v>2.4040476538286031</v>
      </c>
      <c r="P13" s="4"/>
      <c r="Q13" s="5"/>
    </row>
    <row r="14" spans="1:17" ht="19" x14ac:dyDescent="0.25">
      <c r="B14" s="2"/>
      <c r="C14" s="6"/>
      <c r="H14" s="4"/>
      <c r="I14" s="4"/>
      <c r="J14" s="4"/>
      <c r="K14" s="4"/>
      <c r="M14" s="4"/>
      <c r="O14" s="4"/>
      <c r="P14" s="4"/>
      <c r="Q14" s="5">
        <f>1-Q13</f>
        <v>1</v>
      </c>
    </row>
    <row r="15" spans="1:17" ht="19" x14ac:dyDescent="0.25">
      <c r="B15" s="2"/>
      <c r="C15" s="4"/>
      <c r="H15" s="4"/>
      <c r="I15" s="4"/>
      <c r="J15" s="4"/>
      <c r="K15" s="4"/>
      <c r="M15" s="4"/>
      <c r="O15" s="4"/>
      <c r="P15" s="4"/>
      <c r="Q15" s="5"/>
    </row>
    <row r="16" spans="1:17" ht="19" x14ac:dyDescent="0.25">
      <c r="B16" s="2" t="s">
        <v>46</v>
      </c>
      <c r="C16" s="7">
        <v>5</v>
      </c>
      <c r="D16">
        <v>62499000000</v>
      </c>
      <c r="E16">
        <v>16219000000</v>
      </c>
      <c r="F16">
        <v>4742900000</v>
      </c>
      <c r="H16" s="4">
        <f t="shared" ref="H16:J16" si="1">LN(D16)</f>
        <v>24.858416393560766</v>
      </c>
      <c r="I16" s="4">
        <f t="shared" si="1"/>
        <v>23.509449231451963</v>
      </c>
      <c r="J16" s="4">
        <f t="shared" si="1"/>
        <v>22.279914599917294</v>
      </c>
      <c r="K16" s="4">
        <f>INTERCEPT(H16:J16,$D$16:$F$16)</f>
        <v>22.431030054980926</v>
      </c>
      <c r="M16" s="4">
        <f>EXP(K16)/C16</f>
        <v>1103322746.7678964</v>
      </c>
      <c r="O16" s="4"/>
      <c r="P16" s="4"/>
      <c r="Q16" s="5"/>
    </row>
    <row r="17" spans="2:16" ht="19" x14ac:dyDescent="0.25">
      <c r="B17" s="3"/>
      <c r="C17" s="8"/>
      <c r="H17" s="8"/>
      <c r="I17" s="8"/>
      <c r="J17" s="8"/>
      <c r="K17" s="8"/>
      <c r="M17" s="8"/>
      <c r="O17" s="4"/>
    </row>
    <row r="21" spans="2:16" x14ac:dyDescent="0.2">
      <c r="M21" t="s">
        <v>47</v>
      </c>
      <c r="O21">
        <f>O13</f>
        <v>2.4040476538286031</v>
      </c>
      <c r="P21" t="s">
        <v>42</v>
      </c>
    </row>
    <row r="22" spans="2:16" x14ac:dyDescent="0.2">
      <c r="M22" t="s">
        <v>48</v>
      </c>
      <c r="O22">
        <f>O21*1.15</f>
        <v>2.7646548019028931</v>
      </c>
      <c r="P22" t="s">
        <v>42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D712-B9B3-864F-BDC9-DEC969BB91F0}">
  <dimension ref="A1:Q33"/>
  <sheetViews>
    <sheetView workbookViewId="0">
      <selection activeCell="H37" sqref="H37"/>
    </sheetView>
  </sheetViews>
  <sheetFormatPr baseColWidth="10" defaultRowHeight="16" x14ac:dyDescent="0.2"/>
  <cols>
    <col min="3" max="3" width="17.1640625" customWidth="1"/>
    <col min="4" max="5" width="11.1640625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9">
        <v>44686</v>
      </c>
      <c r="C11" s="4"/>
      <c r="G11" t="s">
        <v>26</v>
      </c>
      <c r="H11" s="4"/>
      <c r="I11" s="4"/>
      <c r="J11" s="4"/>
      <c r="K11" s="4"/>
      <c r="M11" s="4"/>
      <c r="O11" s="4" t="s">
        <v>42</v>
      </c>
      <c r="P11" s="4"/>
      <c r="Q11" s="5"/>
    </row>
    <row r="12" spans="1:17" ht="19" x14ac:dyDescent="0.25">
      <c r="B12" s="2" t="s">
        <v>17</v>
      </c>
      <c r="C12" s="4">
        <v>1</v>
      </c>
      <c r="D12">
        <v>725610000</v>
      </c>
      <c r="E12">
        <v>208310000</v>
      </c>
      <c r="F12">
        <v>46882000</v>
      </c>
      <c r="H12" s="4">
        <f t="shared" ref="H12:J13" si="0">LN(D12)</f>
        <v>20.40252323836814</v>
      </c>
      <c r="I12" s="4">
        <f t="shared" si="0"/>
        <v>19.154537912760098</v>
      </c>
      <c r="J12" s="4">
        <f t="shared" si="0"/>
        <v>17.66314436443907</v>
      </c>
      <c r="K12" s="4">
        <f>INTERCEPT(H12:J12,$D$16:$F$16)</f>
        <v>17.920196821655736</v>
      </c>
      <c r="M12" s="4">
        <f>EXP(K12)/C12</f>
        <v>60623721.701026894</v>
      </c>
      <c r="O12" s="4">
        <f>$C$2*M12/($M$16*$B$1*0.001)</f>
        <v>8.6033161733586078E-2</v>
      </c>
      <c r="P12" s="4"/>
      <c r="Q12" s="5"/>
    </row>
    <row r="13" spans="1:17" ht="19" x14ac:dyDescent="0.25">
      <c r="B13" s="2" t="s">
        <v>18</v>
      </c>
      <c r="C13" s="4">
        <v>1</v>
      </c>
      <c r="D13">
        <v>585990000</v>
      </c>
      <c r="E13">
        <v>280220000</v>
      </c>
      <c r="F13">
        <v>21957000</v>
      </c>
      <c r="H13" s="4">
        <f t="shared" si="0"/>
        <v>20.188813282549265</v>
      </c>
      <c r="I13" s="4">
        <f t="shared" si="0"/>
        <v>19.451085566907359</v>
      </c>
      <c r="J13" s="4">
        <f t="shared" si="0"/>
        <v>16.904596553251473</v>
      </c>
      <c r="K13" s="4">
        <f>INTERCEPT(H13:J13,$D$16:$F$16)</f>
        <v>17.594202961490854</v>
      </c>
      <c r="M13" s="4">
        <f>EXP(K13)/C13</f>
        <v>43758785.476120889</v>
      </c>
      <c r="O13" s="4">
        <f>$C$2*M13/($M$16*$B$1*0.001)</f>
        <v>6.2099563710365811E-2</v>
      </c>
      <c r="P13" s="4"/>
      <c r="Q13" s="5"/>
    </row>
    <row r="14" spans="1:17" ht="19" x14ac:dyDescent="0.25">
      <c r="B14" s="2"/>
      <c r="C14" s="6"/>
      <c r="H14" s="4"/>
      <c r="I14" s="4"/>
      <c r="J14" s="4"/>
      <c r="K14" s="4"/>
      <c r="M14" s="4"/>
      <c r="O14" s="4"/>
      <c r="P14" s="4"/>
      <c r="Q14" s="5">
        <f>1-Q13</f>
        <v>1</v>
      </c>
    </row>
    <row r="15" spans="1:17" ht="19" x14ac:dyDescent="0.25">
      <c r="B15" s="2"/>
      <c r="C15" s="4"/>
      <c r="H15" s="4"/>
      <c r="I15" s="4"/>
      <c r="J15" s="4"/>
      <c r="K15" s="4"/>
      <c r="M15" s="4"/>
      <c r="O15" s="4" t="s">
        <v>43</v>
      </c>
      <c r="P15" s="4"/>
      <c r="Q15" s="5"/>
    </row>
    <row r="16" spans="1:17" ht="19" x14ac:dyDescent="0.25">
      <c r="B16" s="2" t="s">
        <v>44</v>
      </c>
      <c r="C16" s="7">
        <v>1</v>
      </c>
      <c r="D16">
        <v>8647600000</v>
      </c>
      <c r="E16">
        <v>2254500000</v>
      </c>
      <c r="F16">
        <v>623850000</v>
      </c>
      <c r="H16" s="4">
        <f t="shared" ref="H16:J16" si="1">LN(D16)</f>
        <v>22.880547662744583</v>
      </c>
      <c r="I16" s="4">
        <f t="shared" si="1"/>
        <v>21.536194055825412</v>
      </c>
      <c r="J16" s="4">
        <f t="shared" si="1"/>
        <v>20.251420512821305</v>
      </c>
      <c r="K16" s="4">
        <f>INTERCEPT(H16:J16,$D$16:$F$16)</f>
        <v>20.424405529993699</v>
      </c>
      <c r="M16" s="4">
        <f>EXP(K16)/C16</f>
        <v>741663007.36444604</v>
      </c>
      <c r="O16" s="4">
        <f>AVERAGE(O13, O12+O14)</f>
        <v>7.4066362721975948E-2</v>
      </c>
      <c r="P16" s="4"/>
      <c r="Q16" s="5"/>
    </row>
    <row r="17" spans="2:16" ht="19" x14ac:dyDescent="0.25">
      <c r="B17" s="3"/>
      <c r="C17" s="8"/>
      <c r="H17" s="8"/>
      <c r="I17" s="8"/>
      <c r="J17" s="8"/>
      <c r="K17" s="8"/>
      <c r="M17" s="8"/>
      <c r="O17" s="4"/>
    </row>
    <row r="22" spans="2:16" x14ac:dyDescent="0.2">
      <c r="N22" t="s">
        <v>45</v>
      </c>
    </row>
    <row r="23" spans="2:16" x14ac:dyDescent="0.2">
      <c r="N23" t="s">
        <v>17</v>
      </c>
      <c r="O23">
        <v>8.6033161733586078E-2</v>
      </c>
      <c r="P23" t="s">
        <v>42</v>
      </c>
    </row>
    <row r="24" spans="2:16" x14ac:dyDescent="0.2">
      <c r="N24" t="s">
        <v>18</v>
      </c>
      <c r="O24">
        <v>6.2099563710365811E-2</v>
      </c>
      <c r="P24" t="s">
        <v>42</v>
      </c>
    </row>
    <row r="27" spans="2:16" x14ac:dyDescent="0.2">
      <c r="M27" t="s">
        <v>47</v>
      </c>
      <c r="O27">
        <v>2.4040476538286031</v>
      </c>
      <c r="P27" t="s">
        <v>42</v>
      </c>
    </row>
    <row r="28" spans="2:16" x14ac:dyDescent="0.2">
      <c r="M28" t="s">
        <v>48</v>
      </c>
      <c r="O28">
        <v>2.7646548019028931</v>
      </c>
      <c r="P28" t="s">
        <v>42</v>
      </c>
    </row>
    <row r="31" spans="2:16" x14ac:dyDescent="0.2">
      <c r="M31" t="s">
        <v>26</v>
      </c>
    </row>
    <row r="32" spans="2:16" x14ac:dyDescent="0.2">
      <c r="N32" t="s">
        <v>17</v>
      </c>
      <c r="O32">
        <f>O23/O28</f>
        <v>3.1118952599206974E-2</v>
      </c>
    </row>
    <row r="33" spans="14:15" x14ac:dyDescent="0.2">
      <c r="N33" t="s">
        <v>18</v>
      </c>
      <c r="O33">
        <f>O24/O28</f>
        <v>2.2461959325852581E-2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734A-91D9-F744-B51B-E32338D24298}">
  <dimension ref="A1:Q22"/>
  <sheetViews>
    <sheetView workbookViewId="0">
      <selection activeCell="M21" sqref="M21:P22"/>
    </sheetView>
  </sheetViews>
  <sheetFormatPr baseColWidth="10" defaultRowHeight="16" x14ac:dyDescent="0.2"/>
  <cols>
    <col min="3" max="3" width="17.1640625" customWidth="1"/>
    <col min="4" max="5" width="12.1640625" bestFit="1" customWidth="1"/>
    <col min="6" max="6" width="11.1640625" bestFit="1" customWidth="1"/>
  </cols>
  <sheetData>
    <row r="1" spans="1:17" x14ac:dyDescent="0.2">
      <c r="A1" t="s">
        <v>22</v>
      </c>
      <c r="B1">
        <v>107.8</v>
      </c>
      <c r="C1">
        <f>B1/217</f>
        <v>0.49677419354838709</v>
      </c>
    </row>
    <row r="2" spans="1:17" x14ac:dyDescent="0.2">
      <c r="A2" t="s">
        <v>23</v>
      </c>
      <c r="B2">
        <v>11.8</v>
      </c>
      <c r="C2">
        <f>B2/104</f>
        <v>0.11346153846153847</v>
      </c>
    </row>
    <row r="9" spans="1:17" x14ac:dyDescent="0.2">
      <c r="D9" t="s">
        <v>35</v>
      </c>
      <c r="H9" t="s">
        <v>36</v>
      </c>
      <c r="M9" t="s">
        <v>37</v>
      </c>
    </row>
    <row r="10" spans="1:17" ht="19" x14ac:dyDescent="0.25">
      <c r="B10" s="2"/>
      <c r="C10" s="2" t="s">
        <v>38</v>
      </c>
      <c r="D10" s="2">
        <v>1</v>
      </c>
      <c r="E10" s="2">
        <v>2</v>
      </c>
      <c r="F10" s="2">
        <v>3</v>
      </c>
      <c r="G10" s="3"/>
      <c r="H10" s="2">
        <v>1</v>
      </c>
      <c r="I10" s="2">
        <v>2</v>
      </c>
      <c r="J10" s="2">
        <v>3</v>
      </c>
      <c r="K10" s="2" t="s">
        <v>39</v>
      </c>
      <c r="L10" s="3"/>
      <c r="M10" s="2" t="s">
        <v>12</v>
      </c>
      <c r="N10" s="3"/>
      <c r="O10" s="2" t="s">
        <v>40</v>
      </c>
      <c r="P10" s="2" t="s">
        <v>41</v>
      </c>
    </row>
    <row r="11" spans="1:17" ht="19" x14ac:dyDescent="0.25">
      <c r="B11" s="10" t="s">
        <v>45</v>
      </c>
      <c r="C11" s="4"/>
      <c r="G11" t="s">
        <v>26</v>
      </c>
      <c r="H11" s="4"/>
      <c r="I11" s="4"/>
      <c r="J11" s="4"/>
      <c r="K11" s="4"/>
      <c r="M11" s="4"/>
      <c r="O11" s="4" t="s">
        <v>42</v>
      </c>
      <c r="P11" s="4"/>
      <c r="Q11" s="5"/>
    </row>
    <row r="12" spans="1:17" ht="19" x14ac:dyDescent="0.25">
      <c r="B12" s="2"/>
      <c r="C12" s="4"/>
      <c r="H12" s="4"/>
      <c r="I12" s="4"/>
      <c r="J12" s="4"/>
      <c r="K12" s="4"/>
      <c r="M12" s="4"/>
      <c r="O12" s="4"/>
      <c r="P12" s="4"/>
      <c r="Q12" s="5"/>
    </row>
    <row r="13" spans="1:17" ht="19" x14ac:dyDescent="0.25">
      <c r="B13" s="2" t="s">
        <v>28</v>
      </c>
      <c r="C13" s="4">
        <v>3</v>
      </c>
      <c r="D13">
        <v>86016000000</v>
      </c>
      <c r="E13">
        <v>21512000000</v>
      </c>
      <c r="F13">
        <v>6668500000</v>
      </c>
      <c r="H13" s="4">
        <f t="shared" ref="H13:J13" si="0">LN(D13)</f>
        <v>25.177799162407041</v>
      </c>
      <c r="I13" s="4">
        <f t="shared" si="0"/>
        <v>23.791876755912973</v>
      </c>
      <c r="J13" s="4">
        <f t="shared" si="0"/>
        <v>22.620660784026722</v>
      </c>
      <c r="K13" s="4">
        <f>INTERCEPT(H13:J13,$D$16:$F$16)</f>
        <v>22.746172017577987</v>
      </c>
      <c r="M13" s="4">
        <f>EXP(K13)/C13</f>
        <v>2520088177.4518123</v>
      </c>
      <c r="O13" s="4">
        <f>C2*(M13/M16)/(0.001*B1)</f>
        <v>2.4040476538286031</v>
      </c>
      <c r="P13" s="4"/>
      <c r="Q13" s="5"/>
    </row>
    <row r="14" spans="1:17" ht="19" x14ac:dyDescent="0.25">
      <c r="B14" s="2"/>
      <c r="C14" s="6"/>
      <c r="H14" s="4"/>
      <c r="I14" s="4"/>
      <c r="J14" s="4"/>
      <c r="K14" s="4"/>
      <c r="M14" s="4"/>
      <c r="O14" s="4"/>
      <c r="P14" s="4"/>
      <c r="Q14" s="5">
        <f>1-Q13</f>
        <v>1</v>
      </c>
    </row>
    <row r="15" spans="1:17" ht="19" x14ac:dyDescent="0.25">
      <c r="B15" s="2"/>
      <c r="C15" s="4"/>
      <c r="H15" s="4"/>
      <c r="I15" s="4"/>
      <c r="J15" s="4"/>
      <c r="K15" s="4"/>
      <c r="M15" s="4"/>
      <c r="O15" s="4"/>
      <c r="P15" s="4"/>
      <c r="Q15" s="5"/>
    </row>
    <row r="16" spans="1:17" ht="19" x14ac:dyDescent="0.25">
      <c r="B16" s="2" t="s">
        <v>46</v>
      </c>
      <c r="C16" s="7">
        <v>5</v>
      </c>
      <c r="D16">
        <v>62499000000</v>
      </c>
      <c r="E16">
        <v>16219000000</v>
      </c>
      <c r="F16">
        <v>4742900000</v>
      </c>
      <c r="H16" s="4">
        <f t="shared" ref="H16:J16" si="1">LN(D16)</f>
        <v>24.858416393560766</v>
      </c>
      <c r="I16" s="4">
        <f t="shared" si="1"/>
        <v>23.509449231451963</v>
      </c>
      <c r="J16" s="4">
        <f t="shared" si="1"/>
        <v>22.279914599917294</v>
      </c>
      <c r="K16" s="4">
        <f>INTERCEPT(H16:J16,$D$16:$F$16)</f>
        <v>22.431030054980926</v>
      </c>
      <c r="M16" s="4">
        <f>EXP(K16)/C16</f>
        <v>1103322746.7678964</v>
      </c>
      <c r="O16" s="4"/>
      <c r="P16" s="4"/>
      <c r="Q16" s="5"/>
    </row>
    <row r="17" spans="2:16" ht="19" x14ac:dyDescent="0.25">
      <c r="B17" s="3"/>
      <c r="C17" s="8"/>
      <c r="H17" s="8"/>
      <c r="I17" s="8"/>
      <c r="J17" s="8"/>
      <c r="K17" s="8"/>
      <c r="M17" s="8"/>
      <c r="O17" s="4"/>
    </row>
    <row r="21" spans="2:16" x14ac:dyDescent="0.2">
      <c r="M21" t="s">
        <v>47</v>
      </c>
      <c r="O21">
        <f>O13</f>
        <v>2.4040476538286031</v>
      </c>
      <c r="P21" t="s">
        <v>42</v>
      </c>
    </row>
    <row r="22" spans="2:16" x14ac:dyDescent="0.2">
      <c r="M22" t="s">
        <v>48</v>
      </c>
      <c r="O22">
        <f>O21*1.15</f>
        <v>2.7646548019028931</v>
      </c>
      <c r="P22" t="s">
        <v>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fitted_parameters</vt:lpstr>
      <vt:lpstr>145_Alli</vt:lpstr>
      <vt:lpstr>145_Aro_Analysis</vt:lpstr>
      <vt:lpstr>5-5 analysis</vt:lpstr>
      <vt:lpstr>5-5 analysis_Aro</vt:lpstr>
      <vt:lpstr>CBA102_MF85_5-5</vt:lpstr>
      <vt:lpstr>CBA102_MF85_5-5_Aro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2021-07-23T09:46:51Z</dcterms:created>
  <dcterms:modified xsi:type="dcterms:W3CDTF">2022-07-11T11:04:31Z</dcterms:modified>
</cp:coreProperties>
</file>