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nal With Short Names" sheetId="1" r:id="rId3"/>
    <sheet state="visible" name="Long Names and Explanations" sheetId="2" r:id="rId4"/>
    <sheet state="visible" name="Sheet8" sheetId="3" r:id="rId5"/>
    <sheet state="visible" name="Sheet2" sheetId="4" r:id="rId6"/>
    <sheet state="visible" name="Sheet9" sheetId="5" r:id="rId7"/>
  </sheets>
  <definedNames>
    <definedName hidden="1" localSheetId="0" name="_xlnm._FilterDatabase">'Final With Short Names'!$A$1:$O$325</definedName>
    <definedName hidden="1" localSheetId="4" name="_xlnm._FilterDatabase">Sheet9!$A$1:$A$1297</definedName>
    <definedName hidden="1" localSheetId="1" name="_xlnm._FilterDatabase">'Long Names and Explanations'!$A$1:$P$406</definedName>
    <definedName hidden="1" localSheetId="3" name="_xlnm._FilterDatabase">Sheet2!$A$1:$F$1378</definedName>
    <definedName hidden="1" localSheetId="0" name="Z_1EC15AE3_9542_4BD6_8833_007476A69874_.wvu.FilterData">'Final With Short Names'!$A$1:$O$325</definedName>
  </definedNames>
  <calcPr/>
  <customWorkbookViews>
    <customWorkbookView activeSheetId="0" maximized="1" tabRatio="600" windowHeight="0" windowWidth="0" guid="{1EC15AE3-9542-4BD6-8833-007476A69874}" name="Filter 1"/>
  </customWorkbookViews>
</workbook>
</file>

<file path=xl/sharedStrings.xml><?xml version="1.0" encoding="utf-8"?>
<sst xmlns="http://schemas.openxmlformats.org/spreadsheetml/2006/main" count="2801" uniqueCount="128">
  <si>
    <t>Confounders (t-1)</t>
  </si>
  <si>
    <t>Election Year (t)</t>
  </si>
  <si>
    <t>Year</t>
  </si>
  <si>
    <t>Housing Years (t+1)</t>
  </si>
  <si>
    <t>Province</t>
  </si>
  <si>
    <t>Province No</t>
  </si>
  <si>
    <t>Average House (t+1)</t>
  </si>
  <si>
    <t>Population (t+1)</t>
  </si>
  <si>
    <t>ProvinceNo</t>
  </si>
  <si>
    <t>TokiHouse</t>
  </si>
  <si>
    <t>Average House Per 1000 people (t+1)</t>
  </si>
  <si>
    <t>AKP Vote Share (t)</t>
  </si>
  <si>
    <t>AKPVoteShare</t>
  </si>
  <si>
    <t>Education (t)</t>
  </si>
  <si>
    <t>AKPSeatShare</t>
  </si>
  <si>
    <t>Education</t>
  </si>
  <si>
    <t>GDP per capita (t-1)</t>
  </si>
  <si>
    <t>GDPK</t>
  </si>
  <si>
    <t>Disaster</t>
  </si>
  <si>
    <t>HousingStock</t>
  </si>
  <si>
    <t>Migration</t>
  </si>
  <si>
    <t>d2002</t>
  </si>
  <si>
    <t>Natural Disaster (t-1)</t>
  </si>
  <si>
    <t>Housing Stock per Thousand (t-1)</t>
  </si>
  <si>
    <t>Net Migration per 1000 (Annual Average)</t>
  </si>
  <si>
    <t>Housing Stock (t-1)</t>
  </si>
  <si>
    <t>Population(t-1)</t>
  </si>
  <si>
    <t>2002 dummy</t>
  </si>
  <si>
    <t>d2007</t>
  </si>
  <si>
    <t>d2011</t>
  </si>
  <si>
    <t>d2015</t>
  </si>
  <si>
    <t>TotalSeat</t>
  </si>
  <si>
    <t>2007 dummy</t>
  </si>
  <si>
    <t>2011 dummy</t>
  </si>
  <si>
    <t>2015 dummy</t>
  </si>
  <si>
    <t>2016 dummy</t>
  </si>
  <si>
    <t>CHPSeat</t>
  </si>
  <si>
    <t>2000-2002</t>
  </si>
  <si>
    <t>Adana</t>
  </si>
  <si>
    <t>2003-2007</t>
  </si>
  <si>
    <t>Adıyaman</t>
  </si>
  <si>
    <t>2008-2011</t>
  </si>
  <si>
    <t>Afyonkarahisar</t>
  </si>
  <si>
    <t>2012-2015</t>
  </si>
  <si>
    <t>Ağrı</t>
  </si>
  <si>
    <t>2017-2018</t>
  </si>
  <si>
    <t>Aksaray</t>
  </si>
  <si>
    <t>Amasya</t>
  </si>
  <si>
    <t>Ankara</t>
  </si>
  <si>
    <t>Antalya</t>
  </si>
  <si>
    <t>Ardahan</t>
  </si>
  <si>
    <t>Artvin</t>
  </si>
  <si>
    <t>Aydın</t>
  </si>
  <si>
    <t>Balıkesir</t>
  </si>
  <si>
    <t>Bartın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</si>
  <si>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</si>
  <si>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</si>
  <si>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</si>
  <si>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</si>
  <si>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</si>
  <si>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</si>
  <si>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</si>
  <si>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</si>
  <si>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</si>
  <si>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</si>
  <si>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</si>
  <si>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</si>
  <si>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</si>
  <si>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Düzce</t>
  </si>
  <si>
    <t>Edirne</t>
  </si>
  <si>
    <t>Elazığ</t>
  </si>
  <si>
    <t>Erzincan</t>
  </si>
  <si>
    <t>AKP Vote Share</t>
  </si>
  <si>
    <t>AKP 40+</t>
  </si>
  <si>
    <t>AKP Mayor</t>
  </si>
  <si>
    <t>Erzurum</t>
  </si>
  <si>
    <t>Houses</t>
  </si>
  <si>
    <t>Eskişehir</t>
  </si>
  <si>
    <t>Gaziantep</t>
  </si>
  <si>
    <t>Giresun</t>
  </si>
  <si>
    <t>Gümüşhane</t>
  </si>
  <si>
    <t>Hakkari</t>
  </si>
  <si>
    <t>Hatay</t>
  </si>
  <si>
    <t>Iğdır</t>
  </si>
  <si>
    <t>Isparta</t>
  </si>
  <si>
    <t>İstanbul</t>
  </si>
  <si>
    <t>İzmir</t>
  </si>
  <si>
    <t>Kahramanmaraş</t>
  </si>
  <si>
    <t>Karabük</t>
  </si>
  <si>
    <t>Karaman</t>
  </si>
  <si>
    <t>Kars</t>
  </si>
  <si>
    <t>Kastamonu</t>
  </si>
  <si>
    <t>Kayseri</t>
  </si>
  <si>
    <t>Kilis</t>
  </si>
  <si>
    <t>Kırıkkale</t>
  </si>
  <si>
    <t>Kırklareli</t>
  </si>
  <si>
    <t>Kırşehir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</si>
  <si>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</si>
  <si>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</si>
  <si>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</si>
  <si>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</si>
  <si>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</si>
  <si>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</si>
  <si>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</si>
  <si>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</si>
  <si>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</si>
  <si>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</si>
  <si>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</si>
  <si>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</si>
  <si>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</si>
  <si>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</si>
  <si>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</si>
  <si>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</si>
  <si>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Şanlıurfa</t>
  </si>
  <si>
    <t>Siirt</t>
  </si>
  <si>
    <t>Sinop</t>
  </si>
  <si>
    <t>Sivas</t>
  </si>
  <si>
    <t>Şırnak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</si>
  <si>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</si>
  <si>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</si>
  <si>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</si>
  <si>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</si>
  <si>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</si>
  <si>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</si>
  <si>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</si>
  <si>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</si>
  <si>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</si>
  <si>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243,21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</si>
</sst>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37">
    <font>
      <sz val="10.0"/>
      <color rgb="FF000000"/>
      <name val="Arial"/>
    </font>
    <font>
      <b/>
      <sz val="8.0"/>
      <color rgb="FF000000"/>
      <name val="Arial"/>
    </font>
    <font>
      <b/>
      <sz val="7.0"/>
      <color rgb="FFFF00FF"/>
      <name val="Arial"/>
    </font>
    <font>
      <b/>
      <sz val="7.0"/>
      <color rgb="FF38761D"/>
      <name val="Arial"/>
    </font>
    <font>
      <b/>
      <sz val="7.0"/>
      <color rgb="FFBF9000"/>
      <name val="Arial"/>
    </font>
    <font>
      <b/>
      <sz val="7.0"/>
      <color rgb="FFC00000"/>
      <name val="Arial"/>
    </font>
    <font>
      <sz val="7.0"/>
      <name val="Arial"/>
    </font>
    <font>
      <b/>
      <sz val="8.0"/>
    </font>
    <font>
      <sz val="8.0"/>
      <color rgb="FFC00000"/>
      <name val="Arial"/>
    </font>
    <font>
      <b/>
      <sz val="8.0"/>
      <color rgb="FF980000"/>
    </font>
    <font>
      <b/>
      <sz val="7.0"/>
      <name val="Arial"/>
    </font>
    <font>
      <b/>
      <sz val="7.0"/>
      <color rgb="FF000000"/>
      <name val="Arial"/>
    </font>
    <font>
      <sz val="8.0"/>
      <color rgb="FF000000"/>
      <name val="Arial"/>
    </font>
    <font>
      <b/>
      <sz val="7.0"/>
      <color rgb="FF000000"/>
      <name val="Calibri"/>
    </font>
    <font>
      <b/>
    </font>
    <font>
      <sz val="8.0"/>
      <name val="Arial"/>
    </font>
    <font>
      <sz val="8.0"/>
      <color rgb="FF980000"/>
    </font>
    <font>
      <sz val="7.0"/>
      <color rgb="FF000000"/>
      <name val="Arial"/>
    </font>
    <font>
      <sz val="7.0"/>
      <color rgb="FFC00000"/>
      <name val="Arial"/>
    </font>
    <font>
      <sz val="8.0"/>
    </font>
    <font>
      <sz val="8.0"/>
      <color rgb="FF000000"/>
      <name val="&quot;Helvetica Neue&quot;"/>
    </font>
    <font>
      <sz val="7.0"/>
      <color rgb="FF000000"/>
      <name val="&quot;Helvetica Neue&quot;"/>
    </font>
    <font>
      <sz val="7.0"/>
      <color rgb="FF000000"/>
      <name val="Calibri"/>
    </font>
    <font>
      <sz val="7.0"/>
      <color rgb="FF333333"/>
      <name val="Arial"/>
    </font>
    <font>
      <sz val="7.0"/>
      <color rgb="FFFF0000"/>
      <name val="Arial"/>
    </font>
    <font>
      <sz val="7.0"/>
      <color rgb="FF333333"/>
      <name val="Verdana"/>
    </font>
    <font>
      <b/>
      <sz val="8.0"/>
      <color rgb="FFC00000"/>
      <name val="Arial"/>
    </font>
    <font>
      <b/>
      <sz val="12.0"/>
      <color rgb="FF000000"/>
      <name val="Calibri"/>
    </font>
    <font>
      <b/>
      <sz val="9.0"/>
      <color rgb="FF000000"/>
      <name val="Helvetica"/>
    </font>
    <font>
      <b/>
      <name val="Arial"/>
    </font>
    <font>
      <sz val="12.0"/>
      <color rgb="FF000000"/>
      <name val="Calibri"/>
    </font>
    <font>
      <name val="Arial"/>
    </font>
    <font/>
    <font>
      <sz val="8.0"/>
      <color rgb="FF000000"/>
      <name val="Helvetica"/>
    </font>
    <font>
      <sz val="8.0"/>
      <color rgb="FF000000"/>
      <name val="Helvetica Neue"/>
    </font>
    <font>
      <sz val="8.0"/>
      <color rgb="FFB00004"/>
      <name val="Arial"/>
    </font>
    <font>
      <sz val="12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 vertical="bottom"/>
    </xf>
    <xf borderId="0" fillId="0" fontId="9" numFmtId="0" xfId="0" applyAlignment="1" applyFont="1">
      <alignment readingOrder="0"/>
    </xf>
    <xf borderId="0" fillId="2" fontId="10" numFmtId="0" xfId="0" applyAlignment="1" applyFill="1" applyFont="1">
      <alignment readingOrder="0"/>
    </xf>
    <xf borderId="0" fillId="2" fontId="7" numFmtId="164" xfId="0" applyAlignment="1" applyFont="1" applyNumberFormat="1">
      <alignment readingOrder="0"/>
    </xf>
    <xf borderId="0" fillId="3" fontId="11" numFmtId="0" xfId="0" applyAlignment="1" applyFill="1" applyFont="1">
      <alignment readingOrder="0" shrinkToFit="0" vertical="bottom" wrapText="0"/>
    </xf>
    <xf borderId="0" fillId="3" fontId="7" numFmtId="0" xfId="0" applyAlignment="1" applyFont="1">
      <alignment readingOrder="0"/>
    </xf>
    <xf borderId="0" fillId="4" fontId="10" numFmtId="0" xfId="0" applyAlignment="1" applyFill="1" applyFont="1">
      <alignment readingOrder="0"/>
    </xf>
    <xf borderId="0" fillId="4" fontId="7" numFmtId="0" xfId="0" applyAlignment="1" applyFont="1">
      <alignment readingOrder="0"/>
    </xf>
    <xf borderId="0" fillId="0" fontId="12" numFmtId="0" xfId="0" applyAlignment="1" applyFont="1">
      <alignment horizontal="right" readingOrder="0" vertical="bottom"/>
    </xf>
    <xf borderId="0" fillId="5" fontId="7" numFmtId="0" xfId="0" applyAlignment="1" applyFill="1" applyFont="1">
      <alignment readingOrder="0"/>
    </xf>
    <xf borderId="0" fillId="5" fontId="10" numFmtId="0" xfId="0" applyAlignment="1" applyFont="1">
      <alignment readingOrder="0"/>
    </xf>
    <xf borderId="0" fillId="6" fontId="7" numFmtId="0" xfId="0" applyAlignment="1" applyFill="1" applyFont="1">
      <alignment readingOrder="0"/>
    </xf>
    <xf borderId="0" fillId="0" fontId="13" numFmtId="0" xfId="0" applyAlignment="1" applyFont="1">
      <alignment readingOrder="0" shrinkToFit="0" vertical="bottom" wrapText="0"/>
    </xf>
    <xf borderId="0" fillId="7" fontId="7" numFmtId="0" xfId="0" applyAlignment="1" applyFill="1" applyFont="1">
      <alignment readingOrder="0"/>
    </xf>
    <xf borderId="0" fillId="0" fontId="10" numFmtId="0" xfId="0" applyFont="1"/>
    <xf borderId="0" fillId="0" fontId="14" numFmtId="0" xfId="0" applyFont="1"/>
    <xf borderId="0" fillId="0" fontId="11" numFmtId="0" xfId="0" applyAlignment="1" applyFont="1">
      <alignment horizontal="right" readingOrder="0" vertical="bottom"/>
    </xf>
    <xf borderId="0" fillId="0" fontId="15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/>
    </xf>
    <xf borderId="0" fillId="0" fontId="11" numFmtId="0" xfId="0" applyAlignment="1" applyFont="1">
      <alignment horizontal="right" vertical="bottom"/>
    </xf>
    <xf borderId="0" fillId="2" fontId="17" numFmtId="0" xfId="0" applyAlignment="1" applyFont="1">
      <alignment horizontal="right"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8" numFmtId="0" xfId="0" applyAlignment="1" applyFont="1">
      <alignment horizontal="right" readingOrder="0" shrinkToFit="0" vertical="bottom" wrapText="0"/>
    </xf>
    <xf borderId="0" fillId="2" fontId="19" numFmtId="164" xfId="0" applyFont="1" applyNumberFormat="1"/>
    <xf borderId="0" fillId="0" fontId="6" numFmtId="0" xfId="0" applyFont="1"/>
    <xf borderId="0" fillId="3" fontId="19" numFmtId="0" xfId="0" applyAlignment="1" applyFont="1">
      <alignment readingOrder="0"/>
    </xf>
    <xf borderId="0" fillId="0" fontId="15" numFmtId="0" xfId="0" applyFont="1"/>
    <xf borderId="0" fillId="3" fontId="20" numFmtId="0" xfId="0" applyAlignment="1" applyFont="1">
      <alignment readingOrder="0" vertical="top"/>
    </xf>
    <xf borderId="0" fillId="4" fontId="19" numFmtId="0" xfId="0" applyAlignment="1" applyFont="1">
      <alignment readingOrder="0"/>
    </xf>
    <xf borderId="0" fillId="5" fontId="19" numFmtId="0" xfId="0" applyAlignment="1" applyFont="1">
      <alignment readingOrder="0"/>
    </xf>
    <xf borderId="0" fillId="6" fontId="19" numFmtId="0" xfId="0" applyAlignment="1" applyFont="1">
      <alignment readingOrder="0"/>
    </xf>
    <xf borderId="0" fillId="3" fontId="17" numFmtId="0" xfId="0" applyAlignment="1" applyFont="1">
      <alignment horizontal="right" readingOrder="0" shrinkToFit="0" vertical="bottom" wrapText="0"/>
    </xf>
    <xf borderId="0" fillId="7" fontId="20" numFmtId="0" xfId="0" applyAlignment="1" applyFont="1">
      <alignment readingOrder="0" vertical="top"/>
    </xf>
    <xf borderId="0" fillId="4" fontId="17" numFmtId="0" xfId="0" applyAlignment="1" applyFont="1">
      <alignment horizontal="right" readingOrder="0" shrinkToFit="0" vertical="bottom" wrapText="0"/>
    </xf>
    <xf borderId="0" fillId="5" fontId="17" numFmtId="0" xfId="0" applyAlignment="1" applyFont="1">
      <alignment horizontal="right" readingOrder="0" shrinkToFit="0" vertical="bottom" wrapText="0"/>
    </xf>
    <xf borderId="0" fillId="5" fontId="6" numFmtId="0" xfId="0" applyAlignment="1" applyFont="1">
      <alignment readingOrder="0"/>
    </xf>
    <xf borderId="0" fillId="5" fontId="21" numFmtId="0" xfId="0" applyAlignment="1" applyFont="1">
      <alignment readingOrder="0" vertical="top"/>
    </xf>
    <xf borderId="0" fillId="5" fontId="20" numFmtId="0" xfId="0" applyAlignment="1" applyFont="1">
      <alignment horizontal="right"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4" fontId="17" numFmtId="0" xfId="0" applyAlignment="1" applyFont="1">
      <alignment readingOrder="0" vertical="top"/>
    </xf>
    <xf borderId="0" fillId="3" fontId="17" numFmtId="0" xfId="0" applyAlignment="1" applyFont="1">
      <alignment horizontal="right" readingOrder="0" vertical="bottom"/>
    </xf>
    <xf borderId="0" fillId="0" fontId="18" numFmtId="0" xfId="0" applyAlignment="1" applyFont="1">
      <alignment horizontal="left" readingOrder="0" vertical="bottom"/>
    </xf>
    <xf borderId="0" fillId="4" fontId="20" numFmtId="0" xfId="0" applyAlignment="1" applyFont="1">
      <alignment readingOrder="0" vertical="top"/>
    </xf>
    <xf borderId="0" fillId="5" fontId="23" numFmtId="0" xfId="0" applyAlignment="1" applyFont="1">
      <alignment horizontal="right" readingOrder="0" shrinkToFit="0" vertical="bottom" wrapText="0"/>
    </xf>
    <xf borderId="0" fillId="2" fontId="17" numFmtId="0" xfId="0" applyAlignment="1" applyFont="1">
      <alignment horizontal="right" shrinkToFit="0" vertical="bottom" wrapText="0"/>
    </xf>
    <xf borderId="0" fillId="2" fontId="24" numFmtId="0" xfId="0" applyAlignment="1" applyFont="1">
      <alignment horizontal="right" readingOrder="0" shrinkToFit="0" vertical="bottom" wrapText="0"/>
    </xf>
    <xf borderId="0" fillId="0" fontId="18" numFmtId="0" xfId="0" applyAlignment="1" applyFont="1">
      <alignment readingOrder="0" vertical="bottom"/>
    </xf>
    <xf borderId="0" fillId="5" fontId="22" numFmtId="0" xfId="0" applyAlignment="1" applyFont="1">
      <alignment horizontal="right" readingOrder="0" shrinkToFit="0" vertical="bottom" wrapText="0"/>
    </xf>
    <xf borderId="0" fillId="5" fontId="25" numFmtId="0" xfId="0" applyAlignment="1" applyFont="1">
      <alignment horizontal="right" readingOrder="0" shrinkToFit="0" vertical="bottom" wrapText="0"/>
    </xf>
    <xf borderId="0" fillId="3" fontId="6" numFmtId="0" xfId="0" applyFont="1"/>
    <xf borderId="0" fillId="5" fontId="20" numFmtId="0" xfId="0" applyAlignment="1" applyFont="1">
      <alignment horizontal="right" readingOrder="0"/>
    </xf>
    <xf borderId="0" fillId="0" fontId="26" numFmtId="0" xfId="0" applyAlignment="1" applyFont="1">
      <alignment vertical="bottom"/>
    </xf>
    <xf borderId="0" fillId="0" fontId="27" numFmtId="0" xfId="0" applyAlignment="1" applyFont="1">
      <alignment vertical="bottom"/>
    </xf>
    <xf borderId="0" fillId="0" fontId="28" numFmtId="0" xfId="0" applyAlignment="1" applyFont="1">
      <alignment vertical="bottom"/>
    </xf>
    <xf borderId="0" fillId="0" fontId="29" numFmtId="0" xfId="0" applyAlignment="1" applyFont="1">
      <alignment vertical="bottom"/>
    </xf>
    <xf borderId="0" fillId="0" fontId="30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0" fillId="0" fontId="31" numFmtId="0" xfId="0" applyAlignment="1" applyFont="1">
      <alignment horizontal="right" vertical="bottom"/>
    </xf>
    <xf borderId="0" fillId="0" fontId="30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32" numFmtId="0" xfId="0" applyAlignment="1" applyFont="1">
      <alignment readingOrder="0"/>
    </xf>
    <xf borderId="0" fillId="0" fontId="33" numFmtId="0" xfId="0" applyAlignment="1" applyFont="1">
      <alignment readingOrder="0"/>
    </xf>
    <xf borderId="0" fillId="0" fontId="33" numFmtId="0" xfId="0" applyAlignment="1" applyFont="1">
      <alignment horizontal="right" vertical="bottom"/>
    </xf>
    <xf borderId="0" fillId="0" fontId="20" numFmtId="0" xfId="0" applyAlignment="1" applyFont="1">
      <alignment horizontal="right" readingOrder="0" vertical="top"/>
    </xf>
    <xf borderId="0" fillId="0" fontId="34" numFmtId="0" xfId="0" applyAlignment="1" applyFont="1">
      <alignment horizontal="right" vertical="top"/>
    </xf>
    <xf borderId="0" fillId="0" fontId="12" numFmtId="0" xfId="0" applyAlignment="1" applyFont="1">
      <alignment horizontal="right" readingOrder="0" vertical="bottom"/>
    </xf>
    <xf borderId="0" fillId="0" fontId="34" numFmtId="0" xfId="0" applyAlignment="1" applyFont="1">
      <alignment horizontal="right" vertical="top"/>
    </xf>
    <xf borderId="0" fillId="0" fontId="33" numFmtId="0" xfId="0" applyAlignment="1" applyFont="1">
      <alignment readingOrder="0" vertical="top"/>
    </xf>
    <xf borderId="0" fillId="0" fontId="1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left" readingOrder="0" vertical="bottom"/>
    </xf>
    <xf borderId="0" fillId="0" fontId="30" numFmtId="0" xfId="0" applyAlignment="1" applyFont="1">
      <alignment readingOrder="0" shrinkToFit="0" vertical="bottom" wrapText="0"/>
    </xf>
    <xf borderId="0" fillId="0" fontId="32" numFmtId="0" xfId="0" applyFont="1"/>
    <xf borderId="0" fillId="0" fontId="33" numFmtId="0" xfId="0" applyAlignment="1" applyFont="1">
      <alignment horizontal="right" vertical="top"/>
    </xf>
    <xf borderId="1" fillId="0" fontId="33" numFmtId="0" xfId="0" applyAlignment="1" applyBorder="1" applyFont="1">
      <alignment readingOrder="0" vertical="top"/>
    </xf>
    <xf borderId="0" fillId="0" fontId="8" numFmtId="0" xfId="0" applyAlignment="1" applyFont="1">
      <alignment readingOrder="0" vertical="bottom"/>
    </xf>
    <xf borderId="0" fillId="0" fontId="35" numFmtId="0" xfId="0" applyAlignment="1" applyFont="1">
      <alignment horizontal="right" vertical="bottom"/>
    </xf>
    <xf borderId="1" fillId="0" fontId="34" numFmtId="0" xfId="0" applyAlignment="1" applyBorder="1" applyFont="1">
      <alignment horizontal="right" vertical="top"/>
    </xf>
    <xf borderId="0" fillId="3" fontId="6" numFmtId="0" xfId="0" applyAlignment="1" applyFont="1">
      <alignment readingOrder="0"/>
    </xf>
    <xf borderId="0" fillId="2" fontId="32" numFmtId="0" xfId="0" applyFont="1"/>
    <xf borderId="0" fillId="0" fontId="36" numFmtId="0" xfId="0" applyAlignment="1" applyFont="1">
      <alignment horizontal="right" vertical="bottom"/>
    </xf>
    <xf borderId="0" fillId="0" fontId="30" numFmtId="0" xfId="0" applyFont="1"/>
    <xf borderId="0" fillId="0" fontId="30" numFmtId="0" xfId="0" applyAlignment="1" applyFont="1">
      <alignment horizontal="right" vertical="bottom"/>
    </xf>
  </cellXfs>
  <cellStyles count="1">
    <cellStyle xfId="0" name="Normal" builtinId="0"/>
  </cellStyles>
  <dxfs count="2">
    <dxf>
      <font>
        <b/>
        <color rgb="FFFF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0"/>
    <col customWidth="1" min="2" max="2" width="14.86"/>
    <col customWidth="1" min="3" max="3" width="11.43"/>
    <col customWidth="1" min="4" max="4" width="11.14"/>
    <col customWidth="1" min="5" max="5" width="13.14"/>
    <col customWidth="1" min="6" max="6" width="14.0"/>
    <col customWidth="1" min="7" max="7" width="10.14"/>
    <col customWidth="1" min="8" max="8" width="7.86"/>
    <col customWidth="1" min="9" max="9" width="8.0"/>
    <col customWidth="1" min="10" max="10" width="13.57"/>
    <col customWidth="1" min="11" max="11" width="10.43"/>
    <col customWidth="1" min="12" max="13" width="6.29"/>
    <col customWidth="1" min="14" max="14" width="6.14"/>
    <col customWidth="1" min="15" max="15" width="6.29"/>
    <col customWidth="1" min="16" max="17" width="10.43"/>
  </cols>
  <sheetData>
    <row r="1">
      <c r="A1" s="9" t="s">
        <v>2</v>
      </c>
      <c r="B1" s="11" t="s">
        <v>4</v>
      </c>
      <c r="C1" s="11" t="s">
        <v>8</v>
      </c>
      <c r="D1" s="13" t="s">
        <v>9</v>
      </c>
      <c r="E1" s="15" t="s">
        <v>12</v>
      </c>
      <c r="F1" s="15" t="s">
        <v>14</v>
      </c>
      <c r="G1" s="17" t="s">
        <v>15</v>
      </c>
      <c r="H1" s="19" t="s">
        <v>17</v>
      </c>
      <c r="I1" s="19" t="s">
        <v>18</v>
      </c>
      <c r="J1" s="19" t="s">
        <v>19</v>
      </c>
      <c r="K1" s="19" t="s">
        <v>20</v>
      </c>
      <c r="L1" s="21" t="s">
        <v>21</v>
      </c>
      <c r="M1" s="21" t="s">
        <v>28</v>
      </c>
      <c r="N1" s="21" t="s">
        <v>29</v>
      </c>
      <c r="O1" s="21" t="s">
        <v>30</v>
      </c>
      <c r="P1" s="23" t="s">
        <v>31</v>
      </c>
      <c r="Q1" s="23" t="s">
        <v>36</v>
      </c>
      <c r="R1" s="25"/>
      <c r="S1" s="25"/>
      <c r="T1" s="25"/>
      <c r="U1" s="25"/>
      <c r="V1" s="25"/>
      <c r="W1" s="25"/>
      <c r="X1" s="25"/>
      <c r="Y1" s="25"/>
      <c r="Z1" s="25"/>
      <c r="AA1" s="25"/>
    </row>
    <row r="2">
      <c r="A2" s="9">
        <v>2002.0</v>
      </c>
      <c r="B2" s="29" t="s">
        <v>38</v>
      </c>
      <c r="C2" s="29">
        <v>1.0</v>
      </c>
      <c r="D2" s="34">
        <v>0.8954227194578028</v>
      </c>
      <c r="E2" s="36">
        <v>26.82</v>
      </c>
      <c r="F2" s="38">
        <v>57.1428571428571</v>
      </c>
      <c r="G2" s="39">
        <v>4.16</v>
      </c>
      <c r="H2" s="40">
        <v>3790.26</v>
      </c>
      <c r="I2" s="40">
        <v>0.0</v>
      </c>
      <c r="J2" s="40">
        <v>0.979</v>
      </c>
      <c r="K2" s="40">
        <v>-2.4</v>
      </c>
      <c r="L2" s="41">
        <v>1.0</v>
      </c>
      <c r="M2" s="41">
        <v>0.0</v>
      </c>
      <c r="N2" s="41">
        <v>0.0</v>
      </c>
      <c r="O2" s="41">
        <v>0.0</v>
      </c>
      <c r="P2" s="43">
        <v>14.0</v>
      </c>
      <c r="Q2" s="43">
        <v>42.8571428571429</v>
      </c>
    </row>
    <row r="3">
      <c r="A3" s="9">
        <v>2007.0</v>
      </c>
      <c r="B3" s="29" t="s">
        <v>38</v>
      </c>
      <c r="C3" s="29">
        <v>1.0</v>
      </c>
      <c r="D3" s="34">
        <v>0.30352879388354465</v>
      </c>
      <c r="E3" s="36">
        <v>36.89</v>
      </c>
      <c r="F3" s="38">
        <v>42.8571428571429</v>
      </c>
      <c r="G3" s="39">
        <v>6.91</v>
      </c>
      <c r="H3" s="40">
        <v>5124.63</v>
      </c>
      <c r="I3" s="40">
        <v>0.0</v>
      </c>
      <c r="J3" s="40">
        <v>8.348</v>
      </c>
      <c r="K3" s="40">
        <v>-4.36</v>
      </c>
      <c r="L3" s="41">
        <v>0.0</v>
      </c>
      <c r="M3" s="41">
        <v>1.0</v>
      </c>
      <c r="N3" s="41">
        <v>0.0</v>
      </c>
      <c r="O3" s="41">
        <v>0.0</v>
      </c>
      <c r="P3" s="43">
        <v>14.0</v>
      </c>
      <c r="Q3" s="43">
        <v>28.5714285714286</v>
      </c>
    </row>
    <row r="4">
      <c r="A4" s="9">
        <v>2011.0</v>
      </c>
      <c r="B4" s="29" t="s">
        <v>38</v>
      </c>
      <c r="C4" s="29">
        <v>1.0</v>
      </c>
      <c r="D4" s="34">
        <v>0.39148124745685037</v>
      </c>
      <c r="E4" s="36">
        <v>37.4</v>
      </c>
      <c r="F4" s="38">
        <v>42.8571428571429</v>
      </c>
      <c r="G4" s="39">
        <v>9.67</v>
      </c>
      <c r="H4" s="40">
        <v>7498.0</v>
      </c>
      <c r="I4" s="40">
        <v>0.0</v>
      </c>
      <c r="J4" s="40">
        <v>25.205</v>
      </c>
      <c r="K4" s="40">
        <v>-2.86</v>
      </c>
      <c r="L4" s="41">
        <v>0.0</v>
      </c>
      <c r="M4" s="41">
        <v>0.0</v>
      </c>
      <c r="N4" s="41">
        <v>1.0</v>
      </c>
      <c r="O4" s="41">
        <v>0.0</v>
      </c>
      <c r="P4" s="43">
        <v>14.0</v>
      </c>
      <c r="Q4" s="43">
        <v>28.5714285714286</v>
      </c>
    </row>
    <row r="5">
      <c r="A5" s="9">
        <v>2015.0</v>
      </c>
      <c r="B5" s="29" t="s">
        <v>38</v>
      </c>
      <c r="C5" s="29">
        <v>1.0</v>
      </c>
      <c r="D5" s="34">
        <v>1.4043884869212915</v>
      </c>
      <c r="E5" s="36">
        <v>29.9</v>
      </c>
      <c r="F5" s="38">
        <v>35.7142857142857</v>
      </c>
      <c r="G5" s="39">
        <v>13.41</v>
      </c>
      <c r="H5" s="40">
        <v>8607.75</v>
      </c>
      <c r="I5" s="40">
        <v>0.0</v>
      </c>
      <c r="J5" s="40">
        <v>46.537</v>
      </c>
      <c r="K5" s="40">
        <v>-5.74</v>
      </c>
      <c r="L5" s="41">
        <v>0.0</v>
      </c>
      <c r="M5" s="41">
        <v>0.0</v>
      </c>
      <c r="N5" s="41">
        <v>0.0</v>
      </c>
      <c r="O5" s="41">
        <v>1.0</v>
      </c>
      <c r="P5" s="43">
        <v>14.0</v>
      </c>
      <c r="Q5" s="43">
        <v>28.5714285714286</v>
      </c>
    </row>
    <row r="6">
      <c r="A6" s="9">
        <v>2002.0</v>
      </c>
      <c r="B6" s="29" t="s">
        <v>40</v>
      </c>
      <c r="C6" s="29">
        <v>2.0</v>
      </c>
      <c r="D6" s="34">
        <v>0.4585062169461976</v>
      </c>
      <c r="E6" s="36">
        <v>41.42</v>
      </c>
      <c r="F6" s="38">
        <v>80.0</v>
      </c>
      <c r="G6" s="39">
        <v>2.31</v>
      </c>
      <c r="H6" s="40">
        <v>2370.73</v>
      </c>
      <c r="I6" s="40">
        <v>0.0</v>
      </c>
      <c r="J6" s="40">
        <v>0.199</v>
      </c>
      <c r="K6" s="40">
        <v>-7.02</v>
      </c>
      <c r="L6" s="41">
        <v>1.0</v>
      </c>
      <c r="M6" s="41">
        <v>0.0</v>
      </c>
      <c r="N6" s="41">
        <v>0.0</v>
      </c>
      <c r="O6" s="41">
        <v>0.0</v>
      </c>
      <c r="P6" s="43">
        <v>5.0</v>
      </c>
      <c r="Q6" s="43">
        <v>20.0</v>
      </c>
    </row>
    <row r="7">
      <c r="A7" s="9">
        <v>2007.0</v>
      </c>
      <c r="B7" s="29" t="s">
        <v>40</v>
      </c>
      <c r="C7" s="29">
        <v>2.0</v>
      </c>
      <c r="D7" s="34">
        <v>0.6122774346084308</v>
      </c>
      <c r="E7" s="36">
        <v>65.31</v>
      </c>
      <c r="F7" s="38">
        <v>80.0</v>
      </c>
      <c r="G7" s="39">
        <v>3.84</v>
      </c>
      <c r="H7" s="40">
        <v>3201.65</v>
      </c>
      <c r="I7" s="40">
        <v>0.0</v>
      </c>
      <c r="J7" s="40">
        <v>3.387</v>
      </c>
      <c r="K7" s="40">
        <v>-10.99</v>
      </c>
      <c r="L7" s="41">
        <v>0.0</v>
      </c>
      <c r="M7" s="41">
        <v>1.0</v>
      </c>
      <c r="N7" s="41">
        <v>0.0</v>
      </c>
      <c r="O7" s="41">
        <v>0.0</v>
      </c>
      <c r="P7" s="43">
        <v>5.0</v>
      </c>
      <c r="Q7" s="43">
        <v>20.0</v>
      </c>
    </row>
    <row r="8">
      <c r="A8" s="9">
        <v>2011.0</v>
      </c>
      <c r="B8" s="29" t="s">
        <v>40</v>
      </c>
      <c r="C8" s="29">
        <v>2.0</v>
      </c>
      <c r="D8" s="34">
        <v>0.34892651816465486</v>
      </c>
      <c r="E8" s="36">
        <v>67.3</v>
      </c>
      <c r="F8" s="38">
        <v>80.0</v>
      </c>
      <c r="G8" s="39">
        <v>6.44</v>
      </c>
      <c r="H8" s="40">
        <v>4739.0</v>
      </c>
      <c r="I8" s="40">
        <v>0.0</v>
      </c>
      <c r="J8" s="40">
        <v>14.21</v>
      </c>
      <c r="K8" s="40">
        <v>-11.84</v>
      </c>
      <c r="L8" s="41">
        <v>0.0</v>
      </c>
      <c r="M8" s="41">
        <v>0.0</v>
      </c>
      <c r="N8" s="41">
        <v>1.0</v>
      </c>
      <c r="O8" s="41">
        <v>0.0</v>
      </c>
      <c r="P8" s="43">
        <v>5.0</v>
      </c>
      <c r="Q8" s="43">
        <v>20.0</v>
      </c>
    </row>
    <row r="9">
      <c r="A9" s="9">
        <v>2015.0</v>
      </c>
      <c r="B9" s="29" t="s">
        <v>40</v>
      </c>
      <c r="C9" s="29">
        <v>2.0</v>
      </c>
      <c r="D9" s="34">
        <v>0.41278723111498417</v>
      </c>
      <c r="E9" s="36">
        <v>58.2</v>
      </c>
      <c r="F9" s="38">
        <v>80.0</v>
      </c>
      <c r="G9" s="39">
        <v>11.06</v>
      </c>
      <c r="H9" s="40">
        <v>5761.25</v>
      </c>
      <c r="I9" s="40">
        <v>0.0</v>
      </c>
      <c r="J9" s="40">
        <v>32.126</v>
      </c>
      <c r="K9" s="40">
        <v>-14.35</v>
      </c>
      <c r="L9" s="41">
        <v>0.0</v>
      </c>
      <c r="M9" s="41">
        <v>0.0</v>
      </c>
      <c r="N9" s="41">
        <v>0.0</v>
      </c>
      <c r="O9" s="41">
        <v>1.0</v>
      </c>
      <c r="P9" s="43">
        <v>5.0</v>
      </c>
      <c r="Q9" s="43">
        <v>0.0</v>
      </c>
    </row>
    <row r="10">
      <c r="A10" s="9">
        <v>2002.0</v>
      </c>
      <c r="B10" s="29" t="s">
        <v>42</v>
      </c>
      <c r="C10" s="29">
        <v>3.0</v>
      </c>
      <c r="D10" s="34">
        <v>0.6471181860165457</v>
      </c>
      <c r="E10" s="36">
        <v>42.63</v>
      </c>
      <c r="F10" s="38">
        <v>85.7142857142857</v>
      </c>
      <c r="G10" s="39">
        <v>3.01</v>
      </c>
      <c r="H10" s="40">
        <v>3566.07</v>
      </c>
      <c r="I10" s="40">
        <v>1.0</v>
      </c>
      <c r="J10" s="40">
        <v>2.105</v>
      </c>
      <c r="K10" s="40">
        <v>-2.25</v>
      </c>
      <c r="L10" s="41">
        <v>1.0</v>
      </c>
      <c r="M10" s="41">
        <v>0.0</v>
      </c>
      <c r="N10" s="41">
        <v>0.0</v>
      </c>
      <c r="O10" s="41">
        <v>0.0</v>
      </c>
      <c r="P10" s="43">
        <v>7.0</v>
      </c>
      <c r="Q10" s="43">
        <v>14.2857142857143</v>
      </c>
    </row>
    <row r="11">
      <c r="A11" s="9">
        <v>2007.0</v>
      </c>
      <c r="B11" s="29" t="s">
        <v>42</v>
      </c>
      <c r="C11" s="29">
        <v>3.0</v>
      </c>
      <c r="D11" s="34">
        <v>0.6222100730050277</v>
      </c>
      <c r="E11" s="36">
        <v>53.72</v>
      </c>
      <c r="F11" s="38">
        <v>71.4285714285714</v>
      </c>
      <c r="G11" s="39">
        <v>4.68</v>
      </c>
      <c r="H11" s="40">
        <v>4764.06</v>
      </c>
      <c r="I11" s="40">
        <v>0.0</v>
      </c>
      <c r="J11" s="40">
        <v>15.99</v>
      </c>
      <c r="K11" s="40">
        <v>-5.83</v>
      </c>
      <c r="L11" s="41">
        <v>0.0</v>
      </c>
      <c r="M11" s="41">
        <v>1.0</v>
      </c>
      <c r="N11" s="41">
        <v>0.0</v>
      </c>
      <c r="O11" s="41">
        <v>0.0</v>
      </c>
      <c r="P11" s="43">
        <v>7.0</v>
      </c>
      <c r="Q11" s="43">
        <v>14.2857142857143</v>
      </c>
    </row>
    <row r="12">
      <c r="A12" s="9">
        <v>2011.0</v>
      </c>
      <c r="B12" s="29" t="s">
        <v>42</v>
      </c>
      <c r="C12" s="29">
        <v>3.0</v>
      </c>
      <c r="D12" s="34">
        <v>0.3502618295625937</v>
      </c>
      <c r="E12" s="36">
        <v>60.4</v>
      </c>
      <c r="F12" s="38">
        <v>60.0</v>
      </c>
      <c r="G12" s="39">
        <v>7.13</v>
      </c>
      <c r="H12" s="40">
        <v>7140.5</v>
      </c>
      <c r="I12" s="40">
        <v>0.0</v>
      </c>
      <c r="J12" s="40">
        <v>37.133</v>
      </c>
      <c r="K12" s="40">
        <v>-7.27</v>
      </c>
      <c r="L12" s="41">
        <v>0.0</v>
      </c>
      <c r="M12" s="41">
        <v>0.0</v>
      </c>
      <c r="N12" s="41">
        <v>1.0</v>
      </c>
      <c r="O12" s="41">
        <v>0.0</v>
      </c>
      <c r="P12" s="43">
        <v>5.0</v>
      </c>
      <c r="Q12" s="43">
        <v>20.0</v>
      </c>
    </row>
    <row r="13">
      <c r="A13" s="9">
        <v>2015.0</v>
      </c>
      <c r="B13" s="29" t="s">
        <v>42</v>
      </c>
      <c r="C13" s="29">
        <v>3.0</v>
      </c>
      <c r="D13" s="34">
        <v>2.899836674256812</v>
      </c>
      <c r="E13" s="36">
        <v>52.4</v>
      </c>
      <c r="F13" s="38">
        <v>60.0</v>
      </c>
      <c r="G13" s="39">
        <v>10.07</v>
      </c>
      <c r="H13" s="40">
        <v>8025.5</v>
      </c>
      <c r="I13" s="40">
        <v>0.0</v>
      </c>
      <c r="J13" s="40">
        <v>62.781</v>
      </c>
      <c r="K13" s="40">
        <v>-5.2</v>
      </c>
      <c r="L13" s="41">
        <v>0.0</v>
      </c>
      <c r="M13" s="41">
        <v>0.0</v>
      </c>
      <c r="N13" s="41">
        <v>0.0</v>
      </c>
      <c r="O13" s="41">
        <v>1.0</v>
      </c>
      <c r="P13" s="43">
        <v>5.0</v>
      </c>
      <c r="Q13" s="43">
        <v>20.0</v>
      </c>
    </row>
    <row r="14">
      <c r="A14" s="9">
        <v>2002.0</v>
      </c>
      <c r="B14" s="29" t="s">
        <v>44</v>
      </c>
      <c r="C14" s="29">
        <v>4.0</v>
      </c>
      <c r="D14" s="34">
        <v>0.08627201301991602</v>
      </c>
      <c r="E14" s="36">
        <v>17.7</v>
      </c>
      <c r="F14" s="38">
        <v>60.0</v>
      </c>
      <c r="G14" s="39">
        <v>1.39</v>
      </c>
      <c r="H14" s="40">
        <v>1752.63</v>
      </c>
      <c r="I14" s="40">
        <v>0.0</v>
      </c>
      <c r="J14" s="40">
        <v>0.206</v>
      </c>
      <c r="K14" s="40">
        <v>-5.64</v>
      </c>
      <c r="L14" s="41">
        <v>1.0</v>
      </c>
      <c r="M14" s="41">
        <v>0.0</v>
      </c>
      <c r="N14" s="41">
        <v>0.0</v>
      </c>
      <c r="O14" s="41">
        <v>0.0</v>
      </c>
      <c r="P14" s="43">
        <v>5.0</v>
      </c>
      <c r="Q14" s="43">
        <v>40.0</v>
      </c>
    </row>
    <row r="15">
      <c r="A15" s="9">
        <v>2007.0</v>
      </c>
      <c r="B15" s="29" t="s">
        <v>44</v>
      </c>
      <c r="C15" s="29">
        <v>4.0</v>
      </c>
      <c r="D15" s="34">
        <v>1.160405399045653</v>
      </c>
      <c r="E15" s="36">
        <v>63.02</v>
      </c>
      <c r="F15" s="38">
        <v>100.0</v>
      </c>
      <c r="G15" s="39">
        <v>2.17</v>
      </c>
      <c r="H15" s="40">
        <v>2252.29</v>
      </c>
      <c r="I15" s="40">
        <v>0.0</v>
      </c>
      <c r="J15" s="40">
        <v>1.466</v>
      </c>
      <c r="K15" s="40">
        <v>-16.95</v>
      </c>
      <c r="L15" s="41">
        <v>0.0</v>
      </c>
      <c r="M15" s="41">
        <v>1.0</v>
      </c>
      <c r="N15" s="41">
        <v>0.0</v>
      </c>
      <c r="O15" s="41">
        <v>0.0</v>
      </c>
      <c r="P15" s="43">
        <v>5.0</v>
      </c>
      <c r="Q15" s="43">
        <v>0.0</v>
      </c>
    </row>
    <row r="16">
      <c r="A16" s="9">
        <v>2011.0</v>
      </c>
      <c r="B16" s="29" t="s">
        <v>44</v>
      </c>
      <c r="C16" s="29">
        <v>4.0</v>
      </c>
      <c r="D16" s="34">
        <v>0.050903861694207776</v>
      </c>
      <c r="E16" s="36">
        <v>47.6</v>
      </c>
      <c r="F16" s="38">
        <v>75.0</v>
      </c>
      <c r="G16" s="39">
        <v>4.71</v>
      </c>
      <c r="H16" s="40">
        <v>3304.5</v>
      </c>
      <c r="I16" s="40">
        <v>0.0</v>
      </c>
      <c r="J16" s="40">
        <v>5.867</v>
      </c>
      <c r="K16" s="40">
        <v>-20.76</v>
      </c>
      <c r="L16" s="41">
        <v>0.0</v>
      </c>
      <c r="M16" s="41">
        <v>0.0</v>
      </c>
      <c r="N16" s="41">
        <v>1.0</v>
      </c>
      <c r="O16" s="41">
        <v>0.0</v>
      </c>
      <c r="P16" s="43">
        <v>4.0</v>
      </c>
      <c r="Q16" s="43">
        <v>0.0</v>
      </c>
    </row>
    <row r="17">
      <c r="A17" s="9">
        <v>2015.0</v>
      </c>
      <c r="B17" s="29" t="s">
        <v>44</v>
      </c>
      <c r="C17" s="29">
        <v>4.0</v>
      </c>
      <c r="D17" s="34">
        <v>0.0</v>
      </c>
      <c r="E17" s="36">
        <v>15.9</v>
      </c>
      <c r="F17" s="38">
        <v>0.0</v>
      </c>
      <c r="G17" s="39">
        <v>7.55</v>
      </c>
      <c r="H17" s="40">
        <v>3870.25</v>
      </c>
      <c r="I17" s="40">
        <v>0.0</v>
      </c>
      <c r="J17" s="40">
        <v>18.268</v>
      </c>
      <c r="K17" s="40">
        <v>-24.64</v>
      </c>
      <c r="L17" s="41">
        <v>0.0</v>
      </c>
      <c r="M17" s="41">
        <v>0.0</v>
      </c>
      <c r="N17" s="41">
        <v>0.0</v>
      </c>
      <c r="O17" s="41">
        <v>1.0</v>
      </c>
      <c r="P17" s="43">
        <v>4.0</v>
      </c>
      <c r="Q17" s="43">
        <v>0.0</v>
      </c>
    </row>
    <row r="18">
      <c r="A18" s="9">
        <v>2002.0</v>
      </c>
      <c r="B18" s="29" t="s">
        <v>46</v>
      </c>
      <c r="C18" s="29">
        <v>5.0</v>
      </c>
      <c r="D18" s="34">
        <v>0.5167859845018833</v>
      </c>
      <c r="E18" s="36">
        <v>48.09</v>
      </c>
      <c r="F18" s="38">
        <v>100.0</v>
      </c>
      <c r="G18" s="39">
        <v>2.61</v>
      </c>
      <c r="H18" s="40">
        <v>3165.81</v>
      </c>
      <c r="I18" s="40">
        <v>0.0</v>
      </c>
      <c r="J18" s="40">
        <v>1.843</v>
      </c>
      <c r="K18" s="40">
        <v>-1.34</v>
      </c>
      <c r="L18" s="41">
        <v>1.0</v>
      </c>
      <c r="M18" s="41">
        <v>0.0</v>
      </c>
      <c r="N18" s="41">
        <v>0.0</v>
      </c>
      <c r="O18" s="41">
        <v>0.0</v>
      </c>
      <c r="P18" s="43">
        <v>4.0</v>
      </c>
      <c r="Q18" s="43">
        <v>0.0</v>
      </c>
    </row>
    <row r="19">
      <c r="A19" s="9">
        <v>2007.0</v>
      </c>
      <c r="B19" s="29" t="s">
        <v>46</v>
      </c>
      <c r="C19" s="29">
        <v>5.0</v>
      </c>
      <c r="D19" s="34">
        <v>0.9056856712148224</v>
      </c>
      <c r="E19" s="36">
        <v>63.43</v>
      </c>
      <c r="F19" s="38">
        <v>75.0</v>
      </c>
      <c r="G19" s="39">
        <v>4.52</v>
      </c>
      <c r="H19" s="40">
        <v>4318.14</v>
      </c>
      <c r="I19" s="40">
        <v>0.0</v>
      </c>
      <c r="J19" s="40">
        <v>16.284</v>
      </c>
      <c r="K19" s="40">
        <v>-2.62</v>
      </c>
      <c r="L19" s="41">
        <v>0.0</v>
      </c>
      <c r="M19" s="41">
        <v>1.0</v>
      </c>
      <c r="N19" s="41">
        <v>0.0</v>
      </c>
      <c r="O19" s="41">
        <v>0.0</v>
      </c>
      <c r="P19" s="43">
        <v>4.0</v>
      </c>
      <c r="Q19" s="43">
        <v>0.0</v>
      </c>
    </row>
    <row r="20">
      <c r="A20" s="9">
        <v>2011.0</v>
      </c>
      <c r="B20" s="29" t="s">
        <v>46</v>
      </c>
      <c r="C20" s="29">
        <v>5.0</v>
      </c>
      <c r="D20" s="34">
        <v>0.612982046799223</v>
      </c>
      <c r="E20" s="36">
        <v>66.1</v>
      </c>
      <c r="F20" s="38">
        <v>100.0</v>
      </c>
      <c r="G20" s="39">
        <v>6.58</v>
      </c>
      <c r="H20" s="40">
        <v>6645.75</v>
      </c>
      <c r="I20" s="40">
        <v>0.0</v>
      </c>
      <c r="J20" s="40">
        <v>40.514</v>
      </c>
      <c r="K20" s="40">
        <v>-6.09</v>
      </c>
      <c r="L20" s="41">
        <v>0.0</v>
      </c>
      <c r="M20" s="41">
        <v>0.0</v>
      </c>
      <c r="N20" s="41">
        <v>1.0</v>
      </c>
      <c r="O20" s="41">
        <v>0.0</v>
      </c>
      <c r="P20" s="43">
        <v>3.0</v>
      </c>
      <c r="Q20" s="43">
        <v>0.0</v>
      </c>
    </row>
    <row r="21">
      <c r="A21" s="9">
        <v>2015.0</v>
      </c>
      <c r="B21" s="29" t="s">
        <v>46</v>
      </c>
      <c r="C21" s="29">
        <v>5.0</v>
      </c>
      <c r="D21" s="34">
        <v>2.742813350038949</v>
      </c>
      <c r="E21" s="36">
        <v>58.5</v>
      </c>
      <c r="F21" s="38">
        <v>66.6666666666667</v>
      </c>
      <c r="G21" s="39">
        <v>9.45</v>
      </c>
      <c r="H21" s="40">
        <v>7876.25</v>
      </c>
      <c r="I21" s="40">
        <v>0.0</v>
      </c>
      <c r="J21" s="40">
        <v>78.311</v>
      </c>
      <c r="K21" s="40">
        <v>-5.84</v>
      </c>
      <c r="L21" s="41">
        <v>0.0</v>
      </c>
      <c r="M21" s="41">
        <v>0.0</v>
      </c>
      <c r="N21" s="41">
        <v>0.0</v>
      </c>
      <c r="O21" s="41">
        <v>1.0</v>
      </c>
      <c r="P21" s="43">
        <v>3.0</v>
      </c>
      <c r="Q21" s="43">
        <v>0.0</v>
      </c>
    </row>
    <row r="22">
      <c r="A22" s="9">
        <v>2002.0</v>
      </c>
      <c r="B22" s="29" t="s">
        <v>47</v>
      </c>
      <c r="C22" s="29">
        <v>6.0</v>
      </c>
      <c r="D22" s="34">
        <v>0.6450160341249992</v>
      </c>
      <c r="E22" s="36">
        <v>39.62</v>
      </c>
      <c r="F22" s="38">
        <v>66.6666666666667</v>
      </c>
      <c r="G22" s="39">
        <v>3.66</v>
      </c>
      <c r="H22" s="40">
        <v>3858.33</v>
      </c>
      <c r="I22" s="40">
        <v>0.0</v>
      </c>
      <c r="J22" s="40">
        <v>2.505</v>
      </c>
      <c r="K22" s="40">
        <v>-2.68</v>
      </c>
      <c r="L22" s="41">
        <v>1.0</v>
      </c>
      <c r="M22" s="41">
        <v>0.0</v>
      </c>
      <c r="N22" s="41">
        <v>0.0</v>
      </c>
      <c r="O22" s="41">
        <v>0.0</v>
      </c>
      <c r="P22" s="43">
        <v>3.0</v>
      </c>
      <c r="Q22" s="43">
        <v>33.3333333333333</v>
      </c>
    </row>
    <row r="23">
      <c r="A23" s="9">
        <v>2007.0</v>
      </c>
      <c r="B23" s="29" t="s">
        <v>47</v>
      </c>
      <c r="C23" s="29">
        <v>6.0</v>
      </c>
      <c r="D23" s="34">
        <v>0.6218372073076593</v>
      </c>
      <c r="E23" s="36">
        <v>47.1</v>
      </c>
      <c r="F23" s="38">
        <v>66.6666666666667</v>
      </c>
      <c r="G23" s="39">
        <v>6.41</v>
      </c>
      <c r="H23" s="40">
        <v>5075.44</v>
      </c>
      <c r="I23" s="40">
        <v>0.0</v>
      </c>
      <c r="J23" s="40">
        <v>14.129</v>
      </c>
      <c r="K23" s="40">
        <v>-5.22</v>
      </c>
      <c r="L23" s="41">
        <v>0.0</v>
      </c>
      <c r="M23" s="41">
        <v>1.0</v>
      </c>
      <c r="N23" s="41">
        <v>0.0</v>
      </c>
      <c r="O23" s="41">
        <v>0.0</v>
      </c>
      <c r="P23" s="43">
        <v>3.0</v>
      </c>
      <c r="Q23" s="43">
        <v>33.3333333333333</v>
      </c>
    </row>
    <row r="24">
      <c r="A24" s="9">
        <v>2011.0</v>
      </c>
      <c r="B24" s="29" t="s">
        <v>47</v>
      </c>
      <c r="C24" s="29">
        <v>6.0</v>
      </c>
      <c r="D24" s="34">
        <v>1.2395796140770294</v>
      </c>
      <c r="E24" s="36">
        <v>52.2</v>
      </c>
      <c r="F24" s="38">
        <v>66.6666666666667</v>
      </c>
      <c r="G24" s="39">
        <v>9.01</v>
      </c>
      <c r="H24" s="40">
        <v>7735.25</v>
      </c>
      <c r="I24" s="40">
        <v>0.0</v>
      </c>
      <c r="J24" s="40">
        <v>33.198</v>
      </c>
      <c r="K24" s="40">
        <v>-6.27</v>
      </c>
      <c r="L24" s="41">
        <v>0.0</v>
      </c>
      <c r="M24" s="41">
        <v>0.0</v>
      </c>
      <c r="N24" s="41">
        <v>1.0</v>
      </c>
      <c r="O24" s="41">
        <v>0.0</v>
      </c>
      <c r="P24" s="43">
        <v>3.0</v>
      </c>
      <c r="Q24" s="43">
        <v>33.3333333333333</v>
      </c>
    </row>
    <row r="25">
      <c r="A25" s="9">
        <v>2015.0</v>
      </c>
      <c r="B25" s="29" t="s">
        <v>47</v>
      </c>
      <c r="C25" s="29">
        <v>6.0</v>
      </c>
      <c r="D25" s="34">
        <v>3.1285333888972304</v>
      </c>
      <c r="E25" s="36">
        <v>45.8</v>
      </c>
      <c r="F25" s="38">
        <v>66.6666666666667</v>
      </c>
      <c r="G25" s="39">
        <v>12.6</v>
      </c>
      <c r="H25" s="40">
        <v>8702.25</v>
      </c>
      <c r="I25" s="40">
        <v>0.0</v>
      </c>
      <c r="J25" s="40">
        <v>66.169</v>
      </c>
      <c r="K25" s="40">
        <v>-6.76</v>
      </c>
      <c r="L25" s="41">
        <v>0.0</v>
      </c>
      <c r="M25" s="41">
        <v>0.0</v>
      </c>
      <c r="N25" s="41">
        <v>0.0</v>
      </c>
      <c r="O25" s="41">
        <v>1.0</v>
      </c>
      <c r="P25" s="43">
        <v>3.0</v>
      </c>
      <c r="Q25" s="43">
        <v>33.3333333333333</v>
      </c>
    </row>
    <row r="26">
      <c r="A26" s="9">
        <v>2002.0</v>
      </c>
      <c r="B26" s="29" t="s">
        <v>48</v>
      </c>
      <c r="C26" s="29">
        <v>7.0</v>
      </c>
      <c r="D26" s="34">
        <v>1.3483163172557444</v>
      </c>
      <c r="E26" s="36">
        <v>38.2</v>
      </c>
      <c r="F26" s="38">
        <v>58.6206896551724</v>
      </c>
      <c r="G26" s="39">
        <v>10.07</v>
      </c>
      <c r="H26" s="40">
        <v>8442.76</v>
      </c>
      <c r="I26" s="40">
        <v>0.0</v>
      </c>
      <c r="J26" s="40">
        <v>6.879</v>
      </c>
      <c r="K26" s="40">
        <v>2.56</v>
      </c>
      <c r="L26" s="41">
        <v>1.0</v>
      </c>
      <c r="M26" s="41">
        <v>0.0</v>
      </c>
      <c r="N26" s="41">
        <v>0.0</v>
      </c>
      <c r="O26" s="41">
        <v>0.0</v>
      </c>
      <c r="P26" s="43">
        <v>29.0</v>
      </c>
      <c r="Q26" s="43">
        <v>41.3793103448276</v>
      </c>
    </row>
    <row r="27">
      <c r="A27" s="9">
        <v>2007.0</v>
      </c>
      <c r="B27" s="29" t="s">
        <v>48</v>
      </c>
      <c r="C27" s="29">
        <v>7.0</v>
      </c>
      <c r="D27" s="34">
        <v>1.6325113254711103</v>
      </c>
      <c r="E27" s="36">
        <v>47.71</v>
      </c>
      <c r="F27" s="38">
        <v>55.1724137931034</v>
      </c>
      <c r="G27" s="39">
        <v>13.58</v>
      </c>
      <c r="H27" s="40">
        <v>11476.78</v>
      </c>
      <c r="I27" s="40">
        <v>0.0</v>
      </c>
      <c r="J27" s="40">
        <v>45.641</v>
      </c>
      <c r="K27" s="40">
        <v>4.65</v>
      </c>
      <c r="L27" s="41">
        <v>0.0</v>
      </c>
      <c r="M27" s="41">
        <v>1.0</v>
      </c>
      <c r="N27" s="41">
        <v>0.0</v>
      </c>
      <c r="O27" s="41">
        <v>0.0</v>
      </c>
      <c r="P27" s="43">
        <v>29.0</v>
      </c>
      <c r="Q27" s="43">
        <v>31.0344827586207</v>
      </c>
    </row>
    <row r="28">
      <c r="A28" s="9">
        <v>2011.0</v>
      </c>
      <c r="B28" s="29" t="s">
        <v>48</v>
      </c>
      <c r="C28" s="29">
        <v>7.0</v>
      </c>
      <c r="D28" s="34">
        <v>0.6063743853050363</v>
      </c>
      <c r="E28" s="36">
        <v>49.4</v>
      </c>
      <c r="F28" s="38">
        <v>54.8387096774194</v>
      </c>
      <c r="G28" s="39">
        <v>17.43</v>
      </c>
      <c r="H28" s="40">
        <v>15986.25</v>
      </c>
      <c r="I28" s="40">
        <v>0.0</v>
      </c>
      <c r="J28" s="40">
        <v>93.762</v>
      </c>
      <c r="K28" s="40">
        <v>8.38</v>
      </c>
      <c r="L28" s="41">
        <v>0.0</v>
      </c>
      <c r="M28" s="41">
        <v>0.0</v>
      </c>
      <c r="N28" s="41">
        <v>1.0</v>
      </c>
      <c r="O28" s="41">
        <v>0.0</v>
      </c>
      <c r="P28" s="43">
        <v>31.0</v>
      </c>
      <c r="Q28" s="43">
        <v>32.258064516129</v>
      </c>
    </row>
    <row r="29">
      <c r="A29" s="9">
        <v>2015.0</v>
      </c>
      <c r="B29" s="29" t="s">
        <v>48</v>
      </c>
      <c r="C29" s="29">
        <v>7.0</v>
      </c>
      <c r="D29" s="34">
        <v>1.9238689554584871</v>
      </c>
      <c r="E29" s="36">
        <v>41.85</v>
      </c>
      <c r="F29" s="38">
        <v>46.875</v>
      </c>
      <c r="G29" s="39">
        <v>21.51</v>
      </c>
      <c r="H29" s="40">
        <v>16418.0</v>
      </c>
      <c r="I29" s="40">
        <v>0.0</v>
      </c>
      <c r="J29" s="40">
        <v>151.581</v>
      </c>
      <c r="K29" s="40">
        <v>7.51</v>
      </c>
      <c r="L29" s="41">
        <v>0.0</v>
      </c>
      <c r="M29" s="41">
        <v>0.0</v>
      </c>
      <c r="N29" s="41">
        <v>0.0</v>
      </c>
      <c r="O29" s="41">
        <v>1.0</v>
      </c>
      <c r="P29" s="43">
        <v>32.0</v>
      </c>
      <c r="Q29" s="43">
        <v>34.375</v>
      </c>
    </row>
    <row r="30">
      <c r="A30" s="9">
        <v>2002.0</v>
      </c>
      <c r="B30" s="29" t="s">
        <v>49</v>
      </c>
      <c r="C30" s="29">
        <v>8.0</v>
      </c>
      <c r="D30" s="34">
        <v>0.1497796618221143</v>
      </c>
      <c r="E30" s="36">
        <v>21.16</v>
      </c>
      <c r="F30" s="38">
        <v>38.4615384615385</v>
      </c>
      <c r="G30" s="39">
        <v>7.29</v>
      </c>
      <c r="H30" s="40">
        <v>7412.6</v>
      </c>
      <c r="I30" s="40">
        <v>0.0</v>
      </c>
      <c r="J30" s="40">
        <v>2.919</v>
      </c>
      <c r="K30" s="40">
        <v>6.43</v>
      </c>
      <c r="L30" s="41">
        <v>1.0</v>
      </c>
      <c r="M30" s="41">
        <v>0.0</v>
      </c>
      <c r="N30" s="41">
        <v>0.0</v>
      </c>
      <c r="O30" s="41">
        <v>0.0</v>
      </c>
      <c r="P30" s="43">
        <v>13.0</v>
      </c>
      <c r="Q30" s="43">
        <v>61.5384615384615</v>
      </c>
    </row>
    <row r="31">
      <c r="A31" s="9">
        <v>2007.0</v>
      </c>
      <c r="B31" s="29" t="s">
        <v>49</v>
      </c>
      <c r="C31" s="29">
        <v>8.0</v>
      </c>
      <c r="D31" s="34">
        <v>0.2692025029679576</v>
      </c>
      <c r="E31" s="36">
        <v>34.02</v>
      </c>
      <c r="F31" s="38">
        <v>38.4615384615385</v>
      </c>
      <c r="G31" s="39">
        <v>8.75</v>
      </c>
      <c r="H31" s="40">
        <v>9735.63</v>
      </c>
      <c r="I31" s="40">
        <v>0.0</v>
      </c>
      <c r="J31" s="40">
        <v>26.981</v>
      </c>
      <c r="K31" s="40">
        <v>13.06</v>
      </c>
      <c r="L31" s="41">
        <v>0.0</v>
      </c>
      <c r="M31" s="41">
        <v>1.0</v>
      </c>
      <c r="N31" s="41">
        <v>0.0</v>
      </c>
      <c r="O31" s="41">
        <v>0.0</v>
      </c>
      <c r="P31" s="43">
        <v>13.0</v>
      </c>
      <c r="Q31" s="43">
        <v>38.4615384615385</v>
      </c>
    </row>
    <row r="32">
      <c r="A32" s="9">
        <v>2011.0</v>
      </c>
      <c r="B32" s="29" t="s">
        <v>49</v>
      </c>
      <c r="C32" s="29">
        <v>8.0</v>
      </c>
      <c r="D32" s="34">
        <v>0.0</v>
      </c>
      <c r="E32" s="36">
        <v>39.3</v>
      </c>
      <c r="F32" s="38">
        <v>42.8571428571429</v>
      </c>
      <c r="G32" s="39">
        <v>11.9</v>
      </c>
      <c r="H32" s="40">
        <v>13108.75</v>
      </c>
      <c r="I32" s="40">
        <v>0.0</v>
      </c>
      <c r="J32" s="40">
        <v>67.091</v>
      </c>
      <c r="K32" s="40">
        <v>13.82</v>
      </c>
      <c r="L32" s="41">
        <v>0.0</v>
      </c>
      <c r="M32" s="41">
        <v>0.0</v>
      </c>
      <c r="N32" s="41">
        <v>1.0</v>
      </c>
      <c r="O32" s="41">
        <v>0.0</v>
      </c>
      <c r="P32" s="43">
        <v>14.0</v>
      </c>
      <c r="Q32" s="43">
        <v>35.7142857142857</v>
      </c>
    </row>
    <row r="33">
      <c r="A33" s="9">
        <v>2015.0</v>
      </c>
      <c r="B33" s="29" t="s">
        <v>49</v>
      </c>
      <c r="C33" s="29">
        <v>8.0</v>
      </c>
      <c r="D33" s="34">
        <v>0.17564541099523096</v>
      </c>
      <c r="E33" s="36">
        <v>34.9</v>
      </c>
      <c r="F33" s="38">
        <v>35.7142857142857</v>
      </c>
      <c r="G33" s="39">
        <v>16.02</v>
      </c>
      <c r="H33" s="40">
        <v>13403.0</v>
      </c>
      <c r="I33" s="40">
        <v>0.0</v>
      </c>
      <c r="J33" s="40">
        <v>111.744</v>
      </c>
      <c r="K33" s="40">
        <v>11.87</v>
      </c>
      <c r="L33" s="41">
        <v>0.0</v>
      </c>
      <c r="M33" s="41">
        <v>0.0</v>
      </c>
      <c r="N33" s="41">
        <v>0.0</v>
      </c>
      <c r="O33" s="41">
        <v>1.0</v>
      </c>
      <c r="P33" s="43">
        <v>14.0</v>
      </c>
      <c r="Q33" s="43">
        <v>35.7142857142857</v>
      </c>
    </row>
    <row r="34">
      <c r="A34" s="9">
        <v>2002.0</v>
      </c>
      <c r="B34" s="29" t="s">
        <v>50</v>
      </c>
      <c r="C34" s="29">
        <v>9.0</v>
      </c>
      <c r="D34" s="34">
        <v>0.0</v>
      </c>
      <c r="E34" s="36">
        <v>11.76</v>
      </c>
      <c r="F34" s="38">
        <v>50.0</v>
      </c>
      <c r="G34" s="39">
        <v>2.28</v>
      </c>
      <c r="H34" s="40">
        <v>2601.26</v>
      </c>
      <c r="I34" s="40">
        <v>0.0</v>
      </c>
      <c r="J34" s="40">
        <v>0.015</v>
      </c>
      <c r="K34" s="40">
        <v>-10.67</v>
      </c>
      <c r="L34" s="41">
        <v>1.0</v>
      </c>
      <c r="M34" s="41">
        <v>0.0</v>
      </c>
      <c r="N34" s="41">
        <v>0.0</v>
      </c>
      <c r="O34" s="41">
        <v>0.0</v>
      </c>
      <c r="P34" s="43">
        <v>2.0</v>
      </c>
      <c r="Q34" s="43">
        <v>50.0</v>
      </c>
    </row>
    <row r="35">
      <c r="A35" s="9">
        <v>2007.0</v>
      </c>
      <c r="B35" s="29" t="s">
        <v>50</v>
      </c>
      <c r="C35" s="29">
        <v>9.0</v>
      </c>
      <c r="D35" s="34">
        <v>1.966214345056771</v>
      </c>
      <c r="E35" s="36">
        <v>40.6</v>
      </c>
      <c r="F35" s="38">
        <v>50.0</v>
      </c>
      <c r="G35" s="39">
        <v>3.54</v>
      </c>
      <c r="H35" s="40">
        <v>3322.75</v>
      </c>
      <c r="I35" s="40">
        <v>0.0</v>
      </c>
      <c r="J35" s="40">
        <v>1.156</v>
      </c>
      <c r="K35" s="40">
        <v>-17.69</v>
      </c>
      <c r="L35" s="41">
        <v>0.0</v>
      </c>
      <c r="M35" s="41">
        <v>1.0</v>
      </c>
      <c r="N35" s="41">
        <v>0.0</v>
      </c>
      <c r="O35" s="41">
        <v>0.0</v>
      </c>
      <c r="P35" s="43">
        <v>2.0</v>
      </c>
      <c r="Q35" s="43">
        <v>50.0</v>
      </c>
    </row>
    <row r="36">
      <c r="A36" s="9">
        <v>2011.0</v>
      </c>
      <c r="B36" s="29" t="s">
        <v>50</v>
      </c>
      <c r="C36" s="29">
        <v>9.0</v>
      </c>
      <c r="D36" s="34">
        <v>0.7667906392933804</v>
      </c>
      <c r="E36" s="36">
        <v>40.2</v>
      </c>
      <c r="F36" s="38">
        <v>50.0</v>
      </c>
      <c r="G36" s="39">
        <v>6.31</v>
      </c>
      <c r="H36" s="40">
        <v>5485.0</v>
      </c>
      <c r="I36" s="40">
        <v>0.0</v>
      </c>
      <c r="J36" s="40">
        <v>2.75</v>
      </c>
      <c r="K36" s="40">
        <v>-25.23</v>
      </c>
      <c r="L36" s="41">
        <v>0.0</v>
      </c>
      <c r="M36" s="41">
        <v>0.0</v>
      </c>
      <c r="N36" s="41">
        <v>1.0</v>
      </c>
      <c r="O36" s="41">
        <v>0.0</v>
      </c>
      <c r="P36" s="43">
        <v>2.0</v>
      </c>
      <c r="Q36" s="43">
        <v>50.0</v>
      </c>
    </row>
    <row r="37">
      <c r="A37" s="9">
        <v>2015.0</v>
      </c>
      <c r="B37" s="29" t="s">
        <v>50</v>
      </c>
      <c r="C37" s="29">
        <v>9.0</v>
      </c>
      <c r="D37" s="34">
        <v>0.9355773630955407</v>
      </c>
      <c r="E37" s="36">
        <v>26.2</v>
      </c>
      <c r="F37" s="38">
        <v>50.0</v>
      </c>
      <c r="G37" s="39">
        <v>9.83</v>
      </c>
      <c r="H37" s="40">
        <v>6591.0</v>
      </c>
      <c r="I37" s="40">
        <v>0.0</v>
      </c>
      <c r="J37" s="40">
        <v>12.161</v>
      </c>
      <c r="K37" s="40">
        <v>-18.9</v>
      </c>
      <c r="L37" s="41">
        <v>0.0</v>
      </c>
      <c r="M37" s="41">
        <v>0.0</v>
      </c>
      <c r="N37" s="41">
        <v>0.0</v>
      </c>
      <c r="O37" s="41">
        <v>1.0</v>
      </c>
      <c r="P37" s="43">
        <v>2.0</v>
      </c>
      <c r="Q37" s="43">
        <v>0.0</v>
      </c>
    </row>
    <row r="38">
      <c r="A38" s="9">
        <v>2002.0</v>
      </c>
      <c r="B38" s="29" t="s">
        <v>51</v>
      </c>
      <c r="C38" s="29">
        <v>10.0</v>
      </c>
      <c r="D38" s="34">
        <v>0.0</v>
      </c>
      <c r="E38" s="36">
        <v>23.21</v>
      </c>
      <c r="F38" s="38">
        <v>50.0</v>
      </c>
      <c r="G38" s="39">
        <v>3.91</v>
      </c>
      <c r="H38" s="40">
        <v>4169.65</v>
      </c>
      <c r="I38" s="40">
        <v>0.0</v>
      </c>
      <c r="J38" s="40">
        <v>1.521</v>
      </c>
      <c r="K38" s="40">
        <v>-6.36</v>
      </c>
      <c r="L38" s="41">
        <v>1.0</v>
      </c>
      <c r="M38" s="41">
        <v>0.0</v>
      </c>
      <c r="N38" s="41">
        <v>0.0</v>
      </c>
      <c r="O38" s="41">
        <v>0.0</v>
      </c>
      <c r="P38" s="43">
        <v>2.0</v>
      </c>
      <c r="Q38" s="43">
        <v>50.0</v>
      </c>
    </row>
    <row r="39">
      <c r="A39" s="9">
        <v>2007.0</v>
      </c>
      <c r="B39" s="29" t="s">
        <v>51</v>
      </c>
      <c r="C39" s="29">
        <v>10.0</v>
      </c>
      <c r="D39" s="34">
        <v>0.04824239390819171</v>
      </c>
      <c r="E39" s="36">
        <v>37.78</v>
      </c>
      <c r="F39" s="38">
        <v>50.0</v>
      </c>
      <c r="G39" s="39">
        <v>5.75</v>
      </c>
      <c r="H39" s="40">
        <v>5866.19</v>
      </c>
      <c r="I39" s="40">
        <v>0.0</v>
      </c>
      <c r="J39" s="40">
        <v>13.069</v>
      </c>
      <c r="K39" s="40">
        <v>-9.03</v>
      </c>
      <c r="L39" s="41">
        <v>0.0</v>
      </c>
      <c r="M39" s="41">
        <v>1.0</v>
      </c>
      <c r="N39" s="41">
        <v>0.0</v>
      </c>
      <c r="O39" s="41">
        <v>0.0</v>
      </c>
      <c r="P39" s="43">
        <v>2.0</v>
      </c>
      <c r="Q39" s="43">
        <v>50.0</v>
      </c>
    </row>
    <row r="40">
      <c r="A40" s="9">
        <v>2011.0</v>
      </c>
      <c r="B40" s="29" t="s">
        <v>51</v>
      </c>
      <c r="C40" s="29">
        <v>10.0</v>
      </c>
      <c r="D40" s="34">
        <v>0.0</v>
      </c>
      <c r="E40" s="36">
        <v>46.4</v>
      </c>
      <c r="F40" s="38">
        <v>50.0</v>
      </c>
      <c r="G40" s="39">
        <v>8.99</v>
      </c>
      <c r="H40" s="40">
        <v>9060.0</v>
      </c>
      <c r="I40" s="40">
        <v>0.0</v>
      </c>
      <c r="J40" s="40">
        <v>27.885</v>
      </c>
      <c r="K40" s="40">
        <v>-8.35</v>
      </c>
      <c r="L40" s="41">
        <v>0.0</v>
      </c>
      <c r="M40" s="41">
        <v>0.0</v>
      </c>
      <c r="N40" s="41">
        <v>1.0</v>
      </c>
      <c r="O40" s="41">
        <v>0.0</v>
      </c>
      <c r="P40" s="43">
        <v>2.0</v>
      </c>
      <c r="Q40" s="43">
        <v>50.0</v>
      </c>
    </row>
    <row r="41">
      <c r="A41" s="9">
        <v>2015.0</v>
      </c>
      <c r="B41" s="29" t="s">
        <v>51</v>
      </c>
      <c r="C41" s="29">
        <v>10.0</v>
      </c>
      <c r="D41" s="34">
        <v>0.0</v>
      </c>
      <c r="E41" s="36">
        <v>38.8</v>
      </c>
      <c r="F41" s="38">
        <v>50.0</v>
      </c>
      <c r="G41" s="39">
        <v>13.65</v>
      </c>
      <c r="H41" s="40">
        <v>9924.25</v>
      </c>
      <c r="I41" s="40">
        <v>0.0</v>
      </c>
      <c r="J41" s="40">
        <v>50.027</v>
      </c>
      <c r="K41" s="40">
        <v>0.67</v>
      </c>
      <c r="L41" s="41">
        <v>0.0</v>
      </c>
      <c r="M41" s="41">
        <v>0.0</v>
      </c>
      <c r="N41" s="41">
        <v>0.0</v>
      </c>
      <c r="O41" s="41">
        <v>1.0</v>
      </c>
      <c r="P41" s="43">
        <v>2.0</v>
      </c>
      <c r="Q41" s="43">
        <v>50.0</v>
      </c>
    </row>
    <row r="42">
      <c r="A42" s="9">
        <v>2002.0</v>
      </c>
      <c r="B42" s="29" t="s">
        <v>52</v>
      </c>
      <c r="C42" s="29">
        <v>11.0</v>
      </c>
      <c r="D42" s="34">
        <v>0.22471649079010866</v>
      </c>
      <c r="E42" s="36">
        <v>18.27</v>
      </c>
      <c r="F42" s="38">
        <v>50.0</v>
      </c>
      <c r="G42" s="39">
        <v>4.4</v>
      </c>
      <c r="H42" s="40">
        <v>4392.01</v>
      </c>
      <c r="I42" s="40">
        <v>0.0</v>
      </c>
      <c r="J42" s="40">
        <v>3.847</v>
      </c>
      <c r="K42" s="40">
        <v>2.55</v>
      </c>
      <c r="L42" s="41">
        <v>1.0</v>
      </c>
      <c r="M42" s="41">
        <v>0.0</v>
      </c>
      <c r="N42" s="41">
        <v>0.0</v>
      </c>
      <c r="O42" s="41">
        <v>0.0</v>
      </c>
      <c r="P42" s="43">
        <v>8.0</v>
      </c>
      <c r="Q42" s="43">
        <v>50.0</v>
      </c>
    </row>
    <row r="43">
      <c r="A43" s="9">
        <v>2007.0</v>
      </c>
      <c r="B43" s="29" t="s">
        <v>52</v>
      </c>
      <c r="C43" s="29">
        <v>11.0</v>
      </c>
      <c r="D43" s="34">
        <v>0.03559008358585345</v>
      </c>
      <c r="E43" s="36">
        <v>29.19</v>
      </c>
      <c r="F43" s="38">
        <v>37.5</v>
      </c>
      <c r="G43" s="39">
        <v>6.91</v>
      </c>
      <c r="H43" s="40">
        <v>5699.79</v>
      </c>
      <c r="I43" s="40">
        <v>0.0</v>
      </c>
      <c r="J43" s="40">
        <v>30.035</v>
      </c>
      <c r="K43" s="40">
        <v>5.85</v>
      </c>
      <c r="L43" s="41">
        <v>0.0</v>
      </c>
      <c r="M43" s="41">
        <v>1.0</v>
      </c>
      <c r="N43" s="41">
        <v>0.0</v>
      </c>
      <c r="O43" s="41">
        <v>0.0</v>
      </c>
      <c r="P43" s="43">
        <v>8.0</v>
      </c>
      <c r="Q43" s="43">
        <v>25.0</v>
      </c>
    </row>
    <row r="44">
      <c r="A44" s="9">
        <v>2011.0</v>
      </c>
      <c r="B44" s="29" t="s">
        <v>52</v>
      </c>
      <c r="C44" s="29">
        <v>11.0</v>
      </c>
      <c r="D44" s="34">
        <v>0.0</v>
      </c>
      <c r="E44" s="36">
        <v>35.5</v>
      </c>
      <c r="F44" s="38">
        <v>42.8571428571429</v>
      </c>
      <c r="G44" s="39">
        <v>9.75</v>
      </c>
      <c r="H44" s="40">
        <v>7609.0</v>
      </c>
      <c r="I44" s="40">
        <v>0.0</v>
      </c>
      <c r="J44" s="40">
        <v>56.553</v>
      </c>
      <c r="K44" s="40">
        <v>3.37</v>
      </c>
      <c r="L44" s="41">
        <v>0.0</v>
      </c>
      <c r="M44" s="41">
        <v>0.0</v>
      </c>
      <c r="N44" s="41">
        <v>1.0</v>
      </c>
      <c r="O44" s="41">
        <v>0.0</v>
      </c>
      <c r="P44" s="43">
        <v>7.0</v>
      </c>
      <c r="Q44" s="43">
        <v>42.8571428571429</v>
      </c>
    </row>
    <row r="45">
      <c r="A45" s="9">
        <v>2015.0</v>
      </c>
      <c r="B45" s="29" t="s">
        <v>52</v>
      </c>
      <c r="C45" s="29">
        <v>11.0</v>
      </c>
      <c r="D45" s="34">
        <v>0.16569000056166103</v>
      </c>
      <c r="E45" s="36">
        <v>29.3</v>
      </c>
      <c r="F45" s="38">
        <v>28.5714285714286</v>
      </c>
      <c r="G45" s="39">
        <v>13.38</v>
      </c>
      <c r="H45" s="40">
        <v>8509.25</v>
      </c>
      <c r="I45" s="40">
        <v>0.0</v>
      </c>
      <c r="J45" s="40">
        <v>104.555</v>
      </c>
      <c r="K45" s="40">
        <v>4.77</v>
      </c>
      <c r="L45" s="41">
        <v>0.0</v>
      </c>
      <c r="M45" s="41">
        <v>0.0</v>
      </c>
      <c r="N45" s="41">
        <v>0.0</v>
      </c>
      <c r="O45" s="41">
        <v>1.0</v>
      </c>
      <c r="P45" s="43">
        <v>7.0</v>
      </c>
      <c r="Q45" s="43">
        <v>57.1428571428571</v>
      </c>
    </row>
    <row r="46">
      <c r="A46" s="9">
        <v>2002.0</v>
      </c>
      <c r="B46" s="29" t="s">
        <v>53</v>
      </c>
      <c r="C46" s="29">
        <v>12.0</v>
      </c>
      <c r="D46" s="34">
        <v>0.7933378222376025</v>
      </c>
      <c r="E46" s="36">
        <v>33.58</v>
      </c>
      <c r="F46" s="38">
        <v>62.5</v>
      </c>
      <c r="G46" s="39">
        <v>4.59</v>
      </c>
      <c r="H46" s="40">
        <v>4788.65</v>
      </c>
      <c r="I46" s="40">
        <v>0.0</v>
      </c>
      <c r="J46" s="40">
        <v>4.624</v>
      </c>
      <c r="K46" s="40">
        <v>0.49</v>
      </c>
      <c r="L46" s="41">
        <v>1.0</v>
      </c>
      <c r="M46" s="41">
        <v>0.0</v>
      </c>
      <c r="N46" s="41">
        <v>0.0</v>
      </c>
      <c r="O46" s="41">
        <v>0.0</v>
      </c>
      <c r="P46" s="43">
        <v>8.0</v>
      </c>
      <c r="Q46" s="43">
        <v>37.5</v>
      </c>
    </row>
    <row r="47">
      <c r="A47" s="9">
        <v>2007.0</v>
      </c>
      <c r="B47" s="29" t="s">
        <v>53</v>
      </c>
      <c r="C47" s="29">
        <v>12.0</v>
      </c>
      <c r="D47" s="34">
        <v>0.18352640748368254</v>
      </c>
      <c r="E47" s="36">
        <v>41.47</v>
      </c>
      <c r="F47" s="38">
        <v>62.5</v>
      </c>
      <c r="G47" s="39">
        <v>7.08</v>
      </c>
      <c r="H47" s="40">
        <v>6411.75</v>
      </c>
      <c r="I47" s="40">
        <v>0.0</v>
      </c>
      <c r="J47" s="40">
        <v>23.312</v>
      </c>
      <c r="K47" s="40">
        <v>3.03</v>
      </c>
      <c r="L47" s="41">
        <v>0.0</v>
      </c>
      <c r="M47" s="41">
        <v>1.0</v>
      </c>
      <c r="N47" s="41">
        <v>0.0</v>
      </c>
      <c r="O47" s="41">
        <v>0.0</v>
      </c>
      <c r="P47" s="43">
        <v>8.0</v>
      </c>
      <c r="Q47" s="43">
        <v>25.0</v>
      </c>
    </row>
    <row r="48">
      <c r="A48" s="9">
        <v>2011.0</v>
      </c>
      <c r="B48" s="29" t="s">
        <v>53</v>
      </c>
      <c r="C48" s="29">
        <v>12.0</v>
      </c>
      <c r="D48" s="34">
        <v>0.17449641292831156</v>
      </c>
      <c r="E48" s="36">
        <v>46.5</v>
      </c>
      <c r="F48" s="38">
        <v>50.0</v>
      </c>
      <c r="G48" s="39">
        <v>9.78</v>
      </c>
      <c r="H48" s="40">
        <v>9388.5</v>
      </c>
      <c r="I48" s="40">
        <v>0.0</v>
      </c>
      <c r="J48" s="40">
        <v>50.719</v>
      </c>
      <c r="K48" s="40">
        <v>2.91</v>
      </c>
      <c r="L48" s="41">
        <v>0.0</v>
      </c>
      <c r="M48" s="41">
        <v>0.0</v>
      </c>
      <c r="N48" s="41">
        <v>1.0</v>
      </c>
      <c r="O48" s="41">
        <v>0.0</v>
      </c>
      <c r="P48" s="43">
        <v>8.0</v>
      </c>
      <c r="Q48" s="43">
        <v>37.5</v>
      </c>
    </row>
    <row r="49">
      <c r="A49" s="9">
        <v>2015.0</v>
      </c>
      <c r="B49" s="29" t="s">
        <v>53</v>
      </c>
      <c r="C49" s="29">
        <v>12.0</v>
      </c>
      <c r="D49" s="34">
        <v>0.6520779550835328</v>
      </c>
      <c r="E49" s="36">
        <v>38.9</v>
      </c>
      <c r="F49" s="38">
        <v>37.5</v>
      </c>
      <c r="G49" s="39">
        <v>13.65</v>
      </c>
      <c r="H49" s="40">
        <v>9861.0</v>
      </c>
      <c r="I49" s="40">
        <v>0.0</v>
      </c>
      <c r="J49" s="40">
        <v>93.483</v>
      </c>
      <c r="K49" s="40">
        <v>3.55</v>
      </c>
      <c r="L49" s="41">
        <v>0.0</v>
      </c>
      <c r="M49" s="41">
        <v>0.0</v>
      </c>
      <c r="N49" s="41">
        <v>0.0</v>
      </c>
      <c r="O49" s="41">
        <v>1.0</v>
      </c>
      <c r="P49" s="43">
        <v>8.0</v>
      </c>
      <c r="Q49" s="43">
        <v>37.5</v>
      </c>
    </row>
    <row r="50">
      <c r="A50" s="9">
        <v>2002.0</v>
      </c>
      <c r="B50" s="29" t="s">
        <v>54</v>
      </c>
      <c r="C50" s="29">
        <v>13.0</v>
      </c>
      <c r="D50" s="34">
        <v>0.7664812689767255</v>
      </c>
      <c r="E50" s="36">
        <v>28.59</v>
      </c>
      <c r="F50" s="38">
        <v>100.0</v>
      </c>
      <c r="G50" s="39">
        <v>2.9</v>
      </c>
      <c r="H50" s="40">
        <v>3450.8</v>
      </c>
      <c r="I50" s="40">
        <v>0.0</v>
      </c>
      <c r="J50" s="40">
        <v>0.939</v>
      </c>
      <c r="K50" s="40">
        <v>-8.68</v>
      </c>
      <c r="L50" s="41">
        <v>1.0</v>
      </c>
      <c r="M50" s="41">
        <v>0.0</v>
      </c>
      <c r="N50" s="41">
        <v>0.0</v>
      </c>
      <c r="O50" s="41">
        <v>0.0</v>
      </c>
      <c r="P50" s="43">
        <v>2.0</v>
      </c>
      <c r="Q50" s="43">
        <v>0.0</v>
      </c>
    </row>
    <row r="51">
      <c r="A51" s="9">
        <v>2007.0</v>
      </c>
      <c r="B51" s="29" t="s">
        <v>54</v>
      </c>
      <c r="C51" s="29">
        <v>13.0</v>
      </c>
      <c r="D51" s="34">
        <v>0.25638765813910636</v>
      </c>
      <c r="E51" s="36">
        <v>38.57</v>
      </c>
      <c r="F51" s="38">
        <v>50.0</v>
      </c>
      <c r="G51" s="39">
        <v>4.86</v>
      </c>
      <c r="H51" s="40">
        <v>4573.41</v>
      </c>
      <c r="I51" s="40">
        <v>0.0</v>
      </c>
      <c r="J51" s="40">
        <v>5.992</v>
      </c>
      <c r="K51" s="40">
        <v>1.34</v>
      </c>
      <c r="L51" s="41">
        <v>0.0</v>
      </c>
      <c r="M51" s="41">
        <v>1.0</v>
      </c>
      <c r="N51" s="41">
        <v>0.0</v>
      </c>
      <c r="O51" s="41">
        <v>0.0</v>
      </c>
      <c r="P51" s="43">
        <v>2.0</v>
      </c>
      <c r="Q51" s="43">
        <v>50.0</v>
      </c>
    </row>
    <row r="52">
      <c r="A52" s="9">
        <v>2011.0</v>
      </c>
      <c r="B52" s="29" t="s">
        <v>54</v>
      </c>
      <c r="C52" s="29">
        <v>13.0</v>
      </c>
      <c r="D52" s="34">
        <v>0.0</v>
      </c>
      <c r="E52" s="36">
        <v>48.2</v>
      </c>
      <c r="F52" s="38">
        <v>50.0</v>
      </c>
      <c r="G52" s="39">
        <v>7.31</v>
      </c>
      <c r="H52" s="40">
        <v>6440.75</v>
      </c>
      <c r="I52" s="40">
        <v>0.0</v>
      </c>
      <c r="J52" s="40">
        <v>16.31</v>
      </c>
      <c r="K52" s="40">
        <v>2.91</v>
      </c>
      <c r="L52" s="41">
        <v>0.0</v>
      </c>
      <c r="M52" s="41">
        <v>0.0</v>
      </c>
      <c r="N52" s="41">
        <v>1.0</v>
      </c>
      <c r="O52" s="41">
        <v>0.0</v>
      </c>
      <c r="P52" s="43">
        <v>2.0</v>
      </c>
      <c r="Q52" s="43">
        <v>50.0</v>
      </c>
    </row>
    <row r="53">
      <c r="A53" s="9">
        <v>2015.0</v>
      </c>
      <c r="B53" s="29" t="s">
        <v>54</v>
      </c>
      <c r="C53" s="29">
        <v>13.0</v>
      </c>
      <c r="D53" s="34">
        <v>0.0</v>
      </c>
      <c r="E53" s="36">
        <v>41.5</v>
      </c>
      <c r="F53" s="38">
        <v>50.0</v>
      </c>
      <c r="G53" s="39">
        <v>10.14</v>
      </c>
      <c r="H53" s="40">
        <v>7705.5</v>
      </c>
      <c r="I53" s="40">
        <v>0.0</v>
      </c>
      <c r="J53" s="40">
        <v>44.866</v>
      </c>
      <c r="K53" s="40">
        <v>-3.44</v>
      </c>
      <c r="L53" s="41">
        <v>0.0</v>
      </c>
      <c r="M53" s="41">
        <v>0.0</v>
      </c>
      <c r="N53" s="41">
        <v>0.0</v>
      </c>
      <c r="O53" s="41">
        <v>1.0</v>
      </c>
      <c r="P53" s="43">
        <v>2.0</v>
      </c>
      <c r="Q53" s="43">
        <v>50.0</v>
      </c>
    </row>
    <row r="54">
      <c r="A54" s="9">
        <v>2002.0</v>
      </c>
      <c r="B54" s="29" t="s">
        <v>55</v>
      </c>
      <c r="C54" s="29">
        <v>14.0</v>
      </c>
      <c r="D54" s="34">
        <v>0.5917623130371841</v>
      </c>
      <c r="E54" s="36">
        <v>20.62</v>
      </c>
      <c r="F54" s="38">
        <v>75.0</v>
      </c>
      <c r="G54" s="39">
        <v>1.73</v>
      </c>
      <c r="H54" s="40">
        <v>2583.11</v>
      </c>
      <c r="I54" s="40">
        <v>0.0</v>
      </c>
      <c r="J54" s="40">
        <v>0.405</v>
      </c>
      <c r="K54" s="40">
        <v>-4.52</v>
      </c>
      <c r="L54" s="41">
        <v>1.0</v>
      </c>
      <c r="M54" s="41">
        <v>0.0</v>
      </c>
      <c r="N54" s="41">
        <v>0.0</v>
      </c>
      <c r="O54" s="41">
        <v>0.0</v>
      </c>
      <c r="P54" s="43">
        <v>4.0</v>
      </c>
      <c r="Q54" s="43">
        <v>25.0</v>
      </c>
    </row>
    <row r="55">
      <c r="A55" s="9">
        <v>2007.0</v>
      </c>
      <c r="B55" s="29" t="s">
        <v>55</v>
      </c>
      <c r="C55" s="29">
        <v>14.0</v>
      </c>
      <c r="D55" s="34">
        <v>0.36961561462468906</v>
      </c>
      <c r="E55" s="36">
        <v>46.41</v>
      </c>
      <c r="F55" s="38">
        <v>50.0</v>
      </c>
      <c r="G55" s="39">
        <v>3.41</v>
      </c>
      <c r="H55" s="40">
        <v>3438.96</v>
      </c>
      <c r="I55" s="40">
        <v>0.0</v>
      </c>
      <c r="J55" s="40">
        <v>4.878</v>
      </c>
      <c r="K55" s="40">
        <v>-5.55</v>
      </c>
      <c r="L55" s="41">
        <v>0.0</v>
      </c>
      <c r="M55" s="41">
        <v>1.0</v>
      </c>
      <c r="N55" s="41">
        <v>0.0</v>
      </c>
      <c r="O55" s="41">
        <v>0.0</v>
      </c>
      <c r="P55" s="43">
        <v>4.0</v>
      </c>
      <c r="Q55" s="43">
        <v>0.0</v>
      </c>
    </row>
    <row r="56">
      <c r="A56" s="9">
        <v>2011.0</v>
      </c>
      <c r="B56" s="29" t="s">
        <v>55</v>
      </c>
      <c r="C56" s="29">
        <v>14.0</v>
      </c>
      <c r="D56" s="34">
        <v>0.7683548412247985</v>
      </c>
      <c r="E56" s="36">
        <v>37.1</v>
      </c>
      <c r="F56" s="38">
        <v>50.0</v>
      </c>
      <c r="G56" s="39">
        <v>6.45</v>
      </c>
      <c r="H56" s="40">
        <v>5066.5</v>
      </c>
      <c r="I56" s="40">
        <v>0.0</v>
      </c>
      <c r="J56" s="40">
        <v>5.878</v>
      </c>
      <c r="K56" s="40">
        <v>-0.73</v>
      </c>
      <c r="L56" s="41">
        <v>0.0</v>
      </c>
      <c r="M56" s="41">
        <v>0.0</v>
      </c>
      <c r="N56" s="41">
        <v>1.0</v>
      </c>
      <c r="O56" s="41">
        <v>0.0</v>
      </c>
      <c r="P56" s="43">
        <v>4.0</v>
      </c>
      <c r="Q56" s="43">
        <v>0.0</v>
      </c>
    </row>
    <row r="57">
      <c r="A57" s="9">
        <v>2015.0</v>
      </c>
      <c r="B57" s="29" t="s">
        <v>55</v>
      </c>
      <c r="C57" s="29">
        <v>14.0</v>
      </c>
      <c r="D57" s="34">
        <v>0.5546898157216428</v>
      </c>
      <c r="E57" s="36">
        <v>18.2</v>
      </c>
      <c r="F57" s="38">
        <v>25.0</v>
      </c>
      <c r="G57" s="39">
        <v>10.63</v>
      </c>
      <c r="H57" s="40">
        <v>5337.5</v>
      </c>
      <c r="I57" s="40">
        <v>0.0</v>
      </c>
      <c r="J57" s="40">
        <v>8.206</v>
      </c>
      <c r="K57" s="40">
        <v>-4.92</v>
      </c>
      <c r="L57" s="41">
        <v>0.0</v>
      </c>
      <c r="M57" s="41">
        <v>0.0</v>
      </c>
      <c r="N57" s="41">
        <v>0.0</v>
      </c>
      <c r="O57" s="41">
        <v>1.0</v>
      </c>
      <c r="P57" s="43">
        <v>4.0</v>
      </c>
      <c r="Q57" s="43">
        <v>0.0</v>
      </c>
    </row>
    <row r="58">
      <c r="A58" s="9">
        <v>2002.0</v>
      </c>
      <c r="B58" s="29" t="s">
        <v>56</v>
      </c>
      <c r="C58" s="29">
        <v>15.0</v>
      </c>
      <c r="D58" s="34">
        <v>0.428148128809931</v>
      </c>
      <c r="E58" s="36">
        <v>26.74</v>
      </c>
      <c r="F58" s="38">
        <v>50.0</v>
      </c>
      <c r="G58" s="39">
        <v>2.62</v>
      </c>
      <c r="H58" s="40">
        <v>2966.13</v>
      </c>
      <c r="I58" s="40">
        <v>0.0</v>
      </c>
      <c r="J58" s="40">
        <v>1.469</v>
      </c>
      <c r="K58" s="40">
        <v>-5.95</v>
      </c>
      <c r="L58" s="41">
        <v>1.0</v>
      </c>
      <c r="M58" s="41">
        <v>0.0</v>
      </c>
      <c r="N58" s="41">
        <v>0.0</v>
      </c>
      <c r="O58" s="41">
        <v>0.0</v>
      </c>
      <c r="P58" s="43">
        <v>2.0</v>
      </c>
      <c r="Q58" s="43">
        <v>0.0</v>
      </c>
    </row>
    <row r="59">
      <c r="A59" s="9">
        <v>2007.0</v>
      </c>
      <c r="B59" s="29" t="s">
        <v>56</v>
      </c>
      <c r="C59" s="29">
        <v>15.0</v>
      </c>
      <c r="D59" s="34">
        <v>1.392937805326992</v>
      </c>
      <c r="E59" s="36">
        <v>60.75</v>
      </c>
      <c r="F59" s="38">
        <v>100.0</v>
      </c>
      <c r="G59" s="39">
        <v>4.59</v>
      </c>
      <c r="H59" s="40">
        <v>3869.68</v>
      </c>
      <c r="I59" s="40">
        <v>0.0</v>
      </c>
      <c r="J59" s="40">
        <v>8.211</v>
      </c>
      <c r="K59" s="40">
        <v>-15.72</v>
      </c>
      <c r="L59" s="41">
        <v>0.0</v>
      </c>
      <c r="M59" s="41">
        <v>1.0</v>
      </c>
      <c r="N59" s="41">
        <v>0.0</v>
      </c>
      <c r="O59" s="41">
        <v>0.0</v>
      </c>
      <c r="P59" s="43">
        <v>2.0</v>
      </c>
      <c r="Q59" s="43">
        <v>0.0</v>
      </c>
    </row>
    <row r="60">
      <c r="A60" s="9">
        <v>2011.0</v>
      </c>
      <c r="B60" s="29" t="s">
        <v>56</v>
      </c>
      <c r="C60" s="29">
        <v>15.0</v>
      </c>
      <c r="D60" s="34">
        <v>0.19319067275431942</v>
      </c>
      <c r="E60" s="36">
        <v>63.4</v>
      </c>
      <c r="F60" s="38">
        <v>100.0</v>
      </c>
      <c r="G60" s="39">
        <v>7.56</v>
      </c>
      <c r="H60" s="40">
        <v>5887.25</v>
      </c>
      <c r="I60" s="40">
        <v>0.0</v>
      </c>
      <c r="J60" s="40">
        <v>22.778</v>
      </c>
      <c r="K60" s="40">
        <v>-17.87</v>
      </c>
      <c r="L60" s="41">
        <v>0.0</v>
      </c>
      <c r="M60" s="41">
        <v>0.0</v>
      </c>
      <c r="N60" s="41">
        <v>1.0</v>
      </c>
      <c r="O60" s="41">
        <v>0.0</v>
      </c>
      <c r="P60" s="43">
        <v>1.0</v>
      </c>
      <c r="Q60" s="43">
        <v>0.0</v>
      </c>
    </row>
    <row r="61">
      <c r="A61" s="9">
        <v>2015.0</v>
      </c>
      <c r="B61" s="29" t="s">
        <v>56</v>
      </c>
      <c r="C61" s="29">
        <v>15.0</v>
      </c>
      <c r="D61" s="34">
        <v>0.0</v>
      </c>
      <c r="E61" s="36">
        <v>60.3</v>
      </c>
      <c r="F61" s="38">
        <v>50.0</v>
      </c>
      <c r="G61" s="39">
        <v>12.02</v>
      </c>
      <c r="H61" s="40">
        <v>7214.0</v>
      </c>
      <c r="I61" s="40">
        <v>0.0</v>
      </c>
      <c r="J61" s="40">
        <v>45.744</v>
      </c>
      <c r="K61" s="40">
        <v>7.66</v>
      </c>
      <c r="L61" s="41">
        <v>0.0</v>
      </c>
      <c r="M61" s="41">
        <v>0.0</v>
      </c>
      <c r="N61" s="41">
        <v>0.0</v>
      </c>
      <c r="O61" s="41">
        <v>1.0</v>
      </c>
      <c r="P61" s="43">
        <v>2.0</v>
      </c>
      <c r="Q61" s="43">
        <v>0.0</v>
      </c>
    </row>
    <row r="62">
      <c r="A62" s="9">
        <v>2002.0</v>
      </c>
      <c r="B62" s="29" t="s">
        <v>57</v>
      </c>
      <c r="C62" s="29">
        <v>16.0</v>
      </c>
      <c r="D62" s="34">
        <v>1.3073114237622498</v>
      </c>
      <c r="E62" s="36">
        <v>24.88</v>
      </c>
      <c r="F62" s="38">
        <v>50.0</v>
      </c>
      <c r="G62" s="39">
        <v>3.57</v>
      </c>
      <c r="H62" s="40">
        <v>6255.38</v>
      </c>
      <c r="I62" s="40">
        <v>0.0</v>
      </c>
      <c r="J62" s="40">
        <v>2.583</v>
      </c>
      <c r="K62" s="40">
        <v>5.79</v>
      </c>
      <c r="L62" s="41">
        <v>1.0</v>
      </c>
      <c r="M62" s="41">
        <v>0.0</v>
      </c>
      <c r="N62" s="41">
        <v>0.0</v>
      </c>
      <c r="O62" s="41">
        <v>0.0</v>
      </c>
      <c r="P62" s="43">
        <v>2.0</v>
      </c>
      <c r="Q62" s="43">
        <v>50.0</v>
      </c>
    </row>
    <row r="63">
      <c r="A63" s="9">
        <v>2007.0</v>
      </c>
      <c r="B63" s="29" t="s">
        <v>57</v>
      </c>
      <c r="C63" s="29">
        <v>16.0</v>
      </c>
      <c r="D63" s="34">
        <v>0.2183247216359799</v>
      </c>
      <c r="E63" s="36">
        <v>39.97</v>
      </c>
      <c r="F63" s="38">
        <v>50.0</v>
      </c>
      <c r="G63" s="39">
        <v>5.87</v>
      </c>
      <c r="H63" s="40">
        <v>8885.38</v>
      </c>
      <c r="I63" s="40">
        <v>0.0</v>
      </c>
      <c r="J63" s="40">
        <v>26.748</v>
      </c>
      <c r="K63" s="40">
        <v>1.38</v>
      </c>
      <c r="L63" s="41">
        <v>0.0</v>
      </c>
      <c r="M63" s="41">
        <v>1.0</v>
      </c>
      <c r="N63" s="41">
        <v>0.0</v>
      </c>
      <c r="O63" s="41">
        <v>0.0</v>
      </c>
      <c r="P63" s="43">
        <v>2.0</v>
      </c>
      <c r="Q63" s="43">
        <v>50.0</v>
      </c>
    </row>
    <row r="64">
      <c r="A64" s="9">
        <v>2011.0</v>
      </c>
      <c r="B64" s="29" t="s">
        <v>57</v>
      </c>
      <c r="C64" s="29">
        <v>16.0</v>
      </c>
      <c r="D64" s="34">
        <v>0.8667648361646854</v>
      </c>
      <c r="E64" s="36">
        <v>42.6</v>
      </c>
      <c r="F64" s="38">
        <v>50.0</v>
      </c>
      <c r="G64" s="39">
        <v>9.45</v>
      </c>
      <c r="H64" s="40">
        <v>12772.0</v>
      </c>
      <c r="I64" s="40">
        <v>0.0</v>
      </c>
      <c r="J64" s="40">
        <v>54.222</v>
      </c>
      <c r="K64" s="40">
        <v>-0.68</v>
      </c>
      <c r="L64" s="41">
        <v>0.0</v>
      </c>
      <c r="M64" s="41">
        <v>0.0</v>
      </c>
      <c r="N64" s="41">
        <v>1.0</v>
      </c>
      <c r="O64" s="41">
        <v>0.0</v>
      </c>
      <c r="P64" s="43">
        <v>2.0</v>
      </c>
      <c r="Q64" s="43">
        <v>0.0</v>
      </c>
    </row>
    <row r="65">
      <c r="A65" s="9">
        <v>2015.0</v>
      </c>
      <c r="B65" s="29" t="s">
        <v>57</v>
      </c>
      <c r="C65" s="29">
        <v>16.0</v>
      </c>
      <c r="D65" s="34">
        <v>0.0</v>
      </c>
      <c r="E65" s="36">
        <v>37.3</v>
      </c>
      <c r="F65" s="38">
        <v>50.0</v>
      </c>
      <c r="G65" s="39">
        <v>13.15</v>
      </c>
      <c r="H65" s="40">
        <v>14494.25</v>
      </c>
      <c r="I65" s="40">
        <v>0.0</v>
      </c>
      <c r="J65" s="40">
        <v>103.299</v>
      </c>
      <c r="K65" s="40">
        <v>4.42</v>
      </c>
      <c r="L65" s="41">
        <v>0.0</v>
      </c>
      <c r="M65" s="41">
        <v>0.0</v>
      </c>
      <c r="N65" s="41">
        <v>0.0</v>
      </c>
      <c r="O65" s="41">
        <v>1.0</v>
      </c>
      <c r="P65" s="43">
        <v>2.0</v>
      </c>
      <c r="Q65" s="43">
        <v>50.0</v>
      </c>
    </row>
    <row r="66">
      <c r="A66" s="9">
        <v>2002.0</v>
      </c>
      <c r="B66" s="29" t="s">
        <v>58</v>
      </c>
      <c r="C66" s="29">
        <v>17.0</v>
      </c>
      <c r="D66" s="34">
        <v>0.9922401730059789</v>
      </c>
      <c r="E66" s="36">
        <v>31.73</v>
      </c>
      <c r="F66" s="38">
        <v>100.0</v>
      </c>
      <c r="G66" s="39">
        <v>2.14</v>
      </c>
      <c r="H66" s="40">
        <v>2088.45</v>
      </c>
      <c r="I66" s="40">
        <v>1.0</v>
      </c>
      <c r="J66" s="40">
        <v>0.256</v>
      </c>
      <c r="K66" s="40">
        <v>-5.01</v>
      </c>
      <c r="L66" s="41">
        <v>1.0</v>
      </c>
      <c r="M66" s="41">
        <v>0.0</v>
      </c>
      <c r="N66" s="41">
        <v>0.0</v>
      </c>
      <c r="O66" s="41">
        <v>0.0</v>
      </c>
      <c r="P66" s="43">
        <v>3.0</v>
      </c>
      <c r="Q66" s="43">
        <v>0.0</v>
      </c>
    </row>
    <row r="67">
      <c r="A67" s="9">
        <v>2007.0</v>
      </c>
      <c r="B67" s="29" t="s">
        <v>58</v>
      </c>
      <c r="C67" s="29">
        <v>17.0</v>
      </c>
      <c r="D67" s="34">
        <v>0.9521320471130482</v>
      </c>
      <c r="E67" s="36">
        <v>71.12</v>
      </c>
      <c r="F67" s="38">
        <v>100.0</v>
      </c>
      <c r="G67" s="39">
        <v>3.32</v>
      </c>
      <c r="H67" s="40">
        <v>2866.55</v>
      </c>
      <c r="I67" s="40">
        <v>0.0</v>
      </c>
      <c r="J67" s="40">
        <v>10.199</v>
      </c>
      <c r="K67" s="40">
        <v>-4.87</v>
      </c>
      <c r="L67" s="41">
        <v>0.0</v>
      </c>
      <c r="M67" s="41">
        <v>1.0</v>
      </c>
      <c r="N67" s="41">
        <v>0.0</v>
      </c>
      <c r="O67" s="41">
        <v>0.0</v>
      </c>
      <c r="P67" s="43">
        <v>3.0</v>
      </c>
      <c r="Q67" s="43">
        <v>0.0</v>
      </c>
    </row>
    <row r="68">
      <c r="A68" s="9">
        <v>2011.0</v>
      </c>
      <c r="B68" s="29" t="s">
        <v>58</v>
      </c>
      <c r="C68" s="29">
        <v>17.0</v>
      </c>
      <c r="D68" s="34">
        <v>1.9251355039086941</v>
      </c>
      <c r="E68" s="36">
        <v>67.1</v>
      </c>
      <c r="F68" s="38">
        <v>66.6666666666667</v>
      </c>
      <c r="G68" s="39">
        <v>6.13</v>
      </c>
      <c r="H68" s="40">
        <v>4509.75</v>
      </c>
      <c r="I68" s="40">
        <v>0.0</v>
      </c>
      <c r="J68" s="40">
        <v>11.631</v>
      </c>
      <c r="K68" s="40">
        <v>-9.01</v>
      </c>
      <c r="L68" s="41">
        <v>0.0</v>
      </c>
      <c r="M68" s="41">
        <v>0.0</v>
      </c>
      <c r="N68" s="41">
        <v>1.0</v>
      </c>
      <c r="O68" s="41">
        <v>0.0</v>
      </c>
      <c r="P68" s="43">
        <v>3.0</v>
      </c>
      <c r="Q68" s="43">
        <v>0.0</v>
      </c>
    </row>
    <row r="69">
      <c r="A69" s="9">
        <v>2015.0</v>
      </c>
      <c r="B69" s="29" t="s">
        <v>58</v>
      </c>
      <c r="C69" s="29">
        <v>17.0</v>
      </c>
      <c r="D69" s="34">
        <v>0.0</v>
      </c>
      <c r="E69" s="36">
        <v>46.9</v>
      </c>
      <c r="F69" s="38">
        <v>66.6666666666667</v>
      </c>
      <c r="G69" s="39">
        <v>10.67</v>
      </c>
      <c r="H69" s="40">
        <v>5670.75</v>
      </c>
      <c r="I69" s="40">
        <v>0.0</v>
      </c>
      <c r="J69" s="40">
        <v>25.969</v>
      </c>
      <c r="K69" s="40">
        <v>-8.0</v>
      </c>
      <c r="L69" s="41">
        <v>0.0</v>
      </c>
      <c r="M69" s="41">
        <v>0.0</v>
      </c>
      <c r="N69" s="41">
        <v>0.0</v>
      </c>
      <c r="O69" s="41">
        <v>1.0</v>
      </c>
      <c r="P69" s="43">
        <v>3.0</v>
      </c>
      <c r="Q69" s="43">
        <v>0.0</v>
      </c>
    </row>
    <row r="70">
      <c r="A70" s="9">
        <v>2002.0</v>
      </c>
      <c r="B70" s="29" t="s">
        <v>59</v>
      </c>
      <c r="C70" s="29">
        <v>18.0</v>
      </c>
      <c r="D70" s="34">
        <v>0.7100028668500638</v>
      </c>
      <c r="E70" s="36">
        <v>17.67</v>
      </c>
      <c r="F70" s="38">
        <v>75.0</v>
      </c>
      <c r="G70" s="39">
        <v>1.99</v>
      </c>
      <c r="H70" s="40">
        <v>1905.11</v>
      </c>
      <c r="I70" s="40">
        <v>0.0</v>
      </c>
      <c r="J70" s="40">
        <v>0.0</v>
      </c>
      <c r="K70" s="40">
        <v>-2.12</v>
      </c>
      <c r="L70" s="41">
        <v>1.0</v>
      </c>
      <c r="M70" s="41">
        <v>0.0</v>
      </c>
      <c r="N70" s="41">
        <v>0.0</v>
      </c>
      <c r="O70" s="41">
        <v>0.0</v>
      </c>
      <c r="P70" s="43">
        <v>4.0</v>
      </c>
      <c r="Q70" s="43">
        <v>0.0</v>
      </c>
    </row>
    <row r="71">
      <c r="A71" s="9">
        <v>2007.0</v>
      </c>
      <c r="B71" s="29" t="s">
        <v>59</v>
      </c>
      <c r="C71" s="29">
        <v>18.0</v>
      </c>
      <c r="D71" s="34">
        <v>0.7631871239429517</v>
      </c>
      <c r="E71" s="36">
        <v>58.82</v>
      </c>
      <c r="F71" s="38">
        <v>75.0</v>
      </c>
      <c r="G71" s="39">
        <v>3.37</v>
      </c>
      <c r="H71" s="40">
        <v>2630.1</v>
      </c>
      <c r="I71" s="40">
        <v>0.0</v>
      </c>
      <c r="J71" s="40">
        <v>0.967</v>
      </c>
      <c r="K71" s="40">
        <v>-14.99</v>
      </c>
      <c r="L71" s="41">
        <v>0.0</v>
      </c>
      <c r="M71" s="41">
        <v>1.0</v>
      </c>
      <c r="N71" s="41">
        <v>0.0</v>
      </c>
      <c r="O71" s="41">
        <v>0.0</v>
      </c>
      <c r="P71" s="43">
        <v>4.0</v>
      </c>
      <c r="Q71" s="43">
        <v>0.0</v>
      </c>
    </row>
    <row r="72">
      <c r="A72" s="9">
        <v>2011.0</v>
      </c>
      <c r="B72" s="29" t="s">
        <v>59</v>
      </c>
      <c r="C72" s="29">
        <v>18.0</v>
      </c>
      <c r="D72" s="34">
        <v>0.9239541393515025</v>
      </c>
      <c r="E72" s="36">
        <v>50.7</v>
      </c>
      <c r="F72" s="38">
        <v>66.6666666666667</v>
      </c>
      <c r="G72" s="39">
        <v>6.27</v>
      </c>
      <c r="H72" s="40">
        <v>4053.75</v>
      </c>
      <c r="I72" s="40">
        <v>0.0</v>
      </c>
      <c r="J72" s="40">
        <v>9.259</v>
      </c>
      <c r="K72" s="40">
        <v>-18.79</v>
      </c>
      <c r="L72" s="41">
        <v>0.0</v>
      </c>
      <c r="M72" s="41">
        <v>0.0</v>
      </c>
      <c r="N72" s="41">
        <v>1.0</v>
      </c>
      <c r="O72" s="41">
        <v>0.0</v>
      </c>
      <c r="P72" s="43">
        <v>3.0</v>
      </c>
      <c r="Q72" s="43">
        <v>0.0</v>
      </c>
    </row>
    <row r="73">
      <c r="A73" s="9">
        <v>2015.0</v>
      </c>
      <c r="B73" s="29" t="s">
        <v>59</v>
      </c>
      <c r="C73" s="29">
        <v>18.0</v>
      </c>
      <c r="D73" s="34">
        <v>0.0</v>
      </c>
      <c r="E73" s="36">
        <v>30.9</v>
      </c>
      <c r="F73" s="38">
        <v>33.3333333333333</v>
      </c>
      <c r="G73" s="39">
        <v>9.55</v>
      </c>
      <c r="H73" s="40">
        <v>5289.25</v>
      </c>
      <c r="I73" s="40">
        <v>0.0</v>
      </c>
      <c r="J73" s="40">
        <v>22.731</v>
      </c>
      <c r="K73" s="40">
        <v>-16.15</v>
      </c>
      <c r="L73" s="41">
        <v>0.0</v>
      </c>
      <c r="M73" s="41">
        <v>0.0</v>
      </c>
      <c r="N73" s="41">
        <v>0.0</v>
      </c>
      <c r="O73" s="41">
        <v>1.0</v>
      </c>
      <c r="P73" s="43">
        <v>3.0</v>
      </c>
      <c r="Q73" s="43">
        <v>0.0</v>
      </c>
    </row>
    <row r="74">
      <c r="A74" s="9">
        <v>2002.0</v>
      </c>
      <c r="B74" s="29" t="s">
        <v>60</v>
      </c>
      <c r="C74" s="29">
        <v>19.0</v>
      </c>
      <c r="D74" s="34">
        <v>1.6330334261529416</v>
      </c>
      <c r="E74" s="36">
        <v>43.08</v>
      </c>
      <c r="F74" s="38">
        <v>100.0</v>
      </c>
      <c r="G74" s="39">
        <v>4.32</v>
      </c>
      <c r="H74" s="40">
        <v>6327.08</v>
      </c>
      <c r="I74" s="40">
        <v>0.0</v>
      </c>
      <c r="J74" s="40">
        <v>5.553</v>
      </c>
      <c r="K74" s="40">
        <v>-4.08</v>
      </c>
      <c r="L74" s="41">
        <v>1.0</v>
      </c>
      <c r="M74" s="41">
        <v>0.0</v>
      </c>
      <c r="N74" s="41">
        <v>0.0</v>
      </c>
      <c r="O74" s="41">
        <v>0.0</v>
      </c>
      <c r="P74" s="43">
        <v>3.0</v>
      </c>
      <c r="Q74" s="43">
        <v>0.0</v>
      </c>
    </row>
    <row r="75">
      <c r="A75" s="9">
        <v>2007.0</v>
      </c>
      <c r="B75" s="29" t="s">
        <v>60</v>
      </c>
      <c r="C75" s="29">
        <v>19.0</v>
      </c>
      <c r="D75" s="34">
        <v>0.9906804357155921</v>
      </c>
      <c r="E75" s="36">
        <v>54.89</v>
      </c>
      <c r="F75" s="38">
        <v>100.0</v>
      </c>
      <c r="G75" s="39">
        <v>6.73</v>
      </c>
      <c r="H75" s="40">
        <v>8502.94</v>
      </c>
      <c r="I75" s="40">
        <v>0.0</v>
      </c>
      <c r="J75" s="40">
        <v>19.778</v>
      </c>
      <c r="K75" s="40">
        <v>-3.87</v>
      </c>
      <c r="L75" s="41">
        <v>0.0</v>
      </c>
      <c r="M75" s="41">
        <v>1.0</v>
      </c>
      <c r="N75" s="41">
        <v>0.0</v>
      </c>
      <c r="O75" s="41">
        <v>0.0</v>
      </c>
      <c r="P75" s="43">
        <v>3.0</v>
      </c>
      <c r="Q75" s="43">
        <v>0.0</v>
      </c>
    </row>
    <row r="76">
      <c r="A76" s="9">
        <v>2011.0</v>
      </c>
      <c r="B76" s="29" t="s">
        <v>60</v>
      </c>
      <c r="C76" s="29">
        <v>19.0</v>
      </c>
      <c r="D76" s="34">
        <v>0.933833716219771</v>
      </c>
      <c r="E76" s="36">
        <v>58.5</v>
      </c>
      <c r="F76" s="38">
        <v>66.6666666666667</v>
      </c>
      <c r="G76" s="39">
        <v>10.0</v>
      </c>
      <c r="H76" s="40">
        <v>12150.5</v>
      </c>
      <c r="I76" s="40">
        <v>0.0</v>
      </c>
      <c r="J76" s="40">
        <v>48.04</v>
      </c>
      <c r="K76" s="40">
        <v>2.03</v>
      </c>
      <c r="L76" s="41">
        <v>0.0</v>
      </c>
      <c r="M76" s="41">
        <v>0.0</v>
      </c>
      <c r="N76" s="41">
        <v>1.0</v>
      </c>
      <c r="O76" s="41">
        <v>0.0</v>
      </c>
      <c r="P76" s="43">
        <v>3.0</v>
      </c>
      <c r="Q76" s="43">
        <v>33.3333333333333</v>
      </c>
    </row>
    <row r="77">
      <c r="A77" s="9">
        <v>2015.0</v>
      </c>
      <c r="B77" s="29" t="s">
        <v>60</v>
      </c>
      <c r="C77" s="29">
        <v>19.0</v>
      </c>
      <c r="D77" s="34">
        <v>1.2004161442633445</v>
      </c>
      <c r="E77" s="36">
        <v>52.0</v>
      </c>
      <c r="F77" s="38">
        <v>66.6666666666667</v>
      </c>
      <c r="G77" s="39">
        <v>13.58</v>
      </c>
      <c r="H77" s="40">
        <v>13524.0</v>
      </c>
      <c r="I77" s="40">
        <v>0.0</v>
      </c>
      <c r="J77" s="40">
        <v>93.264</v>
      </c>
      <c r="K77" s="40">
        <v>4.97</v>
      </c>
      <c r="L77" s="41">
        <v>0.0</v>
      </c>
      <c r="M77" s="41">
        <v>0.0</v>
      </c>
      <c r="N77" s="41">
        <v>0.0</v>
      </c>
      <c r="O77" s="41">
        <v>1.0</v>
      </c>
      <c r="P77" s="43">
        <v>3.0</v>
      </c>
      <c r="Q77" s="43">
        <v>33.3333333333333</v>
      </c>
    </row>
    <row r="78">
      <c r="A78" s="9">
        <v>2002.0</v>
      </c>
      <c r="B78" s="29" t="s">
        <v>61</v>
      </c>
      <c r="C78" s="29">
        <v>20.0</v>
      </c>
      <c r="D78" s="34">
        <v>1.0892543623920599</v>
      </c>
      <c r="E78" s="36">
        <v>27.26</v>
      </c>
      <c r="F78" s="38">
        <v>66.6666666666667</v>
      </c>
      <c r="G78" s="39">
        <v>4.25</v>
      </c>
      <c r="H78" s="40">
        <v>5064.57</v>
      </c>
      <c r="I78" s="40">
        <v>0.0</v>
      </c>
      <c r="J78" s="40">
        <v>2.329</v>
      </c>
      <c r="K78" s="40">
        <v>-2.27</v>
      </c>
      <c r="L78" s="41">
        <v>1.0</v>
      </c>
      <c r="M78" s="41">
        <v>0.0</v>
      </c>
      <c r="N78" s="41">
        <v>0.0</v>
      </c>
      <c r="O78" s="41">
        <v>0.0</v>
      </c>
      <c r="P78" s="43">
        <v>3.0</v>
      </c>
      <c r="Q78" s="43">
        <v>33.3333333333333</v>
      </c>
    </row>
    <row r="79">
      <c r="A79" s="9">
        <v>2007.0</v>
      </c>
      <c r="B79" s="29" t="s">
        <v>61</v>
      </c>
      <c r="C79" s="29">
        <v>20.0</v>
      </c>
      <c r="D79" s="34">
        <v>0.19040403339210735</v>
      </c>
      <c r="E79" s="36">
        <v>41.44</v>
      </c>
      <c r="F79" s="38">
        <v>66.6666666666667</v>
      </c>
      <c r="G79" s="39">
        <v>6.3</v>
      </c>
      <c r="H79" s="40">
        <v>6765.92</v>
      </c>
      <c r="I79" s="40">
        <v>0.0</v>
      </c>
      <c r="J79" s="40">
        <v>13.596</v>
      </c>
      <c r="K79" s="40">
        <v>-1.83</v>
      </c>
      <c r="L79" s="41">
        <v>0.0</v>
      </c>
      <c r="M79" s="41">
        <v>1.0</v>
      </c>
      <c r="N79" s="41">
        <v>0.0</v>
      </c>
      <c r="O79" s="41">
        <v>0.0</v>
      </c>
      <c r="P79" s="43">
        <v>3.0</v>
      </c>
      <c r="Q79" s="43">
        <v>33.3333333333333</v>
      </c>
    </row>
    <row r="80">
      <c r="A80" s="9">
        <v>2011.0</v>
      </c>
      <c r="B80" s="29" t="s">
        <v>61</v>
      </c>
      <c r="C80" s="29">
        <v>20.0</v>
      </c>
      <c r="D80" s="34">
        <v>0.521987252214307</v>
      </c>
      <c r="E80" s="36">
        <v>49.0</v>
      </c>
      <c r="F80" s="38">
        <v>66.6666666666667</v>
      </c>
      <c r="G80" s="39">
        <v>9.26</v>
      </c>
      <c r="H80" s="40">
        <v>9818.25</v>
      </c>
      <c r="I80" s="40">
        <v>0.0</v>
      </c>
      <c r="J80" s="40">
        <v>27.703</v>
      </c>
      <c r="K80" s="40">
        <v>-0.46</v>
      </c>
      <c r="L80" s="41">
        <v>0.0</v>
      </c>
      <c r="M80" s="41">
        <v>0.0</v>
      </c>
      <c r="N80" s="41">
        <v>1.0</v>
      </c>
      <c r="O80" s="41">
        <v>0.0</v>
      </c>
      <c r="P80" s="43">
        <v>3.0</v>
      </c>
      <c r="Q80" s="43">
        <v>33.3333333333333</v>
      </c>
    </row>
    <row r="81">
      <c r="A81" s="9">
        <v>2015.0</v>
      </c>
      <c r="B81" s="29" t="s">
        <v>61</v>
      </c>
      <c r="C81" s="29">
        <v>20.0</v>
      </c>
      <c r="D81" s="34">
        <v>2.199685540606195</v>
      </c>
      <c r="E81" s="36">
        <v>42.9</v>
      </c>
      <c r="F81" s="38">
        <v>33.3333333333333</v>
      </c>
      <c r="G81" s="39">
        <v>12.62</v>
      </c>
      <c r="H81" s="40">
        <v>10421.75</v>
      </c>
      <c r="I81" s="40">
        <v>0.0</v>
      </c>
      <c r="J81" s="40">
        <v>53.036</v>
      </c>
      <c r="K81" s="40">
        <v>1.26</v>
      </c>
      <c r="L81" s="41">
        <v>0.0</v>
      </c>
      <c r="M81" s="41">
        <v>0.0</v>
      </c>
      <c r="N81" s="41">
        <v>0.0</v>
      </c>
      <c r="O81" s="41">
        <v>1.0</v>
      </c>
      <c r="P81" s="43">
        <v>3.0</v>
      </c>
      <c r="Q81" s="43">
        <v>33.3333333333333</v>
      </c>
    </row>
    <row r="82">
      <c r="A82" s="9">
        <v>2002.0</v>
      </c>
      <c r="B82" s="29" t="s">
        <v>62</v>
      </c>
      <c r="C82" s="29">
        <v>21.0</v>
      </c>
      <c r="D82" s="34">
        <v>0.5987189512909672</v>
      </c>
      <c r="E82" s="36">
        <v>41.3</v>
      </c>
      <c r="F82" s="38">
        <v>75.0</v>
      </c>
      <c r="G82" s="39">
        <v>4.72</v>
      </c>
      <c r="H82" s="40">
        <v>6298.94</v>
      </c>
      <c r="I82" s="40">
        <v>0.0</v>
      </c>
      <c r="J82" s="40">
        <v>1.793</v>
      </c>
      <c r="K82" s="40">
        <v>4.51</v>
      </c>
      <c r="L82" s="41">
        <v>1.0</v>
      </c>
      <c r="M82" s="41">
        <v>0.0</v>
      </c>
      <c r="N82" s="41">
        <v>0.0</v>
      </c>
      <c r="O82" s="41">
        <v>0.0</v>
      </c>
      <c r="P82" s="43">
        <v>16.0</v>
      </c>
      <c r="Q82" s="43">
        <v>25.0</v>
      </c>
    </row>
    <row r="83">
      <c r="A83" s="9">
        <v>2007.0</v>
      </c>
      <c r="B83" s="29" t="s">
        <v>62</v>
      </c>
      <c r="C83" s="29">
        <v>21.0</v>
      </c>
      <c r="D83" s="34">
        <v>0.9351285241923187</v>
      </c>
      <c r="E83" s="36">
        <v>50.75</v>
      </c>
      <c r="F83" s="38">
        <v>62.5</v>
      </c>
      <c r="G83" s="39">
        <v>7.32</v>
      </c>
      <c r="H83" s="40">
        <v>8574.07</v>
      </c>
      <c r="I83" s="40">
        <v>0.0</v>
      </c>
      <c r="J83" s="40">
        <v>10.938</v>
      </c>
      <c r="K83" s="40">
        <v>9.4</v>
      </c>
      <c r="L83" s="41">
        <v>0.0</v>
      </c>
      <c r="M83" s="41">
        <v>1.0</v>
      </c>
      <c r="N83" s="41">
        <v>0.0</v>
      </c>
      <c r="O83" s="41">
        <v>0.0</v>
      </c>
      <c r="P83" s="43">
        <v>16.0</v>
      </c>
      <c r="Q83" s="43">
        <v>18.75</v>
      </c>
    </row>
    <row r="84">
      <c r="A84" s="9">
        <v>2011.0</v>
      </c>
      <c r="B84" s="29" t="s">
        <v>62</v>
      </c>
      <c r="C84" s="29">
        <v>21.0</v>
      </c>
      <c r="D84" s="34">
        <v>0.15335610707692318</v>
      </c>
      <c r="E84" s="36">
        <v>53.0</v>
      </c>
      <c r="F84" s="38">
        <v>61.1111111111111</v>
      </c>
      <c r="G84" s="39">
        <v>10.25</v>
      </c>
      <c r="H84" s="40">
        <v>11746.5</v>
      </c>
      <c r="I84" s="40">
        <v>0.0</v>
      </c>
      <c r="J84" s="40">
        <v>31.519</v>
      </c>
      <c r="K84" s="40">
        <v>8.09</v>
      </c>
      <c r="L84" s="41">
        <v>0.0</v>
      </c>
      <c r="M84" s="41">
        <v>0.0</v>
      </c>
      <c r="N84" s="41">
        <v>1.0</v>
      </c>
      <c r="O84" s="41">
        <v>0.0</v>
      </c>
      <c r="P84" s="43">
        <v>18.0</v>
      </c>
      <c r="Q84" s="43">
        <v>27.7777777777778</v>
      </c>
    </row>
    <row r="85">
      <c r="A85" s="9">
        <v>2015.0</v>
      </c>
      <c r="B85" s="29" t="s">
        <v>62</v>
      </c>
      <c r="C85" s="29">
        <v>21.0</v>
      </c>
      <c r="D85" s="34">
        <v>0.4976914561128505</v>
      </c>
      <c r="E85" s="36">
        <v>43.9</v>
      </c>
      <c r="F85" s="38">
        <v>50.0</v>
      </c>
      <c r="G85" s="39">
        <v>14.2</v>
      </c>
      <c r="H85" s="40">
        <v>13251.75</v>
      </c>
      <c r="I85" s="40">
        <v>0.0</v>
      </c>
      <c r="J85" s="40">
        <v>70.637</v>
      </c>
      <c r="K85" s="40">
        <v>4.76</v>
      </c>
      <c r="L85" s="41">
        <v>0.0</v>
      </c>
      <c r="M85" s="41">
        <v>0.0</v>
      </c>
      <c r="N85" s="41">
        <v>0.0</v>
      </c>
      <c r="O85" s="41">
        <v>1.0</v>
      </c>
      <c r="P85" s="43">
        <v>18.0</v>
      </c>
      <c r="Q85" s="43">
        <v>27.7777777777778</v>
      </c>
    </row>
    <row r="86">
      <c r="A86" s="9">
        <v>2002.0</v>
      </c>
      <c r="B86" s="29" t="s">
        <v>63</v>
      </c>
      <c r="C86" s="29">
        <v>22.0</v>
      </c>
      <c r="D86" s="34">
        <v>0.24027152362389945</v>
      </c>
      <c r="E86" s="36">
        <v>25.84</v>
      </c>
      <c r="F86" s="38">
        <v>50.0</v>
      </c>
      <c r="G86" s="39">
        <v>4.67</v>
      </c>
      <c r="H86" s="40">
        <v>5440.32</v>
      </c>
      <c r="I86" s="40">
        <v>0.0</v>
      </c>
      <c r="J86" s="40">
        <v>4.546</v>
      </c>
      <c r="K86" s="40">
        <v>2.74</v>
      </c>
      <c r="L86" s="41">
        <v>1.0</v>
      </c>
      <c r="M86" s="41">
        <v>0.0</v>
      </c>
      <c r="N86" s="41">
        <v>0.0</v>
      </c>
      <c r="O86" s="41">
        <v>0.0</v>
      </c>
      <c r="P86" s="43">
        <v>4.0</v>
      </c>
      <c r="Q86" s="43">
        <v>50.0</v>
      </c>
    </row>
    <row r="87">
      <c r="A87" s="9">
        <v>2007.0</v>
      </c>
      <c r="B87" s="29" t="s">
        <v>63</v>
      </c>
      <c r="C87" s="29">
        <v>22.0</v>
      </c>
      <c r="D87" s="34">
        <v>0.9500520377657347</v>
      </c>
      <c r="E87" s="36">
        <v>35.35</v>
      </c>
      <c r="F87" s="38">
        <v>50.0</v>
      </c>
      <c r="G87" s="39">
        <v>6.96</v>
      </c>
      <c r="H87" s="40">
        <v>7345.12</v>
      </c>
      <c r="I87" s="40">
        <v>0.0</v>
      </c>
      <c r="J87" s="40">
        <v>22.441</v>
      </c>
      <c r="K87" s="40">
        <v>3.64</v>
      </c>
      <c r="L87" s="41">
        <v>0.0</v>
      </c>
      <c r="M87" s="41">
        <v>1.0</v>
      </c>
      <c r="N87" s="41">
        <v>0.0</v>
      </c>
      <c r="O87" s="41">
        <v>0.0</v>
      </c>
      <c r="P87" s="43">
        <v>4.0</v>
      </c>
      <c r="Q87" s="43">
        <v>25.0</v>
      </c>
    </row>
    <row r="88">
      <c r="A88" s="9">
        <v>2011.0</v>
      </c>
      <c r="B88" s="29" t="s">
        <v>63</v>
      </c>
      <c r="C88" s="29">
        <v>22.0</v>
      </c>
      <c r="D88" s="34">
        <v>0.12666056453009425</v>
      </c>
      <c r="E88" s="36">
        <v>41.6</v>
      </c>
      <c r="F88" s="38">
        <v>50.0</v>
      </c>
      <c r="G88" s="39">
        <v>10.29</v>
      </c>
      <c r="H88" s="40">
        <v>10835.5</v>
      </c>
      <c r="I88" s="40">
        <v>0.0</v>
      </c>
      <c r="J88" s="40">
        <v>54.886</v>
      </c>
      <c r="K88" s="40">
        <v>2.72</v>
      </c>
      <c r="L88" s="41">
        <v>0.0</v>
      </c>
      <c r="M88" s="41">
        <v>0.0</v>
      </c>
      <c r="N88" s="41">
        <v>1.0</v>
      </c>
      <c r="O88" s="41">
        <v>0.0</v>
      </c>
      <c r="P88" s="43">
        <v>4.0</v>
      </c>
      <c r="Q88" s="43">
        <v>50.0</v>
      </c>
    </row>
    <row r="89">
      <c r="A89" s="9">
        <v>2015.0</v>
      </c>
      <c r="B89" s="29" t="s">
        <v>63</v>
      </c>
      <c r="C89" s="29">
        <v>22.0</v>
      </c>
      <c r="D89" s="34">
        <v>0.0</v>
      </c>
      <c r="E89" s="36">
        <v>34.2</v>
      </c>
      <c r="F89" s="38">
        <v>25.0</v>
      </c>
      <c r="G89" s="39">
        <v>14.55</v>
      </c>
      <c r="H89" s="40">
        <v>11840.0</v>
      </c>
      <c r="I89" s="40">
        <v>0.0</v>
      </c>
      <c r="J89" s="40">
        <v>106.706</v>
      </c>
      <c r="K89" s="40">
        <v>12.05</v>
      </c>
      <c r="L89" s="41">
        <v>0.0</v>
      </c>
      <c r="M89" s="41">
        <v>0.0</v>
      </c>
      <c r="N89" s="41">
        <v>0.0</v>
      </c>
      <c r="O89" s="41">
        <v>1.0</v>
      </c>
      <c r="P89" s="43">
        <v>4.0</v>
      </c>
      <c r="Q89" s="43">
        <v>50.0</v>
      </c>
    </row>
    <row r="90">
      <c r="A90" s="9">
        <v>2002.0</v>
      </c>
      <c r="B90" s="29" t="s">
        <v>64</v>
      </c>
      <c r="C90" s="29">
        <v>23.0</v>
      </c>
      <c r="D90" s="34">
        <v>0.21952509022366273</v>
      </c>
      <c r="E90" s="36">
        <v>49.93</v>
      </c>
      <c r="F90" s="38">
        <v>100.0</v>
      </c>
      <c r="G90" s="39">
        <v>3.21</v>
      </c>
      <c r="H90" s="40">
        <v>4128.8</v>
      </c>
      <c r="I90" s="40">
        <v>0.0</v>
      </c>
      <c r="J90" s="40">
        <v>1.01</v>
      </c>
      <c r="K90" s="40">
        <v>-1.83</v>
      </c>
      <c r="L90" s="41">
        <v>1.0</v>
      </c>
      <c r="M90" s="41">
        <v>0.0</v>
      </c>
      <c r="N90" s="41">
        <v>0.0</v>
      </c>
      <c r="O90" s="41">
        <v>0.0</v>
      </c>
      <c r="P90" s="43">
        <v>3.0</v>
      </c>
      <c r="Q90" s="43">
        <v>0.0</v>
      </c>
    </row>
    <row r="91">
      <c r="A91" s="9">
        <v>2007.0</v>
      </c>
      <c r="B91" s="29" t="s">
        <v>64</v>
      </c>
      <c r="C91" s="29">
        <v>23.0</v>
      </c>
      <c r="D91" s="34">
        <v>1.8316396938903525</v>
      </c>
      <c r="E91" s="36">
        <v>60.74</v>
      </c>
      <c r="F91" s="38">
        <v>66.6666666666667</v>
      </c>
      <c r="G91" s="39">
        <v>5.12</v>
      </c>
      <c r="H91" s="40">
        <v>5290.07</v>
      </c>
      <c r="I91" s="40">
        <v>0.0</v>
      </c>
      <c r="J91" s="40">
        <v>12.397</v>
      </c>
      <c r="K91" s="40">
        <v>2.13</v>
      </c>
      <c r="L91" s="41">
        <v>0.0</v>
      </c>
      <c r="M91" s="41">
        <v>1.0</v>
      </c>
      <c r="N91" s="41">
        <v>0.0</v>
      </c>
      <c r="O91" s="41">
        <v>0.0</v>
      </c>
      <c r="P91" s="43">
        <v>3.0</v>
      </c>
      <c r="Q91" s="43">
        <v>0.0</v>
      </c>
    </row>
    <row r="92">
      <c r="A92" s="9">
        <v>2011.0</v>
      </c>
      <c r="B92" s="29" t="s">
        <v>64</v>
      </c>
      <c r="C92" s="29">
        <v>23.0</v>
      </c>
      <c r="D92" s="34">
        <v>2.261391438342277</v>
      </c>
      <c r="E92" s="36">
        <v>65.6</v>
      </c>
      <c r="F92" s="38">
        <v>100.0</v>
      </c>
      <c r="G92" s="39">
        <v>7.24</v>
      </c>
      <c r="H92" s="40">
        <v>7558.25</v>
      </c>
      <c r="I92" s="40">
        <v>0.0</v>
      </c>
      <c r="J92" s="40">
        <v>37.255</v>
      </c>
      <c r="K92" s="40">
        <v>5.65</v>
      </c>
      <c r="L92" s="41">
        <v>0.0</v>
      </c>
      <c r="M92" s="41">
        <v>0.0</v>
      </c>
      <c r="N92" s="41">
        <v>1.0</v>
      </c>
      <c r="O92" s="41">
        <v>0.0</v>
      </c>
      <c r="P92" s="43">
        <v>2.0</v>
      </c>
      <c r="Q92" s="43">
        <v>0.0</v>
      </c>
    </row>
    <row r="93">
      <c r="A93" s="9">
        <v>2015.0</v>
      </c>
      <c r="B93" s="29" t="s">
        <v>64</v>
      </c>
      <c r="C93" s="29">
        <v>23.0</v>
      </c>
      <c r="D93" s="34">
        <v>3.659995649336524</v>
      </c>
      <c r="E93" s="36">
        <v>59.4</v>
      </c>
      <c r="F93" s="38">
        <v>100.0</v>
      </c>
      <c r="G93" s="39">
        <v>11.0</v>
      </c>
      <c r="H93" s="40">
        <v>8556.0</v>
      </c>
      <c r="I93" s="40">
        <v>0.0</v>
      </c>
      <c r="J93" s="40">
        <v>83.922</v>
      </c>
      <c r="K93" s="40">
        <v>-0.69</v>
      </c>
      <c r="L93" s="41">
        <v>0.0</v>
      </c>
      <c r="M93" s="41">
        <v>0.0</v>
      </c>
      <c r="N93" s="41">
        <v>0.0</v>
      </c>
      <c r="O93" s="41">
        <v>1.0</v>
      </c>
      <c r="P93" s="43">
        <v>2.0</v>
      </c>
      <c r="Q93" s="43">
        <v>0.0</v>
      </c>
    </row>
    <row r="94">
      <c r="A94" s="9">
        <v>2002.0</v>
      </c>
      <c r="B94" s="29" t="s">
        <v>65</v>
      </c>
      <c r="C94" s="29">
        <v>24.0</v>
      </c>
      <c r="D94" s="34">
        <v>0.842445273794714</v>
      </c>
      <c r="E94" s="36">
        <v>48.43</v>
      </c>
      <c r="F94" s="38">
        <v>80.0</v>
      </c>
      <c r="G94" s="39">
        <v>2.74</v>
      </c>
      <c r="H94" s="40">
        <v>3542.47</v>
      </c>
      <c r="I94" s="40">
        <v>0.0</v>
      </c>
      <c r="J94" s="40">
        <v>2.338</v>
      </c>
      <c r="K94" s="40">
        <v>-5.84</v>
      </c>
      <c r="L94" s="41">
        <v>1.0</v>
      </c>
      <c r="M94" s="41">
        <v>0.0</v>
      </c>
      <c r="N94" s="41">
        <v>0.0</v>
      </c>
      <c r="O94" s="41">
        <v>0.0</v>
      </c>
      <c r="P94" s="43">
        <v>5.0</v>
      </c>
      <c r="Q94" s="43">
        <v>20.0</v>
      </c>
    </row>
    <row r="95">
      <c r="A95" s="9">
        <v>2007.0</v>
      </c>
      <c r="B95" s="29" t="s">
        <v>65</v>
      </c>
      <c r="C95" s="29">
        <v>24.0</v>
      </c>
      <c r="D95" s="34">
        <v>0.2745658774907462</v>
      </c>
      <c r="E95" s="36">
        <v>57.4</v>
      </c>
      <c r="F95" s="38">
        <v>80.0</v>
      </c>
      <c r="G95" s="39">
        <v>4.8</v>
      </c>
      <c r="H95" s="40">
        <v>4585.13</v>
      </c>
      <c r="I95" s="40">
        <v>0.0</v>
      </c>
      <c r="J95" s="40">
        <v>15.382</v>
      </c>
      <c r="K95" s="40">
        <v>-10.42</v>
      </c>
      <c r="L95" s="41">
        <v>0.0</v>
      </c>
      <c r="M95" s="41">
        <v>1.0</v>
      </c>
      <c r="N95" s="41">
        <v>0.0</v>
      </c>
      <c r="O95" s="41">
        <v>0.0</v>
      </c>
      <c r="P95" s="43">
        <v>5.0</v>
      </c>
      <c r="Q95" s="43">
        <v>20.0</v>
      </c>
    </row>
    <row r="96">
      <c r="A96" s="9">
        <v>2011.0</v>
      </c>
      <c r="B96" s="29" t="s">
        <v>65</v>
      </c>
      <c r="C96" s="29">
        <v>24.0</v>
      </c>
      <c r="D96" s="34">
        <v>0.4838126136522177</v>
      </c>
      <c r="E96" s="36">
        <v>61.2</v>
      </c>
      <c r="F96" s="38">
        <v>75.0</v>
      </c>
      <c r="G96" s="39">
        <v>7.19</v>
      </c>
      <c r="H96" s="40">
        <v>6996.25</v>
      </c>
      <c r="I96" s="40">
        <v>0.0</v>
      </c>
      <c r="J96" s="40">
        <v>46.125</v>
      </c>
      <c r="K96" s="40">
        <v>-15.71</v>
      </c>
      <c r="L96" s="41">
        <v>0.0</v>
      </c>
      <c r="M96" s="41">
        <v>0.0</v>
      </c>
      <c r="N96" s="41">
        <v>1.0</v>
      </c>
      <c r="O96" s="41">
        <v>0.0</v>
      </c>
      <c r="P96" s="43">
        <v>4.0</v>
      </c>
      <c r="Q96" s="43">
        <v>25.0</v>
      </c>
    </row>
    <row r="97">
      <c r="A97" s="9">
        <v>2015.0</v>
      </c>
      <c r="B97" s="29" t="s">
        <v>65</v>
      </c>
      <c r="C97" s="29">
        <v>24.0</v>
      </c>
      <c r="D97" s="34">
        <v>1.0192038464525834</v>
      </c>
      <c r="E97" s="36">
        <v>54.4</v>
      </c>
      <c r="F97" s="38">
        <v>75.0</v>
      </c>
      <c r="G97" s="39">
        <v>10.34</v>
      </c>
      <c r="H97" s="40">
        <v>7646.5</v>
      </c>
      <c r="I97" s="40">
        <v>0.0</v>
      </c>
      <c r="J97" s="40">
        <v>84.376</v>
      </c>
      <c r="K97" s="40">
        <v>-12.99</v>
      </c>
      <c r="L97" s="41">
        <v>0.0</v>
      </c>
      <c r="M97" s="41">
        <v>0.0</v>
      </c>
      <c r="N97" s="41">
        <v>0.0</v>
      </c>
      <c r="O97" s="41">
        <v>1.0</v>
      </c>
      <c r="P97" s="43">
        <v>4.0</v>
      </c>
      <c r="Q97" s="43">
        <v>25.0</v>
      </c>
    </row>
    <row r="98">
      <c r="A98" s="9">
        <v>2002.0</v>
      </c>
      <c r="B98" s="29" t="s">
        <v>66</v>
      </c>
      <c r="C98" s="29">
        <v>25.0</v>
      </c>
      <c r="D98" s="34">
        <v>0.6343923070564572</v>
      </c>
      <c r="E98" s="36">
        <v>24.17</v>
      </c>
      <c r="F98" s="38">
        <v>57.1428571428571</v>
      </c>
      <c r="G98" s="39">
        <v>4.32</v>
      </c>
      <c r="H98" s="40">
        <v>5570.12</v>
      </c>
      <c r="I98" s="40">
        <v>0.0</v>
      </c>
      <c r="J98" s="40">
        <v>3.312</v>
      </c>
      <c r="K98" s="40">
        <v>1.99</v>
      </c>
      <c r="L98" s="41">
        <v>1.0</v>
      </c>
      <c r="M98" s="41">
        <v>0.0</v>
      </c>
      <c r="N98" s="41">
        <v>0.0</v>
      </c>
      <c r="O98" s="41">
        <v>0.0</v>
      </c>
      <c r="P98" s="43">
        <v>7.0</v>
      </c>
      <c r="Q98" s="43">
        <v>42.8571428571429</v>
      </c>
    </row>
    <row r="99">
      <c r="A99" s="9">
        <v>2007.0</v>
      </c>
      <c r="B99" s="29" t="s">
        <v>66</v>
      </c>
      <c r="C99" s="29">
        <v>25.0</v>
      </c>
      <c r="D99" s="34">
        <v>0.4620392281524428</v>
      </c>
      <c r="E99" s="36">
        <v>43.03</v>
      </c>
      <c r="F99" s="38">
        <v>57.1428571428571</v>
      </c>
      <c r="G99" s="39">
        <v>6.79</v>
      </c>
      <c r="H99" s="40">
        <v>7155.6</v>
      </c>
      <c r="I99" s="40">
        <v>0.0</v>
      </c>
      <c r="J99" s="40">
        <v>22.134</v>
      </c>
      <c r="K99" s="40">
        <v>1.33</v>
      </c>
      <c r="L99" s="41">
        <v>0.0</v>
      </c>
      <c r="M99" s="41">
        <v>1.0</v>
      </c>
      <c r="N99" s="41">
        <v>0.0</v>
      </c>
      <c r="O99" s="41">
        <v>0.0</v>
      </c>
      <c r="P99" s="43">
        <v>7.0</v>
      </c>
      <c r="Q99" s="43">
        <v>28.5714285714286</v>
      </c>
    </row>
    <row r="100">
      <c r="A100" s="9">
        <v>2011.0</v>
      </c>
      <c r="B100" s="29" t="s">
        <v>66</v>
      </c>
      <c r="C100" s="29">
        <v>25.0</v>
      </c>
      <c r="D100" s="34">
        <v>0.2673588318348973</v>
      </c>
      <c r="E100" s="36">
        <v>46.6</v>
      </c>
      <c r="F100" s="38">
        <v>57.1428571428571</v>
      </c>
      <c r="G100" s="39">
        <v>9.62</v>
      </c>
      <c r="H100" s="40">
        <v>9375.75</v>
      </c>
      <c r="I100" s="40">
        <v>0.0</v>
      </c>
      <c r="J100" s="40">
        <v>51.749</v>
      </c>
      <c r="K100" s="40">
        <v>-0.92</v>
      </c>
      <c r="L100" s="41">
        <v>0.0</v>
      </c>
      <c r="M100" s="41">
        <v>0.0</v>
      </c>
      <c r="N100" s="41">
        <v>1.0</v>
      </c>
      <c r="O100" s="41">
        <v>0.0</v>
      </c>
      <c r="P100" s="43">
        <v>7.0</v>
      </c>
      <c r="Q100" s="43">
        <v>28.5714285714286</v>
      </c>
    </row>
    <row r="101">
      <c r="A101" s="9">
        <v>2015.0</v>
      </c>
      <c r="B101" s="29" t="s">
        <v>66</v>
      </c>
      <c r="C101" s="29">
        <v>25.0</v>
      </c>
      <c r="D101" s="34">
        <v>0.0</v>
      </c>
      <c r="E101" s="36">
        <v>39.5</v>
      </c>
      <c r="F101" s="38">
        <v>42.8571428571429</v>
      </c>
      <c r="G101" s="39">
        <v>13.06</v>
      </c>
      <c r="H101" s="40">
        <v>10815.5</v>
      </c>
      <c r="I101" s="40">
        <v>0.0</v>
      </c>
      <c r="J101" s="40">
        <v>91.44</v>
      </c>
      <c r="K101" s="40">
        <v>2.23</v>
      </c>
      <c r="L101" s="41">
        <v>0.0</v>
      </c>
      <c r="M101" s="41">
        <v>0.0</v>
      </c>
      <c r="N101" s="41">
        <v>0.0</v>
      </c>
      <c r="O101" s="41">
        <v>1.0</v>
      </c>
      <c r="P101" s="43">
        <v>7.0</v>
      </c>
      <c r="Q101" s="43">
        <v>42.8571428571429</v>
      </c>
    </row>
    <row r="102">
      <c r="A102" s="9">
        <v>2002.0</v>
      </c>
      <c r="B102" s="29" t="s">
        <v>67</v>
      </c>
      <c r="C102" s="29">
        <v>26.0</v>
      </c>
      <c r="D102" s="34">
        <v>0.7136236114667212</v>
      </c>
      <c r="E102" s="36">
        <v>15.96</v>
      </c>
      <c r="F102" s="38">
        <v>80.0</v>
      </c>
      <c r="G102" s="39">
        <v>2.22</v>
      </c>
      <c r="H102" s="40">
        <v>2627.58</v>
      </c>
      <c r="I102" s="40">
        <v>0.0</v>
      </c>
      <c r="J102" s="40">
        <v>0.119</v>
      </c>
      <c r="K102" s="40">
        <v>-4.0</v>
      </c>
      <c r="L102" s="41">
        <v>1.0</v>
      </c>
      <c r="M102" s="41">
        <v>0.0</v>
      </c>
      <c r="N102" s="41">
        <v>0.0</v>
      </c>
      <c r="O102" s="41">
        <v>0.0</v>
      </c>
      <c r="P102" s="43">
        <v>10.0</v>
      </c>
      <c r="Q102" s="43">
        <v>20.0</v>
      </c>
    </row>
    <row r="103">
      <c r="A103" s="9">
        <v>2007.0</v>
      </c>
      <c r="B103" s="29" t="s">
        <v>67</v>
      </c>
      <c r="C103" s="29">
        <v>26.0</v>
      </c>
      <c r="D103" s="34">
        <v>0.7289111848245013</v>
      </c>
      <c r="E103" s="36">
        <v>40.9</v>
      </c>
      <c r="F103" s="38">
        <v>60.0</v>
      </c>
      <c r="G103" s="39">
        <v>3.56</v>
      </c>
      <c r="H103" s="40">
        <v>3438.44</v>
      </c>
      <c r="I103" s="40">
        <v>0.0</v>
      </c>
      <c r="J103" s="40">
        <v>2.035</v>
      </c>
      <c r="K103" s="40">
        <v>-7.37</v>
      </c>
      <c r="L103" s="41">
        <v>0.0</v>
      </c>
      <c r="M103" s="41">
        <v>1.0</v>
      </c>
      <c r="N103" s="41">
        <v>0.0</v>
      </c>
      <c r="O103" s="41">
        <v>0.0</v>
      </c>
      <c r="P103" s="43">
        <v>10.0</v>
      </c>
      <c r="Q103" s="43">
        <v>0.0</v>
      </c>
    </row>
    <row r="104">
      <c r="A104" s="9">
        <v>2011.0</v>
      </c>
      <c r="B104" s="29" t="s">
        <v>67</v>
      </c>
      <c r="C104" s="29">
        <v>26.0</v>
      </c>
      <c r="D104" s="34">
        <v>0.061644224059494074</v>
      </c>
      <c r="E104" s="36">
        <v>32.2</v>
      </c>
      <c r="F104" s="38">
        <v>54.5454545454545</v>
      </c>
      <c r="G104" s="39">
        <v>6.48</v>
      </c>
      <c r="H104" s="40">
        <v>4843.5</v>
      </c>
      <c r="I104" s="40">
        <v>0.0</v>
      </c>
      <c r="J104" s="40">
        <v>7.657</v>
      </c>
      <c r="K104" s="40">
        <v>-8.29</v>
      </c>
      <c r="L104" s="41">
        <v>0.0</v>
      </c>
      <c r="M104" s="41">
        <v>0.0</v>
      </c>
      <c r="N104" s="41">
        <v>1.0</v>
      </c>
      <c r="O104" s="41">
        <v>0.0</v>
      </c>
      <c r="P104" s="43">
        <v>11.0</v>
      </c>
      <c r="Q104" s="43">
        <v>0.0</v>
      </c>
    </row>
    <row r="105">
      <c r="A105" s="9">
        <v>2015.0</v>
      </c>
      <c r="B105" s="29" t="s">
        <v>67</v>
      </c>
      <c r="C105" s="29">
        <v>26.0</v>
      </c>
      <c r="D105" s="34">
        <v>1.3818503047302673</v>
      </c>
      <c r="E105" s="36">
        <v>14.0</v>
      </c>
      <c r="F105" s="38">
        <v>9.09090909090909</v>
      </c>
      <c r="G105" s="39">
        <v>10.58</v>
      </c>
      <c r="H105" s="40">
        <v>5686.75</v>
      </c>
      <c r="I105" s="40">
        <v>0.0</v>
      </c>
      <c r="J105" s="40">
        <v>16.004</v>
      </c>
      <c r="K105" s="40">
        <v>-7.87</v>
      </c>
      <c r="L105" s="41">
        <v>0.0</v>
      </c>
      <c r="M105" s="41">
        <v>0.0</v>
      </c>
      <c r="N105" s="41">
        <v>0.0</v>
      </c>
      <c r="O105" s="41">
        <v>1.0</v>
      </c>
      <c r="P105" s="43">
        <v>11.0</v>
      </c>
      <c r="Q105" s="43">
        <v>0.0</v>
      </c>
    </row>
    <row r="106">
      <c r="A106" s="9">
        <v>2002.0</v>
      </c>
      <c r="B106" s="29" t="s">
        <v>68</v>
      </c>
      <c r="C106" s="29">
        <v>27.0</v>
      </c>
      <c r="D106" s="34">
        <v>2.218180918448139</v>
      </c>
      <c r="E106" s="36">
        <v>52.46</v>
      </c>
      <c r="F106" s="38">
        <v>100.0</v>
      </c>
      <c r="G106" s="39">
        <v>0.31</v>
      </c>
      <c r="H106" s="40">
        <v>4493.67</v>
      </c>
      <c r="I106" s="40">
        <v>0.0</v>
      </c>
      <c r="J106" s="40">
        <v>4.191</v>
      </c>
      <c r="K106" s="40">
        <v>0.8</v>
      </c>
      <c r="L106" s="41">
        <v>1.0</v>
      </c>
      <c r="M106" s="41">
        <v>0.0</v>
      </c>
      <c r="N106" s="41">
        <v>0.0</v>
      </c>
      <c r="O106" s="41">
        <v>0.0</v>
      </c>
      <c r="P106" s="43">
        <v>3.0</v>
      </c>
      <c r="Q106" s="43">
        <v>0.0</v>
      </c>
    </row>
    <row r="107">
      <c r="A107" s="9">
        <v>2007.0</v>
      </c>
      <c r="B107" s="29" t="s">
        <v>68</v>
      </c>
      <c r="C107" s="29">
        <v>27.0</v>
      </c>
      <c r="D107" s="34">
        <v>0.33182030219455233</v>
      </c>
      <c r="E107" s="36">
        <v>60.6</v>
      </c>
      <c r="F107" s="38">
        <v>100.0</v>
      </c>
      <c r="G107" s="39">
        <v>5.12</v>
      </c>
      <c r="H107" s="40">
        <v>6145.4</v>
      </c>
      <c r="I107" s="40">
        <v>0.0</v>
      </c>
      <c r="J107" s="40">
        <v>28.68</v>
      </c>
      <c r="K107" s="40">
        <v>3.16</v>
      </c>
      <c r="L107" s="41">
        <v>0.0</v>
      </c>
      <c r="M107" s="41">
        <v>1.0</v>
      </c>
      <c r="N107" s="41">
        <v>0.0</v>
      </c>
      <c r="O107" s="41">
        <v>0.0</v>
      </c>
      <c r="P107" s="43">
        <v>3.0</v>
      </c>
      <c r="Q107" s="43">
        <v>0.0</v>
      </c>
    </row>
    <row r="108">
      <c r="A108" s="9">
        <v>2011.0</v>
      </c>
      <c r="B108" s="29" t="s">
        <v>68</v>
      </c>
      <c r="C108" s="29">
        <v>27.0</v>
      </c>
      <c r="D108" s="34">
        <v>1.0057010946016767</v>
      </c>
      <c r="E108" s="36">
        <v>65.9</v>
      </c>
      <c r="F108" s="38">
        <v>100.0</v>
      </c>
      <c r="G108" s="39">
        <v>7.92</v>
      </c>
      <c r="H108" s="40">
        <v>8895.0</v>
      </c>
      <c r="I108" s="40">
        <v>0.0</v>
      </c>
      <c r="J108" s="40">
        <v>52.824</v>
      </c>
      <c r="K108" s="40">
        <v>5.46</v>
      </c>
      <c r="L108" s="41">
        <v>0.0</v>
      </c>
      <c r="M108" s="41">
        <v>0.0</v>
      </c>
      <c r="N108" s="41">
        <v>1.0</v>
      </c>
      <c r="O108" s="41">
        <v>0.0</v>
      </c>
      <c r="P108" s="43">
        <v>3.0</v>
      </c>
      <c r="Q108" s="43">
        <v>0.0</v>
      </c>
    </row>
    <row r="109">
      <c r="A109" s="9">
        <v>2015.0</v>
      </c>
      <c r="B109" s="29" t="s">
        <v>68</v>
      </c>
      <c r="C109" s="29">
        <v>27.0</v>
      </c>
      <c r="D109" s="34">
        <v>0.0</v>
      </c>
      <c r="E109" s="36">
        <v>59.4</v>
      </c>
      <c r="F109" s="38">
        <v>100.0</v>
      </c>
      <c r="G109" s="39">
        <v>11.75</v>
      </c>
      <c r="H109" s="40">
        <v>10651.5</v>
      </c>
      <c r="I109" s="40">
        <v>0.0</v>
      </c>
      <c r="J109" s="40">
        <v>78.603</v>
      </c>
      <c r="K109" s="40">
        <v>0.88</v>
      </c>
      <c r="L109" s="41">
        <v>0.0</v>
      </c>
      <c r="M109" s="41">
        <v>0.0</v>
      </c>
      <c r="N109" s="41">
        <v>0.0</v>
      </c>
      <c r="O109" s="41">
        <v>1.0</v>
      </c>
      <c r="P109" s="43">
        <v>3.0</v>
      </c>
      <c r="Q109" s="43">
        <v>0.0</v>
      </c>
    </row>
    <row r="110">
      <c r="A110" s="9">
        <v>2002.0</v>
      </c>
      <c r="B110" s="29" t="s">
        <v>69</v>
      </c>
      <c r="C110" s="29">
        <v>28.0</v>
      </c>
      <c r="D110" s="34">
        <v>0.7466037098132986</v>
      </c>
      <c r="E110" s="36">
        <v>8.73</v>
      </c>
      <c r="F110" s="38">
        <v>25.0</v>
      </c>
      <c r="G110" s="39">
        <v>4.71</v>
      </c>
      <c r="H110" s="40">
        <v>4665.21</v>
      </c>
      <c r="I110" s="40">
        <v>0.0</v>
      </c>
      <c r="J110" s="40">
        <v>5.161</v>
      </c>
      <c r="K110" s="40">
        <v>-1.4</v>
      </c>
      <c r="L110" s="41">
        <v>1.0</v>
      </c>
      <c r="M110" s="41">
        <v>0.0</v>
      </c>
      <c r="N110" s="41">
        <v>0.0</v>
      </c>
      <c r="O110" s="41">
        <v>0.0</v>
      </c>
      <c r="P110" s="43">
        <v>4.0</v>
      </c>
      <c r="Q110" s="43">
        <v>75.0</v>
      </c>
    </row>
    <row r="111">
      <c r="A111" s="9">
        <v>2007.0</v>
      </c>
      <c r="B111" s="29" t="s">
        <v>69</v>
      </c>
      <c r="C111" s="29">
        <v>28.0</v>
      </c>
      <c r="D111" s="34">
        <v>1.862200929074957</v>
      </c>
      <c r="E111" s="36">
        <v>20.72</v>
      </c>
      <c r="F111" s="38">
        <v>25.0</v>
      </c>
      <c r="G111" s="39">
        <v>6.86</v>
      </c>
      <c r="H111" s="40">
        <v>6191.79</v>
      </c>
      <c r="I111" s="40">
        <v>0.0</v>
      </c>
      <c r="J111" s="40">
        <v>23.871</v>
      </c>
      <c r="K111" s="40">
        <v>-4.55</v>
      </c>
      <c r="L111" s="41">
        <v>0.0</v>
      </c>
      <c r="M111" s="41">
        <v>1.0</v>
      </c>
      <c r="N111" s="41">
        <v>0.0</v>
      </c>
      <c r="O111" s="41">
        <v>0.0</v>
      </c>
      <c r="P111" s="43">
        <v>4.0</v>
      </c>
      <c r="Q111" s="43">
        <v>50.0</v>
      </c>
    </row>
    <row r="112">
      <c r="A112" s="9">
        <v>2011.0</v>
      </c>
      <c r="B112" s="29" t="s">
        <v>69</v>
      </c>
      <c r="C112" s="29">
        <v>28.0</v>
      </c>
      <c r="D112" s="34">
        <v>0.32290159246071626</v>
      </c>
      <c r="E112" s="36">
        <v>30.4</v>
      </c>
      <c r="F112" s="38">
        <v>33.3333333333333</v>
      </c>
      <c r="G112" s="39">
        <v>9.74</v>
      </c>
      <c r="H112" s="40">
        <v>9335.5</v>
      </c>
      <c r="I112" s="40">
        <v>0.0</v>
      </c>
      <c r="J112" s="40">
        <v>56.391</v>
      </c>
      <c r="K112" s="40">
        <v>-1.34</v>
      </c>
      <c r="L112" s="41">
        <v>0.0</v>
      </c>
      <c r="M112" s="41">
        <v>0.0</v>
      </c>
      <c r="N112" s="41">
        <v>1.0</v>
      </c>
      <c r="O112" s="41">
        <v>0.0</v>
      </c>
      <c r="P112" s="43">
        <v>3.0</v>
      </c>
      <c r="Q112" s="43">
        <v>66.6666666666667</v>
      </c>
    </row>
    <row r="113">
      <c r="A113" s="9">
        <v>2015.0</v>
      </c>
      <c r="B113" s="29" t="s">
        <v>69</v>
      </c>
      <c r="C113" s="29">
        <v>28.0</v>
      </c>
      <c r="D113" s="34">
        <v>0.0</v>
      </c>
      <c r="E113" s="36">
        <v>24.2</v>
      </c>
      <c r="F113" s="38">
        <v>33.3333333333333</v>
      </c>
      <c r="G113" s="39">
        <v>13.21</v>
      </c>
      <c r="H113" s="40">
        <v>10266.75</v>
      </c>
      <c r="I113" s="40">
        <v>0.0</v>
      </c>
      <c r="J113" s="40">
        <v>108.644</v>
      </c>
      <c r="K113" s="40">
        <v>-0.24</v>
      </c>
      <c r="L113" s="41">
        <v>0.0</v>
      </c>
      <c r="M113" s="41">
        <v>0.0</v>
      </c>
      <c r="N113" s="41">
        <v>0.0</v>
      </c>
      <c r="O113" s="41">
        <v>1.0</v>
      </c>
      <c r="P113" s="43">
        <v>3.0</v>
      </c>
      <c r="Q113" s="43">
        <v>66.6666666666667</v>
      </c>
    </row>
    <row r="114">
      <c r="A114" s="9">
        <v>2002.0</v>
      </c>
      <c r="B114" s="29" t="s">
        <v>70</v>
      </c>
      <c r="C114" s="29">
        <v>29.0</v>
      </c>
      <c r="D114" s="34">
        <v>0.3650754353746273</v>
      </c>
      <c r="E114" s="36">
        <v>41.99</v>
      </c>
      <c r="F114" s="38">
        <v>80.0</v>
      </c>
      <c r="G114" s="39">
        <v>3.96</v>
      </c>
      <c r="H114" s="40">
        <v>3240.23</v>
      </c>
      <c r="I114" s="40">
        <v>0.0</v>
      </c>
      <c r="J114" s="40">
        <v>1.524</v>
      </c>
      <c r="K114" s="40">
        <v>-2.38</v>
      </c>
      <c r="L114" s="41">
        <v>1.0</v>
      </c>
      <c r="M114" s="41">
        <v>0.0</v>
      </c>
      <c r="N114" s="41">
        <v>0.0</v>
      </c>
      <c r="O114" s="41">
        <v>0.0</v>
      </c>
      <c r="P114" s="43">
        <v>5.0</v>
      </c>
      <c r="Q114" s="43">
        <v>0.0</v>
      </c>
    </row>
    <row r="115">
      <c r="A115" s="9">
        <v>2007.0</v>
      </c>
      <c r="B115" s="29" t="s">
        <v>70</v>
      </c>
      <c r="C115" s="29">
        <v>29.0</v>
      </c>
      <c r="D115" s="34">
        <v>2.4504046516953912</v>
      </c>
      <c r="E115" s="36">
        <v>57.2</v>
      </c>
      <c r="F115" s="38">
        <v>100.0</v>
      </c>
      <c r="G115" s="39">
        <v>5.6</v>
      </c>
      <c r="H115" s="40">
        <v>4487.27</v>
      </c>
      <c r="I115" s="40">
        <v>1.0</v>
      </c>
      <c r="J115" s="40">
        <v>17.501</v>
      </c>
      <c r="K115" s="40">
        <v>-4.4</v>
      </c>
      <c r="L115" s="41">
        <v>0.0</v>
      </c>
      <c r="M115" s="41">
        <v>1.0</v>
      </c>
      <c r="N115" s="41">
        <v>0.0</v>
      </c>
      <c r="O115" s="41">
        <v>0.0</v>
      </c>
      <c r="P115" s="43">
        <v>5.0</v>
      </c>
      <c r="Q115" s="43">
        <v>0.0</v>
      </c>
    </row>
    <row r="116">
      <c r="A116" s="9">
        <v>2011.0</v>
      </c>
      <c r="B116" s="29" t="s">
        <v>70</v>
      </c>
      <c r="C116" s="29">
        <v>29.0</v>
      </c>
      <c r="D116" s="34">
        <v>0.4001760774740886</v>
      </c>
      <c r="E116" s="36">
        <v>67.4</v>
      </c>
      <c r="F116" s="38">
        <v>80.0</v>
      </c>
      <c r="G116" s="39">
        <v>9.22</v>
      </c>
      <c r="H116" s="40">
        <v>6813.0</v>
      </c>
      <c r="I116" s="40">
        <v>0.0</v>
      </c>
      <c r="J116" s="40">
        <v>46.172</v>
      </c>
      <c r="K116" s="40">
        <v>-5.74</v>
      </c>
      <c r="L116" s="41">
        <v>0.0</v>
      </c>
      <c r="M116" s="41">
        <v>0.0</v>
      </c>
      <c r="N116" s="41">
        <v>1.0</v>
      </c>
      <c r="O116" s="41">
        <v>0.0</v>
      </c>
      <c r="P116" s="43">
        <v>5.0</v>
      </c>
      <c r="Q116" s="43">
        <v>0.0</v>
      </c>
    </row>
    <row r="117">
      <c r="A117" s="9">
        <v>2015.0</v>
      </c>
      <c r="B117" s="29" t="s">
        <v>70</v>
      </c>
      <c r="C117" s="29">
        <v>29.0</v>
      </c>
      <c r="D117" s="34">
        <v>0.66518195750092</v>
      </c>
      <c r="E117" s="36">
        <v>52.9</v>
      </c>
      <c r="F117" s="38">
        <v>75.0</v>
      </c>
      <c r="G117" s="39">
        <v>13.14</v>
      </c>
      <c r="H117" s="40">
        <v>7647.0</v>
      </c>
      <c r="I117" s="40">
        <v>0.0</v>
      </c>
      <c r="J117" s="40">
        <v>91.234</v>
      </c>
      <c r="K117" s="40">
        <v>-3.86</v>
      </c>
      <c r="L117" s="41">
        <v>0.0</v>
      </c>
      <c r="M117" s="41">
        <v>0.0</v>
      </c>
      <c r="N117" s="41">
        <v>0.0</v>
      </c>
      <c r="O117" s="41">
        <v>1.0</v>
      </c>
      <c r="P117" s="43">
        <v>4.0</v>
      </c>
      <c r="Q117" s="43">
        <v>0.0</v>
      </c>
    </row>
    <row r="118">
      <c r="A118" s="9">
        <v>2002.0</v>
      </c>
      <c r="B118" s="29" t="s">
        <v>71</v>
      </c>
      <c r="C118" s="29">
        <v>30.0</v>
      </c>
      <c r="D118" s="34">
        <v>1.9359551929867285</v>
      </c>
      <c r="E118" s="36">
        <v>40.55</v>
      </c>
      <c r="F118" s="38">
        <v>66.6666666666667</v>
      </c>
      <c r="G118" s="39">
        <v>3.68</v>
      </c>
      <c r="H118" s="40">
        <v>4254.96</v>
      </c>
      <c r="I118" s="40">
        <v>0.0</v>
      </c>
      <c r="J118" s="40">
        <v>0.271</v>
      </c>
      <c r="K118" s="40">
        <v>-0.47</v>
      </c>
      <c r="L118" s="41">
        <v>1.0</v>
      </c>
      <c r="M118" s="41">
        <v>0.0</v>
      </c>
      <c r="N118" s="41">
        <v>0.0</v>
      </c>
      <c r="O118" s="41">
        <v>0.0</v>
      </c>
      <c r="P118" s="43">
        <v>3.0</v>
      </c>
      <c r="Q118" s="43">
        <v>33.3333333333333</v>
      </c>
    </row>
    <row r="119">
      <c r="A119" s="9">
        <v>2007.0</v>
      </c>
      <c r="B119" s="29" t="s">
        <v>71</v>
      </c>
      <c r="C119" s="29">
        <v>30.0</v>
      </c>
      <c r="D119" s="34">
        <v>2.2993453750987953</v>
      </c>
      <c r="E119" s="36">
        <v>54.33</v>
      </c>
      <c r="F119" s="38">
        <v>66.6666666666667</v>
      </c>
      <c r="G119" s="39">
        <v>5.95</v>
      </c>
      <c r="H119" s="40">
        <v>5654.39</v>
      </c>
      <c r="I119" s="40">
        <v>0.0</v>
      </c>
      <c r="J119" s="40">
        <v>15.652</v>
      </c>
      <c r="K119" s="40">
        <v>-2.6</v>
      </c>
      <c r="L119" s="41">
        <v>0.0</v>
      </c>
      <c r="M119" s="41">
        <v>1.0</v>
      </c>
      <c r="N119" s="41">
        <v>0.0</v>
      </c>
      <c r="O119" s="41">
        <v>0.0</v>
      </c>
      <c r="P119" s="43">
        <v>3.0</v>
      </c>
      <c r="Q119" s="43">
        <v>33.3333333333333</v>
      </c>
    </row>
    <row r="120">
      <c r="A120" s="9">
        <v>2011.0</v>
      </c>
      <c r="B120" s="29" t="s">
        <v>71</v>
      </c>
      <c r="C120" s="29">
        <v>30.0</v>
      </c>
      <c r="D120" s="34">
        <v>7.013532964057198</v>
      </c>
      <c r="E120" s="36">
        <v>57.1</v>
      </c>
      <c r="F120" s="38">
        <v>50.0</v>
      </c>
      <c r="G120" s="39">
        <v>9.21</v>
      </c>
      <c r="H120" s="40">
        <v>8924.75</v>
      </c>
      <c r="I120" s="40">
        <v>0.0</v>
      </c>
      <c r="J120" s="40">
        <v>31.113</v>
      </c>
      <c r="K120" s="40">
        <v>2.37</v>
      </c>
      <c r="L120" s="41">
        <v>0.0</v>
      </c>
      <c r="M120" s="41">
        <v>0.0</v>
      </c>
      <c r="N120" s="41">
        <v>1.0</v>
      </c>
      <c r="O120" s="41">
        <v>0.0</v>
      </c>
      <c r="P120" s="43">
        <v>2.0</v>
      </c>
      <c r="Q120" s="43">
        <v>50.0</v>
      </c>
    </row>
    <row r="121">
      <c r="A121" s="9">
        <v>2015.0</v>
      </c>
      <c r="B121" s="29" t="s">
        <v>71</v>
      </c>
      <c r="C121" s="29">
        <v>30.0</v>
      </c>
      <c r="D121" s="34">
        <v>1.5573016210094146</v>
      </c>
      <c r="E121" s="36">
        <v>49.2</v>
      </c>
      <c r="F121" s="38">
        <v>50.0</v>
      </c>
      <c r="G121" s="39">
        <v>14.62</v>
      </c>
      <c r="H121" s="40">
        <v>10429.75</v>
      </c>
      <c r="I121" s="40">
        <v>0.0</v>
      </c>
      <c r="J121" s="40">
        <v>68.76</v>
      </c>
      <c r="K121" s="40">
        <v>0.45</v>
      </c>
      <c r="L121" s="41">
        <v>0.0</v>
      </c>
      <c r="M121" s="41">
        <v>0.0</v>
      </c>
      <c r="N121" s="41">
        <v>0.0</v>
      </c>
      <c r="O121" s="41">
        <v>1.0</v>
      </c>
      <c r="P121" s="43">
        <v>2.0</v>
      </c>
      <c r="Q121" s="43">
        <v>50.0</v>
      </c>
    </row>
    <row r="122">
      <c r="A122" s="9">
        <v>2002.0</v>
      </c>
      <c r="B122" s="29" t="s">
        <v>75</v>
      </c>
      <c r="C122" s="29">
        <v>31.0</v>
      </c>
      <c r="D122" s="34">
        <v>0.6848922403085073</v>
      </c>
      <c r="E122" s="36">
        <v>54.65</v>
      </c>
      <c r="F122" s="38">
        <v>100.0</v>
      </c>
      <c r="G122" s="39">
        <v>0.33</v>
      </c>
      <c r="H122" s="40">
        <v>2775.53</v>
      </c>
      <c r="I122" s="40">
        <v>0.0</v>
      </c>
      <c r="J122" s="40">
        <v>1.226</v>
      </c>
      <c r="K122" s="40">
        <v>-5.48</v>
      </c>
      <c r="L122" s="41">
        <v>1.0</v>
      </c>
      <c r="M122" s="41">
        <v>0.0</v>
      </c>
      <c r="N122" s="41">
        <v>0.0</v>
      </c>
      <c r="O122" s="41">
        <v>0.0</v>
      </c>
      <c r="P122" s="43">
        <v>7.0</v>
      </c>
      <c r="Q122" s="43">
        <v>0.0</v>
      </c>
    </row>
    <row r="123">
      <c r="A123" s="9">
        <v>2007.0</v>
      </c>
      <c r="B123" s="29" t="s">
        <v>75</v>
      </c>
      <c r="C123" s="29">
        <v>31.0</v>
      </c>
      <c r="D123" s="34">
        <v>0.7298879096100618</v>
      </c>
      <c r="E123" s="36">
        <v>68.29</v>
      </c>
      <c r="F123" s="38">
        <v>85.7142857142857</v>
      </c>
      <c r="G123" s="39">
        <v>5.38</v>
      </c>
      <c r="H123" s="40">
        <v>3669.91</v>
      </c>
      <c r="I123" s="40">
        <v>0.0</v>
      </c>
      <c r="J123" s="40">
        <v>7.702</v>
      </c>
      <c r="K123" s="40">
        <v>-18.36</v>
      </c>
      <c r="L123" s="41">
        <v>0.0</v>
      </c>
      <c r="M123" s="41">
        <v>1.0</v>
      </c>
      <c r="N123" s="41">
        <v>0.0</v>
      </c>
      <c r="O123" s="41">
        <v>0.0</v>
      </c>
      <c r="P123" s="43">
        <v>7.0</v>
      </c>
      <c r="Q123" s="43">
        <v>0.0</v>
      </c>
    </row>
    <row r="124">
      <c r="A124" s="9">
        <v>2011.0</v>
      </c>
      <c r="B124" s="29" t="s">
        <v>75</v>
      </c>
      <c r="C124" s="29">
        <v>31.0</v>
      </c>
      <c r="D124" s="34">
        <v>0.8744319042260952</v>
      </c>
      <c r="E124" s="36">
        <v>69.2</v>
      </c>
      <c r="F124" s="38">
        <v>83.3333333333333</v>
      </c>
      <c r="G124" s="39">
        <v>8.79</v>
      </c>
      <c r="H124" s="40">
        <v>5829.5</v>
      </c>
      <c r="I124" s="40">
        <v>0.0</v>
      </c>
      <c r="J124" s="40">
        <v>19.243</v>
      </c>
      <c r="K124" s="40">
        <v>-19.54</v>
      </c>
      <c r="L124" s="41">
        <v>0.0</v>
      </c>
      <c r="M124" s="41">
        <v>0.0</v>
      </c>
      <c r="N124" s="41">
        <v>1.0</v>
      </c>
      <c r="O124" s="41">
        <v>0.0</v>
      </c>
      <c r="P124" s="43">
        <v>6.0</v>
      </c>
      <c r="Q124" s="43">
        <v>0.0</v>
      </c>
    </row>
    <row r="125">
      <c r="A125" s="9">
        <v>2015.0</v>
      </c>
      <c r="B125" s="29" t="s">
        <v>75</v>
      </c>
      <c r="C125" s="29">
        <v>31.0</v>
      </c>
      <c r="D125" s="34">
        <v>2.9251162369540995</v>
      </c>
      <c r="E125" s="36">
        <v>52.0</v>
      </c>
      <c r="F125" s="38">
        <v>66.6666666666667</v>
      </c>
      <c r="G125" s="39">
        <v>11.73</v>
      </c>
      <c r="H125" s="40">
        <v>6826.25</v>
      </c>
      <c r="I125" s="40">
        <v>0.0</v>
      </c>
      <c r="J125" s="40">
        <v>34.086</v>
      </c>
      <c r="K125" s="40">
        <v>-16.21</v>
      </c>
      <c r="L125" s="41">
        <v>0.0</v>
      </c>
      <c r="M125" s="41">
        <v>0.0</v>
      </c>
      <c r="N125" s="41">
        <v>0.0</v>
      </c>
      <c r="O125" s="41">
        <v>1.0</v>
      </c>
      <c r="P125" s="43">
        <v>6.0</v>
      </c>
      <c r="Q125" s="43">
        <v>0.0</v>
      </c>
    </row>
    <row r="126">
      <c r="A126" s="9">
        <v>2002.0</v>
      </c>
      <c r="B126" s="29" t="s">
        <v>77</v>
      </c>
      <c r="C126" s="29">
        <v>32.0</v>
      </c>
      <c r="D126" s="34">
        <v>1.5305256681046673</v>
      </c>
      <c r="E126" s="36">
        <v>29.59</v>
      </c>
      <c r="F126" s="38">
        <v>50.0</v>
      </c>
      <c r="G126" s="39">
        <v>5.91</v>
      </c>
      <c r="H126" s="40">
        <v>5719.87</v>
      </c>
      <c r="I126" s="40">
        <v>0.0</v>
      </c>
      <c r="J126" s="40">
        <v>2.889</v>
      </c>
      <c r="K126" s="40">
        <v>1.48</v>
      </c>
      <c r="L126" s="41">
        <v>1.0</v>
      </c>
      <c r="M126" s="41">
        <v>0.0</v>
      </c>
      <c r="N126" s="41">
        <v>0.0</v>
      </c>
      <c r="O126" s="41">
        <v>0.0</v>
      </c>
      <c r="P126" s="43">
        <v>6.0</v>
      </c>
      <c r="Q126" s="43">
        <v>50.0</v>
      </c>
    </row>
    <row r="127">
      <c r="A127" s="9">
        <v>2007.0</v>
      </c>
      <c r="B127" s="29" t="s">
        <v>77</v>
      </c>
      <c r="C127" s="29">
        <v>32.0</v>
      </c>
      <c r="D127" s="34">
        <v>1.1238920051515002</v>
      </c>
      <c r="E127" s="36">
        <v>44.48</v>
      </c>
      <c r="F127" s="38">
        <v>50.0</v>
      </c>
      <c r="G127" s="39">
        <v>8.97</v>
      </c>
      <c r="H127" s="40">
        <v>7916.65</v>
      </c>
      <c r="I127" s="40">
        <v>0.0</v>
      </c>
      <c r="J127" s="40">
        <v>17.659</v>
      </c>
      <c r="K127" s="40">
        <v>7.37</v>
      </c>
      <c r="L127" s="41">
        <v>0.0</v>
      </c>
      <c r="M127" s="41">
        <v>1.0</v>
      </c>
      <c r="N127" s="41">
        <v>0.0</v>
      </c>
      <c r="O127" s="41">
        <v>0.0</v>
      </c>
      <c r="P127" s="43">
        <v>6.0</v>
      </c>
      <c r="Q127" s="43">
        <v>33.3333333333333</v>
      </c>
    </row>
    <row r="128">
      <c r="A128" s="9">
        <v>2011.0</v>
      </c>
      <c r="B128" s="29" t="s">
        <v>77</v>
      </c>
      <c r="C128" s="29">
        <v>32.0</v>
      </c>
      <c r="D128" s="34">
        <v>0.035620146755004634</v>
      </c>
      <c r="E128" s="36">
        <v>44.1</v>
      </c>
      <c r="F128" s="38">
        <v>50.0</v>
      </c>
      <c r="G128" s="39">
        <v>13.28</v>
      </c>
      <c r="H128" s="40">
        <v>11239.0</v>
      </c>
      <c r="I128" s="40">
        <v>0.0</v>
      </c>
      <c r="J128" s="40">
        <v>126.157</v>
      </c>
      <c r="K128" s="40">
        <v>10.6</v>
      </c>
      <c r="L128" s="41">
        <v>0.0</v>
      </c>
      <c r="M128" s="41">
        <v>0.0</v>
      </c>
      <c r="N128" s="41">
        <v>1.0</v>
      </c>
      <c r="O128" s="41">
        <v>0.0</v>
      </c>
      <c r="P128" s="43">
        <v>6.0</v>
      </c>
      <c r="Q128" s="43">
        <v>33.3333333333333</v>
      </c>
    </row>
    <row r="129">
      <c r="A129" s="9">
        <v>2015.0</v>
      </c>
      <c r="B129" s="29" t="s">
        <v>77</v>
      </c>
      <c r="C129" s="29">
        <v>32.0</v>
      </c>
      <c r="D129" s="34">
        <v>0.5728881850097415</v>
      </c>
      <c r="E129" s="36">
        <v>35.9</v>
      </c>
      <c r="F129" s="38">
        <v>33.3333333333333</v>
      </c>
      <c r="G129" s="39">
        <v>17.2</v>
      </c>
      <c r="H129" s="40">
        <v>12807.75</v>
      </c>
      <c r="I129" s="40">
        <v>0.0</v>
      </c>
      <c r="J129" s="40">
        <v>205.428</v>
      </c>
      <c r="K129" s="40">
        <v>8.74</v>
      </c>
      <c r="L129" s="41">
        <v>0.0</v>
      </c>
      <c r="M129" s="41">
        <v>0.0</v>
      </c>
      <c r="N129" s="41">
        <v>0.0</v>
      </c>
      <c r="O129" s="41">
        <v>1.0</v>
      </c>
      <c r="P129" s="43">
        <v>6.0</v>
      </c>
      <c r="Q129" s="43">
        <v>50.0</v>
      </c>
    </row>
    <row r="130">
      <c r="A130" s="9">
        <v>2002.0</v>
      </c>
      <c r="B130" s="29" t="s">
        <v>78</v>
      </c>
      <c r="C130" s="29">
        <v>33.0</v>
      </c>
      <c r="D130" s="34">
        <v>0.8335774536657472</v>
      </c>
      <c r="E130" s="36">
        <v>40.04</v>
      </c>
      <c r="F130" s="38">
        <v>70.0</v>
      </c>
      <c r="G130" s="39">
        <v>2.44</v>
      </c>
      <c r="H130" s="40">
        <v>3811.13</v>
      </c>
      <c r="I130" s="40">
        <v>0.0</v>
      </c>
      <c r="J130" s="40">
        <v>0.838</v>
      </c>
      <c r="K130" s="40">
        <v>0.31</v>
      </c>
      <c r="L130" s="41">
        <v>1.0</v>
      </c>
      <c r="M130" s="41">
        <v>0.0</v>
      </c>
      <c r="N130" s="41">
        <v>0.0</v>
      </c>
      <c r="O130" s="41">
        <v>0.0</v>
      </c>
      <c r="P130" s="43">
        <v>10.0</v>
      </c>
      <c r="Q130" s="43">
        <v>30.0</v>
      </c>
    </row>
    <row r="131">
      <c r="A131" s="9">
        <v>2007.0</v>
      </c>
      <c r="B131" s="29" t="s">
        <v>78</v>
      </c>
      <c r="C131" s="29">
        <v>33.0</v>
      </c>
      <c r="D131" s="34">
        <v>0.4196271211258149</v>
      </c>
      <c r="E131" s="36">
        <v>59.25</v>
      </c>
      <c r="F131" s="38">
        <v>70.0</v>
      </c>
      <c r="G131" s="39">
        <v>4.4</v>
      </c>
      <c r="H131" s="40">
        <v>4973.99</v>
      </c>
      <c r="I131" s="40">
        <v>0.0</v>
      </c>
      <c r="J131" s="40">
        <v>4.869</v>
      </c>
      <c r="K131" s="40">
        <v>0.45</v>
      </c>
      <c r="L131" s="41">
        <v>0.0</v>
      </c>
      <c r="M131" s="41">
        <v>1.0</v>
      </c>
      <c r="N131" s="41">
        <v>0.0</v>
      </c>
      <c r="O131" s="41">
        <v>0.0</v>
      </c>
      <c r="P131" s="43">
        <v>10.0</v>
      </c>
      <c r="Q131" s="43">
        <v>20.0</v>
      </c>
    </row>
    <row r="132">
      <c r="A132" s="9">
        <v>2011.0</v>
      </c>
      <c r="B132" s="29" t="s">
        <v>78</v>
      </c>
      <c r="C132" s="29">
        <v>33.0</v>
      </c>
      <c r="D132" s="34">
        <v>0.8283661281840323</v>
      </c>
      <c r="E132" s="36">
        <v>61.7</v>
      </c>
      <c r="F132" s="38">
        <v>75.0</v>
      </c>
      <c r="G132" s="39">
        <v>6.72</v>
      </c>
      <c r="H132" s="40">
        <v>6598.0</v>
      </c>
      <c r="I132" s="40">
        <v>0.0</v>
      </c>
      <c r="J132" s="40">
        <v>16.792</v>
      </c>
      <c r="K132" s="40">
        <v>1.39</v>
      </c>
      <c r="L132" s="41">
        <v>0.0</v>
      </c>
      <c r="M132" s="41">
        <v>0.0</v>
      </c>
      <c r="N132" s="41">
        <v>1.0</v>
      </c>
      <c r="O132" s="41">
        <v>0.0</v>
      </c>
      <c r="P132" s="43">
        <v>12.0</v>
      </c>
      <c r="Q132" s="43">
        <v>16.6666666666667</v>
      </c>
    </row>
    <row r="133">
      <c r="A133" s="9">
        <v>2015.0</v>
      </c>
      <c r="B133" s="29" t="s">
        <v>78</v>
      </c>
      <c r="C133" s="29">
        <v>33.0</v>
      </c>
      <c r="D133" s="34">
        <v>2.3862298682432366</v>
      </c>
      <c r="E133" s="36">
        <v>47.0</v>
      </c>
      <c r="F133" s="38">
        <v>50.0</v>
      </c>
      <c r="G133" s="39">
        <v>9.9</v>
      </c>
      <c r="H133" s="40">
        <v>8141.0</v>
      </c>
      <c r="I133" s="40">
        <v>0.0</v>
      </c>
      <c r="J133" s="40">
        <v>37.726</v>
      </c>
      <c r="K133" s="40">
        <v>1.59</v>
      </c>
      <c r="L133" s="41">
        <v>0.0</v>
      </c>
      <c r="M133" s="41">
        <v>0.0</v>
      </c>
      <c r="N133" s="41">
        <v>0.0</v>
      </c>
      <c r="O133" s="41">
        <v>1.0</v>
      </c>
      <c r="P133" s="43">
        <v>12.0</v>
      </c>
      <c r="Q133" s="43">
        <v>16.6666666666667</v>
      </c>
    </row>
    <row r="134">
      <c r="A134" s="9">
        <v>2002.0</v>
      </c>
      <c r="B134" s="29" t="s">
        <v>79</v>
      </c>
      <c r="C134" s="29">
        <v>34.0</v>
      </c>
      <c r="D134" s="34">
        <v>0.2759248392234824</v>
      </c>
      <c r="E134" s="36">
        <v>45.46</v>
      </c>
      <c r="F134" s="38">
        <v>80.0</v>
      </c>
      <c r="G134" s="39">
        <v>3.23</v>
      </c>
      <c r="H134" s="40">
        <v>2948.88</v>
      </c>
      <c r="I134" s="40">
        <v>0.0</v>
      </c>
      <c r="J134" s="40">
        <v>2.05</v>
      </c>
      <c r="K134" s="40">
        <v>-1.21</v>
      </c>
      <c r="L134" s="41">
        <v>1.0</v>
      </c>
      <c r="M134" s="41">
        <v>0.0</v>
      </c>
      <c r="N134" s="41">
        <v>0.0</v>
      </c>
      <c r="O134" s="41">
        <v>0.0</v>
      </c>
      <c r="P134" s="43">
        <v>5.0</v>
      </c>
      <c r="Q134" s="43">
        <v>20.0</v>
      </c>
    </row>
    <row r="135">
      <c r="A135" s="9">
        <v>2007.0</v>
      </c>
      <c r="B135" s="29" t="s">
        <v>79</v>
      </c>
      <c r="C135" s="29">
        <v>34.0</v>
      </c>
      <c r="D135" s="34">
        <v>0.2805549281375195</v>
      </c>
      <c r="E135" s="36">
        <v>51.28</v>
      </c>
      <c r="F135" s="38">
        <v>60.0</v>
      </c>
      <c r="G135" s="39">
        <v>5.59</v>
      </c>
      <c r="H135" s="40">
        <v>4212.48</v>
      </c>
      <c r="I135" s="40">
        <v>0.0</v>
      </c>
      <c r="J135" s="40">
        <v>12.294</v>
      </c>
      <c r="K135" s="40">
        <v>1.24</v>
      </c>
      <c r="L135" s="41">
        <v>0.0</v>
      </c>
      <c r="M135" s="41">
        <v>1.0</v>
      </c>
      <c r="N135" s="41">
        <v>0.0</v>
      </c>
      <c r="O135" s="41">
        <v>0.0</v>
      </c>
      <c r="P135" s="43">
        <v>5.0</v>
      </c>
      <c r="Q135" s="43">
        <v>20.0</v>
      </c>
    </row>
    <row r="136">
      <c r="A136" s="9">
        <v>2011.0</v>
      </c>
      <c r="B136" s="29" t="s">
        <v>79</v>
      </c>
      <c r="C136" s="29">
        <v>34.0</v>
      </c>
      <c r="D136" s="34">
        <v>0.5760531191512974</v>
      </c>
      <c r="E136" s="36">
        <v>59.4</v>
      </c>
      <c r="F136" s="38">
        <v>75.0</v>
      </c>
      <c r="G136" s="39">
        <v>8.43</v>
      </c>
      <c r="H136" s="40">
        <v>6271.5</v>
      </c>
      <c r="I136" s="40">
        <v>0.0</v>
      </c>
      <c r="J136" s="40">
        <v>28.143</v>
      </c>
      <c r="K136" s="40">
        <v>-3.23</v>
      </c>
      <c r="L136" s="41">
        <v>0.0</v>
      </c>
      <c r="M136" s="41">
        <v>0.0</v>
      </c>
      <c r="N136" s="41">
        <v>1.0</v>
      </c>
      <c r="O136" s="41">
        <v>0.0</v>
      </c>
      <c r="P136" s="43">
        <v>4.0</v>
      </c>
      <c r="Q136" s="43">
        <v>25.0</v>
      </c>
    </row>
    <row r="137">
      <c r="A137" s="9">
        <v>2015.0</v>
      </c>
      <c r="B137" s="29" t="s">
        <v>79</v>
      </c>
      <c r="C137" s="29">
        <v>34.0</v>
      </c>
      <c r="D137" s="34">
        <v>0.7694609498567948</v>
      </c>
      <c r="E137" s="36">
        <v>53.6</v>
      </c>
      <c r="F137" s="38">
        <v>50.0</v>
      </c>
      <c r="G137" s="39">
        <v>11.94</v>
      </c>
      <c r="H137" s="40">
        <v>7000.25</v>
      </c>
      <c r="I137" s="40">
        <v>0.0</v>
      </c>
      <c r="J137" s="40">
        <v>54.188</v>
      </c>
      <c r="K137" s="40">
        <v>2.57</v>
      </c>
      <c r="L137" s="41">
        <v>0.0</v>
      </c>
      <c r="M137" s="41">
        <v>0.0</v>
      </c>
      <c r="N137" s="41">
        <v>0.0</v>
      </c>
      <c r="O137" s="41">
        <v>1.0</v>
      </c>
      <c r="P137" s="43">
        <v>4.0</v>
      </c>
      <c r="Q137" s="43">
        <v>25.0</v>
      </c>
    </row>
    <row r="138">
      <c r="A138" s="9">
        <v>2002.0</v>
      </c>
      <c r="B138" s="29" t="s">
        <v>80</v>
      </c>
      <c r="C138" s="29">
        <v>35.0</v>
      </c>
      <c r="D138" s="34">
        <v>1.3422510987961016</v>
      </c>
      <c r="E138" s="36">
        <v>42.47</v>
      </c>
      <c r="F138" s="38">
        <v>100.0</v>
      </c>
      <c r="G138" s="39">
        <v>2.73</v>
      </c>
      <c r="H138" s="40">
        <v>3691.32</v>
      </c>
      <c r="I138" s="40">
        <v>0.0</v>
      </c>
      <c r="J138" s="40">
        <v>1.064</v>
      </c>
      <c r="K138" s="40">
        <v>-2.35</v>
      </c>
      <c r="L138" s="41">
        <v>1.0</v>
      </c>
      <c r="M138" s="41">
        <v>0.0</v>
      </c>
      <c r="N138" s="41">
        <v>0.0</v>
      </c>
      <c r="O138" s="41">
        <v>0.0</v>
      </c>
      <c r="P138" s="43">
        <v>2.0</v>
      </c>
      <c r="Q138" s="43">
        <v>0.0</v>
      </c>
    </row>
    <row r="139">
      <c r="A139" s="9">
        <v>2007.0</v>
      </c>
      <c r="B139" s="29" t="s">
        <v>80</v>
      </c>
      <c r="C139" s="29">
        <v>35.0</v>
      </c>
      <c r="D139" s="34">
        <v>0.5988537862244557</v>
      </c>
      <c r="E139" s="36">
        <v>60.64</v>
      </c>
      <c r="F139" s="38">
        <v>100.0</v>
      </c>
      <c r="G139" s="39">
        <v>4.8</v>
      </c>
      <c r="H139" s="40">
        <v>4858.19</v>
      </c>
      <c r="I139" s="40">
        <v>0.0</v>
      </c>
      <c r="J139" s="40">
        <v>13.239</v>
      </c>
      <c r="K139" s="40">
        <v>-0.39</v>
      </c>
      <c r="L139" s="41">
        <v>0.0</v>
      </c>
      <c r="M139" s="41">
        <v>1.0</v>
      </c>
      <c r="N139" s="41">
        <v>0.0</v>
      </c>
      <c r="O139" s="41">
        <v>0.0</v>
      </c>
      <c r="P139" s="43">
        <v>2.0</v>
      </c>
      <c r="Q139" s="43">
        <v>0.0</v>
      </c>
    </row>
    <row r="140">
      <c r="A140" s="9">
        <v>2011.0</v>
      </c>
      <c r="B140" s="29" t="s">
        <v>80</v>
      </c>
      <c r="C140" s="29">
        <v>35.0</v>
      </c>
      <c r="D140" s="34">
        <v>0.14623191685671014</v>
      </c>
      <c r="E140" s="36">
        <v>65.0</v>
      </c>
      <c r="F140" s="38">
        <v>100.0</v>
      </c>
      <c r="G140" s="39">
        <v>8.0</v>
      </c>
      <c r="H140" s="40">
        <v>7303.75</v>
      </c>
      <c r="I140" s="40">
        <v>0.0</v>
      </c>
      <c r="J140" s="40">
        <v>33.018</v>
      </c>
      <c r="K140" s="40">
        <v>-7.21</v>
      </c>
      <c r="L140" s="41">
        <v>0.0</v>
      </c>
      <c r="M140" s="41">
        <v>0.0</v>
      </c>
      <c r="N140" s="41">
        <v>1.0</v>
      </c>
      <c r="O140" s="41">
        <v>0.0</v>
      </c>
      <c r="P140" s="43">
        <v>2.0</v>
      </c>
      <c r="Q140" s="43">
        <v>0.0</v>
      </c>
    </row>
    <row r="141">
      <c r="A141" s="9">
        <v>2015.0</v>
      </c>
      <c r="B141" s="29" t="s">
        <v>80</v>
      </c>
      <c r="C141" s="29">
        <v>35.0</v>
      </c>
      <c r="D141" s="34">
        <v>3.0691607472941396</v>
      </c>
      <c r="E141" s="36">
        <v>56.9</v>
      </c>
      <c r="F141" s="38">
        <v>50.0</v>
      </c>
      <c r="G141" s="39">
        <v>12.47</v>
      </c>
      <c r="H141" s="40">
        <v>8196.25</v>
      </c>
      <c r="I141" s="40">
        <v>0.0</v>
      </c>
      <c r="J141" s="40">
        <v>61.926</v>
      </c>
      <c r="K141" s="40">
        <v>21.44</v>
      </c>
      <c r="L141" s="41">
        <v>0.0</v>
      </c>
      <c r="M141" s="41">
        <v>0.0</v>
      </c>
      <c r="N141" s="41">
        <v>0.0</v>
      </c>
      <c r="O141" s="41">
        <v>1.0</v>
      </c>
      <c r="P141" s="43">
        <v>2.0</v>
      </c>
      <c r="Q141" s="43">
        <v>0.0</v>
      </c>
    </row>
    <row r="142">
      <c r="A142" s="9">
        <v>2002.0</v>
      </c>
      <c r="B142" s="29" t="s">
        <v>81</v>
      </c>
      <c r="C142" s="29">
        <v>36.0</v>
      </c>
      <c r="D142" s="34">
        <v>0.12983377219853207</v>
      </c>
      <c r="E142" s="36">
        <v>6.81</v>
      </c>
      <c r="F142" s="38">
        <v>33.3333333333333</v>
      </c>
      <c r="G142" s="39">
        <v>2.04</v>
      </c>
      <c r="H142" s="40">
        <v>2398.86</v>
      </c>
      <c r="I142" s="40">
        <v>0.0</v>
      </c>
      <c r="J142" s="40">
        <v>0.727</v>
      </c>
      <c r="K142" s="40">
        <v>-1.25</v>
      </c>
      <c r="L142" s="41">
        <v>1.0</v>
      </c>
      <c r="M142" s="41">
        <v>0.0</v>
      </c>
      <c r="N142" s="41">
        <v>0.0</v>
      </c>
      <c r="O142" s="41">
        <v>0.0</v>
      </c>
      <c r="P142" s="43">
        <v>3.0</v>
      </c>
      <c r="Q142" s="43">
        <v>33.3333333333333</v>
      </c>
    </row>
    <row r="143">
      <c r="A143" s="9">
        <v>2007.0</v>
      </c>
      <c r="B143" s="29" t="s">
        <v>81</v>
      </c>
      <c r="C143" s="29">
        <v>36.0</v>
      </c>
      <c r="D143" s="34">
        <v>0.09818851810423</v>
      </c>
      <c r="E143" s="36">
        <v>33.49</v>
      </c>
      <c r="F143" s="38">
        <v>66.6666666666667</v>
      </c>
      <c r="G143" s="39">
        <v>3.35</v>
      </c>
      <c r="H143" s="40">
        <v>3211.32</v>
      </c>
      <c r="I143" s="40">
        <v>0.0</v>
      </c>
      <c r="J143" s="40">
        <v>5.844</v>
      </c>
      <c r="K143" s="40">
        <v>0.97</v>
      </c>
      <c r="L143" s="41">
        <v>0.0</v>
      </c>
      <c r="M143" s="41">
        <v>1.0</v>
      </c>
      <c r="N143" s="41">
        <v>0.0</v>
      </c>
      <c r="O143" s="41">
        <v>0.0</v>
      </c>
      <c r="P143" s="43">
        <v>3.0</v>
      </c>
      <c r="Q143" s="43">
        <v>0.0</v>
      </c>
    </row>
    <row r="144">
      <c r="A144" s="9">
        <v>2011.0</v>
      </c>
      <c r="B144" s="29" t="s">
        <v>81</v>
      </c>
      <c r="C144" s="29">
        <v>36.0</v>
      </c>
      <c r="D144" s="34">
        <v>0.0</v>
      </c>
      <c r="E144" s="36">
        <v>16.5</v>
      </c>
      <c r="F144" s="38">
        <v>0.0</v>
      </c>
      <c r="G144" s="39">
        <v>6.24</v>
      </c>
      <c r="H144" s="40">
        <v>4521.25</v>
      </c>
      <c r="I144" s="40">
        <v>0.0</v>
      </c>
      <c r="J144" s="40">
        <v>16.042</v>
      </c>
      <c r="K144" s="40">
        <v>-7.86</v>
      </c>
      <c r="L144" s="41">
        <v>0.0</v>
      </c>
      <c r="M144" s="41">
        <v>0.0</v>
      </c>
      <c r="N144" s="41">
        <v>1.0</v>
      </c>
      <c r="O144" s="41">
        <v>0.0</v>
      </c>
      <c r="P144" s="43">
        <v>3.0</v>
      </c>
      <c r="Q144" s="43">
        <v>0.0</v>
      </c>
    </row>
    <row r="145">
      <c r="A145" s="9">
        <v>2015.0</v>
      </c>
      <c r="B145" s="29" t="s">
        <v>81</v>
      </c>
      <c r="C145" s="29">
        <v>36.0</v>
      </c>
      <c r="D145" s="34">
        <v>0.0</v>
      </c>
      <c r="E145" s="36">
        <v>8.8</v>
      </c>
      <c r="F145" s="38">
        <v>0.0</v>
      </c>
      <c r="G145" s="39">
        <v>10.5</v>
      </c>
      <c r="H145" s="40">
        <v>5152.0</v>
      </c>
      <c r="I145" s="40">
        <v>0.0</v>
      </c>
      <c r="J145" s="40">
        <v>23.298</v>
      </c>
      <c r="K145" s="40">
        <v>-9.75</v>
      </c>
      <c r="L145" s="41">
        <v>0.0</v>
      </c>
      <c r="M145" s="41">
        <v>0.0</v>
      </c>
      <c r="N145" s="41">
        <v>0.0</v>
      </c>
      <c r="O145" s="41">
        <v>1.0</v>
      </c>
      <c r="P145" s="43">
        <v>3.0</v>
      </c>
      <c r="Q145" s="43">
        <v>0.0</v>
      </c>
    </row>
    <row r="146">
      <c r="A146" s="9">
        <v>2002.0</v>
      </c>
      <c r="B146" s="29" t="s">
        <v>82</v>
      </c>
      <c r="C146" s="29">
        <v>37.0</v>
      </c>
      <c r="D146" s="34">
        <v>0.1369187086646891</v>
      </c>
      <c r="E146" s="36">
        <v>29.88</v>
      </c>
      <c r="F146" s="38">
        <v>50.0</v>
      </c>
      <c r="G146" s="39">
        <v>3.04</v>
      </c>
      <c r="H146" s="40">
        <v>3287.43</v>
      </c>
      <c r="I146" s="40">
        <v>0.0</v>
      </c>
      <c r="J146" s="40">
        <v>1.412</v>
      </c>
      <c r="K146" s="40">
        <v>-3.39</v>
      </c>
      <c r="L146" s="41">
        <v>1.0</v>
      </c>
      <c r="M146" s="41">
        <v>0.0</v>
      </c>
      <c r="N146" s="41">
        <v>0.0</v>
      </c>
      <c r="O146" s="41">
        <v>0.0</v>
      </c>
      <c r="P146" s="43">
        <v>10.0</v>
      </c>
      <c r="Q146" s="43">
        <v>50.0</v>
      </c>
    </row>
    <row r="147">
      <c r="A147" s="9">
        <v>2007.0</v>
      </c>
      <c r="B147" s="29" t="s">
        <v>82</v>
      </c>
      <c r="C147" s="29">
        <v>37.0</v>
      </c>
      <c r="D147" s="34">
        <v>0.4947993629845032</v>
      </c>
      <c r="E147" s="36">
        <v>40.84</v>
      </c>
      <c r="F147" s="38">
        <v>50.0</v>
      </c>
      <c r="G147" s="39">
        <v>5.14</v>
      </c>
      <c r="H147" s="40">
        <v>4456.12</v>
      </c>
      <c r="I147" s="40">
        <v>0.0</v>
      </c>
      <c r="J147" s="40">
        <v>8.095</v>
      </c>
      <c r="K147" s="40">
        <v>-2.82</v>
      </c>
      <c r="L147" s="41">
        <v>0.0</v>
      </c>
      <c r="M147" s="41">
        <v>1.0</v>
      </c>
      <c r="N147" s="41">
        <v>0.0</v>
      </c>
      <c r="O147" s="41">
        <v>0.0</v>
      </c>
      <c r="P147" s="43">
        <v>10.0</v>
      </c>
      <c r="Q147" s="43">
        <v>30.0</v>
      </c>
    </row>
    <row r="148">
      <c r="A148" s="9">
        <v>2011.0</v>
      </c>
      <c r="B148" s="29" t="s">
        <v>82</v>
      </c>
      <c r="C148" s="29">
        <v>37.0</v>
      </c>
      <c r="D148" s="34">
        <v>0.06672093744407155</v>
      </c>
      <c r="E148" s="36">
        <v>44.4</v>
      </c>
      <c r="F148" s="38">
        <v>50.0</v>
      </c>
      <c r="G148" s="39">
        <v>7.67</v>
      </c>
      <c r="H148" s="40">
        <v>6546.25</v>
      </c>
      <c r="I148" s="40">
        <v>0.0</v>
      </c>
      <c r="J148" s="40">
        <v>23.263</v>
      </c>
      <c r="K148" s="40">
        <v>-2.5</v>
      </c>
      <c r="L148" s="41">
        <v>0.0</v>
      </c>
      <c r="M148" s="41">
        <v>0.0</v>
      </c>
      <c r="N148" s="41">
        <v>1.0</v>
      </c>
      <c r="O148" s="41">
        <v>0.0</v>
      </c>
      <c r="P148" s="43">
        <v>10.0</v>
      </c>
      <c r="Q148" s="43">
        <v>40.0</v>
      </c>
    </row>
    <row r="149">
      <c r="A149" s="9">
        <v>2015.0</v>
      </c>
      <c r="B149" s="29" t="s">
        <v>82</v>
      </c>
      <c r="C149" s="29">
        <v>37.0</v>
      </c>
      <c r="D149" s="34">
        <v>1.5458166818311883</v>
      </c>
      <c r="E149" s="36">
        <v>37.8</v>
      </c>
      <c r="F149" s="38">
        <v>50.0</v>
      </c>
      <c r="G149" s="39">
        <v>11.38</v>
      </c>
      <c r="H149" s="40">
        <v>7455.75</v>
      </c>
      <c r="I149" s="40">
        <v>0.0</v>
      </c>
      <c r="J149" s="40">
        <v>52.513</v>
      </c>
      <c r="K149" s="40">
        <v>-5.39</v>
      </c>
      <c r="L149" s="41">
        <v>0.0</v>
      </c>
      <c r="M149" s="41">
        <v>0.0</v>
      </c>
      <c r="N149" s="41">
        <v>0.0</v>
      </c>
      <c r="O149" s="41">
        <v>1.0</v>
      </c>
      <c r="P149" s="43">
        <v>10.0</v>
      </c>
      <c r="Q149" s="43">
        <v>40.0</v>
      </c>
    </row>
    <row r="150">
      <c r="A150" s="9">
        <v>2002.0</v>
      </c>
      <c r="B150" s="29" t="s">
        <v>83</v>
      </c>
      <c r="C150" s="29">
        <v>38.0</v>
      </c>
      <c r="D150" s="34">
        <v>0.31671670350697767</v>
      </c>
      <c r="E150" s="36">
        <v>6.5</v>
      </c>
      <c r="F150" s="38">
        <v>0.0</v>
      </c>
      <c r="G150" s="39">
        <v>2.44</v>
      </c>
      <c r="H150" s="40">
        <v>2686.58</v>
      </c>
      <c r="I150" s="40">
        <v>0.0</v>
      </c>
      <c r="J150" s="40">
        <v>0.362</v>
      </c>
      <c r="K150" s="40">
        <v>1.24</v>
      </c>
      <c r="L150" s="41">
        <v>1.0</v>
      </c>
      <c r="M150" s="41">
        <v>0.0</v>
      </c>
      <c r="N150" s="41">
        <v>0.0</v>
      </c>
      <c r="O150" s="41">
        <v>0.0</v>
      </c>
      <c r="P150" s="43">
        <v>2.0</v>
      </c>
      <c r="Q150" s="43">
        <v>50.0</v>
      </c>
    </row>
    <row r="151">
      <c r="A151" s="9">
        <v>2007.0</v>
      </c>
      <c r="B151" s="29" t="s">
        <v>83</v>
      </c>
      <c r="C151" s="29">
        <v>38.0</v>
      </c>
      <c r="D151" s="34">
        <v>0.4373732764928063</v>
      </c>
      <c r="E151" s="36">
        <v>28.91</v>
      </c>
      <c r="F151" s="38">
        <v>50.0</v>
      </c>
      <c r="G151" s="39">
        <v>3.92</v>
      </c>
      <c r="H151" s="40">
        <v>3784.15</v>
      </c>
      <c r="I151" s="40">
        <v>0.0</v>
      </c>
      <c r="J151" s="40">
        <v>5.206</v>
      </c>
      <c r="K151" s="40">
        <v>-9.59</v>
      </c>
      <c r="L151" s="41">
        <v>0.0</v>
      </c>
      <c r="M151" s="41">
        <v>1.0</v>
      </c>
      <c r="N151" s="41">
        <v>0.0</v>
      </c>
      <c r="O151" s="41">
        <v>0.0</v>
      </c>
      <c r="P151" s="43">
        <v>2.0</v>
      </c>
      <c r="Q151" s="43">
        <v>0.0</v>
      </c>
    </row>
    <row r="152">
      <c r="A152" s="9">
        <v>2011.0</v>
      </c>
      <c r="B152" s="29" t="s">
        <v>83</v>
      </c>
      <c r="C152" s="29">
        <v>38.0</v>
      </c>
      <c r="D152" s="34">
        <v>0.11237070835358619</v>
      </c>
      <c r="E152" s="36">
        <v>28.3</v>
      </c>
      <c r="F152" s="38">
        <v>0.0</v>
      </c>
      <c r="G152" s="39">
        <v>6.64</v>
      </c>
      <c r="H152" s="40">
        <v>5646.0</v>
      </c>
      <c r="I152" s="40">
        <v>0.0</v>
      </c>
      <c r="J152" s="40">
        <v>9.622</v>
      </c>
      <c r="K152" s="40">
        <v>-14.9</v>
      </c>
      <c r="L152" s="41">
        <v>0.0</v>
      </c>
      <c r="M152" s="41">
        <v>0.0</v>
      </c>
      <c r="N152" s="41">
        <v>1.0</v>
      </c>
      <c r="O152" s="41">
        <v>0.0</v>
      </c>
      <c r="P152" s="43">
        <v>2.0</v>
      </c>
      <c r="Q152" s="43">
        <v>0.0</v>
      </c>
    </row>
    <row r="153">
      <c r="A153" s="9">
        <v>2015.0</v>
      </c>
      <c r="B153" s="29" t="s">
        <v>83</v>
      </c>
      <c r="C153" s="29">
        <v>38.0</v>
      </c>
      <c r="D153" s="34">
        <v>0.0</v>
      </c>
      <c r="E153" s="36">
        <v>10.8</v>
      </c>
      <c r="F153" s="38">
        <v>0.0</v>
      </c>
      <c r="G153" s="39">
        <v>10.46</v>
      </c>
      <c r="H153" s="40">
        <v>6383.25</v>
      </c>
      <c r="I153" s="40">
        <v>0.0</v>
      </c>
      <c r="J153" s="40">
        <v>19.649</v>
      </c>
      <c r="K153" s="40">
        <v>-11.49</v>
      </c>
      <c r="L153" s="41">
        <v>0.0</v>
      </c>
      <c r="M153" s="41">
        <v>0.0</v>
      </c>
      <c r="N153" s="41">
        <v>0.0</v>
      </c>
      <c r="O153" s="41">
        <v>1.0</v>
      </c>
      <c r="P153" s="43">
        <v>2.0</v>
      </c>
      <c r="Q153" s="43">
        <v>0.0</v>
      </c>
    </row>
    <row r="154">
      <c r="A154" s="9">
        <v>2002.0</v>
      </c>
      <c r="B154" s="29" t="s">
        <v>84</v>
      </c>
      <c r="C154" s="29">
        <v>39.0</v>
      </c>
      <c r="D154" s="34">
        <v>0.737891364670295</v>
      </c>
      <c r="E154" s="36">
        <v>41.65</v>
      </c>
      <c r="F154" s="38">
        <v>80.0</v>
      </c>
      <c r="G154" s="39">
        <v>4.85</v>
      </c>
      <c r="H154" s="40">
        <v>4583.52</v>
      </c>
      <c r="I154" s="40">
        <v>0.0</v>
      </c>
      <c r="J154" s="40">
        <v>2.788</v>
      </c>
      <c r="K154" s="40">
        <v>-0.93</v>
      </c>
      <c r="L154" s="41">
        <v>1.0</v>
      </c>
      <c r="M154" s="41">
        <v>0.0</v>
      </c>
      <c r="N154" s="41">
        <v>0.0</v>
      </c>
      <c r="O154" s="41">
        <v>0.0</v>
      </c>
      <c r="P154" s="43">
        <v>5.0</v>
      </c>
      <c r="Q154" s="43">
        <v>20.0</v>
      </c>
    </row>
    <row r="155">
      <c r="A155" s="9">
        <v>2007.0</v>
      </c>
      <c r="B155" s="29" t="s">
        <v>84</v>
      </c>
      <c r="C155" s="29">
        <v>39.0</v>
      </c>
      <c r="D155" s="34">
        <v>0.962198172534456</v>
      </c>
      <c r="E155" s="36">
        <v>43.87</v>
      </c>
      <c r="F155" s="38">
        <v>60.0</v>
      </c>
      <c r="G155" s="39">
        <v>7.65</v>
      </c>
      <c r="H155" s="40">
        <v>6085.95</v>
      </c>
      <c r="I155" s="40">
        <v>0.0</v>
      </c>
      <c r="J155" s="40">
        <v>44.433</v>
      </c>
      <c r="K155" s="40">
        <v>1.01</v>
      </c>
      <c r="L155" s="41">
        <v>0.0</v>
      </c>
      <c r="M155" s="41">
        <v>1.0</v>
      </c>
      <c r="N155" s="41">
        <v>0.0</v>
      </c>
      <c r="O155" s="41">
        <v>0.0</v>
      </c>
      <c r="P155" s="43">
        <v>5.0</v>
      </c>
      <c r="Q155" s="43">
        <v>20.0</v>
      </c>
    </row>
    <row r="156">
      <c r="A156" s="9">
        <v>2011.0</v>
      </c>
      <c r="B156" s="29" t="s">
        <v>84</v>
      </c>
      <c r="C156" s="29">
        <v>39.0</v>
      </c>
      <c r="D156" s="34">
        <v>0.2937343244677707</v>
      </c>
      <c r="E156" s="36">
        <v>52.9</v>
      </c>
      <c r="F156" s="38">
        <v>50.0</v>
      </c>
      <c r="G156" s="39">
        <v>11.19</v>
      </c>
      <c r="H156" s="40">
        <v>8698.75</v>
      </c>
      <c r="I156" s="40">
        <v>0.0</v>
      </c>
      <c r="J156" s="40">
        <v>106.007</v>
      </c>
      <c r="K156" s="40">
        <v>0.81</v>
      </c>
      <c r="L156" s="41">
        <v>0.0</v>
      </c>
      <c r="M156" s="41">
        <v>0.0</v>
      </c>
      <c r="N156" s="41">
        <v>1.0</v>
      </c>
      <c r="O156" s="41">
        <v>0.0</v>
      </c>
      <c r="P156" s="43">
        <v>4.0</v>
      </c>
      <c r="Q156" s="43">
        <v>25.0</v>
      </c>
    </row>
    <row r="157">
      <c r="A157" s="9">
        <v>2015.0</v>
      </c>
      <c r="B157" s="29" t="s">
        <v>84</v>
      </c>
      <c r="C157" s="29">
        <v>39.0</v>
      </c>
      <c r="D157" s="34">
        <v>0.8073499265194559</v>
      </c>
      <c r="E157" s="36">
        <v>44.1</v>
      </c>
      <c r="F157" s="38">
        <v>50.0</v>
      </c>
      <c r="G157" s="39">
        <v>14.79</v>
      </c>
      <c r="H157" s="40">
        <v>9319.75</v>
      </c>
      <c r="I157" s="40">
        <v>0.0</v>
      </c>
      <c r="J157" s="40">
        <v>136.113</v>
      </c>
      <c r="K157" s="40">
        <v>-0.33</v>
      </c>
      <c r="L157" s="41">
        <v>0.0</v>
      </c>
      <c r="M157" s="41">
        <v>0.0</v>
      </c>
      <c r="N157" s="41">
        <v>0.0</v>
      </c>
      <c r="O157" s="41">
        <v>1.0</v>
      </c>
      <c r="P157" s="43">
        <v>4.0</v>
      </c>
      <c r="Q157" s="43">
        <v>25.0</v>
      </c>
    </row>
    <row r="158">
      <c r="A158" s="9">
        <v>2002.0</v>
      </c>
      <c r="B158" s="29" t="s">
        <v>85</v>
      </c>
      <c r="C158" s="29">
        <v>40.0</v>
      </c>
      <c r="D158" s="34">
        <v>0.39451763169171283</v>
      </c>
      <c r="E158" s="36">
        <v>37.24</v>
      </c>
      <c r="F158" s="38">
        <v>61.4285714285714</v>
      </c>
      <c r="G158" s="39">
        <v>7.06</v>
      </c>
      <c r="H158" s="40">
        <v>9289.58</v>
      </c>
      <c r="I158" s="40">
        <v>0.0</v>
      </c>
      <c r="J158" s="40">
        <v>0.867</v>
      </c>
      <c r="K158" s="40">
        <v>3.07</v>
      </c>
      <c r="L158" s="41">
        <v>1.0</v>
      </c>
      <c r="M158" s="41">
        <v>0.0</v>
      </c>
      <c r="N158" s="41">
        <v>0.0</v>
      </c>
      <c r="O158" s="41">
        <v>0.0</v>
      </c>
      <c r="P158" s="43">
        <v>70.0</v>
      </c>
      <c r="Q158" s="43">
        <v>38.5714285714286</v>
      </c>
    </row>
    <row r="159">
      <c r="A159" s="9">
        <v>2007.0</v>
      </c>
      <c r="B159" s="29" t="s">
        <v>85</v>
      </c>
      <c r="C159" s="29">
        <v>40.0</v>
      </c>
      <c r="D159" s="34">
        <v>0.4897104138064427</v>
      </c>
      <c r="E159" s="36">
        <v>45.22</v>
      </c>
      <c r="F159" s="38">
        <v>55.7142857142857</v>
      </c>
      <c r="G159" s="39">
        <v>9.3</v>
      </c>
      <c r="H159" s="40">
        <v>12451.06</v>
      </c>
      <c r="I159" s="40">
        <v>0.0</v>
      </c>
      <c r="J159" s="40">
        <v>4.266</v>
      </c>
      <c r="K159" s="40">
        <v>2.59</v>
      </c>
      <c r="L159" s="41">
        <v>0.0</v>
      </c>
      <c r="M159" s="41">
        <v>1.0</v>
      </c>
      <c r="N159" s="41">
        <v>0.0</v>
      </c>
      <c r="O159" s="41">
        <v>0.0</v>
      </c>
      <c r="P159" s="43">
        <v>70.0</v>
      </c>
      <c r="Q159" s="43">
        <v>31.4285714285714</v>
      </c>
    </row>
    <row r="160">
      <c r="A160" s="9">
        <v>2011.0</v>
      </c>
      <c r="B160" s="29" t="s">
        <v>85</v>
      </c>
      <c r="C160" s="29">
        <v>40.0</v>
      </c>
      <c r="D160" s="34">
        <v>0.10271752895140004</v>
      </c>
      <c r="E160" s="36">
        <v>49.43</v>
      </c>
      <c r="F160" s="38">
        <v>54.1176470588235</v>
      </c>
      <c r="G160" s="39">
        <v>12.62</v>
      </c>
      <c r="H160" s="40">
        <v>17468.5</v>
      </c>
      <c r="I160" s="40">
        <v>0.0</v>
      </c>
      <c r="J160" s="40">
        <v>16.492</v>
      </c>
      <c r="K160" s="40">
        <v>4.31</v>
      </c>
      <c r="L160" s="41">
        <v>0.0</v>
      </c>
      <c r="M160" s="41">
        <v>0.0</v>
      </c>
      <c r="N160" s="41">
        <v>1.0</v>
      </c>
      <c r="O160" s="41">
        <v>0.0</v>
      </c>
      <c r="P160" s="43">
        <v>85.0</v>
      </c>
      <c r="Q160" s="43">
        <v>34.1176470588235</v>
      </c>
    </row>
    <row r="161">
      <c r="A161" s="9">
        <v>2015.0</v>
      </c>
      <c r="B161" s="29" t="s">
        <v>85</v>
      </c>
      <c r="C161" s="29">
        <v>40.0</v>
      </c>
      <c r="D161" s="34">
        <v>0.051134427749687995</v>
      </c>
      <c r="E161" s="36">
        <v>41.0</v>
      </c>
      <c r="F161" s="38">
        <v>44.3181818181818</v>
      </c>
      <c r="G161" s="39">
        <v>17.41</v>
      </c>
      <c r="H161" s="40">
        <v>19562.25</v>
      </c>
      <c r="I161" s="40">
        <v>0.0</v>
      </c>
      <c r="J161" s="40">
        <v>51.239</v>
      </c>
      <c r="K161" s="40">
        <v>4.22</v>
      </c>
      <c r="L161" s="41">
        <v>0.0</v>
      </c>
      <c r="M161" s="41">
        <v>0.0</v>
      </c>
      <c r="N161" s="41">
        <v>0.0</v>
      </c>
      <c r="O161" s="41">
        <v>1.0</v>
      </c>
      <c r="P161" s="43">
        <v>88.0</v>
      </c>
      <c r="Q161" s="43">
        <v>31.8181818181818</v>
      </c>
    </row>
    <row r="162">
      <c r="A162" s="9">
        <v>2002.0</v>
      </c>
      <c r="B162" s="29" t="s">
        <v>86</v>
      </c>
      <c r="C162" s="29">
        <v>41.0</v>
      </c>
      <c r="D162" s="34">
        <v>0.37321964521669926</v>
      </c>
      <c r="E162" s="36">
        <v>17.165</v>
      </c>
      <c r="F162" s="38">
        <v>33.3333333333333</v>
      </c>
      <c r="G162" s="39">
        <v>7.16</v>
      </c>
      <c r="H162" s="40">
        <v>6679.24</v>
      </c>
      <c r="I162" s="40">
        <v>0.0</v>
      </c>
      <c r="J162" s="40">
        <v>4.454</v>
      </c>
      <c r="K162" s="40">
        <v>4.61</v>
      </c>
      <c r="L162" s="41">
        <v>1.0</v>
      </c>
      <c r="M162" s="41">
        <v>0.0</v>
      </c>
      <c r="N162" s="41">
        <v>0.0</v>
      </c>
      <c r="O162" s="41">
        <v>0.0</v>
      </c>
      <c r="P162" s="43">
        <v>24.0</v>
      </c>
      <c r="Q162" s="43">
        <v>66.6666666666667</v>
      </c>
    </row>
    <row r="163">
      <c r="A163" s="9">
        <v>2007.0</v>
      </c>
      <c r="B163" s="29" t="s">
        <v>86</v>
      </c>
      <c r="C163" s="29">
        <v>41.0</v>
      </c>
      <c r="D163" s="34">
        <v>0.15585716756173273</v>
      </c>
      <c r="E163" s="36">
        <v>30.49</v>
      </c>
      <c r="F163" s="38">
        <v>37.5</v>
      </c>
      <c r="G163" s="39">
        <v>9.95</v>
      </c>
      <c r="H163" s="40">
        <v>8930.02</v>
      </c>
      <c r="I163" s="40">
        <v>0.0</v>
      </c>
      <c r="J163" s="40">
        <v>21.861</v>
      </c>
      <c r="K163" s="40">
        <v>5.91</v>
      </c>
      <c r="L163" s="41">
        <v>0.0</v>
      </c>
      <c r="M163" s="41">
        <v>1.0</v>
      </c>
      <c r="N163" s="41">
        <v>0.0</v>
      </c>
      <c r="O163" s="41">
        <v>0.0</v>
      </c>
      <c r="P163" s="43">
        <v>24.0</v>
      </c>
      <c r="Q163" s="43">
        <v>45.8333333333333</v>
      </c>
    </row>
    <row r="164">
      <c r="A164" s="9">
        <v>2011.0</v>
      </c>
      <c r="B164" s="29" t="s">
        <v>86</v>
      </c>
      <c r="C164" s="29">
        <v>41.0</v>
      </c>
      <c r="D164" s="34">
        <v>0.09077551899251408</v>
      </c>
      <c r="E164" s="36">
        <v>36.8</v>
      </c>
      <c r="F164" s="38">
        <v>42.3076923076923</v>
      </c>
      <c r="G164" s="39">
        <v>13.11</v>
      </c>
      <c r="H164" s="40">
        <v>12161.25</v>
      </c>
      <c r="I164" s="40">
        <v>0.0</v>
      </c>
      <c r="J164" s="40">
        <v>48.793</v>
      </c>
      <c r="K164" s="40">
        <v>5.69</v>
      </c>
      <c r="L164" s="41">
        <v>0.0</v>
      </c>
      <c r="M164" s="41">
        <v>0.0</v>
      </c>
      <c r="N164" s="41">
        <v>1.0</v>
      </c>
      <c r="O164" s="41">
        <v>0.0</v>
      </c>
      <c r="P164" s="43">
        <v>26.0</v>
      </c>
      <c r="Q164" s="43">
        <v>50.0</v>
      </c>
    </row>
    <row r="165">
      <c r="A165" s="9">
        <v>2015.0</v>
      </c>
      <c r="B165" s="29" t="s">
        <v>86</v>
      </c>
      <c r="C165" s="29">
        <v>41.0</v>
      </c>
      <c r="D165" s="34">
        <v>0.2817538347525598</v>
      </c>
      <c r="E165" s="36">
        <v>26.25</v>
      </c>
      <c r="F165" s="38">
        <v>30.7692307692308</v>
      </c>
      <c r="G165" s="39">
        <v>17.15</v>
      </c>
      <c r="H165" s="40">
        <v>13808.0</v>
      </c>
      <c r="I165" s="40">
        <v>0.0</v>
      </c>
      <c r="J165" s="40">
        <v>89.699</v>
      </c>
      <c r="K165" s="40">
        <v>3.45</v>
      </c>
      <c r="L165" s="41">
        <v>0.0</v>
      </c>
      <c r="M165" s="41">
        <v>0.0</v>
      </c>
      <c r="N165" s="41">
        <v>0.0</v>
      </c>
      <c r="O165" s="41">
        <v>1.0</v>
      </c>
      <c r="P165" s="43">
        <v>26.0</v>
      </c>
      <c r="Q165" s="43">
        <v>46.1538461538462</v>
      </c>
    </row>
    <row r="166">
      <c r="A166" s="9">
        <v>2002.0</v>
      </c>
      <c r="B166" s="29" t="s">
        <v>87</v>
      </c>
      <c r="C166" s="29">
        <v>42.0</v>
      </c>
      <c r="D166" s="34">
        <v>0.15451795773455965</v>
      </c>
      <c r="E166" s="36">
        <v>53.88</v>
      </c>
      <c r="F166" s="38">
        <v>87.5</v>
      </c>
      <c r="G166" s="39">
        <v>2.82</v>
      </c>
      <c r="H166" s="40">
        <v>3253.85</v>
      </c>
      <c r="I166" s="40">
        <v>0.0</v>
      </c>
      <c r="J166" s="40">
        <v>1.543</v>
      </c>
      <c r="K166" s="40">
        <v>3.99</v>
      </c>
      <c r="L166" s="41">
        <v>1.0</v>
      </c>
      <c r="M166" s="41">
        <v>0.0</v>
      </c>
      <c r="N166" s="41">
        <v>0.0</v>
      </c>
      <c r="O166" s="41">
        <v>0.0</v>
      </c>
      <c r="P166" s="43">
        <v>8.0</v>
      </c>
      <c r="Q166" s="43">
        <v>12.5</v>
      </c>
    </row>
    <row r="167">
      <c r="A167" s="9">
        <v>2007.0</v>
      </c>
      <c r="B167" s="29" t="s">
        <v>87</v>
      </c>
      <c r="C167" s="29">
        <v>42.0</v>
      </c>
      <c r="D167" s="34">
        <v>0.31902520875266904</v>
      </c>
      <c r="E167" s="36">
        <v>68.0</v>
      </c>
      <c r="F167" s="38">
        <v>75.0</v>
      </c>
      <c r="G167" s="39">
        <v>4.57</v>
      </c>
      <c r="H167" s="40">
        <v>4215.31</v>
      </c>
      <c r="I167" s="40">
        <v>0.0</v>
      </c>
      <c r="J167" s="40">
        <v>6.836</v>
      </c>
      <c r="K167" s="40">
        <v>2.27</v>
      </c>
      <c r="L167" s="41">
        <v>0.0</v>
      </c>
      <c r="M167" s="41">
        <v>1.0</v>
      </c>
      <c r="N167" s="41">
        <v>0.0</v>
      </c>
      <c r="O167" s="41">
        <v>0.0</v>
      </c>
      <c r="P167" s="43">
        <v>8.0</v>
      </c>
      <c r="Q167" s="43">
        <v>12.5</v>
      </c>
    </row>
    <row r="168">
      <c r="A168" s="9">
        <v>2011.0</v>
      </c>
      <c r="B168" s="29" t="s">
        <v>87</v>
      </c>
      <c r="C168" s="29">
        <v>42.0</v>
      </c>
      <c r="D168" s="34">
        <v>0.0</v>
      </c>
      <c r="E168" s="36">
        <v>69.6</v>
      </c>
      <c r="F168" s="38">
        <v>75.0</v>
      </c>
      <c r="G168" s="39">
        <v>6.82</v>
      </c>
      <c r="H168" s="40">
        <v>6265.75</v>
      </c>
      <c r="I168" s="40">
        <v>0.0</v>
      </c>
      <c r="J168" s="40">
        <v>20.259</v>
      </c>
      <c r="K168" s="40">
        <v>-4.87</v>
      </c>
      <c r="L168" s="41">
        <v>0.0</v>
      </c>
      <c r="M168" s="41">
        <v>0.0</v>
      </c>
      <c r="N168" s="41">
        <v>1.0</v>
      </c>
      <c r="O168" s="41">
        <v>0.0</v>
      </c>
      <c r="P168" s="43">
        <v>8.0</v>
      </c>
      <c r="Q168" s="43">
        <v>12.5</v>
      </c>
    </row>
    <row r="169">
      <c r="A169" s="9">
        <v>2015.0</v>
      </c>
      <c r="B169" s="29" t="s">
        <v>87</v>
      </c>
      <c r="C169" s="29">
        <v>42.0</v>
      </c>
      <c r="D169" s="34">
        <v>0.17076594819140886</v>
      </c>
      <c r="E169" s="36">
        <v>61.0</v>
      </c>
      <c r="F169" s="38">
        <v>75.0</v>
      </c>
      <c r="G169" s="39">
        <v>10.37</v>
      </c>
      <c r="H169" s="40">
        <v>7043.25</v>
      </c>
      <c r="I169" s="40">
        <v>0.0</v>
      </c>
      <c r="J169" s="40">
        <v>42.419</v>
      </c>
      <c r="K169" s="40">
        <v>-6.29</v>
      </c>
      <c r="L169" s="41">
        <v>0.0</v>
      </c>
      <c r="M169" s="41">
        <v>0.0</v>
      </c>
      <c r="N169" s="41">
        <v>0.0</v>
      </c>
      <c r="O169" s="41">
        <v>1.0</v>
      </c>
      <c r="P169" s="43">
        <v>8.0</v>
      </c>
      <c r="Q169" s="43">
        <v>0.0</v>
      </c>
    </row>
    <row r="170">
      <c r="A170" s="9">
        <v>2002.0</v>
      </c>
      <c r="B170" s="29" t="s">
        <v>88</v>
      </c>
      <c r="C170" s="29">
        <v>43.0</v>
      </c>
      <c r="D170" s="34">
        <v>1.1828089882497264</v>
      </c>
      <c r="E170" s="36">
        <v>45.19</v>
      </c>
      <c r="F170" s="38">
        <v>100.0</v>
      </c>
      <c r="G170" s="39">
        <v>4.23</v>
      </c>
      <c r="H170" s="40">
        <v>3822.02</v>
      </c>
      <c r="I170" s="40">
        <v>0.0</v>
      </c>
      <c r="J170" s="40">
        <v>3.692</v>
      </c>
      <c r="K170" s="40">
        <v>-2.83</v>
      </c>
      <c r="L170" s="41">
        <v>1.0</v>
      </c>
      <c r="M170" s="41">
        <v>0.0</v>
      </c>
      <c r="N170" s="41">
        <v>0.0</v>
      </c>
      <c r="O170" s="41">
        <v>0.0</v>
      </c>
      <c r="P170" s="43">
        <v>3.0</v>
      </c>
      <c r="Q170" s="43">
        <v>0.0</v>
      </c>
    </row>
    <row r="171">
      <c r="A171" s="9">
        <v>2007.0</v>
      </c>
      <c r="B171" s="29" t="s">
        <v>88</v>
      </c>
      <c r="C171" s="29">
        <v>43.0</v>
      </c>
      <c r="D171" s="34">
        <v>1.1199909312475202</v>
      </c>
      <c r="E171" s="36">
        <v>54.69</v>
      </c>
      <c r="F171" s="38">
        <v>100.0</v>
      </c>
      <c r="G171" s="39">
        <v>6.57</v>
      </c>
      <c r="H171" s="40">
        <v>5228.66</v>
      </c>
      <c r="I171" s="40">
        <v>0.0</v>
      </c>
      <c r="J171" s="40">
        <v>25.947</v>
      </c>
      <c r="K171" s="40">
        <v>-1.66</v>
      </c>
      <c r="L171" s="41">
        <v>0.0</v>
      </c>
      <c r="M171" s="41">
        <v>1.0</v>
      </c>
      <c r="N171" s="41">
        <v>0.0</v>
      </c>
      <c r="O171" s="41">
        <v>0.0</v>
      </c>
      <c r="P171" s="43">
        <v>3.0</v>
      </c>
      <c r="Q171" s="43">
        <v>0.0</v>
      </c>
    </row>
    <row r="172">
      <c r="A172" s="9">
        <v>2011.0</v>
      </c>
      <c r="B172" s="29" t="s">
        <v>88</v>
      </c>
      <c r="C172" s="29">
        <v>43.0</v>
      </c>
      <c r="D172" s="34">
        <v>1.778702553948384</v>
      </c>
      <c r="E172" s="36">
        <v>57.9</v>
      </c>
      <c r="F172" s="38">
        <v>100.0</v>
      </c>
      <c r="G172" s="39">
        <v>9.82</v>
      </c>
      <c r="H172" s="40">
        <v>7823.75</v>
      </c>
      <c r="I172" s="40">
        <v>0.0</v>
      </c>
      <c r="J172" s="40">
        <v>42.663</v>
      </c>
      <c r="K172" s="40">
        <v>-1.09</v>
      </c>
      <c r="L172" s="41">
        <v>0.0</v>
      </c>
      <c r="M172" s="41">
        <v>0.0</v>
      </c>
      <c r="N172" s="41">
        <v>1.0</v>
      </c>
      <c r="O172" s="41">
        <v>0.0</v>
      </c>
      <c r="P172" s="43">
        <v>2.0</v>
      </c>
      <c r="Q172" s="43">
        <v>0.0</v>
      </c>
    </row>
    <row r="173">
      <c r="A173" s="9">
        <v>2015.0</v>
      </c>
      <c r="B173" s="29" t="s">
        <v>88</v>
      </c>
      <c r="C173" s="29">
        <v>43.0</v>
      </c>
      <c r="D173" s="34">
        <v>3.428967554787144</v>
      </c>
      <c r="E173" s="36">
        <v>47.9</v>
      </c>
      <c r="F173" s="38">
        <v>50.0</v>
      </c>
      <c r="G173" s="39">
        <v>13.65</v>
      </c>
      <c r="H173" s="40">
        <v>9219.0</v>
      </c>
      <c r="I173" s="40">
        <v>0.0</v>
      </c>
      <c r="J173" s="40">
        <v>89.344</v>
      </c>
      <c r="K173" s="40">
        <v>7.17</v>
      </c>
      <c r="L173" s="41">
        <v>0.0</v>
      </c>
      <c r="M173" s="41">
        <v>0.0</v>
      </c>
      <c r="N173" s="41">
        <v>0.0</v>
      </c>
      <c r="O173" s="41">
        <v>1.0</v>
      </c>
      <c r="P173" s="43">
        <v>2.0</v>
      </c>
      <c r="Q173" s="43">
        <v>0.0</v>
      </c>
    </row>
    <row r="174">
      <c r="A174" s="9">
        <v>2002.0</v>
      </c>
      <c r="B174" s="29" t="s">
        <v>89</v>
      </c>
      <c r="C174" s="29">
        <v>44.0</v>
      </c>
      <c r="D174" s="34">
        <v>0.6370300244637225</v>
      </c>
      <c r="E174" s="36">
        <v>38.19</v>
      </c>
      <c r="F174" s="38">
        <v>66.6666666666667</v>
      </c>
      <c r="G174" s="39">
        <v>3.12</v>
      </c>
      <c r="H174" s="40">
        <v>4902.1</v>
      </c>
      <c r="I174" s="40">
        <v>0.0</v>
      </c>
      <c r="J174" s="40">
        <v>37.128</v>
      </c>
      <c r="K174" s="40">
        <v>-4.07</v>
      </c>
      <c r="L174" s="41">
        <v>1.0</v>
      </c>
      <c r="M174" s="41">
        <v>0.0</v>
      </c>
      <c r="N174" s="41">
        <v>0.0</v>
      </c>
      <c r="O174" s="41">
        <v>0.0</v>
      </c>
      <c r="P174" s="43">
        <v>3.0</v>
      </c>
      <c r="Q174" s="43">
        <v>33.3333333333333</v>
      </c>
    </row>
    <row r="175">
      <c r="A175" s="9">
        <v>2007.0</v>
      </c>
      <c r="B175" s="29" t="s">
        <v>89</v>
      </c>
      <c r="C175" s="29">
        <v>44.0</v>
      </c>
      <c r="D175" s="34">
        <v>1.540938238635446</v>
      </c>
      <c r="E175" s="36">
        <v>51.32</v>
      </c>
      <c r="F175" s="38">
        <v>66.6666666666667</v>
      </c>
      <c r="G175" s="39">
        <v>5.43</v>
      </c>
      <c r="H175" s="40">
        <v>6457.82</v>
      </c>
      <c r="I175" s="40">
        <v>0.0</v>
      </c>
      <c r="J175" s="40">
        <v>60.201</v>
      </c>
      <c r="K175" s="40">
        <v>-0.39</v>
      </c>
      <c r="L175" s="41">
        <v>0.0</v>
      </c>
      <c r="M175" s="41">
        <v>1.0</v>
      </c>
      <c r="N175" s="41">
        <v>0.0</v>
      </c>
      <c r="O175" s="41">
        <v>0.0</v>
      </c>
      <c r="P175" s="43">
        <v>3.0</v>
      </c>
      <c r="Q175" s="43">
        <v>0.0</v>
      </c>
    </row>
    <row r="176">
      <c r="A176" s="9">
        <v>2011.0</v>
      </c>
      <c r="B176" s="29" t="s">
        <v>89</v>
      </c>
      <c r="C176" s="29">
        <v>44.0</v>
      </c>
      <c r="D176" s="34">
        <v>0.7667997669263464</v>
      </c>
      <c r="E176" s="36">
        <v>57.3</v>
      </c>
      <c r="F176" s="38">
        <v>100.0</v>
      </c>
      <c r="G176" s="39">
        <v>8.01</v>
      </c>
      <c r="H176" s="40">
        <v>8776.25</v>
      </c>
      <c r="I176" s="40">
        <v>0.0</v>
      </c>
      <c r="J176" s="40">
        <v>85.418</v>
      </c>
      <c r="K176" s="40">
        <v>-1.79</v>
      </c>
      <c r="L176" s="41">
        <v>0.0</v>
      </c>
      <c r="M176" s="41">
        <v>0.0</v>
      </c>
      <c r="N176" s="41">
        <v>1.0</v>
      </c>
      <c r="O176" s="41">
        <v>0.0</v>
      </c>
      <c r="P176" s="43">
        <v>2.0</v>
      </c>
      <c r="Q176" s="43">
        <v>0.0</v>
      </c>
    </row>
    <row r="177">
      <c r="A177" s="9">
        <v>2015.0</v>
      </c>
      <c r="B177" s="29" t="s">
        <v>89</v>
      </c>
      <c r="C177" s="29">
        <v>44.0</v>
      </c>
      <c r="D177" s="34">
        <v>7.902772688408453</v>
      </c>
      <c r="E177" s="36">
        <v>55.5</v>
      </c>
      <c r="F177" s="38">
        <v>100.0</v>
      </c>
      <c r="G177" s="39">
        <v>11.73</v>
      </c>
      <c r="H177" s="40">
        <v>10796.5</v>
      </c>
      <c r="I177" s="40">
        <v>0.0</v>
      </c>
      <c r="J177" s="40">
        <v>117.249</v>
      </c>
      <c r="K177" s="40">
        <v>-3.64</v>
      </c>
      <c r="L177" s="41">
        <v>0.0</v>
      </c>
      <c r="M177" s="41">
        <v>0.0</v>
      </c>
      <c r="N177" s="41">
        <v>0.0</v>
      </c>
      <c r="O177" s="41">
        <v>1.0</v>
      </c>
      <c r="P177" s="43">
        <v>2.0</v>
      </c>
      <c r="Q177" s="43">
        <v>0.0</v>
      </c>
    </row>
    <row r="178">
      <c r="A178" s="9">
        <v>2002.0</v>
      </c>
      <c r="B178" s="29" t="s">
        <v>90</v>
      </c>
      <c r="C178" s="29">
        <v>45.0</v>
      </c>
      <c r="D178" s="34">
        <v>0.6457295687128649</v>
      </c>
      <c r="E178" s="36">
        <v>17.24</v>
      </c>
      <c r="F178" s="38">
        <v>66.6666666666667</v>
      </c>
      <c r="G178" s="39">
        <v>2.64</v>
      </c>
      <c r="H178" s="40">
        <v>2380.71</v>
      </c>
      <c r="I178" s="40">
        <v>0.0</v>
      </c>
      <c r="J178" s="40">
        <v>0.105</v>
      </c>
      <c r="K178" s="40">
        <v>-1.26</v>
      </c>
      <c r="L178" s="41">
        <v>1.0</v>
      </c>
      <c r="M178" s="41">
        <v>0.0</v>
      </c>
      <c r="N178" s="41">
        <v>0.0</v>
      </c>
      <c r="O178" s="41">
        <v>0.0</v>
      </c>
      <c r="P178" s="43">
        <v>3.0</v>
      </c>
      <c r="Q178" s="43">
        <v>33.3333333333333</v>
      </c>
    </row>
    <row r="179">
      <c r="A179" s="9">
        <v>2007.0</v>
      </c>
      <c r="B179" s="29" t="s">
        <v>90</v>
      </c>
      <c r="C179" s="29">
        <v>45.0</v>
      </c>
      <c r="D179" s="34">
        <v>0.5480412825144656</v>
      </c>
      <c r="E179" s="36">
        <v>41.18</v>
      </c>
      <c r="F179" s="38">
        <v>66.6666666666667</v>
      </c>
      <c r="G179" s="39">
        <v>3.82</v>
      </c>
      <c r="H179" s="40">
        <v>3114.93</v>
      </c>
      <c r="I179" s="40">
        <v>0.0</v>
      </c>
      <c r="J179" s="40">
        <v>5.921</v>
      </c>
      <c r="K179" s="40">
        <v>-14.64</v>
      </c>
      <c r="L179" s="41">
        <v>0.0</v>
      </c>
      <c r="M179" s="41">
        <v>1.0</v>
      </c>
      <c r="N179" s="41">
        <v>0.0</v>
      </c>
      <c r="O179" s="41">
        <v>0.0</v>
      </c>
      <c r="P179" s="43">
        <v>3.0</v>
      </c>
      <c r="Q179" s="43">
        <v>0.0</v>
      </c>
    </row>
    <row r="180">
      <c r="A180" s="9">
        <v>2011.0</v>
      </c>
      <c r="B180" s="29" t="s">
        <v>90</v>
      </c>
      <c r="C180" s="29">
        <v>45.0</v>
      </c>
      <c r="D180" s="34">
        <v>0.8670754866210085</v>
      </c>
      <c r="E180" s="36">
        <v>42.6</v>
      </c>
      <c r="F180" s="38">
        <v>66.6666666666667</v>
      </c>
      <c r="G180" s="39">
        <v>6.92</v>
      </c>
      <c r="H180" s="40">
        <v>4787.5</v>
      </c>
      <c r="I180" s="40">
        <v>0.0</v>
      </c>
      <c r="J180" s="40">
        <v>10.856</v>
      </c>
      <c r="K180" s="40">
        <v>-23.85</v>
      </c>
      <c r="L180" s="41">
        <v>0.0</v>
      </c>
      <c r="M180" s="41">
        <v>0.0</v>
      </c>
      <c r="N180" s="41">
        <v>1.0</v>
      </c>
      <c r="O180" s="41">
        <v>0.0</v>
      </c>
      <c r="P180" s="43">
        <v>3.0</v>
      </c>
      <c r="Q180" s="43">
        <v>0.0</v>
      </c>
    </row>
    <row r="181">
      <c r="A181" s="9">
        <v>2015.0</v>
      </c>
      <c r="B181" s="29" t="s">
        <v>90</v>
      </c>
      <c r="C181" s="29">
        <v>45.0</v>
      </c>
      <c r="D181" s="34">
        <v>1.090459856583824</v>
      </c>
      <c r="E181" s="36">
        <v>26.6</v>
      </c>
      <c r="F181" s="38">
        <v>33.3333333333333</v>
      </c>
      <c r="G181" s="39">
        <v>10.06</v>
      </c>
      <c r="H181" s="40">
        <v>5683.75</v>
      </c>
      <c r="I181" s="40">
        <v>0.0</v>
      </c>
      <c r="J181" s="40">
        <v>20.952</v>
      </c>
      <c r="K181" s="40">
        <v>-23.74</v>
      </c>
      <c r="L181" s="41">
        <v>0.0</v>
      </c>
      <c r="M181" s="41">
        <v>0.0</v>
      </c>
      <c r="N181" s="41">
        <v>0.0</v>
      </c>
      <c r="O181" s="41">
        <v>1.0</v>
      </c>
      <c r="P181" s="43">
        <v>3.0</v>
      </c>
      <c r="Q181" s="43">
        <v>0.0</v>
      </c>
    </row>
    <row r="182">
      <c r="A182" s="9">
        <v>2002.0</v>
      </c>
      <c r="B182" s="29" t="s">
        <v>91</v>
      </c>
      <c r="C182" s="29">
        <v>46.0</v>
      </c>
      <c r="D182" s="34">
        <v>0.6793093688083781</v>
      </c>
      <c r="E182" s="36">
        <v>30.9</v>
      </c>
      <c r="F182" s="38">
        <v>75.0</v>
      </c>
      <c r="G182" s="39">
        <v>2.95</v>
      </c>
      <c r="H182" s="40">
        <v>4345.72</v>
      </c>
      <c r="I182" s="40">
        <v>0.0</v>
      </c>
      <c r="J182" s="40">
        <v>3.939</v>
      </c>
      <c r="K182" s="40">
        <v>-6.11</v>
      </c>
      <c r="L182" s="41">
        <v>1.0</v>
      </c>
      <c r="M182" s="41">
        <v>0.0</v>
      </c>
      <c r="N182" s="41">
        <v>0.0</v>
      </c>
      <c r="O182" s="41">
        <v>0.0</v>
      </c>
      <c r="P182" s="43">
        <v>4.0</v>
      </c>
      <c r="Q182" s="43">
        <v>25.0</v>
      </c>
    </row>
    <row r="183">
      <c r="A183" s="9">
        <v>2007.0</v>
      </c>
      <c r="B183" s="29" t="s">
        <v>91</v>
      </c>
      <c r="C183" s="29">
        <v>46.0</v>
      </c>
      <c r="D183" s="34">
        <v>0.3274984943395493</v>
      </c>
      <c r="E183" s="36">
        <v>49.43</v>
      </c>
      <c r="F183" s="38">
        <v>75.0</v>
      </c>
      <c r="G183" s="39">
        <v>4.75</v>
      </c>
      <c r="H183" s="40">
        <v>5514.73</v>
      </c>
      <c r="I183" s="40">
        <v>0.0</v>
      </c>
      <c r="J183" s="40">
        <v>23.292</v>
      </c>
      <c r="K183" s="40">
        <v>-1.99</v>
      </c>
      <c r="L183" s="41">
        <v>0.0</v>
      </c>
      <c r="M183" s="41">
        <v>1.0</v>
      </c>
      <c r="N183" s="41">
        <v>0.0</v>
      </c>
      <c r="O183" s="41">
        <v>0.0</v>
      </c>
      <c r="P183" s="43">
        <v>4.0</v>
      </c>
      <c r="Q183" s="43">
        <v>0.0</v>
      </c>
    </row>
    <row r="184">
      <c r="A184" s="9">
        <v>2011.0</v>
      </c>
      <c r="B184" s="29" t="s">
        <v>91</v>
      </c>
      <c r="C184" s="29">
        <v>46.0</v>
      </c>
      <c r="D184" s="34">
        <v>0.2878645689074961</v>
      </c>
      <c r="E184" s="36">
        <v>55.8</v>
      </c>
      <c r="F184" s="38">
        <v>66.6666666666667</v>
      </c>
      <c r="G184" s="39">
        <v>7.13</v>
      </c>
      <c r="H184" s="40">
        <v>8047.5</v>
      </c>
      <c r="I184" s="40">
        <v>0.0</v>
      </c>
      <c r="J184" s="40">
        <v>45.647</v>
      </c>
      <c r="K184" s="40">
        <v>-2.18</v>
      </c>
      <c r="L184" s="41">
        <v>0.0</v>
      </c>
      <c r="M184" s="41">
        <v>0.0</v>
      </c>
      <c r="N184" s="41">
        <v>1.0</v>
      </c>
      <c r="O184" s="41">
        <v>0.0</v>
      </c>
      <c r="P184" s="43">
        <v>3.0</v>
      </c>
      <c r="Q184" s="43">
        <v>0.0</v>
      </c>
    </row>
    <row r="185">
      <c r="A185" s="9">
        <v>2015.0</v>
      </c>
      <c r="B185" s="29" t="s">
        <v>91</v>
      </c>
      <c r="C185" s="29">
        <v>46.0</v>
      </c>
      <c r="D185" s="34">
        <v>0.6950616137632811</v>
      </c>
      <c r="E185" s="36">
        <v>48.7</v>
      </c>
      <c r="F185" s="38">
        <v>66.6666666666667</v>
      </c>
      <c r="G185" s="39">
        <v>10.49</v>
      </c>
      <c r="H185" s="40">
        <v>8892.75</v>
      </c>
      <c r="I185" s="40">
        <v>0.0</v>
      </c>
      <c r="J185" s="40">
        <v>80.907</v>
      </c>
      <c r="K185" s="40">
        <v>2.45</v>
      </c>
      <c r="L185" s="41">
        <v>0.0</v>
      </c>
      <c r="M185" s="41">
        <v>0.0</v>
      </c>
      <c r="N185" s="41">
        <v>0.0</v>
      </c>
      <c r="O185" s="41">
        <v>1.0</v>
      </c>
      <c r="P185" s="43">
        <v>3.0</v>
      </c>
      <c r="Q185" s="43">
        <v>0.0</v>
      </c>
    </row>
    <row r="186">
      <c r="A186" s="9">
        <v>2002.0</v>
      </c>
      <c r="B186" s="29" t="s">
        <v>92</v>
      </c>
      <c r="C186" s="29">
        <v>47.0</v>
      </c>
      <c r="D186" s="34">
        <v>1.1566508280919552</v>
      </c>
      <c r="E186" s="36">
        <v>54.34</v>
      </c>
      <c r="F186" s="38">
        <v>87.5</v>
      </c>
      <c r="G186" s="39">
        <v>4.08</v>
      </c>
      <c r="H186" s="40">
        <v>4828.58</v>
      </c>
      <c r="I186" s="40">
        <v>0.0</v>
      </c>
      <c r="J186" s="40">
        <v>6.686</v>
      </c>
      <c r="K186" s="40">
        <v>-3.28</v>
      </c>
      <c r="L186" s="41">
        <v>1.0</v>
      </c>
      <c r="M186" s="41">
        <v>0.0</v>
      </c>
      <c r="N186" s="41">
        <v>0.0</v>
      </c>
      <c r="O186" s="41">
        <v>0.0</v>
      </c>
      <c r="P186" s="43">
        <v>8.0</v>
      </c>
      <c r="Q186" s="43">
        <v>12.5</v>
      </c>
    </row>
    <row r="187">
      <c r="A187" s="9">
        <v>2007.0</v>
      </c>
      <c r="B187" s="29" t="s">
        <v>92</v>
      </c>
      <c r="C187" s="29">
        <v>47.0</v>
      </c>
      <c r="D187" s="34">
        <v>0.831513415889078</v>
      </c>
      <c r="E187" s="36">
        <v>65.73</v>
      </c>
      <c r="F187" s="38">
        <v>75.0</v>
      </c>
      <c r="G187" s="39">
        <v>7.19</v>
      </c>
      <c r="H187" s="40">
        <v>6582.48</v>
      </c>
      <c r="I187" s="40">
        <v>0.0</v>
      </c>
      <c r="J187" s="40">
        <v>24.715</v>
      </c>
      <c r="K187" s="40">
        <v>-1.05</v>
      </c>
      <c r="L187" s="41">
        <v>0.0</v>
      </c>
      <c r="M187" s="41">
        <v>1.0</v>
      </c>
      <c r="N187" s="41">
        <v>0.0</v>
      </c>
      <c r="O187" s="41">
        <v>0.0</v>
      </c>
      <c r="P187" s="43">
        <v>8.0</v>
      </c>
      <c r="Q187" s="43">
        <v>12.5</v>
      </c>
    </row>
    <row r="188">
      <c r="A188" s="9">
        <v>2011.0</v>
      </c>
      <c r="B188" s="29" t="s">
        <v>92</v>
      </c>
      <c r="C188" s="29">
        <v>47.0</v>
      </c>
      <c r="D188" s="34">
        <v>0.5319316628309885</v>
      </c>
      <c r="E188" s="36">
        <v>64.9</v>
      </c>
      <c r="F188" s="38">
        <v>77.7777777777778</v>
      </c>
      <c r="G188" s="39">
        <v>10.27</v>
      </c>
      <c r="H188" s="40">
        <v>9039.75</v>
      </c>
      <c r="I188" s="40">
        <v>0.0</v>
      </c>
      <c r="J188" s="40">
        <v>59.48</v>
      </c>
      <c r="K188" s="40">
        <v>3.03</v>
      </c>
      <c r="L188" s="41">
        <v>0.0</v>
      </c>
      <c r="M188" s="41">
        <v>0.0</v>
      </c>
      <c r="N188" s="41">
        <v>1.0</v>
      </c>
      <c r="O188" s="41">
        <v>0.0</v>
      </c>
      <c r="P188" s="43">
        <v>9.0</v>
      </c>
      <c r="Q188" s="43">
        <v>11.1111111111111</v>
      </c>
    </row>
    <row r="189">
      <c r="A189" s="9">
        <v>2015.0</v>
      </c>
      <c r="B189" s="29" t="s">
        <v>92</v>
      </c>
      <c r="C189" s="29">
        <v>47.0</v>
      </c>
      <c r="D189" s="34">
        <v>2.3694241269187186</v>
      </c>
      <c r="E189" s="36">
        <v>52.4</v>
      </c>
      <c r="F189" s="38">
        <v>55.5555555555556</v>
      </c>
      <c r="G189" s="39">
        <v>13.7</v>
      </c>
      <c r="H189" s="40">
        <v>10286.75</v>
      </c>
      <c r="I189" s="40">
        <v>0.0</v>
      </c>
      <c r="J189" s="40">
        <v>97.121</v>
      </c>
      <c r="K189" s="40">
        <v>3.24</v>
      </c>
      <c r="L189" s="41">
        <v>0.0</v>
      </c>
      <c r="M189" s="41">
        <v>0.0</v>
      </c>
      <c r="N189" s="41">
        <v>0.0</v>
      </c>
      <c r="O189" s="41">
        <v>1.0</v>
      </c>
      <c r="P189" s="43">
        <v>9.0</v>
      </c>
      <c r="Q189" s="43">
        <v>11.1111111111111</v>
      </c>
    </row>
    <row r="190">
      <c r="A190" s="9">
        <v>2002.0</v>
      </c>
      <c r="B190" s="29" t="s">
        <v>93</v>
      </c>
      <c r="C190" s="29">
        <v>48.0</v>
      </c>
      <c r="D190" s="34">
        <v>1.0805608786310645</v>
      </c>
      <c r="E190" s="36">
        <v>36.39</v>
      </c>
      <c r="F190" s="38">
        <v>100.0</v>
      </c>
      <c r="G190" s="39">
        <v>2.6</v>
      </c>
      <c r="H190" s="40">
        <v>2591.28</v>
      </c>
      <c r="I190" s="40">
        <v>0.0</v>
      </c>
      <c r="J190" s="40">
        <v>0.087</v>
      </c>
      <c r="K190" s="40">
        <v>-0.35</v>
      </c>
      <c r="L190" s="41">
        <v>1.0</v>
      </c>
      <c r="M190" s="41">
        <v>0.0</v>
      </c>
      <c r="N190" s="41">
        <v>0.0</v>
      </c>
      <c r="O190" s="41">
        <v>0.0</v>
      </c>
      <c r="P190" s="43">
        <v>2.0</v>
      </c>
      <c r="Q190" s="43">
        <v>0.0</v>
      </c>
    </row>
    <row r="191">
      <c r="A191" s="9">
        <v>2007.0</v>
      </c>
      <c r="B191" s="29" t="s">
        <v>93</v>
      </c>
      <c r="C191" s="29">
        <v>48.0</v>
      </c>
      <c r="D191" s="34">
        <v>0.5869381799210079</v>
      </c>
      <c r="E191" s="36">
        <v>56.2</v>
      </c>
      <c r="F191" s="38">
        <v>100.0</v>
      </c>
      <c r="G191" s="39">
        <v>4.32</v>
      </c>
      <c r="H191" s="40">
        <v>3701.87</v>
      </c>
      <c r="I191" s="40">
        <v>0.0</v>
      </c>
      <c r="J191" s="40">
        <v>3.321</v>
      </c>
      <c r="K191" s="40">
        <v>1.43</v>
      </c>
      <c r="L191" s="41">
        <v>0.0</v>
      </c>
      <c r="M191" s="41">
        <v>1.0</v>
      </c>
      <c r="N191" s="41">
        <v>0.0</v>
      </c>
      <c r="O191" s="41">
        <v>0.0</v>
      </c>
      <c r="P191" s="43">
        <v>2.0</v>
      </c>
      <c r="Q191" s="43">
        <v>0.0</v>
      </c>
    </row>
    <row r="192">
      <c r="A192" s="9">
        <v>2011.0</v>
      </c>
      <c r="B192" s="29" t="s">
        <v>93</v>
      </c>
      <c r="C192" s="29">
        <v>48.0</v>
      </c>
      <c r="D192" s="34">
        <v>0.0</v>
      </c>
      <c r="E192" s="36">
        <v>56.5</v>
      </c>
      <c r="F192" s="38">
        <v>100.0</v>
      </c>
      <c r="G192" s="39">
        <v>6.64</v>
      </c>
      <c r="H192" s="40">
        <v>5222.5</v>
      </c>
      <c r="I192" s="40">
        <v>0.0</v>
      </c>
      <c r="J192" s="40">
        <v>12.879</v>
      </c>
      <c r="K192" s="40">
        <v>-3.74</v>
      </c>
      <c r="L192" s="41">
        <v>0.0</v>
      </c>
      <c r="M192" s="41">
        <v>0.0</v>
      </c>
      <c r="N192" s="41">
        <v>1.0</v>
      </c>
      <c r="O192" s="41">
        <v>0.0</v>
      </c>
      <c r="P192" s="43">
        <v>2.0</v>
      </c>
      <c r="Q192" s="43">
        <v>0.0</v>
      </c>
    </row>
    <row r="193">
      <c r="A193" s="9">
        <v>2015.0</v>
      </c>
      <c r="B193" s="29" t="s">
        <v>93</v>
      </c>
      <c r="C193" s="29">
        <v>48.0</v>
      </c>
      <c r="D193" s="34">
        <v>0.0</v>
      </c>
      <c r="E193" s="36">
        <v>49.18</v>
      </c>
      <c r="F193" s="38">
        <v>50.0</v>
      </c>
      <c r="G193" s="39">
        <v>10.25</v>
      </c>
      <c r="H193" s="40">
        <v>6276.0</v>
      </c>
      <c r="I193" s="40">
        <v>0.0</v>
      </c>
      <c r="J193" s="40">
        <v>33.765</v>
      </c>
      <c r="K193" s="40">
        <v>-9.44</v>
      </c>
      <c r="L193" s="41">
        <v>0.0</v>
      </c>
      <c r="M193" s="41">
        <v>0.0</v>
      </c>
      <c r="N193" s="41">
        <v>0.0</v>
      </c>
      <c r="O193" s="41">
        <v>1.0</v>
      </c>
      <c r="P193" s="43">
        <v>2.0</v>
      </c>
      <c r="Q193" s="43">
        <v>0.0</v>
      </c>
    </row>
    <row r="194">
      <c r="A194" s="9">
        <v>2002.0</v>
      </c>
      <c r="B194" s="29" t="s">
        <v>94</v>
      </c>
      <c r="C194" s="29">
        <v>49.0</v>
      </c>
      <c r="D194" s="34">
        <v>1.2889228287788064</v>
      </c>
      <c r="E194" s="36">
        <v>49.1</v>
      </c>
      <c r="F194" s="38">
        <v>75.0</v>
      </c>
      <c r="G194" s="39">
        <v>3.28</v>
      </c>
      <c r="H194" s="40">
        <v>3494.37</v>
      </c>
      <c r="I194" s="40">
        <v>0.0</v>
      </c>
      <c r="J194" s="40">
        <v>0.657</v>
      </c>
      <c r="K194" s="40">
        <v>-3.89</v>
      </c>
      <c r="L194" s="41">
        <v>1.0</v>
      </c>
      <c r="M194" s="41">
        <v>0.0</v>
      </c>
      <c r="N194" s="41">
        <v>0.0</v>
      </c>
      <c r="O194" s="41">
        <v>0.0</v>
      </c>
      <c r="P194" s="43">
        <v>4.0</v>
      </c>
      <c r="Q194" s="43">
        <v>25.0</v>
      </c>
    </row>
    <row r="195">
      <c r="A195" s="9">
        <v>2007.0</v>
      </c>
      <c r="B195" s="29" t="s">
        <v>94</v>
      </c>
      <c r="C195" s="29">
        <v>49.0</v>
      </c>
      <c r="D195" s="34">
        <v>0.9120361792339975</v>
      </c>
      <c r="E195" s="36">
        <v>58.0</v>
      </c>
      <c r="F195" s="38">
        <v>75.0</v>
      </c>
      <c r="G195" s="39">
        <v>6.01</v>
      </c>
      <c r="H195" s="40">
        <v>4939.1</v>
      </c>
      <c r="I195" s="40">
        <v>0.0</v>
      </c>
      <c r="J195" s="40">
        <v>6.806</v>
      </c>
      <c r="K195" s="40">
        <v>-11.25</v>
      </c>
      <c r="L195" s="41">
        <v>0.0</v>
      </c>
      <c r="M195" s="41">
        <v>1.0</v>
      </c>
      <c r="N195" s="41">
        <v>0.0</v>
      </c>
      <c r="O195" s="41">
        <v>0.0</v>
      </c>
      <c r="P195" s="43">
        <v>4.0</v>
      </c>
      <c r="Q195" s="43">
        <v>0.0</v>
      </c>
    </row>
    <row r="196">
      <c r="A196" s="9">
        <v>2011.0</v>
      </c>
      <c r="B196" s="29" t="s">
        <v>94</v>
      </c>
      <c r="C196" s="29">
        <v>49.0</v>
      </c>
      <c r="D196" s="34">
        <v>0.22003249146457293</v>
      </c>
      <c r="E196" s="36">
        <v>62.08</v>
      </c>
      <c r="F196" s="38">
        <v>100.0</v>
      </c>
      <c r="G196" s="39">
        <v>8.89</v>
      </c>
      <c r="H196" s="40">
        <v>7749.75</v>
      </c>
      <c r="I196" s="40">
        <v>0.0</v>
      </c>
      <c r="J196" s="40">
        <v>20.249</v>
      </c>
      <c r="K196" s="40">
        <v>-13.87</v>
      </c>
      <c r="L196" s="41">
        <v>0.0</v>
      </c>
      <c r="M196" s="41">
        <v>0.0</v>
      </c>
      <c r="N196" s="41">
        <v>1.0</v>
      </c>
      <c r="O196" s="41">
        <v>0.0</v>
      </c>
      <c r="P196" s="43">
        <v>3.0</v>
      </c>
      <c r="Q196" s="43">
        <v>0.0</v>
      </c>
    </row>
    <row r="197">
      <c r="A197" s="9">
        <v>2015.0</v>
      </c>
      <c r="B197" s="29" t="s">
        <v>94</v>
      </c>
      <c r="C197" s="29">
        <v>49.0</v>
      </c>
      <c r="D197" s="34">
        <v>2.9030447795556578</v>
      </c>
      <c r="E197" s="36">
        <v>49.92</v>
      </c>
      <c r="F197" s="38">
        <v>66.6666666666667</v>
      </c>
      <c r="G197" s="39">
        <v>12.81</v>
      </c>
      <c r="H197" s="40">
        <v>8915.0</v>
      </c>
      <c r="I197" s="40">
        <v>0.0</v>
      </c>
      <c r="J197" s="40">
        <v>53.71</v>
      </c>
      <c r="K197" s="40">
        <v>-12.33</v>
      </c>
      <c r="L197" s="41">
        <v>0.0</v>
      </c>
      <c r="M197" s="41">
        <v>0.0</v>
      </c>
      <c r="N197" s="41">
        <v>0.0</v>
      </c>
      <c r="O197" s="41">
        <v>1.0</v>
      </c>
      <c r="P197" s="43">
        <v>3.0</v>
      </c>
      <c r="Q197" s="43">
        <v>0.0</v>
      </c>
    </row>
    <row r="198">
      <c r="A198" s="9">
        <v>2002.0</v>
      </c>
      <c r="B198" s="29" t="s">
        <v>95</v>
      </c>
      <c r="C198" s="29">
        <v>50.0</v>
      </c>
      <c r="D198" s="34">
        <v>0.27366348992966366</v>
      </c>
      <c r="E198" s="36">
        <v>32.8</v>
      </c>
      <c r="F198" s="38">
        <v>33.3333333333333</v>
      </c>
      <c r="G198" s="39">
        <v>4.61</v>
      </c>
      <c r="H198" s="40">
        <v>5598.25</v>
      </c>
      <c r="I198" s="40">
        <v>0.0</v>
      </c>
      <c r="J198" s="40">
        <v>3.891</v>
      </c>
      <c r="K198" s="40">
        <v>-3.27</v>
      </c>
      <c r="L198" s="41">
        <v>1.0</v>
      </c>
      <c r="M198" s="41">
        <v>0.0</v>
      </c>
      <c r="N198" s="41">
        <v>0.0</v>
      </c>
      <c r="O198" s="41">
        <v>0.0</v>
      </c>
      <c r="P198" s="43">
        <v>3.0</v>
      </c>
      <c r="Q198" s="43">
        <v>66.6666666666667</v>
      </c>
    </row>
    <row r="199">
      <c r="A199" s="9">
        <v>2007.0</v>
      </c>
      <c r="B199" s="29" t="s">
        <v>95</v>
      </c>
      <c r="C199" s="29">
        <v>50.0</v>
      </c>
      <c r="D199" s="34">
        <v>0.0</v>
      </c>
      <c r="E199" s="36">
        <v>40.1</v>
      </c>
      <c r="F199" s="38">
        <v>33.3333333333333</v>
      </c>
      <c r="G199" s="39">
        <v>6.6</v>
      </c>
      <c r="H199" s="40">
        <v>7493.67</v>
      </c>
      <c r="I199" s="40">
        <v>0.0</v>
      </c>
      <c r="J199" s="40">
        <v>21.356</v>
      </c>
      <c r="K199" s="40">
        <v>-2.32</v>
      </c>
      <c r="L199" s="41">
        <v>0.0</v>
      </c>
      <c r="M199" s="41">
        <v>1.0</v>
      </c>
      <c r="N199" s="41">
        <v>0.0</v>
      </c>
      <c r="O199" s="41">
        <v>0.0</v>
      </c>
      <c r="P199" s="43">
        <v>3.0</v>
      </c>
      <c r="Q199" s="43">
        <v>66.6666666666667</v>
      </c>
    </row>
    <row r="200">
      <c r="A200" s="9">
        <v>2011.0</v>
      </c>
      <c r="B200" s="29" t="s">
        <v>95</v>
      </c>
      <c r="C200" s="29">
        <v>50.0</v>
      </c>
      <c r="D200" s="34">
        <v>0.0</v>
      </c>
      <c r="E200" s="36">
        <v>52.68</v>
      </c>
      <c r="F200" s="38">
        <v>33.3333333333333</v>
      </c>
      <c r="G200" s="39">
        <v>9.41</v>
      </c>
      <c r="H200" s="40">
        <v>11226.25</v>
      </c>
      <c r="I200" s="40">
        <v>0.0</v>
      </c>
      <c r="J200" s="40">
        <v>47.178</v>
      </c>
      <c r="K200" s="40">
        <v>-0.58</v>
      </c>
      <c r="L200" s="41">
        <v>0.0</v>
      </c>
      <c r="M200" s="41">
        <v>0.0</v>
      </c>
      <c r="N200" s="41">
        <v>1.0</v>
      </c>
      <c r="O200" s="41">
        <v>0.0</v>
      </c>
      <c r="P200" s="43">
        <v>3.0</v>
      </c>
      <c r="Q200" s="43">
        <v>66.6666666666667</v>
      </c>
    </row>
    <row r="201">
      <c r="A201" s="9">
        <v>2015.0</v>
      </c>
      <c r="B201" s="29" t="s">
        <v>95</v>
      </c>
      <c r="C201" s="29">
        <v>50.0</v>
      </c>
      <c r="D201" s="34">
        <v>0.0</v>
      </c>
      <c r="E201" s="36">
        <v>41.74</v>
      </c>
      <c r="F201" s="38">
        <v>33.3333333333333</v>
      </c>
      <c r="G201" s="39">
        <v>13.28</v>
      </c>
      <c r="H201" s="40">
        <v>12435.5</v>
      </c>
      <c r="I201" s="40">
        <v>0.0</v>
      </c>
      <c r="J201" s="40">
        <v>83.469</v>
      </c>
      <c r="K201" s="40">
        <v>2.32</v>
      </c>
      <c r="L201" s="41">
        <v>0.0</v>
      </c>
      <c r="M201" s="41">
        <v>0.0</v>
      </c>
      <c r="N201" s="41">
        <v>0.0</v>
      </c>
      <c r="O201" s="41">
        <v>1.0</v>
      </c>
      <c r="P201" s="43">
        <v>3.0</v>
      </c>
      <c r="Q201" s="43">
        <v>66.6666666666667</v>
      </c>
    </row>
    <row r="202">
      <c r="A202" s="9">
        <v>2002.0</v>
      </c>
      <c r="B202" s="29" t="s">
        <v>96</v>
      </c>
      <c r="C202" s="29">
        <v>51.0</v>
      </c>
      <c r="D202" s="34">
        <v>0.6309091723798002</v>
      </c>
      <c r="E202" s="36">
        <v>31.16</v>
      </c>
      <c r="F202" s="38">
        <v>66.6666666666667</v>
      </c>
      <c r="G202" s="39">
        <v>0.03</v>
      </c>
      <c r="H202" s="40">
        <v>3516.15</v>
      </c>
      <c r="I202" s="40">
        <v>0.0</v>
      </c>
      <c r="J202" s="40">
        <v>3.882</v>
      </c>
      <c r="K202" s="40">
        <v>1.8</v>
      </c>
      <c r="L202" s="41">
        <v>1.0</v>
      </c>
      <c r="M202" s="41">
        <v>0.0</v>
      </c>
      <c r="N202" s="41">
        <v>0.0</v>
      </c>
      <c r="O202" s="41">
        <v>0.0</v>
      </c>
      <c r="P202" s="43">
        <v>3.0</v>
      </c>
      <c r="Q202" s="43">
        <v>33.3333333333333</v>
      </c>
    </row>
    <row r="203">
      <c r="A203" s="9">
        <v>2007.0</v>
      </c>
      <c r="B203" s="29" t="s">
        <v>96</v>
      </c>
      <c r="C203" s="29">
        <v>51.0</v>
      </c>
      <c r="D203" s="34">
        <v>1.5392786094283066</v>
      </c>
      <c r="E203" s="36">
        <v>44.26</v>
      </c>
      <c r="F203" s="38">
        <v>66.6666666666667</v>
      </c>
      <c r="G203" s="39">
        <v>5.97</v>
      </c>
      <c r="H203" s="40">
        <v>4698.04</v>
      </c>
      <c r="I203" s="40">
        <v>0.0</v>
      </c>
      <c r="J203" s="40">
        <v>23.582</v>
      </c>
      <c r="K203" s="40">
        <v>-4.66</v>
      </c>
      <c r="L203" s="41">
        <v>0.0</v>
      </c>
      <c r="M203" s="41">
        <v>1.0</v>
      </c>
      <c r="N203" s="41">
        <v>0.0</v>
      </c>
      <c r="O203" s="41">
        <v>0.0</v>
      </c>
      <c r="P203" s="43">
        <v>3.0</v>
      </c>
      <c r="Q203" s="43">
        <v>0.0</v>
      </c>
    </row>
    <row r="204">
      <c r="A204" s="9">
        <v>2011.0</v>
      </c>
      <c r="B204" s="29" t="s">
        <v>96</v>
      </c>
      <c r="C204" s="29">
        <v>51.0</v>
      </c>
      <c r="D204" s="34">
        <v>1.1960007883750514</v>
      </c>
      <c r="E204" s="36">
        <v>50.2</v>
      </c>
      <c r="F204" s="38">
        <v>100.0</v>
      </c>
      <c r="G204" s="39">
        <v>9.12</v>
      </c>
      <c r="H204" s="40">
        <v>7203.0</v>
      </c>
      <c r="I204" s="40">
        <v>0.0</v>
      </c>
      <c r="J204" s="40">
        <v>56.174</v>
      </c>
      <c r="K204" s="40">
        <v>-9.66</v>
      </c>
      <c r="L204" s="41">
        <v>0.0</v>
      </c>
      <c r="M204" s="41">
        <v>0.0</v>
      </c>
      <c r="N204" s="41">
        <v>1.0</v>
      </c>
      <c r="O204" s="41">
        <v>0.0</v>
      </c>
      <c r="P204" s="43">
        <v>2.0</v>
      </c>
      <c r="Q204" s="43">
        <v>0.0</v>
      </c>
    </row>
    <row r="205">
      <c r="A205" s="9">
        <v>2015.0</v>
      </c>
      <c r="B205" s="29" t="s">
        <v>96</v>
      </c>
      <c r="C205" s="29">
        <v>51.0</v>
      </c>
      <c r="D205" s="34">
        <v>0.0</v>
      </c>
      <c r="E205" s="36">
        <v>39.6</v>
      </c>
      <c r="F205" s="38">
        <v>50.0</v>
      </c>
      <c r="G205" s="39">
        <v>13.42</v>
      </c>
      <c r="H205" s="40">
        <v>7991.5</v>
      </c>
      <c r="I205" s="40">
        <v>0.0</v>
      </c>
      <c r="J205" s="40">
        <v>101.082</v>
      </c>
      <c r="K205" s="40">
        <v>-4.58</v>
      </c>
      <c r="L205" s="41">
        <v>0.0</v>
      </c>
      <c r="M205" s="41">
        <v>0.0</v>
      </c>
      <c r="N205" s="41">
        <v>0.0</v>
      </c>
      <c r="O205" s="41">
        <v>1.0</v>
      </c>
      <c r="P205" s="43">
        <v>2.0</v>
      </c>
      <c r="Q205" s="43">
        <v>0.0</v>
      </c>
    </row>
    <row r="206">
      <c r="A206" s="9">
        <v>2002.0</v>
      </c>
      <c r="B206" s="29" t="s">
        <v>97</v>
      </c>
      <c r="C206" s="29">
        <v>52.0</v>
      </c>
      <c r="D206" s="34">
        <v>0.7994848135439515</v>
      </c>
      <c r="E206" s="36">
        <v>42.85</v>
      </c>
      <c r="F206" s="38">
        <v>66.6666666666667</v>
      </c>
      <c r="G206" s="39">
        <v>4.38</v>
      </c>
      <c r="H206" s="40">
        <v>7978.05</v>
      </c>
      <c r="I206" s="40">
        <v>0.0</v>
      </c>
      <c r="J206" s="40">
        <v>4.227</v>
      </c>
      <c r="K206" s="40">
        <v>-4.51</v>
      </c>
      <c r="L206" s="41">
        <v>1.0</v>
      </c>
      <c r="M206" s="41">
        <v>0.0</v>
      </c>
      <c r="N206" s="41">
        <v>0.0</v>
      </c>
      <c r="O206" s="41">
        <v>0.0</v>
      </c>
      <c r="P206" s="43">
        <v>9.0</v>
      </c>
      <c r="Q206" s="43">
        <v>33.3333333333333</v>
      </c>
    </row>
    <row r="207">
      <c r="A207" s="9">
        <v>2007.0</v>
      </c>
      <c r="B207" s="29" t="s">
        <v>97</v>
      </c>
      <c r="C207" s="29">
        <v>52.0</v>
      </c>
      <c r="D207" s="34">
        <v>0.34884715247438547</v>
      </c>
      <c r="E207" s="36">
        <v>49.26</v>
      </c>
      <c r="F207" s="38">
        <v>66.6666666666667</v>
      </c>
      <c r="G207" s="39">
        <v>7.35</v>
      </c>
      <c r="H207" s="40">
        <v>11173.22</v>
      </c>
      <c r="I207" s="40">
        <v>0.0</v>
      </c>
      <c r="J207" s="40">
        <v>17.915</v>
      </c>
      <c r="K207" s="40">
        <v>5.53</v>
      </c>
      <c r="L207" s="41">
        <v>0.0</v>
      </c>
      <c r="M207" s="41">
        <v>1.0</v>
      </c>
      <c r="N207" s="41">
        <v>0.0</v>
      </c>
      <c r="O207" s="41">
        <v>0.0</v>
      </c>
      <c r="P207" s="43">
        <v>9.0</v>
      </c>
      <c r="Q207" s="43">
        <v>22.2222222222222</v>
      </c>
    </row>
    <row r="208">
      <c r="A208" s="9">
        <v>2011.0</v>
      </c>
      <c r="B208" s="29" t="s">
        <v>97</v>
      </c>
      <c r="C208" s="29">
        <v>52.0</v>
      </c>
      <c r="D208" s="34">
        <v>0.23496630266213445</v>
      </c>
      <c r="E208" s="36">
        <v>52.7</v>
      </c>
      <c r="F208" s="38">
        <v>63.6363636363636</v>
      </c>
      <c r="G208" s="39">
        <v>10.89</v>
      </c>
      <c r="H208" s="40">
        <v>16180.5</v>
      </c>
      <c r="I208" s="40">
        <v>0.0</v>
      </c>
      <c r="J208" s="40">
        <v>49.637</v>
      </c>
      <c r="K208" s="40">
        <v>11.08</v>
      </c>
      <c r="L208" s="41">
        <v>0.0</v>
      </c>
      <c r="M208" s="41">
        <v>0.0</v>
      </c>
      <c r="N208" s="41">
        <v>1.0</v>
      </c>
      <c r="O208" s="41">
        <v>0.0</v>
      </c>
      <c r="P208" s="43">
        <v>11.0</v>
      </c>
      <c r="Q208" s="43">
        <v>27.2727272727273</v>
      </c>
    </row>
    <row r="209">
      <c r="A209" s="9">
        <v>2015.0</v>
      </c>
      <c r="B209" s="29" t="s">
        <v>97</v>
      </c>
      <c r="C209" s="29">
        <v>52.0</v>
      </c>
      <c r="D209" s="34">
        <v>0.07537803724330501</v>
      </c>
      <c r="E209" s="36">
        <v>46.3</v>
      </c>
      <c r="F209" s="38">
        <v>54.5454545454545</v>
      </c>
      <c r="G209" s="39">
        <v>15.1</v>
      </c>
      <c r="H209" s="40">
        <v>19231.75</v>
      </c>
      <c r="I209" s="40">
        <v>0.0</v>
      </c>
      <c r="J209" s="40">
        <v>94.258</v>
      </c>
      <c r="K209" s="40">
        <v>9.89</v>
      </c>
      <c r="L209" s="41">
        <v>0.0</v>
      </c>
      <c r="M209" s="41">
        <v>0.0</v>
      </c>
      <c r="N209" s="41">
        <v>0.0</v>
      </c>
      <c r="O209" s="41">
        <v>1.0</v>
      </c>
      <c r="P209" s="43">
        <v>11.0</v>
      </c>
      <c r="Q209" s="43">
        <v>27.2727272727273</v>
      </c>
    </row>
    <row r="210">
      <c r="A210" s="9">
        <v>2002.0</v>
      </c>
      <c r="B210" s="29" t="s">
        <v>98</v>
      </c>
      <c r="C210" s="29">
        <v>53.0</v>
      </c>
      <c r="D210" s="34">
        <v>0.6942026928939167</v>
      </c>
      <c r="E210" s="36">
        <v>54.94</v>
      </c>
      <c r="F210" s="38">
        <v>87.5</v>
      </c>
      <c r="G210" s="39">
        <v>3.38</v>
      </c>
      <c r="H210" s="40">
        <v>3968.15</v>
      </c>
      <c r="I210" s="40">
        <v>0.0</v>
      </c>
      <c r="J210" s="40">
        <v>3.088</v>
      </c>
      <c r="K210" s="40">
        <v>0.02</v>
      </c>
      <c r="L210" s="41">
        <v>1.0</v>
      </c>
      <c r="M210" s="41">
        <v>0.0</v>
      </c>
      <c r="N210" s="41">
        <v>0.0</v>
      </c>
      <c r="O210" s="41">
        <v>0.0</v>
      </c>
      <c r="P210" s="43">
        <v>16.0</v>
      </c>
      <c r="Q210" s="43">
        <v>12.5</v>
      </c>
    </row>
    <row r="211">
      <c r="A211" s="9">
        <v>2007.0</v>
      </c>
      <c r="B211" s="29" t="s">
        <v>98</v>
      </c>
      <c r="C211" s="29">
        <v>53.0</v>
      </c>
      <c r="D211" s="34">
        <v>0.7992570876673734</v>
      </c>
      <c r="E211" s="36">
        <v>65.31</v>
      </c>
      <c r="F211" s="38">
        <v>81.25</v>
      </c>
      <c r="G211" s="39">
        <v>5.96</v>
      </c>
      <c r="H211" s="40">
        <v>5323.15</v>
      </c>
      <c r="I211" s="40">
        <v>0.0</v>
      </c>
      <c r="J211" s="40">
        <v>19.792</v>
      </c>
      <c r="K211" s="40">
        <v>-2.84</v>
      </c>
      <c r="L211" s="41">
        <v>0.0</v>
      </c>
      <c r="M211" s="41">
        <v>1.0</v>
      </c>
      <c r="N211" s="41">
        <v>0.0</v>
      </c>
      <c r="O211" s="41">
        <v>0.0</v>
      </c>
      <c r="P211" s="43">
        <v>16.0</v>
      </c>
      <c r="Q211" s="43">
        <v>6.25</v>
      </c>
    </row>
    <row r="212">
      <c r="A212" s="9">
        <v>2011.0</v>
      </c>
      <c r="B212" s="29" t="s">
        <v>98</v>
      </c>
      <c r="C212" s="29">
        <v>53.0</v>
      </c>
      <c r="D212" s="34">
        <v>0.46542421338409995</v>
      </c>
      <c r="E212" s="36">
        <v>69.6</v>
      </c>
      <c r="F212" s="38">
        <v>78.5714285714286</v>
      </c>
      <c r="G212" s="39">
        <v>8.7</v>
      </c>
      <c r="H212" s="40">
        <v>7714.0</v>
      </c>
      <c r="I212" s="40">
        <v>0.0</v>
      </c>
      <c r="J212" s="40">
        <v>42.503</v>
      </c>
      <c r="K212" s="40">
        <v>-4.19</v>
      </c>
      <c r="L212" s="41">
        <v>0.0</v>
      </c>
      <c r="M212" s="41">
        <v>0.0</v>
      </c>
      <c r="N212" s="41">
        <v>1.0</v>
      </c>
      <c r="O212" s="41">
        <v>0.0</v>
      </c>
      <c r="P212" s="43">
        <v>14.0</v>
      </c>
      <c r="Q212" s="43">
        <v>7.14285714285714</v>
      </c>
    </row>
    <row r="213">
      <c r="A213" s="9">
        <v>2015.0</v>
      </c>
      <c r="B213" s="29" t="s">
        <v>98</v>
      </c>
      <c r="C213" s="29">
        <v>53.0</v>
      </c>
      <c r="D213" s="34">
        <v>1.1710528324811469</v>
      </c>
      <c r="E213" s="36">
        <v>65.4</v>
      </c>
      <c r="F213" s="38">
        <v>78.5714285714286</v>
      </c>
      <c r="G213" s="39">
        <v>12.06</v>
      </c>
      <c r="H213" s="40">
        <v>9099.5</v>
      </c>
      <c r="I213" s="40">
        <v>0.0</v>
      </c>
      <c r="J213" s="40">
        <v>78.469</v>
      </c>
      <c r="K213" s="40">
        <v>-0.28</v>
      </c>
      <c r="L213" s="41">
        <v>0.0</v>
      </c>
      <c r="M213" s="41">
        <v>0.0</v>
      </c>
      <c r="N213" s="41">
        <v>0.0</v>
      </c>
      <c r="O213" s="41">
        <v>1.0</v>
      </c>
      <c r="P213" s="43">
        <v>14.0</v>
      </c>
      <c r="Q213" s="43">
        <v>7.14285714285714</v>
      </c>
    </row>
    <row r="214">
      <c r="A214" s="9">
        <v>2002.0</v>
      </c>
      <c r="B214" s="29" t="s">
        <v>99</v>
      </c>
      <c r="C214" s="29">
        <v>54.0</v>
      </c>
      <c r="D214" s="34">
        <v>0.8905482009213749</v>
      </c>
      <c r="E214" s="36">
        <v>48.97</v>
      </c>
      <c r="F214" s="38">
        <v>100.0</v>
      </c>
      <c r="G214" s="39">
        <v>3.02</v>
      </c>
      <c r="H214" s="40">
        <v>3700.4</v>
      </c>
      <c r="I214" s="40">
        <v>0.0</v>
      </c>
      <c r="J214" s="40">
        <v>3.247</v>
      </c>
      <c r="K214" s="40">
        <v>0.14</v>
      </c>
      <c r="L214" s="41">
        <v>1.0</v>
      </c>
      <c r="M214" s="41">
        <v>0.0</v>
      </c>
      <c r="N214" s="41">
        <v>0.0</v>
      </c>
      <c r="O214" s="41">
        <v>0.0</v>
      </c>
      <c r="P214" s="43">
        <v>6.0</v>
      </c>
      <c r="Q214" s="43">
        <v>0.0</v>
      </c>
    </row>
    <row r="215">
      <c r="A215" s="9">
        <v>2007.0</v>
      </c>
      <c r="B215" s="29" t="s">
        <v>99</v>
      </c>
      <c r="C215" s="29">
        <v>54.0</v>
      </c>
      <c r="D215" s="34">
        <v>1.4630648110665978</v>
      </c>
      <c r="E215" s="36">
        <v>62.35</v>
      </c>
      <c r="F215" s="38">
        <v>83.3333333333333</v>
      </c>
      <c r="G215" s="39">
        <v>4.89</v>
      </c>
      <c r="H215" s="40">
        <v>5086.09</v>
      </c>
      <c r="I215" s="40">
        <v>0.0</v>
      </c>
      <c r="J215" s="40">
        <v>16.922</v>
      </c>
      <c r="K215" s="40">
        <v>-6.6</v>
      </c>
      <c r="L215" s="41">
        <v>0.0</v>
      </c>
      <c r="M215" s="41">
        <v>1.0</v>
      </c>
      <c r="N215" s="41">
        <v>0.0</v>
      </c>
      <c r="O215" s="41">
        <v>0.0</v>
      </c>
      <c r="P215" s="43">
        <v>6.0</v>
      </c>
      <c r="Q215" s="43">
        <v>0.0</v>
      </c>
    </row>
    <row r="216">
      <c r="A216" s="9">
        <v>2011.0</v>
      </c>
      <c r="B216" s="29" t="s">
        <v>99</v>
      </c>
      <c r="C216" s="29">
        <v>54.0</v>
      </c>
      <c r="D216" s="34">
        <v>1.3546008581177953</v>
      </c>
      <c r="E216" s="36">
        <v>64.6</v>
      </c>
      <c r="F216" s="38">
        <v>80.0</v>
      </c>
      <c r="G216" s="39">
        <v>7.5</v>
      </c>
      <c r="H216" s="40">
        <v>7960.25</v>
      </c>
      <c r="I216" s="40">
        <v>0.0</v>
      </c>
      <c r="J216" s="40">
        <v>37.425</v>
      </c>
      <c r="K216" s="40">
        <v>-8.74</v>
      </c>
      <c r="L216" s="41">
        <v>0.0</v>
      </c>
      <c r="M216" s="41">
        <v>0.0</v>
      </c>
      <c r="N216" s="41">
        <v>1.0</v>
      </c>
      <c r="O216" s="41">
        <v>0.0</v>
      </c>
      <c r="P216" s="43">
        <v>5.0</v>
      </c>
      <c r="Q216" s="43">
        <v>0.0</v>
      </c>
    </row>
    <row r="217">
      <c r="A217" s="9">
        <v>2015.0</v>
      </c>
      <c r="B217" s="29" t="s">
        <v>99</v>
      </c>
      <c r="C217" s="29">
        <v>54.0</v>
      </c>
      <c r="D217" s="34">
        <v>1.478273906025012</v>
      </c>
      <c r="E217" s="36">
        <v>54.6</v>
      </c>
      <c r="F217" s="38">
        <v>75.0</v>
      </c>
      <c r="G217" s="39">
        <v>11.37</v>
      </c>
      <c r="H217" s="40">
        <v>8782.75</v>
      </c>
      <c r="I217" s="40">
        <v>0.0</v>
      </c>
      <c r="J217" s="40">
        <v>76.972</v>
      </c>
      <c r="K217" s="40">
        <v>-2.38</v>
      </c>
      <c r="L217" s="41">
        <v>0.0</v>
      </c>
      <c r="M217" s="41">
        <v>0.0</v>
      </c>
      <c r="N217" s="41">
        <v>0.0</v>
      </c>
      <c r="O217" s="41">
        <v>1.0</v>
      </c>
      <c r="P217" s="43">
        <v>4.0</v>
      </c>
      <c r="Q217" s="43">
        <v>0.0</v>
      </c>
    </row>
    <row r="218">
      <c r="A218" s="9">
        <v>2002.0</v>
      </c>
      <c r="B218" s="29" t="s">
        <v>100</v>
      </c>
      <c r="C218" s="29">
        <v>55.0</v>
      </c>
      <c r="D218" s="34">
        <v>0.5617222826199857</v>
      </c>
      <c r="E218" s="36">
        <v>50.65</v>
      </c>
      <c r="F218" s="38">
        <v>71.4285714285714</v>
      </c>
      <c r="G218" s="39">
        <v>4.17</v>
      </c>
      <c r="H218" s="40">
        <v>3111.35</v>
      </c>
      <c r="I218" s="40">
        <v>0.0</v>
      </c>
      <c r="J218" s="40">
        <v>1.084</v>
      </c>
      <c r="K218" s="40">
        <v>-0.18</v>
      </c>
      <c r="L218" s="41">
        <v>1.0</v>
      </c>
      <c r="M218" s="41">
        <v>0.0</v>
      </c>
      <c r="N218" s="41">
        <v>0.0</v>
      </c>
      <c r="O218" s="41">
        <v>0.0</v>
      </c>
      <c r="P218" s="43">
        <v>7.0</v>
      </c>
      <c r="Q218" s="43">
        <v>28.5714285714286</v>
      </c>
    </row>
    <row r="219">
      <c r="A219" s="9">
        <v>2007.0</v>
      </c>
      <c r="B219" s="29" t="s">
        <v>100</v>
      </c>
      <c r="C219" s="29">
        <v>55.0</v>
      </c>
      <c r="D219" s="34">
        <v>1.4677126785722705</v>
      </c>
      <c r="E219" s="36">
        <v>66.72</v>
      </c>
      <c r="F219" s="38">
        <v>85.7142857142857</v>
      </c>
      <c r="G219" s="39">
        <v>6.48</v>
      </c>
      <c r="H219" s="40">
        <v>4250.98</v>
      </c>
      <c r="I219" s="40">
        <v>0.0</v>
      </c>
      <c r="J219" s="40">
        <v>7.883</v>
      </c>
      <c r="K219" s="40">
        <v>-1.68</v>
      </c>
      <c r="L219" s="41">
        <v>0.0</v>
      </c>
      <c r="M219" s="41">
        <v>1.0</v>
      </c>
      <c r="N219" s="41">
        <v>0.0</v>
      </c>
      <c r="O219" s="41">
        <v>0.0</v>
      </c>
      <c r="P219" s="43">
        <v>7.0</v>
      </c>
      <c r="Q219" s="43">
        <v>14.2857142857143</v>
      </c>
    </row>
    <row r="220">
      <c r="A220" s="9">
        <v>2011.0</v>
      </c>
      <c r="B220" s="29" t="s">
        <v>100</v>
      </c>
      <c r="C220" s="29">
        <v>55.0</v>
      </c>
      <c r="D220" s="34">
        <v>1.5518271134190011</v>
      </c>
      <c r="E220" s="36">
        <v>68.0</v>
      </c>
      <c r="F220" s="38">
        <v>83.3333333333333</v>
      </c>
      <c r="G220" s="39">
        <v>9.87</v>
      </c>
      <c r="H220" s="40">
        <v>6123.5</v>
      </c>
      <c r="I220" s="40">
        <v>0.0</v>
      </c>
      <c r="J220" s="40">
        <v>19.762</v>
      </c>
      <c r="K220" s="40">
        <v>-4.66</v>
      </c>
      <c r="L220" s="41">
        <v>0.0</v>
      </c>
      <c r="M220" s="41">
        <v>0.0</v>
      </c>
      <c r="N220" s="41">
        <v>1.0</v>
      </c>
      <c r="O220" s="41">
        <v>0.0</v>
      </c>
      <c r="P220" s="43">
        <v>6.0</v>
      </c>
      <c r="Q220" s="43">
        <v>16.6666666666667</v>
      </c>
    </row>
    <row r="221">
      <c r="A221" s="9">
        <v>2015.0</v>
      </c>
      <c r="B221" s="29" t="s">
        <v>100</v>
      </c>
      <c r="C221" s="29">
        <v>55.0</v>
      </c>
      <c r="D221" s="34">
        <v>0.8345012511119217</v>
      </c>
      <c r="E221" s="36">
        <v>58.6</v>
      </c>
      <c r="F221" s="38">
        <v>83.3333333333333</v>
      </c>
      <c r="G221" s="39">
        <v>14.31</v>
      </c>
      <c r="H221" s="40">
        <v>6918.25</v>
      </c>
      <c r="I221" s="40">
        <v>0.0</v>
      </c>
      <c r="J221" s="40">
        <v>48.165</v>
      </c>
      <c r="K221" s="40">
        <v>-3.37</v>
      </c>
      <c r="L221" s="41">
        <v>0.0</v>
      </c>
      <c r="M221" s="41">
        <v>0.0</v>
      </c>
      <c r="N221" s="41">
        <v>0.0</v>
      </c>
      <c r="O221" s="41">
        <v>1.0</v>
      </c>
      <c r="P221" s="43">
        <v>6.0</v>
      </c>
      <c r="Q221" s="43">
        <v>16.6666666666667</v>
      </c>
    </row>
    <row r="222">
      <c r="A222" s="9">
        <v>2002.0</v>
      </c>
      <c r="B222" s="29" t="s">
        <v>101</v>
      </c>
      <c r="C222" s="29">
        <v>56.0</v>
      </c>
      <c r="D222" s="34">
        <v>0.26607673192314685</v>
      </c>
      <c r="E222" s="36">
        <v>30.14</v>
      </c>
      <c r="F222" s="38">
        <v>60.0</v>
      </c>
      <c r="G222" s="39">
        <v>2.98</v>
      </c>
      <c r="H222" s="40">
        <v>4816.78</v>
      </c>
      <c r="I222" s="40">
        <v>0.0</v>
      </c>
      <c r="J222" s="40">
        <v>3.246</v>
      </c>
      <c r="K222" s="40">
        <v>-2.15</v>
      </c>
      <c r="L222" s="41">
        <v>1.0</v>
      </c>
      <c r="M222" s="41">
        <v>0.0</v>
      </c>
      <c r="N222" s="41">
        <v>0.0</v>
      </c>
      <c r="O222" s="41">
        <v>0.0</v>
      </c>
      <c r="P222" s="43">
        <v>10.0</v>
      </c>
      <c r="Q222" s="43">
        <v>40.0</v>
      </c>
    </row>
    <row r="223">
      <c r="A223" s="9">
        <v>2007.0</v>
      </c>
      <c r="B223" s="29" t="s">
        <v>101</v>
      </c>
      <c r="C223" s="29">
        <v>56.0</v>
      </c>
      <c r="D223" s="34">
        <v>0.12070939120926408</v>
      </c>
      <c r="E223" s="36">
        <v>40.94</v>
      </c>
      <c r="F223" s="38">
        <v>50.0</v>
      </c>
      <c r="G223" s="39">
        <v>5.12</v>
      </c>
      <c r="H223" s="40">
        <v>6583.02</v>
      </c>
      <c r="I223" s="40">
        <v>0.0</v>
      </c>
      <c r="J223" s="40">
        <v>18.224</v>
      </c>
      <c r="K223" s="40">
        <v>0.01</v>
      </c>
      <c r="L223" s="41">
        <v>0.0</v>
      </c>
      <c r="M223" s="41">
        <v>1.0</v>
      </c>
      <c r="N223" s="41">
        <v>0.0</v>
      </c>
      <c r="O223" s="41">
        <v>0.0</v>
      </c>
      <c r="P223" s="43">
        <v>10.0</v>
      </c>
      <c r="Q223" s="43">
        <v>20.0</v>
      </c>
    </row>
    <row r="224">
      <c r="A224" s="9">
        <v>2011.0</v>
      </c>
      <c r="B224" s="29" t="s">
        <v>101</v>
      </c>
      <c r="C224" s="29">
        <v>56.0</v>
      </c>
      <c r="D224" s="34">
        <v>0.4118157001893692</v>
      </c>
      <c r="E224" s="36">
        <v>47.0</v>
      </c>
      <c r="F224" s="38">
        <v>50.0</v>
      </c>
      <c r="G224" s="39">
        <v>7.62</v>
      </c>
      <c r="H224" s="40">
        <v>9112.25</v>
      </c>
      <c r="I224" s="40">
        <v>0.0</v>
      </c>
      <c r="J224" s="40">
        <v>40.689</v>
      </c>
      <c r="K224" s="40">
        <v>-1.47</v>
      </c>
      <c r="L224" s="41">
        <v>0.0</v>
      </c>
      <c r="M224" s="41">
        <v>0.0</v>
      </c>
      <c r="N224" s="41">
        <v>1.0</v>
      </c>
      <c r="O224" s="41">
        <v>0.0</v>
      </c>
      <c r="P224" s="43">
        <v>10.0</v>
      </c>
      <c r="Q224" s="43">
        <v>30.0</v>
      </c>
    </row>
    <row r="225">
      <c r="A225" s="9">
        <v>2015.0</v>
      </c>
      <c r="B225" s="29" t="s">
        <v>101</v>
      </c>
      <c r="C225" s="29">
        <v>56.0</v>
      </c>
      <c r="D225" s="34">
        <v>0.0</v>
      </c>
      <c r="E225" s="36">
        <v>36.8</v>
      </c>
      <c r="F225" s="38">
        <v>44.4444444444444</v>
      </c>
      <c r="G225" s="39">
        <v>10.94</v>
      </c>
      <c r="H225" s="40">
        <v>10827.5</v>
      </c>
      <c r="I225" s="40">
        <v>0.0</v>
      </c>
      <c r="J225" s="40">
        <v>73.65</v>
      </c>
      <c r="K225" s="40">
        <v>-1.51</v>
      </c>
      <c r="L225" s="41">
        <v>0.0</v>
      </c>
      <c r="M225" s="41">
        <v>0.0</v>
      </c>
      <c r="N225" s="41">
        <v>0.0</v>
      </c>
      <c r="O225" s="41">
        <v>1.0</v>
      </c>
      <c r="P225" s="43">
        <v>9.0</v>
      </c>
      <c r="Q225" s="43">
        <v>33.3333333333333</v>
      </c>
    </row>
    <row r="226">
      <c r="A226" s="9">
        <v>2002.0</v>
      </c>
      <c r="B226" s="29" t="s">
        <v>102</v>
      </c>
      <c r="C226" s="29">
        <v>57.0</v>
      </c>
      <c r="D226" s="34">
        <v>0.29177583677716423</v>
      </c>
      <c r="E226" s="36">
        <v>15.43</v>
      </c>
      <c r="F226" s="38">
        <v>50.0</v>
      </c>
      <c r="G226" s="39">
        <v>1.7</v>
      </c>
      <c r="H226" s="40">
        <v>2132.93</v>
      </c>
      <c r="I226" s="40">
        <v>0.0</v>
      </c>
      <c r="J226" s="40">
        <v>0.16</v>
      </c>
      <c r="K226" s="40">
        <v>0.32</v>
      </c>
      <c r="L226" s="41">
        <v>1.0</v>
      </c>
      <c r="M226" s="41">
        <v>0.0</v>
      </c>
      <c r="N226" s="41">
        <v>0.0</v>
      </c>
      <c r="O226" s="41">
        <v>0.0</v>
      </c>
      <c r="P226" s="43">
        <v>6.0</v>
      </c>
      <c r="Q226" s="43">
        <v>33.3333333333333</v>
      </c>
    </row>
    <row r="227">
      <c r="A227" s="9">
        <v>2007.0</v>
      </c>
      <c r="B227" s="29" t="s">
        <v>102</v>
      </c>
      <c r="C227" s="29">
        <v>57.0</v>
      </c>
      <c r="D227" s="34">
        <v>0.1254509226648445</v>
      </c>
      <c r="E227" s="36">
        <v>44.06</v>
      </c>
      <c r="F227" s="38">
        <v>66.6666666666667</v>
      </c>
      <c r="G227" s="39">
        <v>2.86</v>
      </c>
      <c r="H227" s="40">
        <v>2913.83</v>
      </c>
      <c r="I227" s="40">
        <v>0.0</v>
      </c>
      <c r="J227" s="40">
        <v>2.333</v>
      </c>
      <c r="K227" s="40">
        <v>-8.97</v>
      </c>
      <c r="L227" s="41">
        <v>0.0</v>
      </c>
      <c r="M227" s="41">
        <v>1.0</v>
      </c>
      <c r="N227" s="41">
        <v>0.0</v>
      </c>
      <c r="O227" s="41">
        <v>0.0</v>
      </c>
      <c r="P227" s="43">
        <v>6.0</v>
      </c>
      <c r="Q227" s="43">
        <v>0.0</v>
      </c>
    </row>
    <row r="228">
      <c r="A228" s="9">
        <v>2011.0</v>
      </c>
      <c r="B228" s="29" t="s">
        <v>102</v>
      </c>
      <c r="C228" s="29">
        <v>57.0</v>
      </c>
      <c r="D228" s="34">
        <v>0.6538465582721626</v>
      </c>
      <c r="E228" s="36">
        <v>32.2</v>
      </c>
      <c r="F228" s="38">
        <v>50.0</v>
      </c>
      <c r="G228" s="39">
        <v>5.37</v>
      </c>
      <c r="H228" s="40">
        <v>4647.75</v>
      </c>
      <c r="I228" s="40">
        <v>0.0</v>
      </c>
      <c r="J228" s="40">
        <v>10.325</v>
      </c>
      <c r="K228" s="40">
        <v>-18.12</v>
      </c>
      <c r="L228" s="41">
        <v>0.0</v>
      </c>
      <c r="M228" s="41">
        <v>0.0</v>
      </c>
      <c r="N228" s="41">
        <v>1.0</v>
      </c>
      <c r="O228" s="41">
        <v>0.0</v>
      </c>
      <c r="P228" s="43">
        <v>6.0</v>
      </c>
      <c r="Q228" s="43">
        <v>0.0</v>
      </c>
    </row>
    <row r="229">
      <c r="A229" s="9">
        <v>2015.0</v>
      </c>
      <c r="B229" s="29" t="s">
        <v>102</v>
      </c>
      <c r="C229" s="29">
        <v>57.0</v>
      </c>
      <c r="D229" s="34">
        <v>0.0</v>
      </c>
      <c r="E229" s="36">
        <v>19.2</v>
      </c>
      <c r="F229" s="38">
        <v>16.6666666666667</v>
      </c>
      <c r="G229" s="39">
        <v>9.1</v>
      </c>
      <c r="H229" s="40">
        <v>5908.25</v>
      </c>
      <c r="I229" s="40">
        <v>0.0</v>
      </c>
      <c r="J229" s="40">
        <v>24.598</v>
      </c>
      <c r="K229" s="40">
        <v>-9.6</v>
      </c>
      <c r="L229" s="41">
        <v>0.0</v>
      </c>
      <c r="M229" s="41">
        <v>0.0</v>
      </c>
      <c r="N229" s="41">
        <v>0.0</v>
      </c>
      <c r="O229" s="41">
        <v>1.0</v>
      </c>
      <c r="P229" s="43">
        <v>6.0</v>
      </c>
      <c r="Q229" s="43">
        <v>0.0</v>
      </c>
    </row>
    <row r="230">
      <c r="A230" s="9">
        <v>2002.0</v>
      </c>
      <c r="B230" s="29" t="s">
        <v>103</v>
      </c>
      <c r="C230" s="29">
        <v>58.0</v>
      </c>
      <c r="D230" s="34">
        <v>0.3678087745263287</v>
      </c>
      <c r="E230" s="36">
        <v>18.07</v>
      </c>
      <c r="F230" s="38">
        <v>41.6666666666667</v>
      </c>
      <c r="G230" s="39">
        <v>4.49</v>
      </c>
      <c r="H230" s="40">
        <v>4257.69</v>
      </c>
      <c r="I230" s="40">
        <v>0.0</v>
      </c>
      <c r="J230" s="40">
        <v>1.951</v>
      </c>
      <c r="K230" s="40">
        <v>-6.76</v>
      </c>
      <c r="L230" s="41">
        <v>1.0</v>
      </c>
      <c r="M230" s="41">
        <v>0.0</v>
      </c>
      <c r="N230" s="41">
        <v>0.0</v>
      </c>
      <c r="O230" s="41">
        <v>0.0</v>
      </c>
      <c r="P230" s="43">
        <v>12.0</v>
      </c>
      <c r="Q230" s="43">
        <v>58.3333333333333</v>
      </c>
    </row>
    <row r="231">
      <c r="A231" s="9">
        <v>2007.0</v>
      </c>
      <c r="B231" s="29" t="s">
        <v>103</v>
      </c>
      <c r="C231" s="29">
        <v>58.0</v>
      </c>
      <c r="D231" s="34">
        <v>0.11936641587015373</v>
      </c>
      <c r="E231" s="36">
        <v>27.16</v>
      </c>
      <c r="F231" s="38">
        <v>33.3333333333333</v>
      </c>
      <c r="G231" s="39">
        <v>7.07</v>
      </c>
      <c r="H231" s="40">
        <v>5786.96</v>
      </c>
      <c r="I231" s="40">
        <v>0.0</v>
      </c>
      <c r="J231" s="40">
        <v>14.215</v>
      </c>
      <c r="K231" s="40">
        <v>-4.42</v>
      </c>
      <c r="L231" s="41">
        <v>0.0</v>
      </c>
      <c r="M231" s="41">
        <v>1.0</v>
      </c>
      <c r="N231" s="41">
        <v>0.0</v>
      </c>
      <c r="O231" s="41">
        <v>0.0</v>
      </c>
      <c r="P231" s="43">
        <v>12.0</v>
      </c>
      <c r="Q231" s="43">
        <v>33.3333333333333</v>
      </c>
    </row>
    <row r="232">
      <c r="A232" s="9">
        <v>2011.0</v>
      </c>
      <c r="B232" s="29" t="s">
        <v>103</v>
      </c>
      <c r="C232" s="29">
        <v>58.0</v>
      </c>
      <c r="D232" s="34">
        <v>0.0</v>
      </c>
      <c r="E232" s="36">
        <v>32.0</v>
      </c>
      <c r="F232" s="38">
        <v>36.3636363636364</v>
      </c>
      <c r="G232" s="39">
        <v>9.91</v>
      </c>
      <c r="H232" s="40">
        <v>8366.0</v>
      </c>
      <c r="I232" s="40">
        <v>0.0</v>
      </c>
      <c r="J232" s="40">
        <v>42.955</v>
      </c>
      <c r="K232" s="40">
        <v>-1.13</v>
      </c>
      <c r="L232" s="41">
        <v>0.0</v>
      </c>
      <c r="M232" s="41">
        <v>0.0</v>
      </c>
      <c r="N232" s="41">
        <v>1.0</v>
      </c>
      <c r="O232" s="41">
        <v>0.0</v>
      </c>
      <c r="P232" s="43">
        <v>11.0</v>
      </c>
      <c r="Q232" s="43">
        <v>36.3636363636364</v>
      </c>
    </row>
    <row r="233">
      <c r="A233" s="9">
        <v>2015.0</v>
      </c>
      <c r="B233" s="29" t="s">
        <v>103</v>
      </c>
      <c r="C233" s="29">
        <v>58.0</v>
      </c>
      <c r="D233" s="34">
        <v>0.0</v>
      </c>
      <c r="E233" s="36">
        <v>25.9</v>
      </c>
      <c r="F233" s="38">
        <v>27.2727272727273</v>
      </c>
      <c r="G233" s="39">
        <v>13.69</v>
      </c>
      <c r="H233" s="40">
        <v>9433.5</v>
      </c>
      <c r="I233" s="40">
        <v>0.0</v>
      </c>
      <c r="J233" s="40">
        <v>75.075</v>
      </c>
      <c r="K233" s="40">
        <v>-1.98</v>
      </c>
      <c r="L233" s="41">
        <v>0.0</v>
      </c>
      <c r="M233" s="41">
        <v>0.0</v>
      </c>
      <c r="N233" s="41">
        <v>0.0</v>
      </c>
      <c r="O233" s="41">
        <v>1.0</v>
      </c>
      <c r="P233" s="43">
        <v>11.0</v>
      </c>
      <c r="Q233" s="43">
        <v>27.2727272727273</v>
      </c>
    </row>
    <row r="234">
      <c r="A234" s="9">
        <v>2002.0</v>
      </c>
      <c r="B234" s="29" t="s">
        <v>104</v>
      </c>
      <c r="C234" s="29">
        <v>59.0</v>
      </c>
      <c r="D234" s="34">
        <v>0.25999926907836</v>
      </c>
      <c r="E234" s="36">
        <v>13.17</v>
      </c>
      <c r="F234" s="38">
        <v>33.3333333333333</v>
      </c>
      <c r="G234" s="39">
        <v>6.56</v>
      </c>
      <c r="H234" s="40">
        <v>6026.65</v>
      </c>
      <c r="I234" s="40">
        <v>0.0</v>
      </c>
      <c r="J234" s="40">
        <v>6.639</v>
      </c>
      <c r="K234" s="40">
        <v>7.02</v>
      </c>
      <c r="L234" s="41">
        <v>1.0</v>
      </c>
      <c r="M234" s="41">
        <v>0.0</v>
      </c>
      <c r="N234" s="41">
        <v>0.0</v>
      </c>
      <c r="O234" s="41">
        <v>0.0</v>
      </c>
      <c r="P234" s="43">
        <v>6.0</v>
      </c>
      <c r="Q234" s="43">
        <v>66.6666666666667</v>
      </c>
    </row>
    <row r="235">
      <c r="A235" s="9">
        <v>2007.0</v>
      </c>
      <c r="B235" s="29" t="s">
        <v>104</v>
      </c>
      <c r="C235" s="29">
        <v>59.0</v>
      </c>
      <c r="D235" s="34">
        <v>0.1313994938503806</v>
      </c>
      <c r="E235" s="36">
        <v>26.33</v>
      </c>
      <c r="F235" s="38">
        <v>33.3333333333333</v>
      </c>
      <c r="G235" s="39">
        <v>8.29</v>
      </c>
      <c r="H235" s="40">
        <v>8104.06</v>
      </c>
      <c r="I235" s="40">
        <v>0.0</v>
      </c>
      <c r="J235" s="40">
        <v>42.756</v>
      </c>
      <c r="K235" s="40">
        <v>10.48</v>
      </c>
      <c r="L235" s="41">
        <v>0.0</v>
      </c>
      <c r="M235" s="41">
        <v>1.0</v>
      </c>
      <c r="N235" s="41">
        <v>0.0</v>
      </c>
      <c r="O235" s="41">
        <v>0.0</v>
      </c>
      <c r="P235" s="43">
        <v>6.0</v>
      </c>
      <c r="Q235" s="43">
        <v>50.0</v>
      </c>
    </row>
    <row r="236">
      <c r="A236" s="9">
        <v>2011.0</v>
      </c>
      <c r="B236" s="29" t="s">
        <v>104</v>
      </c>
      <c r="C236" s="29">
        <v>59.0</v>
      </c>
      <c r="D236" s="34">
        <v>0.10394195608537554</v>
      </c>
      <c r="E236" s="36">
        <v>32.7</v>
      </c>
      <c r="F236" s="38">
        <v>33.3333333333333</v>
      </c>
      <c r="G236" s="39">
        <v>11.5</v>
      </c>
      <c r="H236" s="40">
        <v>11213.25</v>
      </c>
      <c r="I236" s="40">
        <v>0.0</v>
      </c>
      <c r="J236" s="40">
        <v>88.72</v>
      </c>
      <c r="K236" s="40">
        <v>7.95</v>
      </c>
      <c r="L236" s="41">
        <v>0.0</v>
      </c>
      <c r="M236" s="41">
        <v>0.0</v>
      </c>
      <c r="N236" s="41">
        <v>1.0</v>
      </c>
      <c r="O236" s="41">
        <v>0.0</v>
      </c>
      <c r="P236" s="43">
        <v>6.0</v>
      </c>
      <c r="Q236" s="43">
        <v>50.0</v>
      </c>
    </row>
    <row r="237">
      <c r="A237" s="9">
        <v>2015.0</v>
      </c>
      <c r="B237" s="29" t="s">
        <v>104</v>
      </c>
      <c r="C237" s="29">
        <v>59.0</v>
      </c>
      <c r="D237" s="34">
        <v>1.6400132933090705</v>
      </c>
      <c r="E237" s="36">
        <v>26.4</v>
      </c>
      <c r="F237" s="38">
        <v>33.3333333333333</v>
      </c>
      <c r="G237" s="39">
        <v>15.96</v>
      </c>
      <c r="H237" s="40">
        <v>12111.0</v>
      </c>
      <c r="I237" s="40">
        <v>0.0</v>
      </c>
      <c r="J237" s="40">
        <v>132.047</v>
      </c>
      <c r="K237" s="40">
        <v>9.74</v>
      </c>
      <c r="L237" s="41">
        <v>0.0</v>
      </c>
      <c r="M237" s="41">
        <v>0.0</v>
      </c>
      <c r="N237" s="41">
        <v>0.0</v>
      </c>
      <c r="O237" s="41">
        <v>1.0</v>
      </c>
      <c r="P237" s="43">
        <v>6.0</v>
      </c>
      <c r="Q237" s="43">
        <v>50.0</v>
      </c>
    </row>
    <row r="238">
      <c r="A238" s="9">
        <v>2002.0</v>
      </c>
      <c r="B238" s="29" t="s">
        <v>105</v>
      </c>
      <c r="C238" s="29">
        <v>60.0</v>
      </c>
      <c r="D238" s="34">
        <v>0.07102185154953404</v>
      </c>
      <c r="E238" s="36">
        <v>16.9</v>
      </c>
      <c r="F238" s="38">
        <v>75.0</v>
      </c>
      <c r="G238" s="39">
        <v>1.36</v>
      </c>
      <c r="H238" s="40">
        <v>2112.05</v>
      </c>
      <c r="I238" s="40">
        <v>0.0</v>
      </c>
      <c r="J238" s="40">
        <v>0.846</v>
      </c>
      <c r="K238" s="40">
        <v>-5.98</v>
      </c>
      <c r="L238" s="41">
        <v>1.0</v>
      </c>
      <c r="M238" s="41">
        <v>0.0</v>
      </c>
      <c r="N238" s="41">
        <v>0.0</v>
      </c>
      <c r="O238" s="41">
        <v>0.0</v>
      </c>
      <c r="P238" s="43">
        <v>4.0</v>
      </c>
      <c r="Q238" s="43">
        <v>25.0</v>
      </c>
    </row>
    <row r="239">
      <c r="A239" s="9">
        <v>2007.0</v>
      </c>
      <c r="B239" s="29" t="s">
        <v>105</v>
      </c>
      <c r="C239" s="29">
        <v>60.0</v>
      </c>
      <c r="D239" s="34">
        <v>0.09813632976260209</v>
      </c>
      <c r="E239" s="36">
        <v>38.6</v>
      </c>
      <c r="F239" s="38">
        <v>50.0</v>
      </c>
      <c r="G239" s="39">
        <v>2.31</v>
      </c>
      <c r="H239" s="40">
        <v>2843.88</v>
      </c>
      <c r="I239" s="40">
        <v>0.0</v>
      </c>
      <c r="J239" s="40">
        <v>2.362</v>
      </c>
      <c r="K239" s="40">
        <v>-22.2</v>
      </c>
      <c r="L239" s="41">
        <v>0.0</v>
      </c>
      <c r="M239" s="41">
        <v>1.0</v>
      </c>
      <c r="N239" s="41">
        <v>0.0</v>
      </c>
      <c r="O239" s="41">
        <v>0.0</v>
      </c>
      <c r="P239" s="43">
        <v>4.0</v>
      </c>
      <c r="Q239" s="43">
        <v>0.0</v>
      </c>
    </row>
    <row r="240">
      <c r="A240" s="9">
        <v>2011.0</v>
      </c>
      <c r="B240" s="29" t="s">
        <v>105</v>
      </c>
      <c r="C240" s="29">
        <v>60.0</v>
      </c>
      <c r="D240" s="34">
        <v>0.434450529452404</v>
      </c>
      <c r="E240" s="36">
        <v>42.8</v>
      </c>
      <c r="F240" s="38">
        <v>50.0</v>
      </c>
      <c r="G240" s="39">
        <v>4.92</v>
      </c>
      <c r="H240" s="40">
        <v>4466.25</v>
      </c>
      <c r="I240" s="40">
        <v>0.0</v>
      </c>
      <c r="J240" s="40">
        <v>5.599</v>
      </c>
      <c r="K240" s="40">
        <v>-25.89</v>
      </c>
      <c r="L240" s="41">
        <v>0.0</v>
      </c>
      <c r="M240" s="41">
        <v>0.0</v>
      </c>
      <c r="N240" s="41">
        <v>1.0</v>
      </c>
      <c r="O240" s="41">
        <v>0.0</v>
      </c>
      <c r="P240" s="43">
        <v>4.0</v>
      </c>
      <c r="Q240" s="43">
        <v>0.0</v>
      </c>
    </row>
    <row r="241">
      <c r="A241" s="9">
        <v>2015.0</v>
      </c>
      <c r="B241" s="29" t="s">
        <v>105</v>
      </c>
      <c r="C241" s="29">
        <v>60.0</v>
      </c>
      <c r="D241" s="34">
        <v>0.0</v>
      </c>
      <c r="E241" s="36">
        <v>24.3</v>
      </c>
      <c r="F241" s="38">
        <v>33.3333333333333</v>
      </c>
      <c r="G241" s="39">
        <v>7.9</v>
      </c>
      <c r="H241" s="40">
        <v>5342.5</v>
      </c>
      <c r="I241" s="40">
        <v>0.0</v>
      </c>
      <c r="J241" s="40">
        <v>11.295</v>
      </c>
      <c r="K241" s="40">
        <v>-21.7</v>
      </c>
      <c r="L241" s="41">
        <v>0.0</v>
      </c>
      <c r="M241" s="41">
        <v>0.0</v>
      </c>
      <c r="N241" s="41">
        <v>0.0</v>
      </c>
      <c r="O241" s="41">
        <v>1.0</v>
      </c>
      <c r="P241" s="43">
        <v>3.0</v>
      </c>
      <c r="Q241" s="43">
        <v>0.0</v>
      </c>
    </row>
    <row r="242">
      <c r="A242" s="9">
        <v>2002.0</v>
      </c>
      <c r="B242" s="29" t="s">
        <v>106</v>
      </c>
      <c r="C242" s="29">
        <v>61.0</v>
      </c>
      <c r="D242" s="34">
        <v>1.205464582336516</v>
      </c>
      <c r="E242" s="36">
        <v>43.63</v>
      </c>
      <c r="F242" s="38">
        <v>100.0</v>
      </c>
      <c r="G242" s="39">
        <v>3.44</v>
      </c>
      <c r="H242" s="40">
        <v>4121.54</v>
      </c>
      <c r="I242" s="40">
        <v>0.0</v>
      </c>
      <c r="J242" s="40">
        <v>1.788</v>
      </c>
      <c r="K242" s="40">
        <v>-0.71</v>
      </c>
      <c r="L242" s="41">
        <v>1.0</v>
      </c>
      <c r="M242" s="41">
        <v>0.0</v>
      </c>
      <c r="N242" s="41">
        <v>0.0</v>
      </c>
      <c r="O242" s="41">
        <v>0.0</v>
      </c>
      <c r="P242" s="43">
        <v>3.0</v>
      </c>
      <c r="Q242" s="43">
        <v>0.0</v>
      </c>
    </row>
    <row r="243">
      <c r="A243" s="9">
        <v>2007.0</v>
      </c>
      <c r="B243" s="29" t="s">
        <v>106</v>
      </c>
      <c r="C243" s="29">
        <v>61.0</v>
      </c>
      <c r="D243" s="34">
        <v>2.552797293044865</v>
      </c>
      <c r="E243" s="36">
        <v>55.72</v>
      </c>
      <c r="F243" s="38">
        <v>100.0</v>
      </c>
      <c r="G243" s="39">
        <v>5.27</v>
      </c>
      <c r="H243" s="40">
        <v>5117.56</v>
      </c>
      <c r="I243" s="40">
        <v>0.0</v>
      </c>
      <c r="J243" s="40">
        <v>19.108</v>
      </c>
      <c r="K243" s="40">
        <v>-2.75</v>
      </c>
      <c r="L243" s="41">
        <v>0.0</v>
      </c>
      <c r="M243" s="41">
        <v>1.0</v>
      </c>
      <c r="N243" s="41">
        <v>0.0</v>
      </c>
      <c r="O243" s="41">
        <v>0.0</v>
      </c>
      <c r="P243" s="43">
        <v>3.0</v>
      </c>
      <c r="Q243" s="43">
        <v>0.0</v>
      </c>
    </row>
    <row r="244">
      <c r="A244" s="9">
        <v>2011.0</v>
      </c>
      <c r="B244" s="29" t="s">
        <v>106</v>
      </c>
      <c r="C244" s="29">
        <v>61.0</v>
      </c>
      <c r="D244" s="34">
        <v>2.2051873491147336</v>
      </c>
      <c r="E244" s="36">
        <v>60.2</v>
      </c>
      <c r="F244" s="38">
        <v>100.0</v>
      </c>
      <c r="G244" s="39">
        <v>7.77</v>
      </c>
      <c r="H244" s="40">
        <v>7410.75</v>
      </c>
      <c r="I244" s="40">
        <v>0.0</v>
      </c>
      <c r="J244" s="40">
        <v>38.293</v>
      </c>
      <c r="K244" s="40">
        <v>-7.26</v>
      </c>
      <c r="L244" s="41">
        <v>0.0</v>
      </c>
      <c r="M244" s="41">
        <v>0.0</v>
      </c>
      <c r="N244" s="41">
        <v>1.0</v>
      </c>
      <c r="O244" s="41">
        <v>0.0</v>
      </c>
      <c r="P244" s="43">
        <v>3.0</v>
      </c>
      <c r="Q244" s="43">
        <v>0.0</v>
      </c>
    </row>
    <row r="245">
      <c r="A245" s="9">
        <v>2015.0</v>
      </c>
      <c r="B245" s="29" t="s">
        <v>106</v>
      </c>
      <c r="C245" s="29">
        <v>61.0</v>
      </c>
      <c r="D245" s="34">
        <v>0.0</v>
      </c>
      <c r="E245" s="36">
        <v>52.5</v>
      </c>
      <c r="F245" s="38">
        <v>66.6666666666667</v>
      </c>
      <c r="G245" s="39">
        <v>11.31</v>
      </c>
      <c r="H245" s="40">
        <v>8403.5</v>
      </c>
      <c r="I245" s="40">
        <v>0.0</v>
      </c>
      <c r="J245" s="40">
        <v>78.25</v>
      </c>
      <c r="K245" s="40">
        <v>-6.85</v>
      </c>
      <c r="L245" s="41">
        <v>0.0</v>
      </c>
      <c r="M245" s="41">
        <v>0.0</v>
      </c>
      <c r="N245" s="41">
        <v>0.0</v>
      </c>
      <c r="O245" s="41">
        <v>1.0</v>
      </c>
      <c r="P245" s="43">
        <v>3.0</v>
      </c>
      <c r="Q245" s="43">
        <v>0.0</v>
      </c>
    </row>
    <row r="246">
      <c r="A246" s="9">
        <v>2002.0</v>
      </c>
      <c r="B246" s="29" t="s">
        <v>107</v>
      </c>
      <c r="C246" s="29">
        <v>62.0</v>
      </c>
      <c r="D246" s="34">
        <v>1.0033858241602522</v>
      </c>
      <c r="E246" s="36">
        <v>42.17</v>
      </c>
      <c r="F246" s="38">
        <v>66.6666666666667</v>
      </c>
      <c r="G246" s="39">
        <v>0.31</v>
      </c>
      <c r="H246" s="40">
        <v>3498.91</v>
      </c>
      <c r="I246" s="40">
        <v>0.0</v>
      </c>
      <c r="J246" s="40">
        <v>2.683</v>
      </c>
      <c r="K246" s="40">
        <v>-0.22</v>
      </c>
      <c r="L246" s="41">
        <v>1.0</v>
      </c>
      <c r="M246" s="41">
        <v>0.0</v>
      </c>
      <c r="N246" s="41">
        <v>0.0</v>
      </c>
      <c r="O246" s="41">
        <v>0.0</v>
      </c>
      <c r="P246" s="43">
        <v>3.0</v>
      </c>
      <c r="Q246" s="43">
        <v>33.3333333333333</v>
      </c>
    </row>
    <row r="247">
      <c r="A247" s="9">
        <v>2007.0</v>
      </c>
      <c r="B247" s="29" t="s">
        <v>107</v>
      </c>
      <c r="C247" s="29">
        <v>62.0</v>
      </c>
      <c r="D247" s="34">
        <v>0.9454504628275469</v>
      </c>
      <c r="E247" s="36">
        <v>48.6</v>
      </c>
      <c r="F247" s="38">
        <v>66.6666666666667</v>
      </c>
      <c r="G247" s="39">
        <v>5.37</v>
      </c>
      <c r="H247" s="40">
        <v>4555.04</v>
      </c>
      <c r="I247" s="40">
        <v>0.0</v>
      </c>
      <c r="J247" s="40">
        <v>22.194</v>
      </c>
      <c r="K247" s="40">
        <v>1.61</v>
      </c>
      <c r="L247" s="41">
        <v>0.0</v>
      </c>
      <c r="M247" s="41">
        <v>1.0</v>
      </c>
      <c r="N247" s="41">
        <v>0.0</v>
      </c>
      <c r="O247" s="41">
        <v>0.0</v>
      </c>
      <c r="P247" s="43">
        <v>3.0</v>
      </c>
      <c r="Q247" s="43">
        <v>0.0</v>
      </c>
    </row>
    <row r="248">
      <c r="A248" s="9">
        <v>2011.0</v>
      </c>
      <c r="B248" s="29" t="s">
        <v>107</v>
      </c>
      <c r="C248" s="29">
        <v>62.0</v>
      </c>
      <c r="D248" s="34">
        <v>2.85529207971236</v>
      </c>
      <c r="E248" s="36">
        <v>54.2</v>
      </c>
      <c r="F248" s="38">
        <v>66.6666666666667</v>
      </c>
      <c r="G248" s="39">
        <v>7.61</v>
      </c>
      <c r="H248" s="40">
        <v>6593.75</v>
      </c>
      <c r="I248" s="40">
        <v>0.0</v>
      </c>
      <c r="J248" s="40">
        <v>45.864</v>
      </c>
      <c r="K248" s="40">
        <v>-6.93</v>
      </c>
      <c r="L248" s="41">
        <v>0.0</v>
      </c>
      <c r="M248" s="41">
        <v>0.0</v>
      </c>
      <c r="N248" s="41">
        <v>1.0</v>
      </c>
      <c r="O248" s="41">
        <v>0.0</v>
      </c>
      <c r="P248" s="43">
        <v>3.0</v>
      </c>
      <c r="Q248" s="43">
        <v>33.3333333333333</v>
      </c>
    </row>
    <row r="249">
      <c r="A249" s="9">
        <v>2015.0</v>
      </c>
      <c r="B249" s="29" t="s">
        <v>107</v>
      </c>
      <c r="C249" s="29">
        <v>62.0</v>
      </c>
      <c r="D249" s="34">
        <v>1.5108061046809382</v>
      </c>
      <c r="E249" s="36">
        <v>47.8</v>
      </c>
      <c r="F249" s="38">
        <v>66.6666666666667</v>
      </c>
      <c r="G249" s="39">
        <v>10.68</v>
      </c>
      <c r="H249" s="40">
        <v>7786.5</v>
      </c>
      <c r="I249" s="40">
        <v>0.0</v>
      </c>
      <c r="J249" s="40">
        <v>73.663</v>
      </c>
      <c r="K249" s="40">
        <v>-8.27</v>
      </c>
      <c r="L249" s="41">
        <v>0.0</v>
      </c>
      <c r="M249" s="41">
        <v>0.0</v>
      </c>
      <c r="N249" s="41">
        <v>0.0</v>
      </c>
      <c r="O249" s="41">
        <v>1.0</v>
      </c>
      <c r="P249" s="43">
        <v>3.0</v>
      </c>
      <c r="Q249" s="43">
        <v>0.0</v>
      </c>
    </row>
    <row r="250">
      <c r="A250" s="9">
        <v>2002.0</v>
      </c>
      <c r="B250" s="29" t="s">
        <v>108</v>
      </c>
      <c r="C250" s="29">
        <v>63.0</v>
      </c>
      <c r="D250" s="34">
        <v>0.29689310590165907</v>
      </c>
      <c r="E250" s="36">
        <v>41.5</v>
      </c>
      <c r="F250" s="38">
        <v>71.4285714285714</v>
      </c>
      <c r="G250" s="39">
        <v>2.58</v>
      </c>
      <c r="H250" s="40">
        <v>2788.23</v>
      </c>
      <c r="I250" s="40">
        <v>0.0</v>
      </c>
      <c r="J250" s="40">
        <v>1.743</v>
      </c>
      <c r="K250" s="40">
        <v>-4.47</v>
      </c>
      <c r="L250" s="41">
        <v>1.0</v>
      </c>
      <c r="M250" s="41">
        <v>0.0</v>
      </c>
      <c r="N250" s="41">
        <v>0.0</v>
      </c>
      <c r="O250" s="41">
        <v>0.0</v>
      </c>
      <c r="P250" s="43">
        <v>7.0</v>
      </c>
      <c r="Q250" s="43">
        <v>28.5714285714286</v>
      </c>
    </row>
    <row r="251">
      <c r="A251" s="9">
        <v>2007.0</v>
      </c>
      <c r="B251" s="29" t="s">
        <v>108</v>
      </c>
      <c r="C251" s="29">
        <v>63.0</v>
      </c>
      <c r="D251" s="34">
        <v>0.7718093505745808</v>
      </c>
      <c r="E251" s="36">
        <v>55.79</v>
      </c>
      <c r="F251" s="38">
        <v>71.4285714285714</v>
      </c>
      <c r="G251" s="39">
        <v>4.84</v>
      </c>
      <c r="H251" s="40">
        <v>4019.16</v>
      </c>
      <c r="I251" s="40">
        <v>0.0</v>
      </c>
      <c r="J251" s="40">
        <v>9.194</v>
      </c>
      <c r="K251" s="40">
        <v>-4.83</v>
      </c>
      <c r="L251" s="41">
        <v>0.0</v>
      </c>
      <c r="M251" s="41">
        <v>1.0</v>
      </c>
      <c r="N251" s="41">
        <v>0.0</v>
      </c>
      <c r="O251" s="41">
        <v>0.0</v>
      </c>
      <c r="P251" s="43">
        <v>7.0</v>
      </c>
      <c r="Q251" s="43">
        <v>14.2857142857143</v>
      </c>
    </row>
    <row r="252">
      <c r="A252" s="9">
        <v>2011.0</v>
      </c>
      <c r="B252" s="29" t="s">
        <v>108</v>
      </c>
      <c r="C252" s="29">
        <v>63.0</v>
      </c>
      <c r="D252" s="34">
        <v>0.2611037443097155</v>
      </c>
      <c r="E252" s="36">
        <v>60.2</v>
      </c>
      <c r="F252" s="38">
        <v>83.3333333333333</v>
      </c>
      <c r="G252" s="39">
        <v>7.18</v>
      </c>
      <c r="H252" s="40">
        <v>5724.5</v>
      </c>
      <c r="I252" s="40">
        <v>0.0</v>
      </c>
      <c r="J252" s="40">
        <v>24.827</v>
      </c>
      <c r="K252" s="40">
        <v>-6.02</v>
      </c>
      <c r="L252" s="41">
        <v>0.0</v>
      </c>
      <c r="M252" s="41">
        <v>0.0</v>
      </c>
      <c r="N252" s="41">
        <v>1.0</v>
      </c>
      <c r="O252" s="41">
        <v>0.0</v>
      </c>
      <c r="P252" s="43">
        <v>6.0</v>
      </c>
      <c r="Q252" s="43">
        <v>16.6666666666667</v>
      </c>
    </row>
    <row r="253">
      <c r="A253" s="9">
        <v>2015.0</v>
      </c>
      <c r="B253" s="29" t="s">
        <v>108</v>
      </c>
      <c r="C253" s="29">
        <v>63.0</v>
      </c>
      <c r="D253" s="34">
        <v>0.4143418226776874</v>
      </c>
      <c r="E253" s="36">
        <v>53.0</v>
      </c>
      <c r="F253" s="38">
        <v>60.0</v>
      </c>
      <c r="G253" s="39">
        <v>10.59</v>
      </c>
      <c r="H253" s="40">
        <v>6713.25</v>
      </c>
      <c r="I253" s="40">
        <v>0.0</v>
      </c>
      <c r="J253" s="40">
        <v>53.976</v>
      </c>
      <c r="K253" s="40">
        <v>-5.4</v>
      </c>
      <c r="L253" s="41">
        <v>0.0</v>
      </c>
      <c r="M253" s="41">
        <v>0.0</v>
      </c>
      <c r="N253" s="41">
        <v>0.0</v>
      </c>
      <c r="O253" s="41">
        <v>1.0</v>
      </c>
      <c r="P253" s="43">
        <v>5.0</v>
      </c>
      <c r="Q253" s="43">
        <v>40.0</v>
      </c>
    </row>
    <row r="254">
      <c r="A254" s="9">
        <v>2002.0</v>
      </c>
      <c r="B254" s="29" t="s">
        <v>109</v>
      </c>
      <c r="C254" s="29">
        <v>64.0</v>
      </c>
      <c r="D254" s="34">
        <v>0.2384737678855326</v>
      </c>
      <c r="E254" s="36">
        <v>31.18</v>
      </c>
      <c r="F254" s="38">
        <v>75.0</v>
      </c>
      <c r="G254" s="39">
        <v>3.41</v>
      </c>
      <c r="H254" s="40">
        <v>2589.46</v>
      </c>
      <c r="I254" s="40">
        <v>0.0</v>
      </c>
      <c r="J254" s="40">
        <v>0.41</v>
      </c>
      <c r="K254" s="40">
        <v>-2.47</v>
      </c>
      <c r="L254" s="41">
        <v>1.0</v>
      </c>
      <c r="M254" s="41">
        <v>0.0</v>
      </c>
      <c r="N254" s="41">
        <v>0.0</v>
      </c>
      <c r="O254" s="41">
        <v>0.0</v>
      </c>
      <c r="P254" s="43">
        <v>4.0</v>
      </c>
      <c r="Q254" s="43">
        <v>25.0</v>
      </c>
    </row>
    <row r="255">
      <c r="A255" s="9">
        <v>2007.0</v>
      </c>
      <c r="B255" s="29" t="s">
        <v>109</v>
      </c>
      <c r="C255" s="29">
        <v>64.0</v>
      </c>
      <c r="D255" s="34">
        <v>0.3240253202643121</v>
      </c>
      <c r="E255" s="36">
        <v>38.71</v>
      </c>
      <c r="F255" s="38">
        <v>50.0</v>
      </c>
      <c r="G255" s="39">
        <v>5.7</v>
      </c>
      <c r="H255" s="40">
        <v>3541.49</v>
      </c>
      <c r="I255" s="40">
        <v>0.0</v>
      </c>
      <c r="J255" s="40">
        <v>4.53</v>
      </c>
      <c r="K255" s="40">
        <v>-0.02</v>
      </c>
      <c r="L255" s="41">
        <v>0.0</v>
      </c>
      <c r="M255" s="41">
        <v>1.0</v>
      </c>
      <c r="N255" s="41">
        <v>0.0</v>
      </c>
      <c r="O255" s="41">
        <v>0.0</v>
      </c>
      <c r="P255" s="43">
        <v>4.0</v>
      </c>
      <c r="Q255" s="43">
        <v>0.0</v>
      </c>
    </row>
    <row r="256">
      <c r="A256" s="9">
        <v>2011.0</v>
      </c>
      <c r="B256" s="29" t="s">
        <v>109</v>
      </c>
      <c r="C256" s="29">
        <v>64.0</v>
      </c>
      <c r="D256" s="34">
        <v>0.12731276569080105</v>
      </c>
      <c r="E256" s="36">
        <v>43.1</v>
      </c>
      <c r="F256" s="38">
        <v>50.0</v>
      </c>
      <c r="G256" s="39">
        <v>8.31</v>
      </c>
      <c r="H256" s="40">
        <v>5917.25</v>
      </c>
      <c r="I256" s="40">
        <v>0.0</v>
      </c>
      <c r="J256" s="40">
        <v>14.806</v>
      </c>
      <c r="K256" s="40">
        <v>-0.05</v>
      </c>
      <c r="L256" s="41">
        <v>0.0</v>
      </c>
      <c r="M256" s="41">
        <v>0.0</v>
      </c>
      <c r="N256" s="41">
        <v>1.0</v>
      </c>
      <c r="O256" s="41">
        <v>0.0</v>
      </c>
      <c r="P256" s="43">
        <v>4.0</v>
      </c>
      <c r="Q256" s="43">
        <v>0.0</v>
      </c>
    </row>
    <row r="257">
      <c r="A257" s="9">
        <v>2015.0</v>
      </c>
      <c r="B257" s="29" t="s">
        <v>109</v>
      </c>
      <c r="C257" s="29">
        <v>64.0</v>
      </c>
      <c r="D257" s="34">
        <v>0.0</v>
      </c>
      <c r="E257" s="36">
        <v>38.9</v>
      </c>
      <c r="F257" s="38">
        <v>50.0</v>
      </c>
      <c r="G257" s="39">
        <v>12.78</v>
      </c>
      <c r="H257" s="40">
        <v>6950.0</v>
      </c>
      <c r="I257" s="40">
        <v>0.0</v>
      </c>
      <c r="J257" s="40">
        <v>42.787</v>
      </c>
      <c r="K257" s="40">
        <v>-2.72</v>
      </c>
      <c r="L257" s="41">
        <v>0.0</v>
      </c>
      <c r="M257" s="41">
        <v>0.0</v>
      </c>
      <c r="N257" s="41">
        <v>0.0</v>
      </c>
      <c r="O257" s="41">
        <v>1.0</v>
      </c>
      <c r="P257" s="43">
        <v>4.0</v>
      </c>
      <c r="Q257" s="43">
        <v>0.0</v>
      </c>
    </row>
    <row r="258">
      <c r="A258" s="9">
        <v>2002.0</v>
      </c>
      <c r="B258" s="29" t="s">
        <v>110</v>
      </c>
      <c r="C258" s="29">
        <v>65.0</v>
      </c>
      <c r="D258" s="34">
        <v>0.43003680609134487</v>
      </c>
      <c r="E258" s="36">
        <v>44.19</v>
      </c>
      <c r="F258" s="38">
        <v>100.0</v>
      </c>
      <c r="G258" s="39">
        <v>3.47</v>
      </c>
      <c r="H258" s="40">
        <v>4064.36</v>
      </c>
      <c r="I258" s="40">
        <v>0.0</v>
      </c>
      <c r="J258" s="40">
        <v>2.06</v>
      </c>
      <c r="K258" s="40">
        <v>-2.19</v>
      </c>
      <c r="L258" s="41">
        <v>1.0</v>
      </c>
      <c r="M258" s="41">
        <v>0.0</v>
      </c>
      <c r="N258" s="41">
        <v>0.0</v>
      </c>
      <c r="O258" s="41">
        <v>0.0</v>
      </c>
      <c r="P258" s="43">
        <v>3.0</v>
      </c>
      <c r="Q258" s="43">
        <v>0.0</v>
      </c>
    </row>
    <row r="259">
      <c r="A259" s="9">
        <v>2007.0</v>
      </c>
      <c r="B259" s="29" t="s">
        <v>110</v>
      </c>
      <c r="C259" s="29">
        <v>65.0</v>
      </c>
      <c r="D259" s="34">
        <v>0.20910903944046166</v>
      </c>
      <c r="E259" s="36">
        <v>53.66</v>
      </c>
      <c r="F259" s="38">
        <v>66.6666666666667</v>
      </c>
      <c r="G259" s="39">
        <v>5.9</v>
      </c>
      <c r="H259" s="40">
        <v>5564.63</v>
      </c>
      <c r="I259" s="40">
        <v>0.0</v>
      </c>
      <c r="J259" s="40">
        <v>15.387</v>
      </c>
      <c r="K259" s="40">
        <v>-1.99</v>
      </c>
      <c r="L259" s="41">
        <v>0.0</v>
      </c>
      <c r="M259" s="41">
        <v>1.0</v>
      </c>
      <c r="N259" s="41">
        <v>0.0</v>
      </c>
      <c r="O259" s="41">
        <v>0.0</v>
      </c>
      <c r="P259" s="43">
        <v>3.0</v>
      </c>
      <c r="Q259" s="43">
        <v>0.0</v>
      </c>
    </row>
    <row r="260">
      <c r="A260" s="9">
        <v>2011.0</v>
      </c>
      <c r="B260" s="29" t="s">
        <v>110</v>
      </c>
      <c r="C260" s="29">
        <v>65.0</v>
      </c>
      <c r="D260" s="34">
        <v>0.6086422625017638</v>
      </c>
      <c r="E260" s="36">
        <v>68.9</v>
      </c>
      <c r="F260" s="38">
        <v>100.0</v>
      </c>
      <c r="G260" s="39">
        <v>9.01</v>
      </c>
      <c r="H260" s="40">
        <v>8269.25</v>
      </c>
      <c r="I260" s="40">
        <v>0.0</v>
      </c>
      <c r="J260" s="40">
        <v>25.458</v>
      </c>
      <c r="K260" s="40">
        <v>-4.65</v>
      </c>
      <c r="L260" s="41">
        <v>0.0</v>
      </c>
      <c r="M260" s="41">
        <v>0.0</v>
      </c>
      <c r="N260" s="41">
        <v>1.0</v>
      </c>
      <c r="O260" s="41">
        <v>0.0</v>
      </c>
      <c r="P260" s="43">
        <v>3.0</v>
      </c>
      <c r="Q260" s="43">
        <v>0.0</v>
      </c>
    </row>
    <row r="261">
      <c r="A261" s="9">
        <v>2015.0</v>
      </c>
      <c r="B261" s="29" t="s">
        <v>110</v>
      </c>
      <c r="C261" s="29">
        <v>65.0</v>
      </c>
      <c r="D261" s="34">
        <v>0.0</v>
      </c>
      <c r="E261" s="36">
        <v>66.8</v>
      </c>
      <c r="F261" s="38">
        <v>100.0</v>
      </c>
      <c r="G261" s="39">
        <v>12.94</v>
      </c>
      <c r="H261" s="40">
        <v>9861.25</v>
      </c>
      <c r="I261" s="40">
        <v>0.0</v>
      </c>
      <c r="J261" s="40">
        <v>43.034</v>
      </c>
      <c r="K261" s="40">
        <v>-0.91</v>
      </c>
      <c r="L261" s="41">
        <v>0.0</v>
      </c>
      <c r="M261" s="41">
        <v>0.0</v>
      </c>
      <c r="N261" s="41">
        <v>0.0</v>
      </c>
      <c r="O261" s="41">
        <v>1.0</v>
      </c>
      <c r="P261" s="43">
        <v>3.0</v>
      </c>
      <c r="Q261" s="43">
        <v>0.0</v>
      </c>
    </row>
    <row r="262">
      <c r="A262" s="9">
        <v>2002.0</v>
      </c>
      <c r="B262" s="29" t="s">
        <v>111</v>
      </c>
      <c r="C262" s="29">
        <v>66.0</v>
      </c>
      <c r="D262" s="34">
        <v>0.3620594285112222</v>
      </c>
      <c r="E262" s="36">
        <v>43.84</v>
      </c>
      <c r="F262" s="38">
        <v>100.0</v>
      </c>
      <c r="G262" s="39">
        <v>0.34</v>
      </c>
      <c r="H262" s="40">
        <v>4883.95</v>
      </c>
      <c r="I262" s="40">
        <v>0.0</v>
      </c>
      <c r="J262" s="40">
        <v>3.61</v>
      </c>
      <c r="K262" s="40">
        <v>-2.31</v>
      </c>
      <c r="L262" s="41">
        <v>1.0</v>
      </c>
      <c r="M262" s="41">
        <v>0.0</v>
      </c>
      <c r="N262" s="41">
        <v>0.0</v>
      </c>
      <c r="O262" s="41">
        <v>0.0</v>
      </c>
      <c r="P262" s="43">
        <v>6.0</v>
      </c>
      <c r="Q262" s="43">
        <v>0.0</v>
      </c>
    </row>
    <row r="263">
      <c r="A263" s="9">
        <v>2007.0</v>
      </c>
      <c r="B263" s="29" t="s">
        <v>111</v>
      </c>
      <c r="C263" s="29">
        <v>66.0</v>
      </c>
      <c r="D263" s="34">
        <v>0.322368023394708</v>
      </c>
      <c r="E263" s="36">
        <v>53.14</v>
      </c>
      <c r="F263" s="38">
        <v>83.3333333333333</v>
      </c>
      <c r="G263" s="39">
        <v>5.47</v>
      </c>
      <c r="H263" s="40">
        <v>6625.83</v>
      </c>
      <c r="I263" s="40">
        <v>0.0</v>
      </c>
      <c r="J263" s="40">
        <v>18.987</v>
      </c>
      <c r="K263" s="40">
        <v>0.87</v>
      </c>
      <c r="L263" s="41">
        <v>0.0</v>
      </c>
      <c r="M263" s="41">
        <v>1.0</v>
      </c>
      <c r="N263" s="41">
        <v>0.0</v>
      </c>
      <c r="O263" s="41">
        <v>0.0</v>
      </c>
      <c r="P263" s="43">
        <v>6.0</v>
      </c>
      <c r="Q263" s="43">
        <v>0.0</v>
      </c>
    </row>
    <row r="264">
      <c r="A264" s="9">
        <v>2011.0</v>
      </c>
      <c r="B264" s="29" t="s">
        <v>111</v>
      </c>
      <c r="C264" s="29">
        <v>66.0</v>
      </c>
      <c r="D264" s="34">
        <v>0.46794963307513343</v>
      </c>
      <c r="E264" s="36">
        <v>61.6</v>
      </c>
      <c r="F264" s="38">
        <v>71.4285714285714</v>
      </c>
      <c r="G264" s="39">
        <v>8.41</v>
      </c>
      <c r="H264" s="40">
        <v>9308.75</v>
      </c>
      <c r="I264" s="40">
        <v>0.0</v>
      </c>
      <c r="J264" s="40">
        <v>44.42</v>
      </c>
      <c r="K264" s="40">
        <v>3.41</v>
      </c>
      <c r="L264" s="41">
        <v>0.0</v>
      </c>
      <c r="M264" s="41">
        <v>0.0</v>
      </c>
      <c r="N264" s="41">
        <v>1.0</v>
      </c>
      <c r="O264" s="41">
        <v>0.0</v>
      </c>
      <c r="P264" s="43">
        <v>7.0</v>
      </c>
      <c r="Q264" s="43">
        <v>14.2857142857143</v>
      </c>
    </row>
    <row r="265">
      <c r="A265" s="9">
        <v>2015.0</v>
      </c>
      <c r="B265" s="29" t="s">
        <v>111</v>
      </c>
      <c r="C265" s="29">
        <v>66.0</v>
      </c>
      <c r="D265" s="34">
        <v>0.4585709781892178</v>
      </c>
      <c r="E265" s="36">
        <v>56.6</v>
      </c>
      <c r="F265" s="38">
        <v>71.4285714285714</v>
      </c>
      <c r="G265" s="39">
        <v>11.95</v>
      </c>
      <c r="H265" s="40">
        <v>10838.75</v>
      </c>
      <c r="I265" s="40">
        <v>0.0</v>
      </c>
      <c r="J265" s="40">
        <v>88.957</v>
      </c>
      <c r="K265" s="40">
        <v>4.56</v>
      </c>
      <c r="L265" s="41">
        <v>0.0</v>
      </c>
      <c r="M265" s="41">
        <v>0.0</v>
      </c>
      <c r="N265" s="41">
        <v>0.0</v>
      </c>
      <c r="O265" s="41">
        <v>1.0</v>
      </c>
      <c r="P265" s="43">
        <v>7.0</v>
      </c>
      <c r="Q265" s="43">
        <v>14.2857142857143</v>
      </c>
    </row>
    <row r="266">
      <c r="A266" s="9">
        <v>2002.0</v>
      </c>
      <c r="B266" s="29" t="s">
        <v>112</v>
      </c>
      <c r="C266" s="29">
        <v>67.0</v>
      </c>
      <c r="D266" s="34">
        <v>0.3511915369023702</v>
      </c>
      <c r="E266" s="36">
        <v>44.84</v>
      </c>
      <c r="F266" s="38">
        <v>77.7777777777778</v>
      </c>
      <c r="G266" s="39">
        <v>3.63</v>
      </c>
      <c r="H266" s="40">
        <v>3685.88</v>
      </c>
      <c r="I266" s="40">
        <v>0.0</v>
      </c>
      <c r="J266" s="40">
        <v>1.456</v>
      </c>
      <c r="K266" s="40">
        <v>-4.55</v>
      </c>
      <c r="L266" s="41">
        <v>1.0</v>
      </c>
      <c r="M266" s="41">
        <v>0.0</v>
      </c>
      <c r="N266" s="41">
        <v>0.0</v>
      </c>
      <c r="O266" s="41">
        <v>0.0</v>
      </c>
      <c r="P266" s="43">
        <v>9.0</v>
      </c>
      <c r="Q266" s="43">
        <v>22.2222222222222</v>
      </c>
    </row>
    <row r="267">
      <c r="A267" s="9">
        <v>2007.0</v>
      </c>
      <c r="B267" s="29" t="s">
        <v>112</v>
      </c>
      <c r="C267" s="29">
        <v>67.0</v>
      </c>
      <c r="D267" s="34">
        <v>0.8315666551394046</v>
      </c>
      <c r="E267" s="36">
        <v>57.9</v>
      </c>
      <c r="F267" s="38">
        <v>66.6666666666667</v>
      </c>
      <c r="G267" s="39">
        <v>6.01</v>
      </c>
      <c r="H267" s="40">
        <v>5008.26</v>
      </c>
      <c r="I267" s="40">
        <v>0.0</v>
      </c>
      <c r="J267" s="40">
        <v>11.683</v>
      </c>
      <c r="K267" s="40">
        <v>-4.39</v>
      </c>
      <c r="L267" s="41">
        <v>0.0</v>
      </c>
      <c r="M267" s="41">
        <v>1.0</v>
      </c>
      <c r="N267" s="41">
        <v>0.0</v>
      </c>
      <c r="O267" s="41">
        <v>0.0</v>
      </c>
      <c r="P267" s="43">
        <v>9.0</v>
      </c>
      <c r="Q267" s="43">
        <v>22.2222222222222</v>
      </c>
    </row>
    <row r="268">
      <c r="A268" s="9">
        <v>2011.0</v>
      </c>
      <c r="B268" s="29" t="s">
        <v>112</v>
      </c>
      <c r="C268" s="29">
        <v>67.0</v>
      </c>
      <c r="D268" s="34">
        <v>0.2259349192885025</v>
      </c>
      <c r="E268" s="36">
        <v>61.5</v>
      </c>
      <c r="F268" s="38">
        <v>66.6666666666667</v>
      </c>
      <c r="G268" s="39">
        <v>8.76</v>
      </c>
      <c r="H268" s="40">
        <v>7386.0</v>
      </c>
      <c r="I268" s="40">
        <v>0.0</v>
      </c>
      <c r="J268" s="40">
        <v>34.883</v>
      </c>
      <c r="K268" s="40">
        <v>-4.09</v>
      </c>
      <c r="L268" s="41">
        <v>0.0</v>
      </c>
      <c r="M268" s="41">
        <v>0.0</v>
      </c>
      <c r="N268" s="41">
        <v>1.0</v>
      </c>
      <c r="O268" s="41">
        <v>0.0</v>
      </c>
      <c r="P268" s="43">
        <v>9.0</v>
      </c>
      <c r="Q268" s="43">
        <v>22.2222222222222</v>
      </c>
    </row>
    <row r="269">
      <c r="A269" s="9">
        <v>2015.0</v>
      </c>
      <c r="B269" s="29" t="s">
        <v>112</v>
      </c>
      <c r="C269" s="29">
        <v>67.0</v>
      </c>
      <c r="D269" s="34">
        <v>0.3109743064231241</v>
      </c>
      <c r="E269" s="36">
        <v>52.9</v>
      </c>
      <c r="F269" s="38">
        <v>55.5555555555556</v>
      </c>
      <c r="G269" s="39">
        <v>12.82</v>
      </c>
      <c r="H269" s="40">
        <v>8587.5</v>
      </c>
      <c r="I269" s="40">
        <v>0.0</v>
      </c>
      <c r="J269" s="40">
        <v>74.132</v>
      </c>
      <c r="K269" s="40">
        <v>-4.95</v>
      </c>
      <c r="L269" s="41">
        <v>0.0</v>
      </c>
      <c r="M269" s="41">
        <v>0.0</v>
      </c>
      <c r="N269" s="41">
        <v>0.0</v>
      </c>
      <c r="O269" s="41">
        <v>1.0</v>
      </c>
      <c r="P269" s="43">
        <v>9.0</v>
      </c>
      <c r="Q269" s="43">
        <v>22.2222222222222</v>
      </c>
    </row>
    <row r="270">
      <c r="A270" s="9">
        <v>2002.0</v>
      </c>
      <c r="B270" s="29" t="s">
        <v>113</v>
      </c>
      <c r="C270" s="29">
        <v>68.0</v>
      </c>
      <c r="D270" s="34">
        <v>0.2783798032826494</v>
      </c>
      <c r="E270" s="36">
        <v>22.9</v>
      </c>
      <c r="F270" s="38">
        <v>63.6363636363636</v>
      </c>
      <c r="G270" s="39">
        <v>1.72</v>
      </c>
      <c r="H270" s="40">
        <v>2249.1</v>
      </c>
      <c r="I270" s="40">
        <v>0.0</v>
      </c>
      <c r="J270" s="40">
        <v>0.139</v>
      </c>
      <c r="K270" s="40">
        <v>-3.89</v>
      </c>
      <c r="L270" s="41">
        <v>1.0</v>
      </c>
      <c r="M270" s="41">
        <v>0.0</v>
      </c>
      <c r="N270" s="41">
        <v>0.0</v>
      </c>
      <c r="O270" s="41">
        <v>0.0</v>
      </c>
      <c r="P270" s="43">
        <v>11.0</v>
      </c>
      <c r="Q270" s="43">
        <v>27.2727272727273</v>
      </c>
    </row>
    <row r="271">
      <c r="A271" s="9">
        <v>2007.0</v>
      </c>
      <c r="B271" s="29" t="s">
        <v>113</v>
      </c>
      <c r="C271" s="29">
        <v>68.0</v>
      </c>
      <c r="D271" s="34">
        <v>0.2075343969610752</v>
      </c>
      <c r="E271" s="36">
        <v>59.78</v>
      </c>
      <c r="F271" s="38">
        <v>81.8181818181818</v>
      </c>
      <c r="G271" s="39">
        <v>2.47</v>
      </c>
      <c r="H271" s="40">
        <v>2887.47</v>
      </c>
      <c r="I271" s="40">
        <v>0.0</v>
      </c>
      <c r="J271" s="40">
        <v>1.701</v>
      </c>
      <c r="K271" s="40">
        <v>-5.67</v>
      </c>
      <c r="L271" s="41">
        <v>0.0</v>
      </c>
      <c r="M271" s="41">
        <v>1.0</v>
      </c>
      <c r="N271" s="41">
        <v>0.0</v>
      </c>
      <c r="O271" s="41">
        <v>0.0</v>
      </c>
      <c r="P271" s="43">
        <v>11.0</v>
      </c>
      <c r="Q271" s="43">
        <v>0.0</v>
      </c>
    </row>
    <row r="272">
      <c r="A272" s="9">
        <v>2011.0</v>
      </c>
      <c r="B272" s="29" t="s">
        <v>113</v>
      </c>
      <c r="C272" s="29">
        <v>68.0</v>
      </c>
      <c r="D272" s="34">
        <v>0.8204554287691033</v>
      </c>
      <c r="E272" s="36">
        <v>63.5</v>
      </c>
      <c r="F272" s="38">
        <v>83.3333333333333</v>
      </c>
      <c r="G272" s="39">
        <v>4.78</v>
      </c>
      <c r="H272" s="40">
        <v>3988.0</v>
      </c>
      <c r="I272" s="40">
        <v>0.0</v>
      </c>
      <c r="J272" s="40">
        <v>7.328</v>
      </c>
      <c r="K272" s="40">
        <v>-5.12</v>
      </c>
      <c r="L272" s="41">
        <v>0.0</v>
      </c>
      <c r="M272" s="41">
        <v>0.0</v>
      </c>
      <c r="N272" s="41">
        <v>1.0</v>
      </c>
      <c r="O272" s="41">
        <v>0.0</v>
      </c>
      <c r="P272" s="43">
        <v>12.0</v>
      </c>
      <c r="Q272" s="43">
        <v>0.0</v>
      </c>
    </row>
    <row r="273">
      <c r="A273" s="9">
        <v>2015.0</v>
      </c>
      <c r="B273" s="29" t="s">
        <v>113</v>
      </c>
      <c r="C273" s="29">
        <v>68.0</v>
      </c>
      <c r="D273" s="34">
        <v>0.9991616111699981</v>
      </c>
      <c r="E273" s="36">
        <v>64.6</v>
      </c>
      <c r="F273" s="38">
        <v>58.3333333333333</v>
      </c>
      <c r="G273" s="39">
        <v>7.44</v>
      </c>
      <c r="H273" s="40">
        <v>4420.25</v>
      </c>
      <c r="I273" s="40">
        <v>0.0</v>
      </c>
      <c r="J273" s="40">
        <v>19.654</v>
      </c>
      <c r="K273" s="40">
        <v>-6.41</v>
      </c>
      <c r="L273" s="41">
        <v>0.0</v>
      </c>
      <c r="M273" s="41">
        <v>0.0</v>
      </c>
      <c r="N273" s="41">
        <v>0.0</v>
      </c>
      <c r="O273" s="41">
        <v>1.0</v>
      </c>
      <c r="P273" s="43">
        <v>12.0</v>
      </c>
      <c r="Q273" s="43">
        <v>0.0</v>
      </c>
    </row>
    <row r="274">
      <c r="A274" s="9">
        <v>2002.0</v>
      </c>
      <c r="B274" s="29" t="s">
        <v>114</v>
      </c>
      <c r="C274" s="29">
        <v>69.0</v>
      </c>
      <c r="D274" s="34">
        <v>0.26481161329271974</v>
      </c>
      <c r="E274" s="36">
        <v>84.82</v>
      </c>
      <c r="F274" s="38">
        <v>33.3333333333333</v>
      </c>
      <c r="G274" s="39">
        <v>0.19</v>
      </c>
      <c r="H274" s="40">
        <v>1897.85</v>
      </c>
      <c r="I274" s="40">
        <v>0.0</v>
      </c>
      <c r="J274" s="40">
        <v>0.356</v>
      </c>
      <c r="K274" s="40">
        <v>-7.51</v>
      </c>
      <c r="L274" s="41">
        <v>1.0</v>
      </c>
      <c r="M274" s="41">
        <v>0.0</v>
      </c>
      <c r="N274" s="41">
        <v>0.0</v>
      </c>
      <c r="O274" s="41">
        <v>0.0</v>
      </c>
      <c r="P274" s="43">
        <v>3.0</v>
      </c>
      <c r="Q274" s="43">
        <v>33.3333333333333</v>
      </c>
    </row>
    <row r="275">
      <c r="A275" s="9">
        <v>2007.0</v>
      </c>
      <c r="B275" s="29" t="s">
        <v>114</v>
      </c>
      <c r="C275" s="29">
        <v>69.0</v>
      </c>
      <c r="D275" s="34">
        <v>0.3976604720550896</v>
      </c>
      <c r="E275" s="36">
        <v>48.78</v>
      </c>
      <c r="F275" s="38">
        <v>66.6666666666667</v>
      </c>
      <c r="G275" s="39">
        <v>3.74</v>
      </c>
      <c r="H275" s="40">
        <v>2639.59</v>
      </c>
      <c r="I275" s="40">
        <v>0.0</v>
      </c>
      <c r="J275" s="40">
        <v>7.157</v>
      </c>
      <c r="K275" s="40">
        <v>-5.02</v>
      </c>
      <c r="L275" s="41">
        <v>0.0</v>
      </c>
      <c r="M275" s="41">
        <v>1.0</v>
      </c>
      <c r="N275" s="41">
        <v>0.0</v>
      </c>
      <c r="O275" s="41">
        <v>0.0</v>
      </c>
      <c r="P275" s="43">
        <v>3.0</v>
      </c>
      <c r="Q275" s="43">
        <v>0.0</v>
      </c>
    </row>
    <row r="276">
      <c r="A276" s="9">
        <v>2011.0</v>
      </c>
      <c r="B276" s="29" t="s">
        <v>114</v>
      </c>
      <c r="C276" s="29">
        <v>69.0</v>
      </c>
      <c r="D276" s="34">
        <v>0.2809102123918595</v>
      </c>
      <c r="E276" s="36">
        <v>48.0</v>
      </c>
      <c r="F276" s="38">
        <v>66.6666666666667</v>
      </c>
      <c r="G276" s="39">
        <v>6.23</v>
      </c>
      <c r="H276" s="40">
        <v>4455.0</v>
      </c>
      <c r="I276" s="40">
        <v>0.0</v>
      </c>
      <c r="J276" s="40">
        <v>18.49</v>
      </c>
      <c r="K276" s="40">
        <v>-10.03</v>
      </c>
      <c r="L276" s="41">
        <v>0.0</v>
      </c>
      <c r="M276" s="41">
        <v>0.0</v>
      </c>
      <c r="N276" s="41">
        <v>1.0</v>
      </c>
      <c r="O276" s="41">
        <v>0.0</v>
      </c>
      <c r="P276" s="43">
        <v>3.0</v>
      </c>
      <c r="Q276" s="43">
        <v>0.0</v>
      </c>
    </row>
    <row r="277">
      <c r="A277" s="9">
        <v>2015.0</v>
      </c>
      <c r="B277" s="29" t="s">
        <v>114</v>
      </c>
      <c r="C277" s="29">
        <v>69.0</v>
      </c>
      <c r="D277" s="34">
        <v>0.17045595418143952</v>
      </c>
      <c r="E277" s="36">
        <v>28.2</v>
      </c>
      <c r="F277" s="38">
        <v>33.3333333333333</v>
      </c>
      <c r="G277" s="39">
        <v>10.35</v>
      </c>
      <c r="H277" s="40">
        <v>5438.0</v>
      </c>
      <c r="I277" s="40">
        <v>0.0</v>
      </c>
      <c r="J277" s="40">
        <v>33.904</v>
      </c>
      <c r="K277" s="40">
        <v>-12.73</v>
      </c>
      <c r="L277" s="41">
        <v>0.0</v>
      </c>
      <c r="M277" s="41">
        <v>0.0</v>
      </c>
      <c r="N277" s="41">
        <v>0.0</v>
      </c>
      <c r="O277" s="41">
        <v>1.0</v>
      </c>
      <c r="P277" s="43">
        <v>3.0</v>
      </c>
      <c r="Q277" s="43">
        <v>0.0</v>
      </c>
    </row>
    <row r="278">
      <c r="A278" s="9">
        <v>2002.0</v>
      </c>
      <c r="B278" s="29" t="s">
        <v>115</v>
      </c>
      <c r="C278" s="29">
        <v>70.0</v>
      </c>
      <c r="D278" s="34">
        <v>0.27417696510291717</v>
      </c>
      <c r="E278" s="36">
        <v>32.46</v>
      </c>
      <c r="F278" s="38">
        <v>66.6666666666667</v>
      </c>
      <c r="G278" s="39">
        <v>3.25</v>
      </c>
      <c r="H278" s="40">
        <v>3689.51</v>
      </c>
      <c r="I278" s="40">
        <v>0.0</v>
      </c>
      <c r="J278" s="40">
        <v>1.822</v>
      </c>
      <c r="K278" s="40">
        <v>-7.57</v>
      </c>
      <c r="L278" s="41">
        <v>1.0</v>
      </c>
      <c r="M278" s="41">
        <v>0.0</v>
      </c>
      <c r="N278" s="41">
        <v>0.0</v>
      </c>
      <c r="O278" s="41">
        <v>0.0</v>
      </c>
      <c r="P278" s="43">
        <v>3.0</v>
      </c>
      <c r="Q278" s="43">
        <v>33.3333333333333</v>
      </c>
    </row>
    <row r="279">
      <c r="A279" s="9">
        <v>2007.0</v>
      </c>
      <c r="B279" s="29" t="s">
        <v>115</v>
      </c>
      <c r="C279" s="29">
        <v>70.0</v>
      </c>
      <c r="D279" s="34">
        <v>0.09657146536055823</v>
      </c>
      <c r="E279" s="36">
        <v>44.04</v>
      </c>
      <c r="F279" s="38">
        <v>66.6666666666667</v>
      </c>
      <c r="G279" s="39">
        <v>5.62</v>
      </c>
      <c r="H279" s="40">
        <v>4750.01</v>
      </c>
      <c r="I279" s="40">
        <v>0.0</v>
      </c>
      <c r="J279" s="40">
        <v>22.362</v>
      </c>
      <c r="K279" s="40">
        <v>-1.72</v>
      </c>
      <c r="L279" s="41">
        <v>0.0</v>
      </c>
      <c r="M279" s="41">
        <v>1.0</v>
      </c>
      <c r="N279" s="41">
        <v>0.0</v>
      </c>
      <c r="O279" s="41">
        <v>0.0</v>
      </c>
      <c r="P279" s="43">
        <v>3.0</v>
      </c>
      <c r="Q279" s="43">
        <v>33.3333333333333</v>
      </c>
    </row>
    <row r="280">
      <c r="A280" s="9">
        <v>2011.0</v>
      </c>
      <c r="B280" s="29" t="s">
        <v>115</v>
      </c>
      <c r="C280" s="29">
        <v>70.0</v>
      </c>
      <c r="D280" s="34">
        <v>0.0</v>
      </c>
      <c r="E280" s="36">
        <v>54.9</v>
      </c>
      <c r="F280" s="38">
        <v>50.0</v>
      </c>
      <c r="G280" s="39">
        <v>8.03</v>
      </c>
      <c r="H280" s="40">
        <v>6921.25</v>
      </c>
      <c r="I280" s="40">
        <v>0.0</v>
      </c>
      <c r="J280" s="40">
        <v>46.972</v>
      </c>
      <c r="K280" s="40">
        <v>3.13</v>
      </c>
      <c r="L280" s="41">
        <v>0.0</v>
      </c>
      <c r="M280" s="41">
        <v>0.0</v>
      </c>
      <c r="N280" s="41">
        <v>1.0</v>
      </c>
      <c r="O280" s="41">
        <v>0.0</v>
      </c>
      <c r="P280" s="43">
        <v>2.0</v>
      </c>
      <c r="Q280" s="43">
        <v>50.0</v>
      </c>
    </row>
    <row r="281">
      <c r="A281" s="9">
        <v>2015.0</v>
      </c>
      <c r="B281" s="29" t="s">
        <v>115</v>
      </c>
      <c r="C281" s="29">
        <v>70.0</v>
      </c>
      <c r="D281" s="34">
        <v>0.0</v>
      </c>
      <c r="E281" s="36">
        <v>47.5</v>
      </c>
      <c r="F281" s="38">
        <v>50.0</v>
      </c>
      <c r="G281" s="39">
        <v>11.71</v>
      </c>
      <c r="H281" s="40">
        <v>7832.0</v>
      </c>
      <c r="I281" s="40">
        <v>0.0</v>
      </c>
      <c r="J281" s="40">
        <v>89.394</v>
      </c>
      <c r="K281" s="40">
        <v>-2.0</v>
      </c>
      <c r="L281" s="41">
        <v>0.0</v>
      </c>
      <c r="M281" s="41">
        <v>0.0</v>
      </c>
      <c r="N281" s="41">
        <v>0.0</v>
      </c>
      <c r="O281" s="41">
        <v>1.0</v>
      </c>
      <c r="P281" s="43">
        <v>2.0</v>
      </c>
      <c r="Q281" s="43">
        <v>50.0</v>
      </c>
    </row>
    <row r="282">
      <c r="A282" s="9">
        <v>2002.0</v>
      </c>
      <c r="B282" s="29" t="s">
        <v>116</v>
      </c>
      <c r="C282" s="29">
        <v>71.0</v>
      </c>
      <c r="D282" s="34">
        <v>0.5162389735364876</v>
      </c>
      <c r="E282" s="36">
        <v>45.06</v>
      </c>
      <c r="F282" s="38">
        <v>83.3333333333333</v>
      </c>
      <c r="G282" s="39">
        <v>3.24</v>
      </c>
      <c r="H282" s="40">
        <v>3394.53</v>
      </c>
      <c r="I282" s="40">
        <v>0.0</v>
      </c>
      <c r="J282" s="40">
        <v>1.93</v>
      </c>
      <c r="K282" s="40">
        <v>-5.1</v>
      </c>
      <c r="L282" s="41">
        <v>1.0</v>
      </c>
      <c r="M282" s="41">
        <v>0.0</v>
      </c>
      <c r="N282" s="41">
        <v>0.0</v>
      </c>
      <c r="O282" s="41">
        <v>0.0</v>
      </c>
      <c r="P282" s="43">
        <v>6.0</v>
      </c>
      <c r="Q282" s="43">
        <v>16.6666666666667</v>
      </c>
    </row>
    <row r="283">
      <c r="A283" s="9">
        <v>2007.0</v>
      </c>
      <c r="B283" s="29" t="s">
        <v>116</v>
      </c>
      <c r="C283" s="29">
        <v>71.0</v>
      </c>
      <c r="D283" s="34">
        <v>0.4057245043787067</v>
      </c>
      <c r="E283" s="36">
        <v>55.47</v>
      </c>
      <c r="F283" s="38">
        <v>66.6666666666667</v>
      </c>
      <c r="G283" s="39">
        <v>5.61</v>
      </c>
      <c r="H283" s="40">
        <v>4505.07</v>
      </c>
      <c r="I283" s="40">
        <v>0.0</v>
      </c>
      <c r="J283" s="40">
        <v>15.204</v>
      </c>
      <c r="K283" s="40">
        <v>-11.63</v>
      </c>
      <c r="L283" s="41">
        <v>0.0</v>
      </c>
      <c r="M283" s="41">
        <v>1.0</v>
      </c>
      <c r="N283" s="41">
        <v>0.0</v>
      </c>
      <c r="O283" s="41">
        <v>0.0</v>
      </c>
      <c r="P283" s="43">
        <v>6.0</v>
      </c>
      <c r="Q283" s="43">
        <v>16.6666666666667</v>
      </c>
    </row>
    <row r="284">
      <c r="A284" s="9">
        <v>2011.0</v>
      </c>
      <c r="B284" s="29" t="s">
        <v>116</v>
      </c>
      <c r="C284" s="29">
        <v>71.0</v>
      </c>
      <c r="D284" s="34">
        <v>1.0879469300451732</v>
      </c>
      <c r="E284" s="36">
        <v>63.3</v>
      </c>
      <c r="F284" s="38">
        <v>80.0</v>
      </c>
      <c r="G284" s="39">
        <v>8.86</v>
      </c>
      <c r="H284" s="40">
        <v>7107.25</v>
      </c>
      <c r="I284" s="40">
        <v>0.0</v>
      </c>
      <c r="J284" s="40">
        <v>34.237</v>
      </c>
      <c r="K284" s="40">
        <v>-12.94</v>
      </c>
      <c r="L284" s="41">
        <v>0.0</v>
      </c>
      <c r="M284" s="41">
        <v>0.0</v>
      </c>
      <c r="N284" s="41">
        <v>1.0</v>
      </c>
      <c r="O284" s="41">
        <v>0.0</v>
      </c>
      <c r="P284" s="43">
        <v>5.0</v>
      </c>
      <c r="Q284" s="43">
        <v>20.0</v>
      </c>
    </row>
    <row r="285">
      <c r="A285" s="9">
        <v>2015.0</v>
      </c>
      <c r="B285" s="29" t="s">
        <v>116</v>
      </c>
      <c r="C285" s="29">
        <v>71.0</v>
      </c>
      <c r="D285" s="34">
        <v>0.9819324430479183</v>
      </c>
      <c r="E285" s="36">
        <v>57.7</v>
      </c>
      <c r="F285" s="38">
        <v>60.0</v>
      </c>
      <c r="G285" s="39">
        <v>12.33</v>
      </c>
      <c r="H285" s="40">
        <v>8362.75</v>
      </c>
      <c r="I285" s="40">
        <v>0.0</v>
      </c>
      <c r="J285" s="40">
        <v>53.464</v>
      </c>
      <c r="K285" s="40">
        <v>-8.85</v>
      </c>
      <c r="L285" s="41">
        <v>0.0</v>
      </c>
      <c r="M285" s="41">
        <v>0.0</v>
      </c>
      <c r="N285" s="41">
        <v>0.0</v>
      </c>
      <c r="O285" s="41">
        <v>1.0</v>
      </c>
      <c r="P285" s="43">
        <v>5.0</v>
      </c>
      <c r="Q285" s="43">
        <v>20.0</v>
      </c>
    </row>
    <row r="286">
      <c r="A286" s="9">
        <v>2002.0</v>
      </c>
      <c r="B286" s="29" t="s">
        <v>117</v>
      </c>
      <c r="C286" s="29">
        <v>72.0</v>
      </c>
      <c r="D286" s="34">
        <v>0.22884560373652948</v>
      </c>
      <c r="E286" s="36">
        <v>14.02</v>
      </c>
      <c r="F286" s="38">
        <v>66.6666666666667</v>
      </c>
      <c r="G286" s="39">
        <v>1.58</v>
      </c>
      <c r="H286" s="40">
        <v>2289.04</v>
      </c>
      <c r="I286" s="40">
        <v>0.0</v>
      </c>
      <c r="J286" s="40">
        <v>0.025</v>
      </c>
      <c r="K286" s="40">
        <v>2.18</v>
      </c>
      <c r="L286" s="41">
        <v>1.0</v>
      </c>
      <c r="M286" s="41">
        <v>0.0</v>
      </c>
      <c r="N286" s="41">
        <v>0.0</v>
      </c>
      <c r="O286" s="41">
        <v>0.0</v>
      </c>
      <c r="P286" s="43">
        <v>3.0</v>
      </c>
      <c r="Q286" s="43">
        <v>0.0</v>
      </c>
    </row>
    <row r="287">
      <c r="A287" s="9">
        <v>2007.0</v>
      </c>
      <c r="B287" s="29" t="s">
        <v>117</v>
      </c>
      <c r="C287" s="29">
        <v>72.0</v>
      </c>
      <c r="D287" s="34">
        <v>0.4691566680035725</v>
      </c>
      <c r="E287" s="36">
        <v>26.93</v>
      </c>
      <c r="F287" s="38">
        <v>33.3333333333333</v>
      </c>
      <c r="G287" s="39">
        <v>2.98</v>
      </c>
      <c r="H287" s="40">
        <v>3023.21</v>
      </c>
      <c r="I287" s="40">
        <v>0.0</v>
      </c>
      <c r="J287" s="40">
        <v>1.312</v>
      </c>
      <c r="K287" s="40">
        <v>-1.99</v>
      </c>
      <c r="L287" s="41">
        <v>0.0</v>
      </c>
      <c r="M287" s="41">
        <v>1.0</v>
      </c>
      <c r="N287" s="41">
        <v>0.0</v>
      </c>
      <c r="O287" s="41">
        <v>0.0</v>
      </c>
      <c r="P287" s="43">
        <v>3.0</v>
      </c>
      <c r="Q287" s="43">
        <v>0.0</v>
      </c>
    </row>
    <row r="288">
      <c r="A288" s="9">
        <v>2011.0</v>
      </c>
      <c r="B288" s="29" t="s">
        <v>117</v>
      </c>
      <c r="C288" s="29">
        <v>72.0</v>
      </c>
      <c r="D288" s="34">
        <v>0.022900123712713785</v>
      </c>
      <c r="E288" s="36">
        <v>20.6</v>
      </c>
      <c r="F288" s="38">
        <v>25.0</v>
      </c>
      <c r="G288" s="39">
        <v>5.5</v>
      </c>
      <c r="H288" s="40">
        <v>4488.75</v>
      </c>
      <c r="I288" s="40">
        <v>0.0</v>
      </c>
      <c r="J288" s="40">
        <v>2.133</v>
      </c>
      <c r="K288" s="40">
        <v>-7.06</v>
      </c>
      <c r="L288" s="41">
        <v>0.0</v>
      </c>
      <c r="M288" s="41">
        <v>0.0</v>
      </c>
      <c r="N288" s="41">
        <v>1.0</v>
      </c>
      <c r="O288" s="41">
        <v>0.0</v>
      </c>
      <c r="P288" s="43">
        <v>4.0</v>
      </c>
      <c r="Q288" s="43">
        <v>0.0</v>
      </c>
    </row>
    <row r="289">
      <c r="A289" s="9">
        <v>2015.0</v>
      </c>
      <c r="B289" s="29" t="s">
        <v>117</v>
      </c>
      <c r="C289" s="29">
        <v>72.0</v>
      </c>
      <c r="D289" s="34">
        <v>0.0</v>
      </c>
      <c r="E289" s="36">
        <v>8.8</v>
      </c>
      <c r="F289" s="38">
        <v>0.0</v>
      </c>
      <c r="G289" s="39">
        <v>8.81</v>
      </c>
      <c r="H289" s="40">
        <v>5522.5</v>
      </c>
      <c r="I289" s="40">
        <v>0.0</v>
      </c>
      <c r="J289" s="40">
        <v>5.961</v>
      </c>
      <c r="K289" s="40">
        <v>-4.3</v>
      </c>
      <c r="L289" s="41">
        <v>0.0</v>
      </c>
      <c r="M289" s="41">
        <v>0.0</v>
      </c>
      <c r="N289" s="41">
        <v>0.0</v>
      </c>
      <c r="O289" s="41">
        <v>1.0</v>
      </c>
      <c r="P289" s="43">
        <v>4.0</v>
      </c>
      <c r="Q289" s="43">
        <v>0.0</v>
      </c>
    </row>
    <row r="290">
      <c r="A290" s="9">
        <v>2002.0</v>
      </c>
      <c r="B290" s="29" t="s">
        <v>118</v>
      </c>
      <c r="C290" s="29">
        <v>73.0</v>
      </c>
      <c r="D290" s="34">
        <v>0.19549805325674496</v>
      </c>
      <c r="E290" s="36">
        <v>17.01</v>
      </c>
      <c r="F290" s="38">
        <v>40.0</v>
      </c>
      <c r="G290" s="39">
        <v>4.63</v>
      </c>
      <c r="H290" s="40">
        <v>7521.52</v>
      </c>
      <c r="I290" s="40">
        <v>0.0</v>
      </c>
      <c r="J290" s="40">
        <v>3.291</v>
      </c>
      <c r="K290" s="40">
        <v>9.68</v>
      </c>
      <c r="L290" s="41">
        <v>1.0</v>
      </c>
      <c r="M290" s="41">
        <v>0.0</v>
      </c>
      <c r="N290" s="41">
        <v>0.0</v>
      </c>
      <c r="O290" s="41">
        <v>0.0</v>
      </c>
      <c r="P290" s="43">
        <v>5.0</v>
      </c>
      <c r="Q290" s="43">
        <v>60.0</v>
      </c>
    </row>
    <row r="291">
      <c r="A291" s="9">
        <v>2007.0</v>
      </c>
      <c r="B291" s="29" t="s">
        <v>118</v>
      </c>
      <c r="C291" s="29">
        <v>73.0</v>
      </c>
      <c r="D291" s="34">
        <v>0.32808893850029414</v>
      </c>
      <c r="E291" s="36">
        <v>29.34</v>
      </c>
      <c r="F291" s="38">
        <v>40.0</v>
      </c>
      <c r="G291" s="39">
        <v>6.63</v>
      </c>
      <c r="H291" s="40">
        <v>9732.76</v>
      </c>
      <c r="I291" s="40">
        <v>0.0</v>
      </c>
      <c r="J291" s="40">
        <v>19.893</v>
      </c>
      <c r="K291" s="40">
        <v>21.44</v>
      </c>
      <c r="L291" s="41">
        <v>0.0</v>
      </c>
      <c r="M291" s="41">
        <v>1.0</v>
      </c>
      <c r="N291" s="41">
        <v>0.0</v>
      </c>
      <c r="O291" s="41">
        <v>0.0</v>
      </c>
      <c r="P291" s="43">
        <v>5.0</v>
      </c>
      <c r="Q291" s="43">
        <v>40.0</v>
      </c>
    </row>
    <row r="292">
      <c r="A292" s="9">
        <v>2011.0</v>
      </c>
      <c r="B292" s="29" t="s">
        <v>118</v>
      </c>
      <c r="C292" s="29">
        <v>73.0</v>
      </c>
      <c r="D292" s="34">
        <v>0.18199951952126847</v>
      </c>
      <c r="E292" s="36">
        <v>35.9</v>
      </c>
      <c r="F292" s="38">
        <v>33.3333333333333</v>
      </c>
      <c r="G292" s="39">
        <v>9.28</v>
      </c>
      <c r="H292" s="40">
        <v>13123.25</v>
      </c>
      <c r="I292" s="40">
        <v>0.0</v>
      </c>
      <c r="J292" s="40">
        <v>43.451</v>
      </c>
      <c r="K292" s="40">
        <v>19.74</v>
      </c>
      <c r="L292" s="41">
        <v>0.0</v>
      </c>
      <c r="M292" s="41">
        <v>0.0</v>
      </c>
      <c r="N292" s="41">
        <v>1.0</v>
      </c>
      <c r="O292" s="41">
        <v>0.0</v>
      </c>
      <c r="P292" s="43">
        <v>6.0</v>
      </c>
      <c r="Q292" s="43">
        <v>50.0</v>
      </c>
    </row>
    <row r="293">
      <c r="A293" s="9">
        <v>2015.0</v>
      </c>
      <c r="B293" s="29" t="s">
        <v>118</v>
      </c>
      <c r="C293" s="29">
        <v>73.0</v>
      </c>
      <c r="D293" s="34">
        <v>0.0</v>
      </c>
      <c r="E293" s="36">
        <v>31.2</v>
      </c>
      <c r="F293" s="38">
        <v>33.3333333333333</v>
      </c>
      <c r="G293" s="39">
        <v>12.74</v>
      </c>
      <c r="H293" s="40">
        <v>14726.75</v>
      </c>
      <c r="I293" s="40">
        <v>0.0</v>
      </c>
      <c r="J293" s="40">
        <v>93.123</v>
      </c>
      <c r="K293" s="40">
        <v>18.31</v>
      </c>
      <c r="L293" s="41">
        <v>0.0</v>
      </c>
      <c r="M293" s="41">
        <v>0.0</v>
      </c>
      <c r="N293" s="41">
        <v>0.0</v>
      </c>
      <c r="O293" s="41">
        <v>1.0</v>
      </c>
      <c r="P293" s="43">
        <v>6.0</v>
      </c>
      <c r="Q293" s="43">
        <v>50.0</v>
      </c>
    </row>
    <row r="294">
      <c r="A294" s="9">
        <v>2002.0</v>
      </c>
      <c r="B294" s="29" t="s">
        <v>119</v>
      </c>
      <c r="C294" s="29">
        <v>74.0</v>
      </c>
      <c r="D294" s="34">
        <v>0.2880516559748164</v>
      </c>
      <c r="E294" s="36">
        <v>43.97</v>
      </c>
      <c r="F294" s="38">
        <v>71.4285714285714</v>
      </c>
      <c r="G294" s="39">
        <v>2.74</v>
      </c>
      <c r="H294" s="40">
        <v>2852.68</v>
      </c>
      <c r="I294" s="40">
        <v>0.0</v>
      </c>
      <c r="J294" s="40">
        <v>1.741</v>
      </c>
      <c r="K294" s="40">
        <v>-4.84</v>
      </c>
      <c r="L294" s="41">
        <v>1.0</v>
      </c>
      <c r="M294" s="41">
        <v>0.0</v>
      </c>
      <c r="N294" s="41">
        <v>0.0</v>
      </c>
      <c r="O294" s="41">
        <v>0.0</v>
      </c>
      <c r="P294" s="43">
        <v>7.0</v>
      </c>
      <c r="Q294" s="43">
        <v>28.5714285714286</v>
      </c>
    </row>
    <row r="295">
      <c r="A295" s="9">
        <v>2007.0</v>
      </c>
      <c r="B295" s="29" t="s">
        <v>119</v>
      </c>
      <c r="C295" s="29">
        <v>74.0</v>
      </c>
      <c r="D295" s="34">
        <v>0.4019940851757387</v>
      </c>
      <c r="E295" s="36">
        <v>51.95</v>
      </c>
      <c r="F295" s="38">
        <v>71.4285714285714</v>
      </c>
      <c r="G295" s="39">
        <v>4.99</v>
      </c>
      <c r="H295" s="40">
        <v>3772.41</v>
      </c>
      <c r="I295" s="40">
        <v>0.0</v>
      </c>
      <c r="J295" s="40">
        <v>10.674</v>
      </c>
      <c r="K295" s="40">
        <v>-7.5</v>
      </c>
      <c r="L295" s="41">
        <v>0.0</v>
      </c>
      <c r="M295" s="41">
        <v>1.0</v>
      </c>
      <c r="N295" s="41">
        <v>0.0</v>
      </c>
      <c r="O295" s="41">
        <v>0.0</v>
      </c>
      <c r="P295" s="43">
        <v>7.0</v>
      </c>
      <c r="Q295" s="43">
        <v>14.2857142857143</v>
      </c>
    </row>
    <row r="296">
      <c r="A296" s="9">
        <v>2011.0</v>
      </c>
      <c r="B296" s="29" t="s">
        <v>119</v>
      </c>
      <c r="C296" s="29">
        <v>74.0</v>
      </c>
      <c r="D296" s="34">
        <v>0.21708320025550942</v>
      </c>
      <c r="E296" s="36">
        <v>55.9</v>
      </c>
      <c r="F296" s="38">
        <v>60.0</v>
      </c>
      <c r="G296" s="39">
        <v>7.63</v>
      </c>
      <c r="H296" s="40">
        <v>5723.25</v>
      </c>
      <c r="I296" s="40">
        <v>0.0</v>
      </c>
      <c r="J296" s="40">
        <v>25.45</v>
      </c>
      <c r="K296" s="40">
        <v>-12.51</v>
      </c>
      <c r="L296" s="41">
        <v>0.0</v>
      </c>
      <c r="M296" s="41">
        <v>0.0</v>
      </c>
      <c r="N296" s="41">
        <v>1.0</v>
      </c>
      <c r="O296" s="41">
        <v>0.0</v>
      </c>
      <c r="P296" s="43">
        <v>5.0</v>
      </c>
      <c r="Q296" s="43">
        <v>20.0</v>
      </c>
    </row>
    <row r="297">
      <c r="A297" s="9">
        <v>2015.0</v>
      </c>
      <c r="B297" s="29" t="s">
        <v>119</v>
      </c>
      <c r="C297" s="29">
        <v>74.0</v>
      </c>
      <c r="D297" s="34">
        <v>0.7234569294231261</v>
      </c>
      <c r="E297" s="36">
        <v>51.6</v>
      </c>
      <c r="F297" s="38">
        <v>60.0</v>
      </c>
      <c r="G297" s="39">
        <v>11.07</v>
      </c>
      <c r="H297" s="40">
        <v>6432.25</v>
      </c>
      <c r="I297" s="40">
        <v>0.0</v>
      </c>
      <c r="J297" s="40">
        <v>44.834</v>
      </c>
      <c r="K297" s="40">
        <v>-11.01</v>
      </c>
      <c r="L297" s="41">
        <v>0.0</v>
      </c>
      <c r="M297" s="41">
        <v>0.0</v>
      </c>
      <c r="N297" s="41">
        <v>0.0</v>
      </c>
      <c r="O297" s="41">
        <v>1.0</v>
      </c>
      <c r="P297" s="43">
        <v>5.0</v>
      </c>
      <c r="Q297" s="43">
        <v>20.0</v>
      </c>
    </row>
    <row r="298">
      <c r="A298" s="9">
        <v>2002.0</v>
      </c>
      <c r="B298" s="29" t="s">
        <v>120</v>
      </c>
      <c r="C298" s="29">
        <v>75.0</v>
      </c>
      <c r="D298" s="34">
        <v>0.4348008085674664</v>
      </c>
      <c r="E298" s="36">
        <v>43.93</v>
      </c>
      <c r="F298" s="38">
        <v>75.0</v>
      </c>
      <c r="G298" s="39">
        <v>4.67</v>
      </c>
      <c r="H298" s="40">
        <v>4053.47</v>
      </c>
      <c r="I298" s="40">
        <v>0.0</v>
      </c>
      <c r="J298" s="40">
        <v>1.674</v>
      </c>
      <c r="K298" s="40">
        <v>-1.11</v>
      </c>
      <c r="L298" s="41">
        <v>1.0</v>
      </c>
      <c r="M298" s="41">
        <v>0.0</v>
      </c>
      <c r="N298" s="41">
        <v>0.0</v>
      </c>
      <c r="O298" s="41">
        <v>0.0</v>
      </c>
      <c r="P298" s="43">
        <v>8.0</v>
      </c>
      <c r="Q298" s="43">
        <v>25.0</v>
      </c>
    </row>
    <row r="299">
      <c r="A299" s="9">
        <v>2007.0</v>
      </c>
      <c r="B299" s="29" t="s">
        <v>120</v>
      </c>
      <c r="C299" s="29">
        <v>75.0</v>
      </c>
      <c r="D299" s="34">
        <v>2.295089312777908</v>
      </c>
      <c r="E299" s="36">
        <v>56.76</v>
      </c>
      <c r="F299" s="38">
        <v>75.0</v>
      </c>
      <c r="G299" s="39">
        <v>7.53</v>
      </c>
      <c r="H299" s="40">
        <v>5632.55</v>
      </c>
      <c r="I299" s="40">
        <v>0.0</v>
      </c>
      <c r="J299" s="40">
        <v>12.669</v>
      </c>
      <c r="K299" s="40">
        <v>-1.3</v>
      </c>
      <c r="L299" s="41">
        <v>0.0</v>
      </c>
      <c r="M299" s="41">
        <v>1.0</v>
      </c>
      <c r="N299" s="41">
        <v>0.0</v>
      </c>
      <c r="O299" s="41">
        <v>0.0</v>
      </c>
      <c r="P299" s="43">
        <v>8.0</v>
      </c>
      <c r="Q299" s="43">
        <v>12.5</v>
      </c>
    </row>
    <row r="300">
      <c r="A300" s="9">
        <v>2011.0</v>
      </c>
      <c r="B300" s="29" t="s">
        <v>120</v>
      </c>
      <c r="C300" s="29">
        <v>75.0</v>
      </c>
      <c r="D300" s="34">
        <v>0.7075593822242993</v>
      </c>
      <c r="E300" s="36">
        <v>58.7</v>
      </c>
      <c r="F300" s="38">
        <v>66.6666666666667</v>
      </c>
      <c r="G300" s="39">
        <v>11.01</v>
      </c>
      <c r="H300" s="40">
        <v>8319.75</v>
      </c>
      <c r="I300" s="40">
        <v>0.0</v>
      </c>
      <c r="J300" s="40">
        <v>37.343</v>
      </c>
      <c r="K300" s="40">
        <v>0.85</v>
      </c>
      <c r="L300" s="41">
        <v>0.0</v>
      </c>
      <c r="M300" s="41">
        <v>0.0</v>
      </c>
      <c r="N300" s="41">
        <v>1.0</v>
      </c>
      <c r="O300" s="41">
        <v>0.0</v>
      </c>
      <c r="P300" s="43">
        <v>6.0</v>
      </c>
      <c r="Q300" s="43">
        <v>16.6666666666667</v>
      </c>
    </row>
    <row r="301">
      <c r="A301" s="9">
        <v>2015.0</v>
      </c>
      <c r="B301" s="29" t="s">
        <v>120</v>
      </c>
      <c r="C301" s="29">
        <v>75.0</v>
      </c>
      <c r="D301" s="34">
        <v>0.38620491442545923</v>
      </c>
      <c r="E301" s="36">
        <v>55.4</v>
      </c>
      <c r="F301" s="38">
        <v>66.6666666666667</v>
      </c>
      <c r="G301" s="39">
        <v>14.77</v>
      </c>
      <c r="H301" s="40">
        <v>9747.25</v>
      </c>
      <c r="I301" s="40">
        <v>0.0</v>
      </c>
      <c r="J301" s="40">
        <v>82.287</v>
      </c>
      <c r="K301" s="40">
        <v>-6.55</v>
      </c>
      <c r="L301" s="41">
        <v>0.0</v>
      </c>
      <c r="M301" s="41">
        <v>0.0</v>
      </c>
      <c r="N301" s="41">
        <v>0.0</v>
      </c>
      <c r="O301" s="41">
        <v>1.0</v>
      </c>
      <c r="P301" s="43">
        <v>6.0</v>
      </c>
      <c r="Q301" s="43">
        <v>16.6666666666667</v>
      </c>
    </row>
    <row r="302">
      <c r="A302" s="9">
        <v>2002.0</v>
      </c>
      <c r="B302" s="29" t="s">
        <v>121</v>
      </c>
      <c r="C302" s="29">
        <v>76.0</v>
      </c>
      <c r="D302" s="34">
        <v>0.6760134250553427</v>
      </c>
      <c r="E302" s="36">
        <v>6.67</v>
      </c>
      <c r="F302" s="38">
        <v>0.0</v>
      </c>
      <c r="G302" s="39">
        <v>3.95</v>
      </c>
      <c r="H302" s="40">
        <v>4123.36</v>
      </c>
      <c r="I302" s="40">
        <v>1.0</v>
      </c>
      <c r="J302" s="40">
        <v>1.678</v>
      </c>
      <c r="K302" s="40">
        <v>-3.67</v>
      </c>
      <c r="L302" s="41">
        <v>1.0</v>
      </c>
      <c r="M302" s="41">
        <v>0.0</v>
      </c>
      <c r="N302" s="41">
        <v>0.0</v>
      </c>
      <c r="O302" s="41">
        <v>0.0</v>
      </c>
      <c r="P302" s="43">
        <v>2.0</v>
      </c>
      <c r="Q302" s="43">
        <v>100.0</v>
      </c>
    </row>
    <row r="303">
      <c r="A303" s="9">
        <v>2007.0</v>
      </c>
      <c r="B303" s="29" t="s">
        <v>121</v>
      </c>
      <c r="C303" s="29">
        <v>76.0</v>
      </c>
      <c r="D303" s="34">
        <v>2.052700055241781</v>
      </c>
      <c r="E303" s="36">
        <v>12.27</v>
      </c>
      <c r="F303" s="38">
        <v>0.0</v>
      </c>
      <c r="G303" s="39">
        <v>5.93</v>
      </c>
      <c r="H303" s="40">
        <v>5487.34</v>
      </c>
      <c r="I303" s="40">
        <v>0.0</v>
      </c>
      <c r="J303" s="40">
        <v>23.177</v>
      </c>
      <c r="K303" s="40">
        <v>2.78</v>
      </c>
      <c r="L303" s="41">
        <v>0.0</v>
      </c>
      <c r="M303" s="41">
        <v>1.0</v>
      </c>
      <c r="N303" s="41">
        <v>0.0</v>
      </c>
      <c r="O303" s="41">
        <v>0.0</v>
      </c>
      <c r="P303" s="43">
        <v>2.0</v>
      </c>
      <c r="Q303" s="43">
        <v>0.0</v>
      </c>
    </row>
    <row r="304">
      <c r="A304" s="9">
        <v>2011.0</v>
      </c>
      <c r="B304" s="29" t="s">
        <v>121</v>
      </c>
      <c r="C304" s="29">
        <v>76.0</v>
      </c>
      <c r="D304" s="34">
        <v>1.1995109016081578</v>
      </c>
      <c r="E304" s="36">
        <v>15.8</v>
      </c>
      <c r="F304" s="38">
        <v>0.0</v>
      </c>
      <c r="G304" s="39">
        <v>10.19</v>
      </c>
      <c r="H304" s="40">
        <v>8559.25</v>
      </c>
      <c r="I304" s="40">
        <v>0.0</v>
      </c>
      <c r="J304" s="40">
        <v>44.694</v>
      </c>
      <c r="K304" s="40">
        <v>-4.65</v>
      </c>
      <c r="L304" s="41">
        <v>0.0</v>
      </c>
      <c r="M304" s="41">
        <v>0.0</v>
      </c>
      <c r="N304" s="41">
        <v>1.0</v>
      </c>
      <c r="O304" s="41">
        <v>0.0</v>
      </c>
      <c r="P304" s="43">
        <v>2.0</v>
      </c>
      <c r="Q304" s="43">
        <v>100.0</v>
      </c>
    </row>
    <row r="305">
      <c r="A305" s="9">
        <v>2015.0</v>
      </c>
      <c r="B305" s="29" t="s">
        <v>121</v>
      </c>
      <c r="C305" s="29">
        <v>76.0</v>
      </c>
      <c r="D305" s="34">
        <v>0.0</v>
      </c>
      <c r="E305" s="36">
        <v>10.6</v>
      </c>
      <c r="F305" s="38">
        <v>0.0</v>
      </c>
      <c r="G305" s="39">
        <v>16.66</v>
      </c>
      <c r="H305" s="40">
        <v>9883.0</v>
      </c>
      <c r="I305" s="40">
        <v>0.0</v>
      </c>
      <c r="J305" s="40">
        <v>96.499</v>
      </c>
      <c r="K305" s="40">
        <v>8.5</v>
      </c>
      <c r="L305" s="41">
        <v>0.0</v>
      </c>
      <c r="M305" s="41">
        <v>0.0</v>
      </c>
      <c r="N305" s="41">
        <v>0.0</v>
      </c>
      <c r="O305" s="41">
        <v>1.0</v>
      </c>
      <c r="P305" s="43">
        <v>2.0</v>
      </c>
      <c r="Q305" s="43">
        <v>0.0</v>
      </c>
    </row>
    <row r="306">
      <c r="A306" s="9">
        <v>2002.0</v>
      </c>
      <c r="B306" s="29" t="s">
        <v>122</v>
      </c>
      <c r="C306" s="29">
        <v>77.0</v>
      </c>
      <c r="D306" s="34">
        <v>0.6488783801984347</v>
      </c>
      <c r="E306" s="36">
        <v>26.95</v>
      </c>
      <c r="F306" s="38">
        <v>66.6666666666667</v>
      </c>
      <c r="G306" s="39">
        <v>3.48</v>
      </c>
      <c r="H306" s="40">
        <v>4052.56</v>
      </c>
      <c r="I306" s="40">
        <v>0.0</v>
      </c>
      <c r="J306" s="40">
        <v>2.628</v>
      </c>
      <c r="K306" s="40">
        <v>-0.69</v>
      </c>
      <c r="L306" s="41">
        <v>1.0</v>
      </c>
      <c r="M306" s="41">
        <v>0.0</v>
      </c>
      <c r="N306" s="41">
        <v>0.0</v>
      </c>
      <c r="O306" s="41">
        <v>0.0</v>
      </c>
      <c r="P306" s="43">
        <v>3.0</v>
      </c>
      <c r="Q306" s="43">
        <v>33.3333333333333</v>
      </c>
    </row>
    <row r="307">
      <c r="A307" s="9">
        <v>2007.0</v>
      </c>
      <c r="B307" s="29" t="s">
        <v>122</v>
      </c>
      <c r="C307" s="29">
        <v>77.0</v>
      </c>
      <c r="D307" s="34">
        <v>0.8072887489324571</v>
      </c>
      <c r="E307" s="36">
        <v>43.28</v>
      </c>
      <c r="F307" s="38">
        <v>66.6666666666667</v>
      </c>
      <c r="G307" s="39">
        <v>5.59</v>
      </c>
      <c r="H307" s="40">
        <v>5272.96</v>
      </c>
      <c r="I307" s="40">
        <v>0.0</v>
      </c>
      <c r="J307" s="40">
        <v>14.668</v>
      </c>
      <c r="K307" s="40">
        <v>-2.67</v>
      </c>
      <c r="L307" s="41">
        <v>0.0</v>
      </c>
      <c r="M307" s="41">
        <v>1.0</v>
      </c>
      <c r="N307" s="41">
        <v>0.0</v>
      </c>
      <c r="O307" s="41">
        <v>0.0</v>
      </c>
      <c r="P307" s="43">
        <v>3.0</v>
      </c>
      <c r="Q307" s="43">
        <v>33.3333333333333</v>
      </c>
    </row>
    <row r="308">
      <c r="A308" s="9">
        <v>2011.0</v>
      </c>
      <c r="B308" s="29" t="s">
        <v>122</v>
      </c>
      <c r="C308" s="29">
        <v>77.0</v>
      </c>
      <c r="D308" s="34">
        <v>0.9667328884684938</v>
      </c>
      <c r="E308" s="36">
        <v>49.7</v>
      </c>
      <c r="F308" s="38">
        <v>66.6666666666667</v>
      </c>
      <c r="G308" s="39">
        <v>8.49</v>
      </c>
      <c r="H308" s="40">
        <v>8222.75</v>
      </c>
      <c r="I308" s="40">
        <v>0.0</v>
      </c>
      <c r="J308" s="40">
        <v>41.686</v>
      </c>
      <c r="K308" s="40">
        <v>-3.05</v>
      </c>
      <c r="L308" s="41">
        <v>0.0</v>
      </c>
      <c r="M308" s="41">
        <v>0.0</v>
      </c>
      <c r="N308" s="41">
        <v>1.0</v>
      </c>
      <c r="O308" s="41">
        <v>0.0</v>
      </c>
      <c r="P308" s="43">
        <v>3.0</v>
      </c>
      <c r="Q308" s="43">
        <v>33.3333333333333</v>
      </c>
    </row>
    <row r="309">
      <c r="A309" s="9">
        <v>2015.0</v>
      </c>
      <c r="B309" s="29" t="s">
        <v>122</v>
      </c>
      <c r="C309" s="29">
        <v>77.0</v>
      </c>
      <c r="D309" s="34">
        <v>1.4244458320324695</v>
      </c>
      <c r="E309" s="36">
        <v>38.0</v>
      </c>
      <c r="F309" s="38">
        <v>33.3333333333333</v>
      </c>
      <c r="G309" s="39">
        <v>11.55</v>
      </c>
      <c r="H309" s="40">
        <v>9701.25</v>
      </c>
      <c r="I309" s="40">
        <v>0.0</v>
      </c>
      <c r="J309" s="40">
        <v>74.032</v>
      </c>
      <c r="K309" s="40">
        <v>-0.81</v>
      </c>
      <c r="L309" s="41">
        <v>0.0</v>
      </c>
      <c r="M309" s="41">
        <v>0.0</v>
      </c>
      <c r="N309" s="41">
        <v>0.0</v>
      </c>
      <c r="O309" s="41">
        <v>1.0</v>
      </c>
      <c r="P309" s="43">
        <v>3.0</v>
      </c>
      <c r="Q309" s="43">
        <v>33.3333333333333</v>
      </c>
    </row>
    <row r="310">
      <c r="A310" s="9">
        <v>2002.0</v>
      </c>
      <c r="B310" s="29" t="s">
        <v>123</v>
      </c>
      <c r="C310" s="29">
        <v>78.0</v>
      </c>
      <c r="D310" s="34">
        <v>0.48669400237426647</v>
      </c>
      <c r="E310" s="36">
        <v>25.86</v>
      </c>
      <c r="F310" s="38">
        <v>85.7142857142857</v>
      </c>
      <c r="G310" s="39">
        <v>1.78</v>
      </c>
      <c r="H310" s="40">
        <v>1765.34</v>
      </c>
      <c r="I310" s="40">
        <v>0.0</v>
      </c>
      <c r="J310" s="40">
        <v>0.157</v>
      </c>
      <c r="K310" s="40">
        <v>-4.36</v>
      </c>
      <c r="L310" s="41">
        <v>1.0</v>
      </c>
      <c r="M310" s="41">
        <v>0.0</v>
      </c>
      <c r="N310" s="41">
        <v>0.0</v>
      </c>
      <c r="O310" s="41">
        <v>0.0</v>
      </c>
      <c r="P310" s="43">
        <v>7.0</v>
      </c>
      <c r="Q310" s="43">
        <v>14.2857142857143</v>
      </c>
    </row>
    <row r="311">
      <c r="A311" s="9">
        <v>2007.0</v>
      </c>
      <c r="B311" s="29" t="s">
        <v>123</v>
      </c>
      <c r="C311" s="29">
        <v>78.0</v>
      </c>
      <c r="D311" s="34">
        <v>1.757809583195928</v>
      </c>
      <c r="E311" s="36">
        <v>53.22</v>
      </c>
      <c r="F311" s="38">
        <v>71.4285714285714</v>
      </c>
      <c r="G311" s="39">
        <v>2.97</v>
      </c>
      <c r="H311" s="40">
        <v>2431.34</v>
      </c>
      <c r="I311" s="40">
        <v>0.0</v>
      </c>
      <c r="J311" s="40">
        <v>1.558</v>
      </c>
      <c r="K311" s="40">
        <v>-6.69</v>
      </c>
      <c r="L311" s="41">
        <v>0.0</v>
      </c>
      <c r="M311" s="41">
        <v>1.0</v>
      </c>
      <c r="N311" s="41">
        <v>0.0</v>
      </c>
      <c r="O311" s="41">
        <v>0.0</v>
      </c>
      <c r="P311" s="43">
        <v>7.0</v>
      </c>
      <c r="Q311" s="43">
        <v>0.0</v>
      </c>
    </row>
    <row r="312">
      <c r="A312" s="9">
        <v>2011.0</v>
      </c>
      <c r="B312" s="29" t="s">
        <v>123</v>
      </c>
      <c r="C312" s="29">
        <v>78.0</v>
      </c>
      <c r="D312" s="34">
        <v>3.5722359548395026</v>
      </c>
      <c r="E312" s="36">
        <v>40.2</v>
      </c>
      <c r="F312" s="38">
        <v>50.0</v>
      </c>
      <c r="G312" s="39">
        <v>5.14</v>
      </c>
      <c r="H312" s="40">
        <v>3677.25</v>
      </c>
      <c r="I312" s="40">
        <v>1.0</v>
      </c>
      <c r="J312" s="40">
        <v>5.163</v>
      </c>
      <c r="K312" s="40">
        <v>-7.0</v>
      </c>
      <c r="L312" s="41">
        <v>0.0</v>
      </c>
      <c r="M312" s="41">
        <v>0.0</v>
      </c>
      <c r="N312" s="41">
        <v>1.0</v>
      </c>
      <c r="O312" s="41">
        <v>0.0</v>
      </c>
      <c r="P312" s="43">
        <v>8.0</v>
      </c>
      <c r="Q312" s="43">
        <v>0.0</v>
      </c>
    </row>
    <row r="313">
      <c r="A313" s="9">
        <v>2015.0</v>
      </c>
      <c r="B313" s="29" t="s">
        <v>123</v>
      </c>
      <c r="C313" s="29">
        <v>78.0</v>
      </c>
      <c r="D313" s="34">
        <v>0.0</v>
      </c>
      <c r="E313" s="36">
        <v>19.4</v>
      </c>
      <c r="F313" s="38">
        <v>12.5</v>
      </c>
      <c r="G313" s="39">
        <v>8.25</v>
      </c>
      <c r="H313" s="40">
        <v>4486.75</v>
      </c>
      <c r="I313" s="40">
        <v>0.0</v>
      </c>
      <c r="J313" s="40">
        <v>26.965</v>
      </c>
      <c r="K313" s="40">
        <v>-16.21</v>
      </c>
      <c r="L313" s="41">
        <v>0.0</v>
      </c>
      <c r="M313" s="41">
        <v>0.0</v>
      </c>
      <c r="N313" s="41">
        <v>0.0</v>
      </c>
      <c r="O313" s="41">
        <v>1.0</v>
      </c>
      <c r="P313" s="43">
        <v>8.0</v>
      </c>
      <c r="Q313" s="43">
        <v>0.0</v>
      </c>
    </row>
    <row r="314">
      <c r="A314" s="9">
        <v>2002.0</v>
      </c>
      <c r="B314" s="29" t="s">
        <v>124</v>
      </c>
      <c r="C314" s="29">
        <v>79.0</v>
      </c>
      <c r="D314" s="34">
        <v>1.4084662023129655</v>
      </c>
      <c r="E314" s="36">
        <v>34.57</v>
      </c>
      <c r="F314" s="38">
        <v>50.0</v>
      </c>
      <c r="G314" s="39">
        <v>5.51</v>
      </c>
      <c r="H314" s="40">
        <v>5404.93</v>
      </c>
      <c r="I314" s="40">
        <v>0.0</v>
      </c>
      <c r="J314" s="40">
        <v>7.913</v>
      </c>
      <c r="K314" s="40">
        <v>0.35</v>
      </c>
      <c r="L314" s="41">
        <v>1.0</v>
      </c>
      <c r="M314" s="41">
        <v>0.0</v>
      </c>
      <c r="N314" s="41">
        <v>0.0</v>
      </c>
      <c r="O314" s="41">
        <v>0.0</v>
      </c>
      <c r="P314" s="43">
        <v>2.0</v>
      </c>
      <c r="Q314" s="43">
        <v>50.0</v>
      </c>
    </row>
    <row r="315">
      <c r="A315" s="9">
        <v>2007.0</v>
      </c>
      <c r="B315" s="29" t="s">
        <v>124</v>
      </c>
      <c r="C315" s="29">
        <v>79.0</v>
      </c>
      <c r="D315" s="34">
        <v>0.0</v>
      </c>
      <c r="E315" s="36">
        <v>40.64</v>
      </c>
      <c r="F315" s="38">
        <v>50.0</v>
      </c>
      <c r="G315" s="39">
        <v>8.18</v>
      </c>
      <c r="H315" s="40">
        <v>7248.33</v>
      </c>
      <c r="I315" s="40">
        <v>0.0</v>
      </c>
      <c r="J315" s="40">
        <v>26.079</v>
      </c>
      <c r="K315" s="40">
        <v>26.47</v>
      </c>
      <c r="L315" s="41">
        <v>0.0</v>
      </c>
      <c r="M315" s="41">
        <v>1.0</v>
      </c>
      <c r="N315" s="41">
        <v>0.0</v>
      </c>
      <c r="O315" s="41">
        <v>0.0</v>
      </c>
      <c r="P315" s="43">
        <v>2.0</v>
      </c>
      <c r="Q315" s="43">
        <v>50.0</v>
      </c>
    </row>
    <row r="316">
      <c r="A316" s="9">
        <v>2011.0</v>
      </c>
      <c r="B316" s="29" t="s">
        <v>124</v>
      </c>
      <c r="C316" s="29">
        <v>79.0</v>
      </c>
      <c r="D316" s="34">
        <v>0.0</v>
      </c>
      <c r="E316" s="36">
        <v>47.2</v>
      </c>
      <c r="F316" s="38">
        <v>50.0</v>
      </c>
      <c r="G316" s="39">
        <v>11.49</v>
      </c>
      <c r="H316" s="40">
        <v>10467.0</v>
      </c>
      <c r="I316" s="40">
        <v>0.0</v>
      </c>
      <c r="J316" s="40">
        <v>67.267</v>
      </c>
      <c r="K316" s="40">
        <v>20.03</v>
      </c>
      <c r="L316" s="41">
        <v>0.0</v>
      </c>
      <c r="M316" s="41">
        <v>0.0</v>
      </c>
      <c r="N316" s="41">
        <v>1.0</v>
      </c>
      <c r="O316" s="41">
        <v>0.0</v>
      </c>
      <c r="P316" s="43">
        <v>2.0</v>
      </c>
      <c r="Q316" s="43">
        <v>50.0</v>
      </c>
    </row>
    <row r="317">
      <c r="A317" s="9">
        <v>2015.0</v>
      </c>
      <c r="B317" s="29" t="s">
        <v>124</v>
      </c>
      <c r="C317" s="29">
        <v>79.0</v>
      </c>
      <c r="D317" s="34">
        <v>0.5379347443775474</v>
      </c>
      <c r="E317" s="36">
        <v>39.5</v>
      </c>
      <c r="F317" s="38">
        <v>50.0</v>
      </c>
      <c r="G317" s="39">
        <v>15.77</v>
      </c>
      <c r="H317" s="40">
        <v>12414.0</v>
      </c>
      <c r="I317" s="40">
        <v>0.0</v>
      </c>
      <c r="J317" s="40">
        <v>124.37</v>
      </c>
      <c r="K317" s="40">
        <v>12.75</v>
      </c>
      <c r="L317" s="41">
        <v>0.0</v>
      </c>
      <c r="M317" s="41">
        <v>0.0</v>
      </c>
      <c r="N317" s="41">
        <v>0.0</v>
      </c>
      <c r="O317" s="41">
        <v>1.0</v>
      </c>
      <c r="P317" s="43">
        <v>2.0</v>
      </c>
      <c r="Q317" s="43">
        <v>50.0</v>
      </c>
    </row>
    <row r="318">
      <c r="A318" s="9">
        <v>2002.0</v>
      </c>
      <c r="B318" s="29" t="s">
        <v>125</v>
      </c>
      <c r="C318" s="29">
        <v>80.0</v>
      </c>
      <c r="D318" s="34">
        <v>0.7689072129755125</v>
      </c>
      <c r="E318" s="36">
        <v>51.13</v>
      </c>
      <c r="F318" s="38">
        <v>83.3333333333333</v>
      </c>
      <c r="G318" s="39">
        <v>2.38</v>
      </c>
      <c r="H318" s="40">
        <v>3048.72</v>
      </c>
      <c r="I318" s="40">
        <v>0.0</v>
      </c>
      <c r="J318" s="40">
        <v>1.475</v>
      </c>
      <c r="K318" s="40">
        <v>-4.19</v>
      </c>
      <c r="L318" s="41">
        <v>1.0</v>
      </c>
      <c r="M318" s="41">
        <v>0.0</v>
      </c>
      <c r="N318" s="41">
        <v>0.0</v>
      </c>
      <c r="O318" s="41">
        <v>0.0</v>
      </c>
      <c r="P318" s="43">
        <v>6.0</v>
      </c>
      <c r="Q318" s="43">
        <v>16.6666666666667</v>
      </c>
    </row>
    <row r="319">
      <c r="A319" s="9">
        <v>2007.0</v>
      </c>
      <c r="B319" s="29" t="s">
        <v>125</v>
      </c>
      <c r="C319" s="29">
        <v>80.0</v>
      </c>
      <c r="D319" s="34">
        <v>1.3494564282888297</v>
      </c>
      <c r="E319" s="36">
        <v>62.43</v>
      </c>
      <c r="F319" s="38">
        <v>83.3333333333333</v>
      </c>
      <c r="G319" s="39">
        <v>3.9</v>
      </c>
      <c r="H319" s="40">
        <v>3983.91</v>
      </c>
      <c r="I319" s="40">
        <v>0.0</v>
      </c>
      <c r="J319" s="40">
        <v>10.468</v>
      </c>
      <c r="K319" s="40">
        <v>-17.12</v>
      </c>
      <c r="L319" s="41">
        <v>0.0</v>
      </c>
      <c r="M319" s="41">
        <v>1.0</v>
      </c>
      <c r="N319" s="41">
        <v>0.0</v>
      </c>
      <c r="O319" s="41">
        <v>0.0</v>
      </c>
      <c r="P319" s="43">
        <v>6.0</v>
      </c>
      <c r="Q319" s="43">
        <v>0.0</v>
      </c>
    </row>
    <row r="320">
      <c r="A320" s="9">
        <v>2011.0</v>
      </c>
      <c r="B320" s="29" t="s">
        <v>125</v>
      </c>
      <c r="C320" s="29">
        <v>80.0</v>
      </c>
      <c r="D320" s="34">
        <v>0.9008689727235624</v>
      </c>
      <c r="E320" s="36">
        <v>66.4</v>
      </c>
      <c r="F320" s="38">
        <v>75.0</v>
      </c>
      <c r="G320" s="39">
        <v>6.2</v>
      </c>
      <c r="H320" s="40">
        <v>6033.25</v>
      </c>
      <c r="I320" s="40">
        <v>0.0</v>
      </c>
      <c r="J320" s="40">
        <v>27.173</v>
      </c>
      <c r="K320" s="40">
        <v>-24.61</v>
      </c>
      <c r="L320" s="41">
        <v>0.0</v>
      </c>
      <c r="M320" s="41">
        <v>0.0</v>
      </c>
      <c r="N320" s="41">
        <v>1.0</v>
      </c>
      <c r="O320" s="41">
        <v>0.0</v>
      </c>
      <c r="P320" s="43">
        <v>4.0</v>
      </c>
      <c r="Q320" s="43">
        <v>0.0</v>
      </c>
    </row>
    <row r="321">
      <c r="A321" s="9">
        <v>2015.0</v>
      </c>
      <c r="B321" s="29" t="s">
        <v>125</v>
      </c>
      <c r="C321" s="29">
        <v>80.0</v>
      </c>
      <c r="D321" s="34">
        <v>0.43701207245850165</v>
      </c>
      <c r="E321" s="36">
        <v>58.3</v>
      </c>
      <c r="F321" s="38">
        <v>75.0</v>
      </c>
      <c r="G321" s="39">
        <v>9.44</v>
      </c>
      <c r="H321" s="40">
        <v>6975.25</v>
      </c>
      <c r="I321" s="40">
        <v>0.0</v>
      </c>
      <c r="J321" s="40">
        <v>50.319</v>
      </c>
      <c r="K321" s="40">
        <v>-23.65</v>
      </c>
      <c r="L321" s="41">
        <v>0.0</v>
      </c>
      <c r="M321" s="41">
        <v>0.0</v>
      </c>
      <c r="N321" s="41">
        <v>0.0</v>
      </c>
      <c r="O321" s="41">
        <v>1.0</v>
      </c>
      <c r="P321" s="43">
        <v>4.0</v>
      </c>
      <c r="Q321" s="43">
        <v>0.0</v>
      </c>
    </row>
    <row r="322">
      <c r="A322" s="9">
        <v>2002.0</v>
      </c>
      <c r="B322" s="29" t="s">
        <v>126</v>
      </c>
      <c r="C322" s="29">
        <v>81.0</v>
      </c>
      <c r="D322" s="34">
        <v>0.3020019808732079</v>
      </c>
      <c r="E322" s="36">
        <v>30.53</v>
      </c>
      <c r="F322" s="38">
        <v>60.0</v>
      </c>
      <c r="G322" s="39">
        <v>0.37</v>
      </c>
      <c r="H322" s="40">
        <v>3254.76</v>
      </c>
      <c r="I322" s="40">
        <v>0.0</v>
      </c>
      <c r="J322" s="40">
        <v>1.641</v>
      </c>
      <c r="K322" s="40">
        <v>-7.38</v>
      </c>
      <c r="L322" s="41">
        <v>1.0</v>
      </c>
      <c r="M322" s="41">
        <v>0.0</v>
      </c>
      <c r="N322" s="41">
        <v>0.0</v>
      </c>
      <c r="O322" s="41">
        <v>0.0</v>
      </c>
      <c r="P322" s="43">
        <v>5.0</v>
      </c>
      <c r="Q322" s="43">
        <v>40.0</v>
      </c>
    </row>
    <row r="323">
      <c r="A323" s="9">
        <v>2007.0</v>
      </c>
      <c r="B323" s="29" t="s">
        <v>126</v>
      </c>
      <c r="C323" s="29">
        <v>81.0</v>
      </c>
      <c r="D323" s="34">
        <v>0.12626099118115539</v>
      </c>
      <c r="E323" s="36">
        <v>41.02</v>
      </c>
      <c r="F323" s="38">
        <v>60.0</v>
      </c>
      <c r="G323" s="39">
        <v>5.77</v>
      </c>
      <c r="H323" s="40">
        <v>4526.3</v>
      </c>
      <c r="I323" s="40">
        <v>0.0</v>
      </c>
      <c r="J323" s="40">
        <v>10.259</v>
      </c>
      <c r="K323" s="40">
        <v>-5.22</v>
      </c>
      <c r="L323" s="41">
        <v>0.0</v>
      </c>
      <c r="M323" s="41">
        <v>1.0</v>
      </c>
      <c r="N323" s="41">
        <v>0.0</v>
      </c>
      <c r="O323" s="41">
        <v>0.0</v>
      </c>
      <c r="P323" s="43">
        <v>5.0</v>
      </c>
      <c r="Q323" s="43">
        <v>40.0</v>
      </c>
    </row>
    <row r="324">
      <c r="A324" s="9">
        <v>2011.0</v>
      </c>
      <c r="B324" s="29" t="s">
        <v>126</v>
      </c>
      <c r="C324" s="29">
        <v>81.0</v>
      </c>
      <c r="D324" s="34">
        <v>0.6122031948599903</v>
      </c>
      <c r="E324" s="36">
        <v>47.2</v>
      </c>
      <c r="F324" s="38">
        <v>60.0</v>
      </c>
      <c r="G324" s="39">
        <v>8.23</v>
      </c>
      <c r="H324" s="40">
        <v>6706.75</v>
      </c>
      <c r="I324" s="40">
        <v>0.0</v>
      </c>
      <c r="J324" s="40">
        <v>23.598</v>
      </c>
      <c r="K324" s="40">
        <v>-7.44</v>
      </c>
      <c r="L324" s="41">
        <v>0.0</v>
      </c>
      <c r="M324" s="41">
        <v>0.0</v>
      </c>
      <c r="N324" s="41">
        <v>1.0</v>
      </c>
      <c r="O324" s="41">
        <v>0.0</v>
      </c>
      <c r="P324" s="43">
        <v>5.0</v>
      </c>
      <c r="Q324" s="43">
        <v>40.0</v>
      </c>
    </row>
    <row r="325">
      <c r="A325" s="9">
        <v>2015.0</v>
      </c>
      <c r="B325" s="29" t="s">
        <v>126</v>
      </c>
      <c r="C325" s="29">
        <v>81.0</v>
      </c>
      <c r="D325" s="34">
        <v>1.7354951432913155</v>
      </c>
      <c r="E325" s="36">
        <v>38.0</v>
      </c>
      <c r="F325" s="38">
        <v>40.0</v>
      </c>
      <c r="G325" s="39">
        <v>11.38</v>
      </c>
      <c r="H325" s="40">
        <v>8079.0</v>
      </c>
      <c r="I325" s="40">
        <v>0.0</v>
      </c>
      <c r="J325" s="40">
        <v>41.726</v>
      </c>
      <c r="K325" s="40">
        <v>-12.92</v>
      </c>
      <c r="L325" s="41">
        <v>0.0</v>
      </c>
      <c r="M325" s="41">
        <v>0.0</v>
      </c>
      <c r="N325" s="41">
        <v>0.0</v>
      </c>
      <c r="O325" s="41">
        <v>1.0</v>
      </c>
      <c r="P325" s="43">
        <v>5.0</v>
      </c>
      <c r="Q325" s="43">
        <v>40.0</v>
      </c>
    </row>
  </sheetData>
  <autoFilter ref="$A$1:$O$325"/>
  <customSheetViews>
    <customSheetView guid="{1EC15AE3-9542-4BD6-8833-007476A69874}" filter="1" showAutoFilter="1">
      <autoFilter ref="$A$1:$O$325"/>
    </customSheetView>
  </customSheetViews>
  <conditionalFormatting sqref="D1:D325">
    <cfRule type="cellIs" dxfId="0" priority="1" operator="greaterThan">
      <formula>2</formula>
    </cfRule>
  </conditionalFormatting>
  <conditionalFormatting sqref="D1:D325">
    <cfRule type="cellIs" dxfId="1" priority="2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1" width="12.57"/>
    <col customWidth="1" min="2" max="3" width="9.43"/>
    <col customWidth="1" min="4" max="4" width="10.71"/>
    <col customWidth="1" min="5" max="5" width="11.57"/>
    <col customWidth="1" min="6" max="6" width="16.43"/>
    <col customWidth="1" min="7" max="7" width="13.71"/>
    <col customWidth="1" min="8" max="8" width="23.14"/>
    <col customWidth="1" min="9" max="9" width="15.29"/>
    <col customWidth="1" min="10" max="10" width="11.86"/>
    <col customWidth="1" min="11" max="11" width="16.0"/>
    <col customWidth="1" min="12" max="12" width="16.71"/>
    <col customWidth="1" min="13" max="14" width="19.57"/>
    <col customWidth="1" hidden="1" min="15" max="15" width="16.14"/>
    <col hidden="1" min="16" max="16" width="14.43"/>
  </cols>
  <sheetData>
    <row r="1">
      <c r="A1" s="2" t="s">
        <v>0</v>
      </c>
      <c r="B1" s="3" t="s">
        <v>1</v>
      </c>
      <c r="C1" s="4" t="s">
        <v>3</v>
      </c>
      <c r="D1" s="5" t="s">
        <v>4</v>
      </c>
      <c r="E1" s="6" t="s">
        <v>5</v>
      </c>
      <c r="F1" s="7" t="s">
        <v>6</v>
      </c>
      <c r="G1" s="12" t="s">
        <v>7</v>
      </c>
      <c r="H1" s="12" t="s">
        <v>10</v>
      </c>
      <c r="I1" s="14" t="s">
        <v>11</v>
      </c>
      <c r="J1" s="16" t="s">
        <v>13</v>
      </c>
      <c r="K1" s="20" t="s">
        <v>16</v>
      </c>
      <c r="L1" s="20" t="s">
        <v>22</v>
      </c>
      <c r="M1" s="20" t="s">
        <v>23</v>
      </c>
      <c r="N1" s="20" t="s">
        <v>24</v>
      </c>
      <c r="O1" s="20" t="s">
        <v>25</v>
      </c>
      <c r="P1" s="20" t="s">
        <v>26</v>
      </c>
      <c r="Q1" s="22" t="s">
        <v>27</v>
      </c>
      <c r="R1" s="22" t="s">
        <v>32</v>
      </c>
      <c r="S1" s="22" t="s">
        <v>33</v>
      </c>
      <c r="T1" s="22" t="s">
        <v>34</v>
      </c>
      <c r="U1" s="22" t="s">
        <v>35</v>
      </c>
      <c r="V1" s="24"/>
      <c r="W1" s="24"/>
      <c r="X1" s="24"/>
      <c r="Y1" s="24"/>
      <c r="Z1" s="24"/>
      <c r="AA1" s="24"/>
      <c r="AB1" s="24"/>
      <c r="AC1" s="24"/>
    </row>
    <row r="2">
      <c r="A2" s="26" t="s">
        <v>37</v>
      </c>
      <c r="B2" s="28">
        <v>2002.0</v>
      </c>
      <c r="C2" s="30" t="s">
        <v>39</v>
      </c>
      <c r="D2" s="32" t="s">
        <v>38</v>
      </c>
      <c r="E2" s="33">
        <v>1.0</v>
      </c>
      <c r="F2" s="35">
        <v>1796.8</v>
      </c>
      <c r="G2" s="31">
        <v>2006650.0</v>
      </c>
      <c r="H2" s="31">
        <f t="shared" ref="H2:H406" si="1">F2*1000/G2</f>
        <v>0.8954227195</v>
      </c>
      <c r="I2" s="42">
        <v>26.82</v>
      </c>
      <c r="J2" s="44">
        <v>4.16</v>
      </c>
      <c r="K2" s="45">
        <v>3790.26</v>
      </c>
      <c r="L2" s="46">
        <v>0.0</v>
      </c>
      <c r="M2" s="47">
        <v>0.979</v>
      </c>
      <c r="N2" s="48">
        <v>-2.4</v>
      </c>
      <c r="O2" s="49">
        <v>1811.0</v>
      </c>
      <c r="P2" s="49">
        <v>1849478.0</v>
      </c>
      <c r="Q2" s="50">
        <v>1.0</v>
      </c>
      <c r="R2" s="51">
        <v>0.0</v>
      </c>
      <c r="S2" s="51">
        <v>0.0</v>
      </c>
      <c r="T2" s="51">
        <v>0.0</v>
      </c>
      <c r="U2" s="51">
        <v>0.0</v>
      </c>
      <c r="V2" s="35"/>
      <c r="W2" s="35"/>
      <c r="X2" s="35"/>
      <c r="Y2" s="35"/>
      <c r="Z2" s="35"/>
      <c r="AA2" s="35"/>
      <c r="AB2" s="35"/>
      <c r="AC2" s="35"/>
    </row>
    <row r="3">
      <c r="A3" s="30" t="s">
        <v>39</v>
      </c>
      <c r="B3" s="52">
        <v>2007.0</v>
      </c>
      <c r="C3" s="30" t="s">
        <v>41</v>
      </c>
      <c r="D3" s="32" t="s">
        <v>38</v>
      </c>
      <c r="E3" s="33">
        <v>1.0</v>
      </c>
      <c r="F3" s="35">
        <v>628.5</v>
      </c>
      <c r="G3" s="31">
        <v>2070643.75</v>
      </c>
      <c r="H3" s="31">
        <f t="shared" si="1"/>
        <v>0.3035287939</v>
      </c>
      <c r="I3" s="42">
        <v>36.89</v>
      </c>
      <c r="J3" s="53">
        <v>6.91</v>
      </c>
      <c r="K3" s="45">
        <v>5124.63</v>
      </c>
      <c r="L3" s="46">
        <v>0.0</v>
      </c>
      <c r="M3" s="47">
        <v>8.348</v>
      </c>
      <c r="N3" s="48">
        <v>-4.36</v>
      </c>
      <c r="O3" s="49">
        <v>5007.25</v>
      </c>
      <c r="P3" s="49">
        <v>2006650.0</v>
      </c>
      <c r="Q3" s="51">
        <v>0.0</v>
      </c>
      <c r="R3" s="51">
        <v>1.0</v>
      </c>
      <c r="S3" s="51">
        <v>0.0</v>
      </c>
      <c r="T3" s="51">
        <v>0.0</v>
      </c>
      <c r="U3" s="51">
        <v>0.0</v>
      </c>
      <c r="V3" s="35"/>
      <c r="W3" s="35"/>
      <c r="X3" s="35"/>
      <c r="Y3" s="35"/>
      <c r="Z3" s="35"/>
      <c r="AA3" s="35"/>
      <c r="AB3" s="35"/>
      <c r="AC3" s="35"/>
    </row>
    <row r="4">
      <c r="A4" s="30" t="s">
        <v>41</v>
      </c>
      <c r="B4" s="52">
        <v>2011.0</v>
      </c>
      <c r="C4" s="30" t="s">
        <v>43</v>
      </c>
      <c r="D4" s="32" t="s">
        <v>38</v>
      </c>
      <c r="E4" s="33">
        <v>1.0</v>
      </c>
      <c r="F4" s="35">
        <v>844.0</v>
      </c>
      <c r="G4" s="31">
        <v>2155914.25</v>
      </c>
      <c r="H4" s="31">
        <f t="shared" si="1"/>
        <v>0.3914812475</v>
      </c>
      <c r="I4" s="54">
        <v>37.4</v>
      </c>
      <c r="J4" s="53">
        <v>9.67</v>
      </c>
      <c r="K4" s="45">
        <v>7498.0</v>
      </c>
      <c r="L4" s="46">
        <v>0.0</v>
      </c>
      <c r="M4" s="47">
        <v>25.205</v>
      </c>
      <c r="N4" s="48">
        <v>-2.86</v>
      </c>
      <c r="O4" s="49">
        <v>9304.0</v>
      </c>
      <c r="P4" s="49">
        <v>2070643.75</v>
      </c>
      <c r="Q4" s="51">
        <v>0.0</v>
      </c>
      <c r="R4" s="51">
        <v>0.0</v>
      </c>
      <c r="S4" s="51">
        <v>1.0</v>
      </c>
      <c r="T4" s="51">
        <v>0.0</v>
      </c>
      <c r="U4" s="51">
        <v>0.0</v>
      </c>
      <c r="V4" s="35"/>
      <c r="W4" s="35"/>
      <c r="X4" s="35"/>
      <c r="Y4" s="35"/>
      <c r="Z4" s="35"/>
      <c r="AA4" s="35"/>
      <c r="AB4" s="35"/>
      <c r="AC4" s="35"/>
    </row>
    <row r="5">
      <c r="A5" s="30" t="s">
        <v>43</v>
      </c>
      <c r="B5" s="52">
        <v>2015.0</v>
      </c>
      <c r="C5" s="30">
        <v>2016.0</v>
      </c>
      <c r="D5" s="55" t="s">
        <v>38</v>
      </c>
      <c r="E5" s="33">
        <v>1.0</v>
      </c>
      <c r="F5" s="35">
        <v>3092.0</v>
      </c>
      <c r="G5" s="31">
        <v>2201670.0</v>
      </c>
      <c r="H5" s="31">
        <f t="shared" si="1"/>
        <v>1.404388487</v>
      </c>
      <c r="I5" s="54">
        <v>29.9</v>
      </c>
      <c r="J5" s="56">
        <v>13.41</v>
      </c>
      <c r="K5" s="45">
        <v>8607.75</v>
      </c>
      <c r="L5" s="46">
        <v>0.0</v>
      </c>
      <c r="M5" s="47">
        <v>46.537</v>
      </c>
      <c r="N5" s="48">
        <v>-5.74</v>
      </c>
      <c r="O5" s="49">
        <v>11131.75</v>
      </c>
      <c r="P5" s="49">
        <v>2155914.25</v>
      </c>
      <c r="Q5" s="51">
        <v>0.0</v>
      </c>
      <c r="R5" s="51">
        <v>0.0</v>
      </c>
      <c r="S5" s="51">
        <v>0.0</v>
      </c>
      <c r="T5" s="51">
        <v>1.0</v>
      </c>
      <c r="U5" s="51">
        <v>0.0</v>
      </c>
      <c r="V5" s="35"/>
      <c r="W5" s="35"/>
      <c r="X5" s="35"/>
      <c r="Y5" s="35"/>
      <c r="Z5" s="35"/>
      <c r="AA5" s="35"/>
      <c r="AB5" s="35"/>
      <c r="AC5" s="35"/>
    </row>
    <row r="6">
      <c r="A6" s="30">
        <v>2016.0</v>
      </c>
      <c r="B6" s="52">
        <v>2016.0</v>
      </c>
      <c r="C6" s="30" t="s">
        <v>45</v>
      </c>
      <c r="D6" s="55" t="s">
        <v>38</v>
      </c>
      <c r="E6" s="33">
        <v>1.0</v>
      </c>
      <c r="F6" s="35">
        <v>775.0</v>
      </c>
      <c r="G6" s="31">
        <v>2218300.0</v>
      </c>
      <c r="H6" s="31">
        <f t="shared" si="1"/>
        <v>0.3493666321</v>
      </c>
      <c r="I6" s="54">
        <v>36.8</v>
      </c>
      <c r="J6" s="56">
        <v>14.09</v>
      </c>
      <c r="K6" s="57">
        <v>7990.0</v>
      </c>
      <c r="L6" s="46">
        <v>0.0</v>
      </c>
      <c r="M6" s="47">
        <v>50.255</v>
      </c>
      <c r="N6" s="48">
        <v>-4.74</v>
      </c>
      <c r="O6" s="49">
        <v>11374.0</v>
      </c>
      <c r="P6" s="49">
        <v>2201670.0</v>
      </c>
      <c r="Q6" s="51">
        <v>0.0</v>
      </c>
      <c r="R6" s="51">
        <v>0.0</v>
      </c>
      <c r="S6" s="51">
        <v>0.0</v>
      </c>
      <c r="T6" s="51">
        <v>0.0</v>
      </c>
      <c r="U6" s="51">
        <v>1.0</v>
      </c>
      <c r="V6" s="35"/>
      <c r="W6" s="35"/>
      <c r="X6" s="35"/>
      <c r="Y6" s="35"/>
      <c r="Z6" s="35"/>
      <c r="AA6" s="35"/>
      <c r="AB6" s="35"/>
      <c r="AC6" s="35"/>
    </row>
    <row r="7">
      <c r="A7" s="26" t="s">
        <v>37</v>
      </c>
      <c r="B7" s="52">
        <v>2002.0</v>
      </c>
      <c r="C7" s="30" t="s">
        <v>39</v>
      </c>
      <c r="D7" s="32" t="s">
        <v>40</v>
      </c>
      <c r="E7" s="33">
        <v>2.0</v>
      </c>
      <c r="F7" s="35">
        <v>267.2</v>
      </c>
      <c r="G7" s="31">
        <v>582762.0</v>
      </c>
      <c r="H7" s="31">
        <f t="shared" si="1"/>
        <v>0.4585062169</v>
      </c>
      <c r="I7" s="42">
        <v>41.42</v>
      </c>
      <c r="J7" s="44">
        <v>2.31</v>
      </c>
      <c r="K7" s="45">
        <v>2370.73</v>
      </c>
      <c r="L7" s="46">
        <v>0.0</v>
      </c>
      <c r="M7" s="47">
        <v>0.199</v>
      </c>
      <c r="N7" s="48">
        <v>-7.02</v>
      </c>
      <c r="O7" s="49">
        <v>124.0</v>
      </c>
      <c r="P7" s="49">
        <v>623811.0</v>
      </c>
      <c r="Q7" s="50">
        <v>1.0</v>
      </c>
      <c r="R7" s="51">
        <v>0.0</v>
      </c>
      <c r="S7" s="51">
        <v>0.0</v>
      </c>
      <c r="T7" s="51">
        <v>0.0</v>
      </c>
      <c r="U7" s="51">
        <v>0.0</v>
      </c>
      <c r="V7" s="35"/>
      <c r="W7" s="35"/>
      <c r="X7" s="35"/>
      <c r="Y7" s="35"/>
      <c r="Z7" s="35"/>
      <c r="AA7" s="35"/>
      <c r="AB7" s="35"/>
      <c r="AC7" s="35"/>
    </row>
    <row r="8">
      <c r="A8" s="30" t="s">
        <v>39</v>
      </c>
      <c r="B8" s="52">
        <v>2007.0</v>
      </c>
      <c r="C8" s="30" t="s">
        <v>41</v>
      </c>
      <c r="D8" s="32" t="s">
        <v>40</v>
      </c>
      <c r="E8" s="33">
        <v>2.0</v>
      </c>
      <c r="F8" s="35">
        <v>361.0</v>
      </c>
      <c r="G8" s="31">
        <v>589602.0</v>
      </c>
      <c r="H8" s="31">
        <f t="shared" si="1"/>
        <v>0.6122774346</v>
      </c>
      <c r="I8" s="42">
        <v>65.31</v>
      </c>
      <c r="J8" s="53">
        <v>3.84</v>
      </c>
      <c r="K8" s="45">
        <v>3201.65</v>
      </c>
      <c r="L8" s="46">
        <v>0.0</v>
      </c>
      <c r="M8" s="47">
        <v>3.387</v>
      </c>
      <c r="N8" s="48">
        <v>-10.99</v>
      </c>
      <c r="O8" s="49">
        <v>861.0</v>
      </c>
      <c r="P8" s="49">
        <v>582762.0</v>
      </c>
      <c r="Q8" s="51">
        <v>0.0</v>
      </c>
      <c r="R8" s="51">
        <v>1.0</v>
      </c>
      <c r="S8" s="51">
        <v>0.0</v>
      </c>
      <c r="T8" s="51">
        <v>0.0</v>
      </c>
      <c r="U8" s="51">
        <v>0.0</v>
      </c>
      <c r="V8" s="35"/>
      <c r="W8" s="35"/>
      <c r="X8" s="35"/>
      <c r="Y8" s="35"/>
      <c r="Z8" s="35"/>
      <c r="AA8" s="35"/>
      <c r="AB8" s="35"/>
      <c r="AC8" s="35"/>
    </row>
    <row r="9">
      <c r="A9" s="30" t="s">
        <v>41</v>
      </c>
      <c r="B9" s="52">
        <v>2011.0</v>
      </c>
      <c r="C9" s="30" t="s">
        <v>43</v>
      </c>
      <c r="D9" s="32" t="s">
        <v>40</v>
      </c>
      <c r="E9" s="33">
        <v>2.0</v>
      </c>
      <c r="F9" s="35">
        <v>208.75</v>
      </c>
      <c r="G9" s="31">
        <v>598263.5</v>
      </c>
      <c r="H9" s="31">
        <f t="shared" si="1"/>
        <v>0.3489265182</v>
      </c>
      <c r="I9" s="54">
        <v>67.3</v>
      </c>
      <c r="J9" s="53">
        <v>6.44</v>
      </c>
      <c r="K9" s="45">
        <v>4739.0</v>
      </c>
      <c r="L9" s="46">
        <v>0.0</v>
      </c>
      <c r="M9" s="47">
        <v>14.21</v>
      </c>
      <c r="N9" s="48">
        <v>-11.84</v>
      </c>
      <c r="O9" s="49">
        <v>2061.33333333333</v>
      </c>
      <c r="P9" s="49">
        <v>589602.0</v>
      </c>
      <c r="Q9" s="51">
        <v>0.0</v>
      </c>
      <c r="R9" s="51">
        <v>0.0</v>
      </c>
      <c r="S9" s="51">
        <v>1.0</v>
      </c>
      <c r="T9" s="51">
        <v>0.0</v>
      </c>
      <c r="U9" s="51">
        <v>0.0</v>
      </c>
      <c r="V9" s="35"/>
      <c r="W9" s="35"/>
      <c r="X9" s="35"/>
      <c r="Y9" s="35"/>
      <c r="Z9" s="35"/>
      <c r="AA9" s="35"/>
      <c r="AB9" s="35"/>
      <c r="AC9" s="35"/>
    </row>
    <row r="10">
      <c r="A10" s="30" t="s">
        <v>43</v>
      </c>
      <c r="B10" s="52">
        <v>2015.0</v>
      </c>
      <c r="C10" s="30">
        <v>2016.0</v>
      </c>
      <c r="D10" s="55" t="s">
        <v>40</v>
      </c>
      <c r="E10" s="33">
        <v>2.0</v>
      </c>
      <c r="F10" s="35">
        <v>252.0</v>
      </c>
      <c r="G10" s="31">
        <v>610484.0</v>
      </c>
      <c r="H10" s="31">
        <f t="shared" si="1"/>
        <v>0.4127872311</v>
      </c>
      <c r="I10" s="54">
        <v>58.2</v>
      </c>
      <c r="J10" s="56">
        <v>11.06</v>
      </c>
      <c r="K10" s="45">
        <v>5761.25</v>
      </c>
      <c r="L10" s="46">
        <v>0.0</v>
      </c>
      <c r="M10" s="47">
        <v>32.126</v>
      </c>
      <c r="N10" s="48">
        <v>-14.35</v>
      </c>
      <c r="O10" s="49">
        <v>3509.5</v>
      </c>
      <c r="P10" s="49">
        <v>598263.5</v>
      </c>
      <c r="Q10" s="51">
        <v>0.0</v>
      </c>
      <c r="R10" s="51">
        <v>0.0</v>
      </c>
      <c r="S10" s="51">
        <v>0.0</v>
      </c>
      <c r="T10" s="51">
        <v>1.0</v>
      </c>
      <c r="U10" s="51">
        <v>0.0</v>
      </c>
      <c r="V10" s="35"/>
      <c r="W10" s="35"/>
      <c r="X10" s="35"/>
      <c r="Y10" s="35"/>
      <c r="Z10" s="35"/>
      <c r="AA10" s="35"/>
      <c r="AB10" s="35"/>
      <c r="AC10" s="35"/>
    </row>
    <row r="11">
      <c r="A11" s="30">
        <v>2016.0</v>
      </c>
      <c r="B11" s="52">
        <v>2016.0</v>
      </c>
      <c r="C11" s="30" t="s">
        <v>45</v>
      </c>
      <c r="D11" s="55" t="s">
        <v>40</v>
      </c>
      <c r="E11" s="33">
        <v>2.0</v>
      </c>
      <c r="F11" s="35">
        <v>55.0</v>
      </c>
      <c r="G11" s="31">
        <v>619794.5</v>
      </c>
      <c r="H11" s="31">
        <f t="shared" si="1"/>
        <v>0.08873909013</v>
      </c>
      <c r="I11" s="54">
        <v>69.5</v>
      </c>
      <c r="J11" s="56">
        <v>12.18</v>
      </c>
      <c r="K11" s="57">
        <v>5391.0</v>
      </c>
      <c r="L11" s="46">
        <v>0.0</v>
      </c>
      <c r="M11" s="47">
        <v>37.01</v>
      </c>
      <c r="N11" s="48">
        <v>-6.55</v>
      </c>
      <c r="O11" s="49">
        <v>3305.0</v>
      </c>
      <c r="P11" s="49">
        <v>610484.0</v>
      </c>
      <c r="Q11" s="51">
        <v>0.0</v>
      </c>
      <c r="R11" s="51">
        <v>0.0</v>
      </c>
      <c r="S11" s="51">
        <v>0.0</v>
      </c>
      <c r="T11" s="51">
        <v>0.0</v>
      </c>
      <c r="U11" s="51">
        <v>1.0</v>
      </c>
      <c r="V11" s="35"/>
      <c r="W11" s="35"/>
      <c r="X11" s="35"/>
      <c r="Y11" s="35"/>
      <c r="Z11" s="35"/>
      <c r="AA11" s="35"/>
      <c r="AB11" s="35"/>
      <c r="AC11" s="35"/>
    </row>
    <row r="12">
      <c r="A12" s="26" t="s">
        <v>37</v>
      </c>
      <c r="B12" s="52">
        <v>2002.0</v>
      </c>
      <c r="C12" s="30" t="s">
        <v>39</v>
      </c>
      <c r="D12" s="32" t="s">
        <v>42</v>
      </c>
      <c r="E12" s="33">
        <v>3.0</v>
      </c>
      <c r="F12" s="35">
        <v>454.0</v>
      </c>
      <c r="G12" s="31">
        <v>701572.0</v>
      </c>
      <c r="H12" s="31">
        <f t="shared" si="1"/>
        <v>0.647118186</v>
      </c>
      <c r="I12" s="42">
        <v>42.63</v>
      </c>
      <c r="J12" s="44">
        <v>3.01</v>
      </c>
      <c r="K12" s="45">
        <v>3566.07</v>
      </c>
      <c r="L12" s="46">
        <v>1.0</v>
      </c>
      <c r="M12" s="47">
        <v>2.105</v>
      </c>
      <c r="N12" s="48">
        <v>-2.25</v>
      </c>
      <c r="O12" s="49">
        <v>1710.0</v>
      </c>
      <c r="P12" s="49">
        <v>812416.0</v>
      </c>
      <c r="Q12" s="50">
        <v>1.0</v>
      </c>
      <c r="R12" s="51">
        <v>0.0</v>
      </c>
      <c r="S12" s="51">
        <v>0.0</v>
      </c>
      <c r="T12" s="51">
        <v>0.0</v>
      </c>
      <c r="U12" s="51">
        <v>0.0</v>
      </c>
      <c r="V12" s="35"/>
      <c r="W12" s="35"/>
      <c r="X12" s="35"/>
      <c r="Y12" s="35"/>
      <c r="Z12" s="35"/>
      <c r="AA12" s="35"/>
      <c r="AB12" s="35"/>
      <c r="AC12" s="35"/>
    </row>
    <row r="13">
      <c r="A13" s="30" t="s">
        <v>39</v>
      </c>
      <c r="B13" s="52">
        <v>2007.0</v>
      </c>
      <c r="C13" s="30" t="s">
        <v>41</v>
      </c>
      <c r="D13" s="32" t="s">
        <v>42</v>
      </c>
      <c r="E13" s="33">
        <v>3.0</v>
      </c>
      <c r="F13" s="35">
        <v>434.75</v>
      </c>
      <c r="G13" s="31">
        <v>698719.0</v>
      </c>
      <c r="H13" s="31">
        <f t="shared" si="1"/>
        <v>0.622210073</v>
      </c>
      <c r="I13" s="42">
        <v>53.72</v>
      </c>
      <c r="J13" s="53">
        <v>4.68</v>
      </c>
      <c r="K13" s="45">
        <v>4764.06</v>
      </c>
      <c r="L13" s="46">
        <v>0.0</v>
      </c>
      <c r="M13" s="47">
        <v>15.99</v>
      </c>
      <c r="N13" s="48">
        <v>-5.83</v>
      </c>
      <c r="O13" s="49">
        <v>2888.5</v>
      </c>
      <c r="P13" s="49">
        <v>701572.0</v>
      </c>
      <c r="Q13" s="51">
        <v>0.0</v>
      </c>
      <c r="R13" s="51">
        <v>1.0</v>
      </c>
      <c r="S13" s="51">
        <v>0.0</v>
      </c>
      <c r="T13" s="51">
        <v>0.0</v>
      </c>
      <c r="U13" s="51">
        <v>0.0</v>
      </c>
      <c r="V13" s="35"/>
      <c r="W13" s="35"/>
      <c r="X13" s="35"/>
      <c r="Y13" s="35"/>
      <c r="Z13" s="35"/>
      <c r="AA13" s="35"/>
      <c r="AB13" s="35"/>
      <c r="AC13" s="35"/>
    </row>
    <row r="14">
      <c r="A14" s="30" t="s">
        <v>41</v>
      </c>
      <c r="B14" s="52">
        <v>2011.0</v>
      </c>
      <c r="C14" s="30" t="s">
        <v>43</v>
      </c>
      <c r="D14" s="32" t="s">
        <v>42</v>
      </c>
      <c r="E14" s="33">
        <v>3.0</v>
      </c>
      <c r="F14" s="35">
        <v>247.5</v>
      </c>
      <c r="G14" s="31">
        <v>706614.25</v>
      </c>
      <c r="H14" s="31">
        <f t="shared" si="1"/>
        <v>0.3502618296</v>
      </c>
      <c r="I14" s="54">
        <v>60.4</v>
      </c>
      <c r="J14" s="53">
        <v>7.13</v>
      </c>
      <c r="K14" s="45">
        <v>7140.5</v>
      </c>
      <c r="L14" s="46">
        <v>0.0</v>
      </c>
      <c r="M14" s="47">
        <v>37.133</v>
      </c>
      <c r="N14" s="48">
        <v>-7.27</v>
      </c>
      <c r="O14" s="49">
        <v>4145.33333333333</v>
      </c>
      <c r="P14" s="49">
        <v>698719.0</v>
      </c>
      <c r="Q14" s="51">
        <v>0.0</v>
      </c>
      <c r="R14" s="51">
        <v>0.0</v>
      </c>
      <c r="S14" s="51">
        <v>1.0</v>
      </c>
      <c r="T14" s="51">
        <v>0.0</v>
      </c>
      <c r="U14" s="51">
        <v>0.0</v>
      </c>
      <c r="V14" s="35"/>
      <c r="W14" s="35"/>
      <c r="X14" s="35"/>
      <c r="Y14" s="35"/>
      <c r="Z14" s="35"/>
      <c r="AA14" s="35"/>
      <c r="AB14" s="35"/>
      <c r="AC14" s="35"/>
    </row>
    <row r="15">
      <c r="A15" s="30" t="s">
        <v>43</v>
      </c>
      <c r="B15" s="52">
        <v>2015.0</v>
      </c>
      <c r="C15" s="30">
        <v>2016.0</v>
      </c>
      <c r="D15" s="55" t="s">
        <v>42</v>
      </c>
      <c r="E15" s="33">
        <v>3.0</v>
      </c>
      <c r="F15" s="35">
        <v>2072.0</v>
      </c>
      <c r="G15" s="31">
        <v>714523.0</v>
      </c>
      <c r="H15" s="31">
        <f t="shared" si="1"/>
        <v>2.899836674</v>
      </c>
      <c r="I15" s="54">
        <v>52.4</v>
      </c>
      <c r="J15" s="56">
        <v>10.07</v>
      </c>
      <c r="K15" s="45">
        <v>8025.5</v>
      </c>
      <c r="L15" s="46">
        <v>0.0</v>
      </c>
      <c r="M15" s="47">
        <v>62.781</v>
      </c>
      <c r="N15" s="48">
        <v>-5.2</v>
      </c>
      <c r="O15" s="49">
        <v>4759.5</v>
      </c>
      <c r="P15" s="49">
        <v>706614.25</v>
      </c>
      <c r="Q15" s="51">
        <v>0.0</v>
      </c>
      <c r="R15" s="51">
        <v>0.0</v>
      </c>
      <c r="S15" s="51">
        <v>0.0</v>
      </c>
      <c r="T15" s="51">
        <v>1.0</v>
      </c>
      <c r="U15" s="51">
        <v>0.0</v>
      </c>
      <c r="V15" s="35"/>
      <c r="W15" s="35"/>
      <c r="X15" s="35"/>
      <c r="Y15" s="35"/>
      <c r="Z15" s="35"/>
      <c r="AA15" s="35"/>
      <c r="AB15" s="35"/>
      <c r="AC15" s="35"/>
    </row>
    <row r="16">
      <c r="A16" s="30">
        <v>2016.0</v>
      </c>
      <c r="B16" s="52">
        <v>2016.0</v>
      </c>
      <c r="C16" s="30" t="s">
        <v>45</v>
      </c>
      <c r="D16" s="55" t="s">
        <v>42</v>
      </c>
      <c r="E16" s="33">
        <v>3.0</v>
      </c>
      <c r="F16" s="35">
        <v>788.5</v>
      </c>
      <c r="G16" s="31">
        <v>720630.5</v>
      </c>
      <c r="H16" s="31">
        <f t="shared" si="1"/>
        <v>1.094180721</v>
      </c>
      <c r="I16" s="54">
        <v>63.4</v>
      </c>
      <c r="J16" s="56">
        <v>10.85</v>
      </c>
      <c r="K16" s="57">
        <v>7533.0</v>
      </c>
      <c r="L16" s="46">
        <v>0.0</v>
      </c>
      <c r="M16" s="47">
        <v>70.474</v>
      </c>
      <c r="N16" s="48">
        <v>-3.68</v>
      </c>
      <c r="O16" s="49">
        <v>6765.0</v>
      </c>
      <c r="P16" s="49">
        <v>714523.0</v>
      </c>
      <c r="Q16" s="51">
        <v>0.0</v>
      </c>
      <c r="R16" s="51">
        <v>0.0</v>
      </c>
      <c r="S16" s="51">
        <v>0.0</v>
      </c>
      <c r="T16" s="51">
        <v>0.0</v>
      </c>
      <c r="U16" s="51">
        <v>1.0</v>
      </c>
      <c r="V16" s="35"/>
      <c r="W16" s="35"/>
      <c r="X16" s="35"/>
      <c r="Y16" s="35"/>
      <c r="Z16" s="35"/>
      <c r="AA16" s="35"/>
      <c r="AB16" s="35"/>
      <c r="AC16" s="35"/>
    </row>
    <row r="17">
      <c r="A17" s="26" t="s">
        <v>37</v>
      </c>
      <c r="B17" s="52">
        <v>2002.0</v>
      </c>
      <c r="C17" s="30" t="s">
        <v>39</v>
      </c>
      <c r="D17" s="32" t="s">
        <v>44</v>
      </c>
      <c r="E17" s="33">
        <v>4.0</v>
      </c>
      <c r="F17" s="35">
        <v>45.8</v>
      </c>
      <c r="G17" s="31">
        <v>530879.0</v>
      </c>
      <c r="H17" s="31">
        <f t="shared" si="1"/>
        <v>0.08627201302</v>
      </c>
      <c r="I17" s="42">
        <v>17.7</v>
      </c>
      <c r="J17" s="44">
        <v>1.39</v>
      </c>
      <c r="K17" s="45">
        <v>1752.63</v>
      </c>
      <c r="L17" s="46">
        <v>0.0</v>
      </c>
      <c r="M17" s="47">
        <v>0.206</v>
      </c>
      <c r="N17" s="48">
        <v>-5.64</v>
      </c>
      <c r="O17" s="49">
        <v>109.0</v>
      </c>
      <c r="P17" s="49">
        <v>528744.0</v>
      </c>
      <c r="Q17" s="50">
        <v>1.0</v>
      </c>
      <c r="R17" s="51">
        <v>0.0</v>
      </c>
      <c r="S17" s="51">
        <v>0.0</v>
      </c>
      <c r="T17" s="51">
        <v>0.0</v>
      </c>
      <c r="U17" s="51">
        <v>0.0</v>
      </c>
      <c r="V17" s="35"/>
      <c r="W17" s="35"/>
      <c r="X17" s="35"/>
      <c r="Y17" s="35"/>
      <c r="Z17" s="35"/>
      <c r="AA17" s="35"/>
      <c r="AB17" s="35"/>
      <c r="AC17" s="35"/>
    </row>
    <row r="18">
      <c r="A18" s="30" t="s">
        <v>39</v>
      </c>
      <c r="B18" s="52">
        <v>2007.0</v>
      </c>
      <c r="C18" s="30" t="s">
        <v>41</v>
      </c>
      <c r="D18" s="32" t="s">
        <v>44</v>
      </c>
      <c r="E18" s="33">
        <v>4.0</v>
      </c>
      <c r="F18" s="35">
        <v>628.75</v>
      </c>
      <c r="G18" s="31">
        <v>541836.5</v>
      </c>
      <c r="H18" s="31">
        <f t="shared" si="1"/>
        <v>1.160405399</v>
      </c>
      <c r="I18" s="42">
        <v>63.02</v>
      </c>
      <c r="J18" s="53">
        <v>2.17</v>
      </c>
      <c r="K18" s="45">
        <v>2252.29</v>
      </c>
      <c r="L18" s="46">
        <v>1.0</v>
      </c>
      <c r="M18" s="47">
        <v>1.466</v>
      </c>
      <c r="N18" s="48">
        <v>-16.95</v>
      </c>
      <c r="O18" s="49">
        <v>187.25</v>
      </c>
      <c r="P18" s="49">
        <v>530879.0</v>
      </c>
      <c r="Q18" s="51">
        <v>0.0</v>
      </c>
      <c r="R18" s="51">
        <v>1.0</v>
      </c>
      <c r="S18" s="51">
        <v>0.0</v>
      </c>
      <c r="T18" s="51">
        <v>0.0</v>
      </c>
      <c r="U18" s="51">
        <v>0.0</v>
      </c>
      <c r="V18" s="35"/>
      <c r="W18" s="35"/>
      <c r="X18" s="35"/>
      <c r="Y18" s="35"/>
      <c r="Z18" s="35"/>
      <c r="AA18" s="35"/>
      <c r="AB18" s="35"/>
      <c r="AC18" s="35"/>
    </row>
    <row r="19">
      <c r="A19" s="30" t="s">
        <v>41</v>
      </c>
      <c r="B19" s="52">
        <v>2011.0</v>
      </c>
      <c r="C19" s="30" t="s">
        <v>43</v>
      </c>
      <c r="D19" s="32" t="s">
        <v>44</v>
      </c>
      <c r="E19" s="33">
        <v>4.0</v>
      </c>
      <c r="F19" s="35">
        <v>28.0</v>
      </c>
      <c r="G19" s="31">
        <v>550056.5</v>
      </c>
      <c r="H19" s="31">
        <f t="shared" si="1"/>
        <v>0.05090386169</v>
      </c>
      <c r="I19" s="54">
        <v>47.6</v>
      </c>
      <c r="J19" s="53">
        <v>4.71</v>
      </c>
      <c r="K19" s="45">
        <v>3304.5</v>
      </c>
      <c r="L19" s="46">
        <v>0.0</v>
      </c>
      <c r="M19" s="47">
        <v>5.867</v>
      </c>
      <c r="N19" s="48">
        <v>-20.76</v>
      </c>
      <c r="O19" s="49">
        <v>1097.33333333333</v>
      </c>
      <c r="P19" s="49">
        <v>541836.5</v>
      </c>
      <c r="Q19" s="51">
        <v>0.0</v>
      </c>
      <c r="R19" s="51">
        <v>0.0</v>
      </c>
      <c r="S19" s="51">
        <v>1.0</v>
      </c>
      <c r="T19" s="51">
        <v>0.0</v>
      </c>
      <c r="U19" s="51">
        <v>0.0</v>
      </c>
      <c r="V19" s="35"/>
      <c r="W19" s="35"/>
      <c r="X19" s="35"/>
      <c r="Y19" s="35"/>
      <c r="Z19" s="35"/>
      <c r="AA19" s="35"/>
      <c r="AB19" s="35"/>
      <c r="AC19" s="35"/>
    </row>
    <row r="20">
      <c r="A20" s="30" t="s">
        <v>43</v>
      </c>
      <c r="B20" s="52">
        <v>2015.0</v>
      </c>
      <c r="C20" s="30">
        <v>2016.0</v>
      </c>
      <c r="D20" s="55" t="s">
        <v>44</v>
      </c>
      <c r="E20" s="33">
        <v>4.0</v>
      </c>
      <c r="F20" s="35">
        <v>0.0</v>
      </c>
      <c r="G20" s="31">
        <v>542255.0</v>
      </c>
      <c r="H20" s="31">
        <f t="shared" si="1"/>
        <v>0</v>
      </c>
      <c r="I20" s="54">
        <v>15.9</v>
      </c>
      <c r="J20" s="56">
        <v>7.55</v>
      </c>
      <c r="K20" s="45">
        <v>3870.25</v>
      </c>
      <c r="L20" s="46">
        <v>0.0</v>
      </c>
      <c r="M20" s="47">
        <v>18.268</v>
      </c>
      <c r="N20" s="48">
        <v>-24.64</v>
      </c>
      <c r="O20" s="49">
        <v>2233.5</v>
      </c>
      <c r="P20" s="49">
        <v>550056.5</v>
      </c>
      <c r="Q20" s="51">
        <v>0.0</v>
      </c>
      <c r="R20" s="51">
        <v>0.0</v>
      </c>
      <c r="S20" s="51">
        <v>0.0</v>
      </c>
      <c r="T20" s="51">
        <v>1.0</v>
      </c>
      <c r="U20" s="51">
        <v>0.0</v>
      </c>
      <c r="V20" s="35"/>
      <c r="W20" s="35"/>
      <c r="X20" s="35"/>
      <c r="Y20" s="35"/>
      <c r="Z20" s="35"/>
      <c r="AA20" s="35"/>
      <c r="AB20" s="35"/>
      <c r="AC20" s="35"/>
    </row>
    <row r="21">
      <c r="A21" s="30">
        <v>2016.0</v>
      </c>
      <c r="B21" s="52">
        <v>2016.0</v>
      </c>
      <c r="C21" s="30" t="s">
        <v>45</v>
      </c>
      <c r="D21" s="55" t="s">
        <v>44</v>
      </c>
      <c r="E21" s="33">
        <v>4.0</v>
      </c>
      <c r="F21" s="35">
        <v>0.0</v>
      </c>
      <c r="G21" s="31">
        <v>537971.0</v>
      </c>
      <c r="H21" s="31">
        <f t="shared" si="1"/>
        <v>0</v>
      </c>
      <c r="I21" s="54">
        <v>27.0</v>
      </c>
      <c r="J21" s="56">
        <v>7.89</v>
      </c>
      <c r="K21" s="57">
        <v>3679.0</v>
      </c>
      <c r="L21" s="46">
        <v>0.0</v>
      </c>
      <c r="M21" s="47">
        <v>19.737</v>
      </c>
      <c r="N21" s="48">
        <v>-29.03</v>
      </c>
      <c r="O21" s="49">
        <v>1314.0</v>
      </c>
      <c r="P21" s="49">
        <v>542255.0</v>
      </c>
      <c r="Q21" s="51">
        <v>0.0</v>
      </c>
      <c r="R21" s="51">
        <v>0.0</v>
      </c>
      <c r="S21" s="51">
        <v>0.0</v>
      </c>
      <c r="T21" s="51">
        <v>0.0</v>
      </c>
      <c r="U21" s="51">
        <v>1.0</v>
      </c>
      <c r="V21" s="35"/>
      <c r="W21" s="35"/>
      <c r="X21" s="35"/>
      <c r="Y21" s="35"/>
      <c r="Z21" s="35"/>
      <c r="AA21" s="35"/>
      <c r="AB21" s="35"/>
      <c r="AC21" s="35"/>
    </row>
    <row r="22">
      <c r="A22" s="26" t="s">
        <v>37</v>
      </c>
      <c r="B22" s="52">
        <v>2002.0</v>
      </c>
      <c r="C22" s="30" t="s">
        <v>39</v>
      </c>
      <c r="D22" s="32" t="s">
        <v>46</v>
      </c>
      <c r="E22" s="33">
        <v>5.0</v>
      </c>
      <c r="F22" s="35">
        <v>189.2</v>
      </c>
      <c r="G22" s="31">
        <v>366109.0</v>
      </c>
      <c r="H22" s="31">
        <f t="shared" si="1"/>
        <v>0.5167859845</v>
      </c>
      <c r="I22" s="42">
        <v>48.09</v>
      </c>
      <c r="J22" s="44">
        <v>2.61</v>
      </c>
      <c r="K22" s="45">
        <v>3165.81</v>
      </c>
      <c r="L22" s="46">
        <v>0.0</v>
      </c>
      <c r="M22" s="47">
        <v>1.843</v>
      </c>
      <c r="N22" s="48">
        <v>-1.34</v>
      </c>
      <c r="O22" s="49">
        <v>730.0</v>
      </c>
      <c r="P22" s="49">
        <v>396084.0</v>
      </c>
      <c r="Q22" s="50">
        <v>1.0</v>
      </c>
      <c r="R22" s="51">
        <v>0.0</v>
      </c>
      <c r="S22" s="51">
        <v>0.0</v>
      </c>
      <c r="T22" s="51">
        <v>0.0</v>
      </c>
      <c r="U22" s="51">
        <v>0.0</v>
      </c>
      <c r="V22" s="35"/>
      <c r="W22" s="35"/>
      <c r="X22" s="35"/>
      <c r="Y22" s="35"/>
      <c r="Z22" s="35"/>
      <c r="AA22" s="35"/>
      <c r="AB22" s="35"/>
      <c r="AC22" s="35"/>
    </row>
    <row r="23">
      <c r="A23" s="30" t="s">
        <v>39</v>
      </c>
      <c r="B23" s="52">
        <v>2007.0</v>
      </c>
      <c r="C23" s="30" t="s">
        <v>41</v>
      </c>
      <c r="D23" s="32" t="s">
        <v>46</v>
      </c>
      <c r="E23" s="33">
        <v>5.0</v>
      </c>
      <c r="F23" s="35">
        <v>340.5</v>
      </c>
      <c r="G23" s="31">
        <v>375958.25</v>
      </c>
      <c r="H23" s="31">
        <f t="shared" si="1"/>
        <v>0.9056856712</v>
      </c>
      <c r="I23" s="42">
        <v>63.43</v>
      </c>
      <c r="J23" s="53">
        <v>4.52</v>
      </c>
      <c r="K23" s="45">
        <v>4318.14</v>
      </c>
      <c r="L23" s="46">
        <v>0.0</v>
      </c>
      <c r="M23" s="47">
        <v>16.284</v>
      </c>
      <c r="N23" s="48">
        <v>-2.62</v>
      </c>
      <c r="O23" s="49">
        <v>1756.0</v>
      </c>
      <c r="P23" s="49">
        <v>366109.0</v>
      </c>
      <c r="Q23" s="51">
        <v>0.0</v>
      </c>
      <c r="R23" s="51">
        <v>1.0</v>
      </c>
      <c r="S23" s="51">
        <v>0.0</v>
      </c>
      <c r="T23" s="51">
        <v>0.0</v>
      </c>
      <c r="U23" s="51">
        <v>0.0</v>
      </c>
      <c r="V23" s="35"/>
      <c r="W23" s="35"/>
      <c r="X23" s="35"/>
      <c r="Y23" s="35"/>
      <c r="Z23" s="35"/>
      <c r="AA23" s="35"/>
      <c r="AB23" s="35"/>
      <c r="AC23" s="35"/>
    </row>
    <row r="24">
      <c r="A24" s="30" t="s">
        <v>41</v>
      </c>
      <c r="B24" s="52">
        <v>2011.0</v>
      </c>
      <c r="C24" s="30" t="s">
        <v>43</v>
      </c>
      <c r="D24" s="32" t="s">
        <v>46</v>
      </c>
      <c r="E24" s="33">
        <v>5.0</v>
      </c>
      <c r="F24" s="35">
        <v>235.0</v>
      </c>
      <c r="G24" s="31">
        <v>383371.75</v>
      </c>
      <c r="H24" s="31">
        <f t="shared" si="1"/>
        <v>0.6129820468</v>
      </c>
      <c r="I24" s="54">
        <v>66.1</v>
      </c>
      <c r="J24" s="53">
        <v>6.58</v>
      </c>
      <c r="K24" s="45">
        <v>6645.75</v>
      </c>
      <c r="L24" s="46">
        <v>0.0</v>
      </c>
      <c r="M24" s="47">
        <v>40.514</v>
      </c>
      <c r="N24" s="48">
        <v>-6.09</v>
      </c>
      <c r="O24" s="49">
        <v>2890.66666666667</v>
      </c>
      <c r="P24" s="49">
        <v>375958.25</v>
      </c>
      <c r="Q24" s="51">
        <v>0.0</v>
      </c>
      <c r="R24" s="51">
        <v>0.0</v>
      </c>
      <c r="S24" s="51">
        <v>1.0</v>
      </c>
      <c r="T24" s="51">
        <v>0.0</v>
      </c>
      <c r="U24" s="51">
        <v>0.0</v>
      </c>
      <c r="V24" s="35"/>
      <c r="W24" s="35"/>
      <c r="X24" s="35"/>
      <c r="Y24" s="35"/>
      <c r="Z24" s="35"/>
      <c r="AA24" s="35"/>
      <c r="AB24" s="35"/>
      <c r="AC24" s="35"/>
    </row>
    <row r="25">
      <c r="A25" s="30" t="s">
        <v>43</v>
      </c>
      <c r="B25" s="52">
        <v>2015.0</v>
      </c>
      <c r="C25" s="30">
        <v>2016.0</v>
      </c>
      <c r="D25" s="55" t="s">
        <v>46</v>
      </c>
      <c r="E25" s="33">
        <v>5.0</v>
      </c>
      <c r="F25" s="35">
        <v>1088.0</v>
      </c>
      <c r="G25" s="31">
        <v>396673.0</v>
      </c>
      <c r="H25" s="31">
        <f t="shared" si="1"/>
        <v>2.74281335</v>
      </c>
      <c r="I25" s="54">
        <v>58.5</v>
      </c>
      <c r="J25" s="56">
        <v>9.45</v>
      </c>
      <c r="K25" s="45">
        <v>7876.25</v>
      </c>
      <c r="L25" s="46">
        <v>0.0</v>
      </c>
      <c r="M25" s="47">
        <v>78.311</v>
      </c>
      <c r="N25" s="48">
        <v>-5.84</v>
      </c>
      <c r="O25" s="49">
        <v>3422.0</v>
      </c>
      <c r="P25" s="49">
        <v>383371.75</v>
      </c>
      <c r="Q25" s="51">
        <v>0.0</v>
      </c>
      <c r="R25" s="51">
        <v>0.0</v>
      </c>
      <c r="S25" s="51">
        <v>0.0</v>
      </c>
      <c r="T25" s="51">
        <v>1.0</v>
      </c>
      <c r="U25" s="51">
        <v>0.0</v>
      </c>
      <c r="V25" s="35"/>
      <c r="W25" s="35"/>
      <c r="X25" s="35"/>
      <c r="Y25" s="35"/>
      <c r="Z25" s="35"/>
      <c r="AA25" s="35"/>
      <c r="AB25" s="35"/>
      <c r="AC25" s="35"/>
    </row>
    <row r="26">
      <c r="A26" s="30">
        <v>2016.0</v>
      </c>
      <c r="B26" s="28">
        <v>2016.0</v>
      </c>
      <c r="C26" s="30" t="s">
        <v>45</v>
      </c>
      <c r="D26" s="60" t="s">
        <v>46</v>
      </c>
      <c r="E26" s="33">
        <v>5.0</v>
      </c>
      <c r="F26" s="35">
        <v>0.0</v>
      </c>
      <c r="G26" s="31">
        <v>407288.0</v>
      </c>
      <c r="H26" s="31">
        <f t="shared" si="1"/>
        <v>0</v>
      </c>
      <c r="I26" s="54">
        <v>71.6</v>
      </c>
      <c r="J26" s="56">
        <v>10.2</v>
      </c>
      <c r="K26" s="57">
        <v>7499.0</v>
      </c>
      <c r="L26" s="46">
        <v>0.0</v>
      </c>
      <c r="M26" s="47">
        <v>87.187</v>
      </c>
      <c r="N26" s="48">
        <v>1.19</v>
      </c>
      <c r="O26" s="49">
        <v>4332.0</v>
      </c>
      <c r="P26" s="49">
        <v>396673.0</v>
      </c>
      <c r="Q26" s="51">
        <v>0.0</v>
      </c>
      <c r="R26" s="51">
        <v>0.0</v>
      </c>
      <c r="S26" s="51">
        <v>0.0</v>
      </c>
      <c r="T26" s="51">
        <v>0.0</v>
      </c>
      <c r="U26" s="51">
        <v>1.0</v>
      </c>
      <c r="V26" s="35"/>
      <c r="W26" s="35"/>
      <c r="X26" s="35"/>
      <c r="Y26" s="35"/>
      <c r="Z26" s="35"/>
      <c r="AA26" s="35"/>
      <c r="AB26" s="35"/>
      <c r="AC26" s="35"/>
    </row>
    <row r="27">
      <c r="A27" s="26" t="s">
        <v>37</v>
      </c>
      <c r="B27" s="52">
        <v>2002.0</v>
      </c>
      <c r="C27" s="30" t="s">
        <v>39</v>
      </c>
      <c r="D27" s="32" t="s">
        <v>47</v>
      </c>
      <c r="E27" s="33">
        <v>6.0</v>
      </c>
      <c r="F27" s="35">
        <v>212.0</v>
      </c>
      <c r="G27" s="31">
        <v>328674.0</v>
      </c>
      <c r="H27" s="31">
        <f t="shared" si="1"/>
        <v>0.6450160341</v>
      </c>
      <c r="I27" s="42">
        <v>39.62</v>
      </c>
      <c r="J27" s="44">
        <v>3.66</v>
      </c>
      <c r="K27" s="61">
        <v>3858.33</v>
      </c>
      <c r="L27" s="46">
        <v>0.0</v>
      </c>
      <c r="M27" s="47">
        <v>2.505</v>
      </c>
      <c r="N27" s="48">
        <v>-2.68</v>
      </c>
      <c r="O27" s="49">
        <v>915.0</v>
      </c>
      <c r="P27" s="49">
        <v>365231.0</v>
      </c>
      <c r="Q27" s="50">
        <v>1.0</v>
      </c>
      <c r="R27" s="51">
        <v>0.0</v>
      </c>
      <c r="S27" s="51">
        <v>0.0</v>
      </c>
      <c r="T27" s="51">
        <v>0.0</v>
      </c>
      <c r="U27" s="51">
        <v>0.0</v>
      </c>
      <c r="V27" s="35"/>
      <c r="W27" s="35"/>
      <c r="X27" s="35"/>
      <c r="Y27" s="35"/>
      <c r="Z27" s="35"/>
      <c r="AA27" s="35"/>
      <c r="AB27" s="35"/>
      <c r="AC27" s="35"/>
    </row>
    <row r="28">
      <c r="A28" s="30" t="s">
        <v>39</v>
      </c>
      <c r="B28" s="52">
        <v>2007.0</v>
      </c>
      <c r="C28" s="30" t="s">
        <v>41</v>
      </c>
      <c r="D28" s="32" t="s">
        <v>47</v>
      </c>
      <c r="E28" s="33">
        <v>6.0</v>
      </c>
      <c r="F28" s="35">
        <v>203.0</v>
      </c>
      <c r="G28" s="31">
        <v>326452.0</v>
      </c>
      <c r="H28" s="31">
        <f t="shared" si="1"/>
        <v>0.6218372073</v>
      </c>
      <c r="I28" s="42">
        <v>47.1</v>
      </c>
      <c r="J28" s="53">
        <v>6.41</v>
      </c>
      <c r="K28" s="61">
        <v>5075.44</v>
      </c>
      <c r="L28" s="46">
        <v>0.0</v>
      </c>
      <c r="M28" s="47">
        <v>14.129</v>
      </c>
      <c r="N28" s="48">
        <v>-5.22</v>
      </c>
      <c r="O28" s="49">
        <v>1062.75</v>
      </c>
      <c r="P28" s="49">
        <v>328674.0</v>
      </c>
      <c r="Q28" s="51">
        <v>0.0</v>
      </c>
      <c r="R28" s="51">
        <v>1.0</v>
      </c>
      <c r="S28" s="51">
        <v>0.0</v>
      </c>
      <c r="T28" s="51">
        <v>0.0</v>
      </c>
      <c r="U28" s="51">
        <v>0.0</v>
      </c>
      <c r="V28" s="35"/>
      <c r="W28" s="35"/>
      <c r="X28" s="35"/>
      <c r="Y28" s="35"/>
      <c r="Z28" s="35"/>
      <c r="AA28" s="35"/>
      <c r="AB28" s="35"/>
      <c r="AC28" s="35"/>
    </row>
    <row r="29">
      <c r="A29" s="30" t="s">
        <v>41</v>
      </c>
      <c r="B29" s="52">
        <v>2011.0</v>
      </c>
      <c r="C29" s="30" t="s">
        <v>43</v>
      </c>
      <c r="D29" s="32" t="s">
        <v>47</v>
      </c>
      <c r="E29" s="33">
        <v>6.0</v>
      </c>
      <c r="F29" s="35">
        <v>399.25</v>
      </c>
      <c r="G29" s="31">
        <v>322085.0</v>
      </c>
      <c r="H29" s="31">
        <f t="shared" si="1"/>
        <v>1.239579614</v>
      </c>
      <c r="I29" s="54">
        <v>52.2</v>
      </c>
      <c r="J29" s="53">
        <v>9.01</v>
      </c>
      <c r="K29" s="61">
        <v>7735.25</v>
      </c>
      <c r="L29" s="46">
        <v>0.0</v>
      </c>
      <c r="M29" s="47">
        <v>33.198</v>
      </c>
      <c r="N29" s="48">
        <v>-6.27</v>
      </c>
      <c r="O29" s="49">
        <v>1703.66666666667</v>
      </c>
      <c r="P29" s="49">
        <v>326452.0</v>
      </c>
      <c r="Q29" s="51">
        <v>0.0</v>
      </c>
      <c r="R29" s="51">
        <v>0.0</v>
      </c>
      <c r="S29" s="51">
        <v>1.0</v>
      </c>
      <c r="T29" s="51">
        <v>0.0</v>
      </c>
      <c r="U29" s="51">
        <v>0.0</v>
      </c>
      <c r="V29" s="35"/>
      <c r="W29" s="35"/>
      <c r="X29" s="35"/>
      <c r="Y29" s="35"/>
      <c r="Z29" s="35"/>
      <c r="AA29" s="35"/>
      <c r="AB29" s="35"/>
      <c r="AC29" s="35"/>
    </row>
    <row r="30">
      <c r="A30" s="30" t="s">
        <v>43</v>
      </c>
      <c r="B30" s="52">
        <v>2015.0</v>
      </c>
      <c r="C30" s="30">
        <v>2016.0</v>
      </c>
      <c r="D30" s="55" t="s">
        <v>47</v>
      </c>
      <c r="E30" s="33">
        <v>6.0</v>
      </c>
      <c r="F30" s="35">
        <v>1021.0</v>
      </c>
      <c r="G30" s="31">
        <v>326351.0</v>
      </c>
      <c r="H30" s="31">
        <f t="shared" si="1"/>
        <v>3.128533389</v>
      </c>
      <c r="I30" s="54">
        <v>45.8</v>
      </c>
      <c r="J30" s="56">
        <v>12.6</v>
      </c>
      <c r="K30" s="61">
        <v>8702.25</v>
      </c>
      <c r="L30" s="46">
        <v>0.0</v>
      </c>
      <c r="M30" s="47">
        <v>66.169</v>
      </c>
      <c r="N30" s="48">
        <v>-6.76</v>
      </c>
      <c r="O30" s="49">
        <v>2604.75</v>
      </c>
      <c r="P30" s="49">
        <v>322085.0</v>
      </c>
      <c r="Q30" s="51">
        <v>0.0</v>
      </c>
      <c r="R30" s="51">
        <v>0.0</v>
      </c>
      <c r="S30" s="51">
        <v>0.0</v>
      </c>
      <c r="T30" s="51">
        <v>1.0</v>
      </c>
      <c r="U30" s="51">
        <v>0.0</v>
      </c>
      <c r="V30" s="35"/>
      <c r="W30" s="35"/>
      <c r="X30" s="35"/>
      <c r="Y30" s="35"/>
      <c r="Z30" s="35"/>
      <c r="AA30" s="35"/>
      <c r="AB30" s="35"/>
      <c r="AC30" s="35"/>
    </row>
    <row r="31">
      <c r="A31" s="30">
        <v>2016.0</v>
      </c>
      <c r="B31" s="52">
        <v>2016.0</v>
      </c>
      <c r="C31" s="30" t="s">
        <v>45</v>
      </c>
      <c r="D31" s="55" t="s">
        <v>47</v>
      </c>
      <c r="E31" s="33">
        <v>6.0</v>
      </c>
      <c r="F31" s="35">
        <v>118.5</v>
      </c>
      <c r="G31" s="31">
        <v>333698.0</v>
      </c>
      <c r="H31" s="31">
        <f t="shared" si="1"/>
        <v>0.355111508</v>
      </c>
      <c r="I31" s="54">
        <v>51.5</v>
      </c>
      <c r="J31" s="56">
        <v>13.55</v>
      </c>
      <c r="K31" s="62">
        <v>8093.0</v>
      </c>
      <c r="L31" s="46">
        <v>0.0</v>
      </c>
      <c r="M31" s="47">
        <v>73.783</v>
      </c>
      <c r="N31" s="48">
        <v>0.99</v>
      </c>
      <c r="O31" s="49">
        <v>2867.0</v>
      </c>
      <c r="P31" s="49">
        <v>326351.0</v>
      </c>
      <c r="Q31" s="51">
        <v>0.0</v>
      </c>
      <c r="R31" s="51">
        <v>0.0</v>
      </c>
      <c r="S31" s="51">
        <v>0.0</v>
      </c>
      <c r="T31" s="51">
        <v>0.0</v>
      </c>
      <c r="U31" s="51">
        <v>1.0</v>
      </c>
      <c r="V31" s="35"/>
      <c r="W31" s="35"/>
      <c r="X31" s="35"/>
      <c r="Y31" s="35"/>
      <c r="Z31" s="35"/>
      <c r="AA31" s="35"/>
      <c r="AB31" s="35"/>
      <c r="AC31" s="35"/>
    </row>
    <row r="32">
      <c r="A32" s="26" t="s">
        <v>37</v>
      </c>
      <c r="B32" s="52">
        <v>2002.0</v>
      </c>
      <c r="C32" s="30" t="s">
        <v>39</v>
      </c>
      <c r="D32" s="32" t="s">
        <v>48</v>
      </c>
      <c r="E32" s="33">
        <v>7.0</v>
      </c>
      <c r="F32" s="35">
        <v>6022.6</v>
      </c>
      <c r="G32" s="31">
        <v>4466756.0</v>
      </c>
      <c r="H32" s="31">
        <f t="shared" si="1"/>
        <v>1.348316317</v>
      </c>
      <c r="I32" s="63">
        <v>38.2</v>
      </c>
      <c r="J32" s="44">
        <v>10.07</v>
      </c>
      <c r="K32" s="61">
        <v>8442.76</v>
      </c>
      <c r="L32" s="46">
        <v>0.0</v>
      </c>
      <c r="M32" s="47">
        <v>6.879</v>
      </c>
      <c r="N32" s="48">
        <v>2.56</v>
      </c>
      <c r="O32" s="49">
        <v>27570.0</v>
      </c>
      <c r="P32" s="49">
        <v>4007860.0</v>
      </c>
      <c r="Q32" s="50">
        <v>1.0</v>
      </c>
      <c r="R32" s="51">
        <v>0.0</v>
      </c>
      <c r="S32" s="51">
        <v>0.0</v>
      </c>
      <c r="T32" s="51">
        <v>0.0</v>
      </c>
      <c r="U32" s="51">
        <v>0.0</v>
      </c>
      <c r="V32" s="35"/>
      <c r="W32" s="35"/>
      <c r="X32" s="35"/>
      <c r="Y32" s="35"/>
      <c r="Z32" s="35"/>
      <c r="AA32" s="35"/>
      <c r="AB32" s="35"/>
      <c r="AC32" s="35"/>
    </row>
    <row r="33">
      <c r="A33" s="30" t="s">
        <v>39</v>
      </c>
      <c r="B33" s="52">
        <v>2007.0</v>
      </c>
      <c r="C33" s="30" t="s">
        <v>41</v>
      </c>
      <c r="D33" s="32" t="s">
        <v>48</v>
      </c>
      <c r="E33" s="33">
        <v>7.0</v>
      </c>
      <c r="F33" s="35">
        <v>7698.25</v>
      </c>
      <c r="G33" s="31">
        <v>4715587.5</v>
      </c>
      <c r="H33" s="31">
        <f t="shared" si="1"/>
        <v>1.632511325</v>
      </c>
      <c r="I33" s="63">
        <v>47.71</v>
      </c>
      <c r="J33" s="53">
        <v>13.58</v>
      </c>
      <c r="K33" s="61">
        <v>11476.78</v>
      </c>
      <c r="L33" s="46">
        <v>0.0</v>
      </c>
      <c r="M33" s="47">
        <v>45.641</v>
      </c>
      <c r="N33" s="48">
        <v>4.65</v>
      </c>
      <c r="O33" s="49">
        <v>48614.5</v>
      </c>
      <c r="P33" s="49">
        <v>4466756.0</v>
      </c>
      <c r="Q33" s="51">
        <v>0.0</v>
      </c>
      <c r="R33" s="51">
        <v>1.0</v>
      </c>
      <c r="S33" s="51">
        <v>0.0</v>
      </c>
      <c r="T33" s="51">
        <v>0.0</v>
      </c>
      <c r="U33" s="51">
        <v>0.0</v>
      </c>
      <c r="V33" s="35"/>
      <c r="W33" s="35"/>
      <c r="X33" s="35"/>
      <c r="Y33" s="35"/>
      <c r="Z33" s="35"/>
      <c r="AA33" s="35"/>
      <c r="AB33" s="35"/>
      <c r="AC33" s="35"/>
    </row>
    <row r="34">
      <c r="A34" s="30" t="s">
        <v>41</v>
      </c>
      <c r="B34" s="52">
        <v>2011.0</v>
      </c>
      <c r="C34" s="30" t="s">
        <v>43</v>
      </c>
      <c r="D34" s="32" t="s">
        <v>48</v>
      </c>
      <c r="E34" s="33">
        <v>7.0</v>
      </c>
      <c r="F34" s="35">
        <v>3097.25</v>
      </c>
      <c r="G34" s="31">
        <v>5107818.0</v>
      </c>
      <c r="H34" s="31">
        <f t="shared" si="1"/>
        <v>0.6063743853</v>
      </c>
      <c r="I34" s="63">
        <v>49.4</v>
      </c>
      <c r="J34" s="53">
        <v>17.43</v>
      </c>
      <c r="K34" s="61">
        <v>15986.25</v>
      </c>
      <c r="L34" s="46">
        <v>0.0</v>
      </c>
      <c r="M34" s="47">
        <v>93.762</v>
      </c>
      <c r="N34" s="48">
        <v>8.38</v>
      </c>
      <c r="O34" s="49">
        <v>62134.6666666667</v>
      </c>
      <c r="P34" s="49">
        <v>4715587.5</v>
      </c>
      <c r="Q34" s="51">
        <v>0.0</v>
      </c>
      <c r="R34" s="51">
        <v>0.0</v>
      </c>
      <c r="S34" s="51">
        <v>1.0</v>
      </c>
      <c r="T34" s="51">
        <v>0.0</v>
      </c>
      <c r="U34" s="51">
        <v>0.0</v>
      </c>
      <c r="V34" s="35"/>
      <c r="W34" s="35"/>
      <c r="X34" s="35"/>
      <c r="Y34" s="35"/>
      <c r="Z34" s="35"/>
      <c r="AA34" s="35"/>
      <c r="AB34" s="35"/>
      <c r="AC34" s="35"/>
    </row>
    <row r="35">
      <c r="A35" s="30" t="s">
        <v>43</v>
      </c>
      <c r="B35" s="52">
        <v>2015.0</v>
      </c>
      <c r="C35" s="30">
        <v>2016.0</v>
      </c>
      <c r="D35" s="55" t="s">
        <v>48</v>
      </c>
      <c r="E35" s="33">
        <v>7.0</v>
      </c>
      <c r="F35" s="35">
        <v>10286.0</v>
      </c>
      <c r="G35" s="31">
        <v>5346518.0</v>
      </c>
      <c r="H35" s="31">
        <f t="shared" si="1"/>
        <v>1.923868955</v>
      </c>
      <c r="I35" s="63">
        <v>41.849999999999994</v>
      </c>
      <c r="J35" s="56">
        <v>21.51</v>
      </c>
      <c r="K35" s="61">
        <v>16418.0</v>
      </c>
      <c r="L35" s="46">
        <v>0.0</v>
      </c>
      <c r="M35" s="47">
        <v>151.581</v>
      </c>
      <c r="N35" s="48">
        <v>7.51</v>
      </c>
      <c r="O35" s="49">
        <v>72824.75</v>
      </c>
      <c r="P35" s="49">
        <v>5107818.0</v>
      </c>
      <c r="Q35" s="51">
        <v>0.0</v>
      </c>
      <c r="R35" s="51">
        <v>0.0</v>
      </c>
      <c r="S35" s="51">
        <v>0.0</v>
      </c>
      <c r="T35" s="51">
        <v>1.0</v>
      </c>
      <c r="U35" s="51">
        <v>0.0</v>
      </c>
      <c r="V35" s="35"/>
      <c r="W35" s="35"/>
      <c r="X35" s="35"/>
      <c r="Y35" s="35"/>
      <c r="Z35" s="35"/>
      <c r="AA35" s="35"/>
      <c r="AB35" s="35"/>
      <c r="AC35" s="35"/>
    </row>
    <row r="36">
      <c r="A36" s="30">
        <v>2016.0</v>
      </c>
      <c r="B36" s="52">
        <v>2016.0</v>
      </c>
      <c r="C36" s="30" t="s">
        <v>45</v>
      </c>
      <c r="D36" s="55" t="s">
        <v>48</v>
      </c>
      <c r="E36" s="33">
        <v>7.0</v>
      </c>
      <c r="F36" s="35">
        <v>1479.0</v>
      </c>
      <c r="G36" s="31">
        <v>5474505.5</v>
      </c>
      <c r="H36" s="31">
        <f t="shared" si="1"/>
        <v>0.2701613872</v>
      </c>
      <c r="I36" s="63">
        <v>49.5</v>
      </c>
      <c r="J36" s="56">
        <v>22.25</v>
      </c>
      <c r="K36" s="62">
        <v>14965.0</v>
      </c>
      <c r="L36" s="46">
        <v>0.0</v>
      </c>
      <c r="M36" s="47">
        <v>164.243</v>
      </c>
      <c r="N36" s="48">
        <v>6.48</v>
      </c>
      <c r="O36" s="49">
        <v>59303.0</v>
      </c>
      <c r="P36" s="49">
        <v>5346518.0</v>
      </c>
      <c r="Q36" s="51">
        <v>0.0</v>
      </c>
      <c r="R36" s="51">
        <v>0.0</v>
      </c>
      <c r="S36" s="51">
        <v>0.0</v>
      </c>
      <c r="T36" s="51">
        <v>0.0</v>
      </c>
      <c r="U36" s="51">
        <v>1.0</v>
      </c>
      <c r="V36" s="35"/>
      <c r="W36" s="35"/>
      <c r="X36" s="35"/>
      <c r="Y36" s="35"/>
      <c r="Z36" s="35"/>
      <c r="AA36" s="35"/>
      <c r="AB36" s="35"/>
      <c r="AC36" s="35"/>
    </row>
    <row r="37">
      <c r="A37" s="26" t="s">
        <v>37</v>
      </c>
      <c r="B37" s="52">
        <v>2002.0</v>
      </c>
      <c r="C37" s="30" t="s">
        <v>39</v>
      </c>
      <c r="D37" s="32" t="s">
        <v>49</v>
      </c>
      <c r="E37" s="33">
        <v>8.0</v>
      </c>
      <c r="F37" s="35">
        <v>268.0</v>
      </c>
      <c r="G37" s="31">
        <v>1789295.0</v>
      </c>
      <c r="H37" s="31">
        <f t="shared" si="1"/>
        <v>0.1497796618</v>
      </c>
      <c r="I37" s="42">
        <v>21.16</v>
      </c>
      <c r="J37" s="44">
        <v>7.29</v>
      </c>
      <c r="K37" s="61">
        <v>7412.6</v>
      </c>
      <c r="L37" s="46">
        <v>0.0</v>
      </c>
      <c r="M37" s="47">
        <v>2.919</v>
      </c>
      <c r="N37" s="48">
        <v>6.43</v>
      </c>
      <c r="O37" s="49">
        <v>5020.0</v>
      </c>
      <c r="P37" s="49">
        <v>1719751.0</v>
      </c>
      <c r="Q37" s="50">
        <v>1.0</v>
      </c>
      <c r="R37" s="51">
        <v>0.0</v>
      </c>
      <c r="S37" s="51">
        <v>0.0</v>
      </c>
      <c r="T37" s="51">
        <v>0.0</v>
      </c>
      <c r="U37" s="51">
        <v>0.0</v>
      </c>
      <c r="V37" s="35"/>
      <c r="W37" s="35"/>
      <c r="X37" s="35"/>
      <c r="Y37" s="35"/>
      <c r="Z37" s="35"/>
      <c r="AA37" s="35"/>
      <c r="AB37" s="35"/>
      <c r="AC37" s="35"/>
    </row>
    <row r="38">
      <c r="A38" s="30" t="s">
        <v>39</v>
      </c>
      <c r="B38" s="52">
        <v>2007.0</v>
      </c>
      <c r="C38" s="30" t="s">
        <v>41</v>
      </c>
      <c r="D38" s="32" t="s">
        <v>49</v>
      </c>
      <c r="E38" s="33">
        <v>8.0</v>
      </c>
      <c r="F38" s="35">
        <v>525.0</v>
      </c>
      <c r="G38" s="31">
        <v>1950204.75</v>
      </c>
      <c r="H38" s="31">
        <f t="shared" si="1"/>
        <v>0.269202503</v>
      </c>
      <c r="I38" s="42">
        <v>34.02</v>
      </c>
      <c r="J38" s="53">
        <v>8.75</v>
      </c>
      <c r="K38" s="61">
        <v>9735.63</v>
      </c>
      <c r="L38" s="46">
        <v>0.0</v>
      </c>
      <c r="M38" s="47">
        <v>26.981</v>
      </c>
      <c r="N38" s="48">
        <v>13.06</v>
      </c>
      <c r="O38" s="49">
        <v>12876.25</v>
      </c>
      <c r="P38" s="49">
        <v>1789295.0</v>
      </c>
      <c r="Q38" s="51">
        <v>0.0</v>
      </c>
      <c r="R38" s="51">
        <v>1.0</v>
      </c>
      <c r="S38" s="51">
        <v>0.0</v>
      </c>
      <c r="T38" s="51">
        <v>0.0</v>
      </c>
      <c r="U38" s="51">
        <v>0.0</v>
      </c>
      <c r="V38" s="35"/>
      <c r="W38" s="35"/>
      <c r="X38" s="35"/>
      <c r="Y38" s="35"/>
      <c r="Z38" s="35"/>
      <c r="AA38" s="35"/>
      <c r="AB38" s="35"/>
      <c r="AC38" s="35"/>
    </row>
    <row r="39">
      <c r="A39" s="30" t="s">
        <v>41</v>
      </c>
      <c r="B39" s="52">
        <v>2011.0</v>
      </c>
      <c r="C39" s="30" t="s">
        <v>43</v>
      </c>
      <c r="D39" s="32" t="s">
        <v>49</v>
      </c>
      <c r="E39" s="33">
        <v>8.0</v>
      </c>
      <c r="F39" s="35">
        <v>0.0</v>
      </c>
      <c r="G39" s="31">
        <v>2190455.0</v>
      </c>
      <c r="H39" s="31">
        <f t="shared" si="1"/>
        <v>0</v>
      </c>
      <c r="I39" s="54">
        <v>39.3</v>
      </c>
      <c r="J39" s="53">
        <v>11.9</v>
      </c>
      <c r="K39" s="61">
        <v>13108.75</v>
      </c>
      <c r="L39" s="46">
        <v>0.0</v>
      </c>
      <c r="M39" s="47">
        <v>67.091</v>
      </c>
      <c r="N39" s="48">
        <v>13.82</v>
      </c>
      <c r="O39" s="49">
        <v>20133.6666666667</v>
      </c>
      <c r="P39" s="49">
        <v>1950204.75</v>
      </c>
      <c r="Q39" s="51">
        <v>0.0</v>
      </c>
      <c r="R39" s="51">
        <v>0.0</v>
      </c>
      <c r="S39" s="51">
        <v>1.0</v>
      </c>
      <c r="T39" s="51">
        <v>0.0</v>
      </c>
      <c r="U39" s="51">
        <v>0.0</v>
      </c>
      <c r="V39" s="35"/>
      <c r="W39" s="35"/>
      <c r="X39" s="35"/>
      <c r="Y39" s="35"/>
      <c r="Z39" s="35"/>
      <c r="AA39" s="35"/>
      <c r="AB39" s="35"/>
      <c r="AC39" s="35"/>
    </row>
    <row r="40">
      <c r="A40" s="30" t="s">
        <v>43</v>
      </c>
      <c r="B40" s="52">
        <v>2015.0</v>
      </c>
      <c r="C40" s="30">
        <v>2016.0</v>
      </c>
      <c r="D40" s="55" t="s">
        <v>49</v>
      </c>
      <c r="E40" s="33">
        <v>8.0</v>
      </c>
      <c r="F40" s="35">
        <v>409.0</v>
      </c>
      <c r="G40" s="31">
        <v>2328555.0</v>
      </c>
      <c r="H40" s="31">
        <f t="shared" si="1"/>
        <v>0.175645411</v>
      </c>
      <c r="I40" s="54">
        <v>34.9</v>
      </c>
      <c r="J40" s="56">
        <v>16.02</v>
      </c>
      <c r="K40" s="61">
        <v>13403.0</v>
      </c>
      <c r="L40" s="46">
        <v>0.0</v>
      </c>
      <c r="M40" s="47">
        <v>111.744</v>
      </c>
      <c r="N40" s="48">
        <v>11.87</v>
      </c>
      <c r="O40" s="49">
        <v>29767.75</v>
      </c>
      <c r="P40" s="49">
        <v>2190455.0</v>
      </c>
      <c r="Q40" s="51">
        <v>0.0</v>
      </c>
      <c r="R40" s="51">
        <v>0.0</v>
      </c>
      <c r="S40" s="51">
        <v>0.0</v>
      </c>
      <c r="T40" s="51">
        <v>1.0</v>
      </c>
      <c r="U40" s="51">
        <v>0.0</v>
      </c>
      <c r="V40" s="35"/>
      <c r="W40" s="35"/>
      <c r="X40" s="35"/>
      <c r="Y40" s="35"/>
      <c r="Z40" s="35"/>
      <c r="AA40" s="35"/>
      <c r="AB40" s="35"/>
      <c r="AC40" s="35"/>
    </row>
    <row r="41">
      <c r="A41" s="30">
        <v>2016.0</v>
      </c>
      <c r="B41" s="52">
        <v>2016.0</v>
      </c>
      <c r="C41" s="30" t="s">
        <v>45</v>
      </c>
      <c r="D41" s="55" t="s">
        <v>49</v>
      </c>
      <c r="E41" s="33">
        <v>8.0</v>
      </c>
      <c r="F41" s="35">
        <v>0.0</v>
      </c>
      <c r="G41" s="31">
        <v>2395376.0</v>
      </c>
      <c r="H41" s="31">
        <f t="shared" si="1"/>
        <v>0</v>
      </c>
      <c r="I41" s="54">
        <v>41.3</v>
      </c>
      <c r="J41" s="56">
        <v>16.72</v>
      </c>
      <c r="K41" s="62">
        <v>10887.0</v>
      </c>
      <c r="L41" s="46">
        <v>0.0</v>
      </c>
      <c r="M41" s="47">
        <v>127.165</v>
      </c>
      <c r="N41" s="48">
        <v>7.48</v>
      </c>
      <c r="O41" s="49">
        <v>33087.0</v>
      </c>
      <c r="P41" s="49">
        <v>2328555.0</v>
      </c>
      <c r="Q41" s="51">
        <v>0.0</v>
      </c>
      <c r="R41" s="51">
        <v>0.0</v>
      </c>
      <c r="S41" s="51">
        <v>0.0</v>
      </c>
      <c r="T41" s="51">
        <v>0.0</v>
      </c>
      <c r="U41" s="51">
        <v>1.0</v>
      </c>
      <c r="V41" s="35"/>
      <c r="W41" s="35"/>
      <c r="X41" s="35"/>
      <c r="Y41" s="35"/>
      <c r="Z41" s="35"/>
      <c r="AA41" s="35"/>
      <c r="AB41" s="35"/>
      <c r="AC41" s="35"/>
    </row>
    <row r="42">
      <c r="A42" s="26" t="s">
        <v>37</v>
      </c>
      <c r="B42" s="52">
        <v>2002.0</v>
      </c>
      <c r="C42" s="30" t="s">
        <v>39</v>
      </c>
      <c r="D42" s="32" t="s">
        <v>50</v>
      </c>
      <c r="E42" s="33">
        <v>9.0</v>
      </c>
      <c r="F42" s="35">
        <v>0.0</v>
      </c>
      <c r="G42" s="31">
        <v>112721.0</v>
      </c>
      <c r="H42" s="31">
        <f t="shared" si="1"/>
        <v>0</v>
      </c>
      <c r="I42" s="42">
        <v>11.76</v>
      </c>
      <c r="J42" s="44">
        <v>2.28</v>
      </c>
      <c r="K42" s="61">
        <v>2601.26</v>
      </c>
      <c r="L42" s="46">
        <v>0.0</v>
      </c>
      <c r="M42" s="47">
        <v>0.015</v>
      </c>
      <c r="N42" s="48">
        <v>-10.67</v>
      </c>
      <c r="O42" s="49">
        <v>2.0</v>
      </c>
      <c r="P42" s="49">
        <v>133756.0</v>
      </c>
      <c r="Q42" s="50">
        <v>1.0</v>
      </c>
      <c r="R42" s="51">
        <v>0.0</v>
      </c>
      <c r="S42" s="51">
        <v>0.0</v>
      </c>
      <c r="T42" s="51">
        <v>0.0</v>
      </c>
      <c r="U42" s="51">
        <v>0.0</v>
      </c>
      <c r="V42" s="35"/>
      <c r="W42" s="35"/>
      <c r="X42" s="35"/>
      <c r="Y42" s="35"/>
      <c r="Z42" s="35"/>
      <c r="AA42" s="35"/>
      <c r="AB42" s="35"/>
      <c r="AC42" s="35"/>
    </row>
    <row r="43">
      <c r="A43" s="30" t="s">
        <v>39</v>
      </c>
      <c r="B43" s="52">
        <v>2007.0</v>
      </c>
      <c r="C43" s="30" t="s">
        <v>41</v>
      </c>
      <c r="D43" s="32" t="s">
        <v>50</v>
      </c>
      <c r="E43" s="33">
        <v>9.0</v>
      </c>
      <c r="F43" s="35">
        <v>213.0</v>
      </c>
      <c r="G43" s="31">
        <v>108330.0</v>
      </c>
      <c r="H43" s="31">
        <f t="shared" si="1"/>
        <v>1.966214345</v>
      </c>
      <c r="I43" s="42">
        <v>40.6</v>
      </c>
      <c r="J43" s="53">
        <v>3.54</v>
      </c>
      <c r="K43" s="61">
        <v>3322.75</v>
      </c>
      <c r="L43" s="46">
        <v>0.0</v>
      </c>
      <c r="M43" s="47">
        <v>1.156</v>
      </c>
      <c r="N43" s="48">
        <v>-17.69</v>
      </c>
      <c r="O43" s="49">
        <v>44.0</v>
      </c>
      <c r="P43" s="49">
        <v>112721.0</v>
      </c>
      <c r="Q43" s="51">
        <v>0.0</v>
      </c>
      <c r="R43" s="51">
        <v>1.0</v>
      </c>
      <c r="S43" s="51">
        <v>0.0</v>
      </c>
      <c r="T43" s="51">
        <v>0.0</v>
      </c>
      <c r="U43" s="51">
        <v>0.0</v>
      </c>
      <c r="V43" s="35"/>
      <c r="W43" s="35"/>
      <c r="X43" s="35"/>
      <c r="Y43" s="35"/>
      <c r="Z43" s="35"/>
      <c r="AA43" s="35"/>
      <c r="AB43" s="35"/>
      <c r="AC43" s="35"/>
    </row>
    <row r="44">
      <c r="A44" s="30" t="s">
        <v>41</v>
      </c>
      <c r="B44" s="52">
        <v>2011.0</v>
      </c>
      <c r="C44" s="30" t="s">
        <v>43</v>
      </c>
      <c r="D44" s="32" t="s">
        <v>50</v>
      </c>
      <c r="E44" s="33">
        <v>9.0</v>
      </c>
      <c r="F44" s="35">
        <v>78.5</v>
      </c>
      <c r="G44" s="31">
        <v>102374.75</v>
      </c>
      <c r="H44" s="31">
        <f t="shared" si="1"/>
        <v>0.7667906393</v>
      </c>
      <c r="I44" s="54">
        <v>40.2</v>
      </c>
      <c r="J44" s="53">
        <v>6.31</v>
      </c>
      <c r="K44" s="61">
        <v>5485.0</v>
      </c>
      <c r="L44" s="46">
        <v>0.0</v>
      </c>
      <c r="M44" s="47">
        <v>2.75</v>
      </c>
      <c r="N44" s="48">
        <v>-25.23</v>
      </c>
      <c r="O44" s="49">
        <v>126.333333333333</v>
      </c>
      <c r="P44" s="49">
        <v>108330.0</v>
      </c>
      <c r="Q44" s="51">
        <v>0.0</v>
      </c>
      <c r="R44" s="51">
        <v>0.0</v>
      </c>
      <c r="S44" s="51">
        <v>1.0</v>
      </c>
      <c r="T44" s="51">
        <v>0.0</v>
      </c>
      <c r="U44" s="51">
        <v>0.0</v>
      </c>
      <c r="V44" s="35"/>
      <c r="W44" s="35"/>
      <c r="X44" s="35"/>
      <c r="Y44" s="35"/>
      <c r="Z44" s="35"/>
      <c r="AA44" s="35"/>
      <c r="AB44" s="35"/>
      <c r="AC44" s="35"/>
    </row>
    <row r="45">
      <c r="A45" s="30" t="s">
        <v>43</v>
      </c>
      <c r="B45" s="52">
        <v>2015.0</v>
      </c>
      <c r="C45" s="30">
        <v>2016.0</v>
      </c>
      <c r="D45" s="55" t="s">
        <v>50</v>
      </c>
      <c r="E45" s="33">
        <v>9.0</v>
      </c>
      <c r="F45" s="35">
        <v>92.0</v>
      </c>
      <c r="G45" s="31">
        <v>98335.0</v>
      </c>
      <c r="H45" s="31">
        <f t="shared" si="1"/>
        <v>0.9355773631</v>
      </c>
      <c r="I45" s="54">
        <v>26.2</v>
      </c>
      <c r="J45" s="56">
        <v>9.83</v>
      </c>
      <c r="K45" s="61">
        <v>6591.0</v>
      </c>
      <c r="L45" s="46">
        <v>0.0</v>
      </c>
      <c r="M45" s="47">
        <v>12.161</v>
      </c>
      <c r="N45" s="48">
        <v>-18.9</v>
      </c>
      <c r="O45" s="49">
        <v>248.5</v>
      </c>
      <c r="P45" s="49">
        <v>102374.75</v>
      </c>
      <c r="Q45" s="51">
        <v>0.0</v>
      </c>
      <c r="R45" s="51">
        <v>0.0</v>
      </c>
      <c r="S45" s="51">
        <v>0.0</v>
      </c>
      <c r="T45" s="51">
        <v>1.0</v>
      </c>
      <c r="U45" s="51">
        <v>0.0</v>
      </c>
      <c r="V45" s="35"/>
      <c r="W45" s="35"/>
      <c r="X45" s="35"/>
      <c r="Y45" s="35"/>
      <c r="Z45" s="35"/>
      <c r="AA45" s="35"/>
      <c r="AB45" s="35"/>
      <c r="AC45" s="35"/>
    </row>
    <row r="46">
      <c r="A46" s="30">
        <v>2016.0</v>
      </c>
      <c r="B46" s="52">
        <v>2016.0</v>
      </c>
      <c r="C46" s="30" t="s">
        <v>45</v>
      </c>
      <c r="D46" s="55" t="s">
        <v>50</v>
      </c>
      <c r="E46" s="33">
        <v>9.0</v>
      </c>
      <c r="F46" s="35">
        <v>0.0</v>
      </c>
      <c r="G46" s="31">
        <v>98001.5</v>
      </c>
      <c r="H46" s="31">
        <f t="shared" si="1"/>
        <v>0</v>
      </c>
      <c r="I46" s="54">
        <v>36.5</v>
      </c>
      <c r="J46" s="56">
        <v>10.53</v>
      </c>
      <c r="K46" s="62">
        <v>6537.0</v>
      </c>
      <c r="L46" s="46">
        <v>0.0</v>
      </c>
      <c r="M46" s="47">
        <v>14.398</v>
      </c>
      <c r="N46" s="48">
        <v>-19.47</v>
      </c>
      <c r="O46" s="49">
        <v>111.0</v>
      </c>
      <c r="P46" s="49">
        <v>98335.0</v>
      </c>
      <c r="Q46" s="51">
        <v>0.0</v>
      </c>
      <c r="R46" s="51">
        <v>0.0</v>
      </c>
      <c r="S46" s="51">
        <v>0.0</v>
      </c>
      <c r="T46" s="51">
        <v>0.0</v>
      </c>
      <c r="U46" s="51">
        <v>1.0</v>
      </c>
      <c r="V46" s="35"/>
      <c r="W46" s="35"/>
      <c r="X46" s="35"/>
      <c r="Y46" s="35"/>
      <c r="Z46" s="35"/>
      <c r="AA46" s="35"/>
      <c r="AB46" s="35"/>
      <c r="AC46" s="35"/>
    </row>
    <row r="47">
      <c r="A47" s="26" t="s">
        <v>37</v>
      </c>
      <c r="B47" s="52">
        <v>2002.0</v>
      </c>
      <c r="C47" s="30" t="s">
        <v>39</v>
      </c>
      <c r="D47" s="32" t="s">
        <v>51</v>
      </c>
      <c r="E47" s="33">
        <v>10.0</v>
      </c>
      <c r="F47" s="35">
        <v>0.0</v>
      </c>
      <c r="G47" s="31">
        <v>168092.0</v>
      </c>
      <c r="H47" s="31">
        <f t="shared" si="1"/>
        <v>0</v>
      </c>
      <c r="I47" s="42">
        <v>23.21</v>
      </c>
      <c r="J47" s="44">
        <v>3.91</v>
      </c>
      <c r="K47" s="61">
        <v>4169.65</v>
      </c>
      <c r="L47" s="46">
        <v>0.0</v>
      </c>
      <c r="M47" s="47">
        <v>1.521</v>
      </c>
      <c r="N47" s="48">
        <v>-6.36</v>
      </c>
      <c r="O47" s="49">
        <v>292.0</v>
      </c>
      <c r="P47" s="49">
        <v>191934.0</v>
      </c>
      <c r="Q47" s="50">
        <v>1.0</v>
      </c>
      <c r="R47" s="51">
        <v>0.0</v>
      </c>
      <c r="S47" s="51">
        <v>0.0</v>
      </c>
      <c r="T47" s="51">
        <v>0.0</v>
      </c>
      <c r="U47" s="51">
        <v>0.0</v>
      </c>
      <c r="V47" s="35"/>
      <c r="W47" s="35"/>
      <c r="X47" s="35"/>
      <c r="Y47" s="35"/>
      <c r="Z47" s="35"/>
      <c r="AA47" s="35"/>
      <c r="AB47" s="35"/>
      <c r="AC47" s="35"/>
    </row>
    <row r="48">
      <c r="A48" s="30" t="s">
        <v>39</v>
      </c>
      <c r="B48" s="52">
        <v>2007.0</v>
      </c>
      <c r="C48" s="30" t="s">
        <v>41</v>
      </c>
      <c r="D48" s="32" t="s">
        <v>51</v>
      </c>
      <c r="E48" s="33">
        <v>10.0</v>
      </c>
      <c r="F48" s="35">
        <v>8.0</v>
      </c>
      <c r="G48" s="31">
        <v>165829.25</v>
      </c>
      <c r="H48" s="31">
        <f t="shared" si="1"/>
        <v>0.04824239391</v>
      </c>
      <c r="I48" s="42">
        <v>37.78</v>
      </c>
      <c r="J48" s="53">
        <v>5.75</v>
      </c>
      <c r="K48" s="61">
        <v>5866.19</v>
      </c>
      <c r="L48" s="46">
        <v>0.0</v>
      </c>
      <c r="M48" s="47">
        <v>13.069</v>
      </c>
      <c r="N48" s="48">
        <v>-9.03</v>
      </c>
      <c r="O48" s="49">
        <v>528.5</v>
      </c>
      <c r="P48" s="49">
        <v>168092.0</v>
      </c>
      <c r="Q48" s="51">
        <v>0.0</v>
      </c>
      <c r="R48" s="51">
        <v>1.0</v>
      </c>
      <c r="S48" s="51">
        <v>0.0</v>
      </c>
      <c r="T48" s="51">
        <v>0.0</v>
      </c>
      <c r="U48" s="51">
        <v>0.0</v>
      </c>
      <c r="V48" s="35"/>
      <c r="W48" s="35"/>
      <c r="X48" s="35"/>
      <c r="Y48" s="35"/>
      <c r="Z48" s="35"/>
      <c r="AA48" s="35"/>
      <c r="AB48" s="35"/>
      <c r="AC48" s="35"/>
    </row>
    <row r="49">
      <c r="A49" s="30" t="s">
        <v>41</v>
      </c>
      <c r="B49" s="52">
        <v>2011.0</v>
      </c>
      <c r="C49" s="30" t="s">
        <v>43</v>
      </c>
      <c r="D49" s="32" t="s">
        <v>51</v>
      </c>
      <c r="E49" s="33">
        <v>10.0</v>
      </c>
      <c r="F49" s="35">
        <v>0.0</v>
      </c>
      <c r="G49" s="31">
        <v>168615.0</v>
      </c>
      <c r="H49" s="31">
        <f t="shared" si="1"/>
        <v>0</v>
      </c>
      <c r="I49" s="54">
        <v>46.4</v>
      </c>
      <c r="J49" s="53">
        <v>8.99</v>
      </c>
      <c r="K49" s="61">
        <v>9060.0</v>
      </c>
      <c r="L49" s="46">
        <v>0.0</v>
      </c>
      <c r="M49" s="47">
        <v>27.885</v>
      </c>
      <c r="N49" s="48">
        <v>-8.35</v>
      </c>
      <c r="O49" s="49">
        <v>918.333333333333</v>
      </c>
      <c r="P49" s="49">
        <v>165829.25</v>
      </c>
      <c r="Q49" s="51">
        <v>0.0</v>
      </c>
      <c r="R49" s="51">
        <v>0.0</v>
      </c>
      <c r="S49" s="51">
        <v>1.0</v>
      </c>
      <c r="T49" s="51">
        <v>0.0</v>
      </c>
      <c r="U49" s="51">
        <v>0.0</v>
      </c>
      <c r="V49" s="35"/>
      <c r="W49" s="35"/>
      <c r="X49" s="35"/>
      <c r="Y49" s="35"/>
      <c r="Z49" s="35"/>
      <c r="AA49" s="35"/>
      <c r="AB49" s="35"/>
      <c r="AC49" s="35"/>
    </row>
    <row r="50">
      <c r="A50" s="30" t="s">
        <v>43</v>
      </c>
      <c r="B50" s="52">
        <v>2015.0</v>
      </c>
      <c r="C50" s="30">
        <v>2016.0</v>
      </c>
      <c r="D50" s="55" t="s">
        <v>51</v>
      </c>
      <c r="E50" s="33">
        <v>10.0</v>
      </c>
      <c r="F50" s="35">
        <v>0.0</v>
      </c>
      <c r="G50" s="31">
        <v>168068.0</v>
      </c>
      <c r="H50" s="31">
        <f t="shared" si="1"/>
        <v>0</v>
      </c>
      <c r="I50" s="54">
        <v>38.8</v>
      </c>
      <c r="J50" s="56">
        <v>13.65</v>
      </c>
      <c r="K50" s="61">
        <v>9924.25</v>
      </c>
      <c r="L50" s="46">
        <v>0.0</v>
      </c>
      <c r="M50" s="47">
        <v>50.027</v>
      </c>
      <c r="N50" s="48">
        <v>0.67</v>
      </c>
      <c r="O50" s="49">
        <v>891.25</v>
      </c>
      <c r="P50" s="49">
        <v>168615.0</v>
      </c>
      <c r="Q50" s="51">
        <v>0.0</v>
      </c>
      <c r="R50" s="51">
        <v>0.0</v>
      </c>
      <c r="S50" s="51">
        <v>0.0</v>
      </c>
      <c r="T50" s="51">
        <v>1.0</v>
      </c>
      <c r="U50" s="51">
        <v>0.0</v>
      </c>
      <c r="V50" s="35"/>
      <c r="W50" s="35"/>
      <c r="X50" s="35"/>
      <c r="Y50" s="35"/>
      <c r="Z50" s="35"/>
      <c r="AA50" s="35"/>
      <c r="AB50" s="35"/>
      <c r="AC50" s="35"/>
    </row>
    <row r="51">
      <c r="A51" s="30">
        <v>2016.0</v>
      </c>
      <c r="B51" s="52">
        <v>2016.0</v>
      </c>
      <c r="C51" s="30" t="s">
        <v>45</v>
      </c>
      <c r="D51" s="55" t="s">
        <v>51</v>
      </c>
      <c r="E51" s="33">
        <v>10.0</v>
      </c>
      <c r="F51" s="35">
        <v>38.5</v>
      </c>
      <c r="G51" s="31">
        <v>170076.5</v>
      </c>
      <c r="H51" s="31">
        <f t="shared" si="1"/>
        <v>0.2263687223</v>
      </c>
      <c r="I51" s="54">
        <v>45.2</v>
      </c>
      <c r="J51" s="56">
        <v>14.31</v>
      </c>
      <c r="K51" s="62">
        <v>9090.0</v>
      </c>
      <c r="L51" s="46">
        <v>0.0</v>
      </c>
      <c r="M51" s="47">
        <v>55.723</v>
      </c>
      <c r="N51" s="48">
        <v>-8.76</v>
      </c>
      <c r="O51" s="49">
        <v>1239.0</v>
      </c>
      <c r="P51" s="49">
        <v>168068.0</v>
      </c>
      <c r="Q51" s="51">
        <v>0.0</v>
      </c>
      <c r="R51" s="51">
        <v>0.0</v>
      </c>
      <c r="S51" s="51">
        <v>0.0</v>
      </c>
      <c r="T51" s="51">
        <v>0.0</v>
      </c>
      <c r="U51" s="51">
        <v>1.0</v>
      </c>
      <c r="V51" s="35"/>
      <c r="W51" s="35"/>
      <c r="X51" s="35"/>
      <c r="Y51" s="35"/>
      <c r="Z51" s="35"/>
      <c r="AA51" s="35"/>
      <c r="AB51" s="35"/>
      <c r="AC51" s="35"/>
    </row>
    <row r="52">
      <c r="A52" s="26" t="s">
        <v>37</v>
      </c>
      <c r="B52" s="52">
        <v>2002.0</v>
      </c>
      <c r="C52" s="30" t="s">
        <v>39</v>
      </c>
      <c r="D52" s="32" t="s">
        <v>52</v>
      </c>
      <c r="E52" s="33">
        <v>11.0</v>
      </c>
      <c r="F52" s="35">
        <v>212.8</v>
      </c>
      <c r="G52" s="31">
        <v>946971.0</v>
      </c>
      <c r="H52" s="31">
        <f t="shared" si="1"/>
        <v>0.2247164908</v>
      </c>
      <c r="I52" s="42">
        <v>18.27</v>
      </c>
      <c r="J52" s="44">
        <v>4.4</v>
      </c>
      <c r="K52" s="61">
        <v>4392.01</v>
      </c>
      <c r="L52" s="46">
        <v>0.0</v>
      </c>
      <c r="M52" s="47">
        <v>3.847</v>
      </c>
      <c r="N52" s="48">
        <v>2.55</v>
      </c>
      <c r="O52" s="49">
        <v>3658.0</v>
      </c>
      <c r="P52" s="49">
        <v>950757.0</v>
      </c>
      <c r="Q52" s="50">
        <v>1.0</v>
      </c>
      <c r="R52" s="51">
        <v>0.0</v>
      </c>
      <c r="S52" s="51">
        <v>0.0</v>
      </c>
      <c r="T52" s="51">
        <v>0.0</v>
      </c>
      <c r="U52" s="51">
        <v>0.0</v>
      </c>
      <c r="V52" s="35"/>
      <c r="W52" s="35"/>
      <c r="X52" s="35"/>
      <c r="Y52" s="35"/>
      <c r="Z52" s="35"/>
      <c r="AA52" s="35"/>
      <c r="AB52" s="35"/>
      <c r="AC52" s="35"/>
    </row>
    <row r="53">
      <c r="A53" s="30" t="s">
        <v>39</v>
      </c>
      <c r="B53" s="52">
        <v>2007.0</v>
      </c>
      <c r="C53" s="30" t="s">
        <v>41</v>
      </c>
      <c r="D53" s="32" t="s">
        <v>52</v>
      </c>
      <c r="E53" s="33">
        <v>11.0</v>
      </c>
      <c r="F53" s="35">
        <v>35.0</v>
      </c>
      <c r="G53" s="31">
        <v>983420.0</v>
      </c>
      <c r="H53" s="31">
        <f t="shared" si="1"/>
        <v>0.03559008359</v>
      </c>
      <c r="I53" s="42">
        <v>29.19</v>
      </c>
      <c r="J53" s="53">
        <v>6.91</v>
      </c>
      <c r="K53" s="61">
        <v>5699.79</v>
      </c>
      <c r="L53" s="46">
        <v>0.0</v>
      </c>
      <c r="M53" s="47">
        <v>30.035</v>
      </c>
      <c r="N53" s="48">
        <v>5.85</v>
      </c>
      <c r="O53" s="49">
        <v>6359.25</v>
      </c>
      <c r="P53" s="49">
        <v>946971.0</v>
      </c>
      <c r="Q53" s="51">
        <v>0.0</v>
      </c>
      <c r="R53" s="51">
        <v>1.0</v>
      </c>
      <c r="S53" s="51">
        <v>0.0</v>
      </c>
      <c r="T53" s="51">
        <v>0.0</v>
      </c>
      <c r="U53" s="51">
        <v>0.0</v>
      </c>
      <c r="V53" s="35"/>
      <c r="W53" s="35"/>
      <c r="X53" s="35"/>
      <c r="Y53" s="35"/>
      <c r="Z53" s="35"/>
      <c r="AA53" s="35"/>
      <c r="AB53" s="35"/>
      <c r="AC53" s="35"/>
    </row>
    <row r="54">
      <c r="A54" s="30" t="s">
        <v>41</v>
      </c>
      <c r="B54" s="52">
        <v>2011.0</v>
      </c>
      <c r="C54" s="30" t="s">
        <v>43</v>
      </c>
      <c r="D54" s="32" t="s">
        <v>52</v>
      </c>
      <c r="E54" s="33">
        <v>11.0</v>
      </c>
      <c r="F54" s="35">
        <v>0.0</v>
      </c>
      <c r="G54" s="31">
        <v>1030745.75</v>
      </c>
      <c r="H54" s="31">
        <f t="shared" si="1"/>
        <v>0</v>
      </c>
      <c r="I54" s="54">
        <v>35.5</v>
      </c>
      <c r="J54" s="53">
        <v>9.75</v>
      </c>
      <c r="K54" s="61">
        <v>7609.0</v>
      </c>
      <c r="L54" s="46">
        <v>0.0</v>
      </c>
      <c r="M54" s="47">
        <v>56.553</v>
      </c>
      <c r="N54" s="48">
        <v>3.37</v>
      </c>
      <c r="O54" s="49">
        <v>9053.66666666667</v>
      </c>
      <c r="P54" s="49">
        <v>983420.0</v>
      </c>
      <c r="Q54" s="51">
        <v>0.0</v>
      </c>
      <c r="R54" s="51">
        <v>0.0</v>
      </c>
      <c r="S54" s="51">
        <v>1.0</v>
      </c>
      <c r="T54" s="51">
        <v>0.0</v>
      </c>
      <c r="U54" s="51">
        <v>0.0</v>
      </c>
      <c r="V54" s="35"/>
      <c r="W54" s="35"/>
      <c r="X54" s="35"/>
      <c r="Y54" s="35"/>
      <c r="Z54" s="35"/>
      <c r="AA54" s="35"/>
      <c r="AB54" s="35"/>
      <c r="AC54" s="35"/>
    </row>
    <row r="55">
      <c r="A55" s="30" t="s">
        <v>43</v>
      </c>
      <c r="B55" s="52">
        <v>2015.0</v>
      </c>
      <c r="C55" s="30">
        <v>2016.0</v>
      </c>
      <c r="D55" s="55" t="s">
        <v>52</v>
      </c>
      <c r="E55" s="33">
        <v>11.0</v>
      </c>
      <c r="F55" s="35">
        <v>177.0</v>
      </c>
      <c r="G55" s="31">
        <v>1068260.0</v>
      </c>
      <c r="H55" s="31">
        <f t="shared" si="1"/>
        <v>0.1656900006</v>
      </c>
      <c r="I55" s="54">
        <v>29.3</v>
      </c>
      <c r="J55" s="56">
        <v>13.38</v>
      </c>
      <c r="K55" s="61">
        <v>8509.25</v>
      </c>
      <c r="L55" s="46">
        <v>0.0</v>
      </c>
      <c r="M55" s="47">
        <v>104.555</v>
      </c>
      <c r="N55" s="48">
        <v>4.77</v>
      </c>
      <c r="O55" s="49">
        <v>12614.0</v>
      </c>
      <c r="P55" s="49">
        <v>1030745.75</v>
      </c>
      <c r="Q55" s="51">
        <v>0.0</v>
      </c>
      <c r="R55" s="51">
        <v>0.0</v>
      </c>
      <c r="S55" s="51">
        <v>0.0</v>
      </c>
      <c r="T55" s="51">
        <v>1.0</v>
      </c>
      <c r="U55" s="51">
        <v>0.0</v>
      </c>
      <c r="V55" s="35"/>
      <c r="W55" s="35"/>
      <c r="X55" s="35"/>
      <c r="Y55" s="35"/>
      <c r="Z55" s="35"/>
      <c r="AA55" s="35"/>
      <c r="AB55" s="35"/>
      <c r="AC55" s="35"/>
    </row>
    <row r="56">
      <c r="A56" s="30">
        <v>2016.0</v>
      </c>
      <c r="B56" s="52">
        <v>2016.0</v>
      </c>
      <c r="C56" s="30" t="s">
        <v>45</v>
      </c>
      <c r="D56" s="55" t="s">
        <v>52</v>
      </c>
      <c r="E56" s="33">
        <v>11.0</v>
      </c>
      <c r="F56" s="35">
        <v>0.0</v>
      </c>
      <c r="G56" s="31">
        <v>1089292.5</v>
      </c>
      <c r="H56" s="31">
        <f t="shared" si="1"/>
        <v>0</v>
      </c>
      <c r="I56" s="54">
        <v>33.8</v>
      </c>
      <c r="J56" s="56">
        <v>14.21</v>
      </c>
      <c r="K56" s="62">
        <v>7804.0</v>
      </c>
      <c r="L56" s="46">
        <v>0.0</v>
      </c>
      <c r="M56" s="47">
        <v>115.836</v>
      </c>
      <c r="N56" s="48">
        <v>5.81</v>
      </c>
      <c r="O56" s="49">
        <v>12413.0</v>
      </c>
      <c r="P56" s="49">
        <v>1068260.0</v>
      </c>
      <c r="Q56" s="51">
        <v>0.0</v>
      </c>
      <c r="R56" s="51">
        <v>0.0</v>
      </c>
      <c r="S56" s="51">
        <v>0.0</v>
      </c>
      <c r="T56" s="51">
        <v>0.0</v>
      </c>
      <c r="U56" s="51">
        <v>1.0</v>
      </c>
      <c r="V56" s="35"/>
      <c r="W56" s="35"/>
      <c r="X56" s="35"/>
      <c r="Y56" s="35"/>
      <c r="Z56" s="35"/>
      <c r="AA56" s="35"/>
      <c r="AB56" s="35"/>
      <c r="AC56" s="35"/>
    </row>
    <row r="57">
      <c r="A57" s="26" t="s">
        <v>37</v>
      </c>
      <c r="B57" s="52">
        <v>2002.0</v>
      </c>
      <c r="C57" s="30" t="s">
        <v>39</v>
      </c>
      <c r="D57" s="32" t="s">
        <v>53</v>
      </c>
      <c r="E57" s="33">
        <v>12.0</v>
      </c>
      <c r="F57" s="35">
        <v>887.2</v>
      </c>
      <c r="G57" s="31">
        <v>1118313.0</v>
      </c>
      <c r="H57" s="31">
        <f t="shared" si="1"/>
        <v>0.7933378222</v>
      </c>
      <c r="I57" s="42">
        <v>33.58</v>
      </c>
      <c r="J57" s="44">
        <v>4.59</v>
      </c>
      <c r="K57" s="61">
        <v>4788.65</v>
      </c>
      <c r="L57" s="46">
        <v>0.0</v>
      </c>
      <c r="M57" s="47">
        <v>4.624</v>
      </c>
      <c r="N57" s="48">
        <v>0.49</v>
      </c>
      <c r="O57" s="49">
        <v>4977.0</v>
      </c>
      <c r="P57" s="49">
        <v>1076347.0</v>
      </c>
      <c r="Q57" s="50">
        <v>1.0</v>
      </c>
      <c r="R57" s="51">
        <v>0.0</v>
      </c>
      <c r="S57" s="51">
        <v>0.0</v>
      </c>
      <c r="T57" s="51">
        <v>0.0</v>
      </c>
      <c r="U57" s="51">
        <v>0.0</v>
      </c>
      <c r="V57" s="35"/>
      <c r="W57" s="35"/>
      <c r="X57" s="35"/>
      <c r="Y57" s="35"/>
      <c r="Z57" s="35"/>
      <c r="AA57" s="35"/>
      <c r="AB57" s="35"/>
      <c r="AC57" s="35"/>
    </row>
    <row r="58">
      <c r="A58" s="30" t="s">
        <v>39</v>
      </c>
      <c r="B58" s="52">
        <v>2007.0</v>
      </c>
      <c r="C58" s="30" t="s">
        <v>41</v>
      </c>
      <c r="D58" s="32" t="s">
        <v>53</v>
      </c>
      <c r="E58" s="33">
        <v>12.0</v>
      </c>
      <c r="F58" s="35">
        <v>210.0</v>
      </c>
      <c r="G58" s="31">
        <v>1144249.5</v>
      </c>
      <c r="H58" s="31">
        <f t="shared" si="1"/>
        <v>0.1835264075</v>
      </c>
      <c r="I58" s="42">
        <v>41.47</v>
      </c>
      <c r="J58" s="53">
        <v>7.08</v>
      </c>
      <c r="K58" s="61">
        <v>6411.75</v>
      </c>
      <c r="L58" s="46">
        <v>0.0</v>
      </c>
      <c r="M58" s="47">
        <v>23.312</v>
      </c>
      <c r="N58" s="48">
        <v>3.03</v>
      </c>
      <c r="O58" s="49">
        <v>5683.25</v>
      </c>
      <c r="P58" s="49">
        <v>1118313.0</v>
      </c>
      <c r="Q58" s="51">
        <v>0.0</v>
      </c>
      <c r="R58" s="51">
        <v>1.0</v>
      </c>
      <c r="S58" s="51">
        <v>0.0</v>
      </c>
      <c r="T58" s="51">
        <v>0.0</v>
      </c>
      <c r="U58" s="51">
        <v>0.0</v>
      </c>
      <c r="V58" s="35"/>
      <c r="W58" s="35"/>
      <c r="X58" s="35"/>
      <c r="Y58" s="35"/>
      <c r="Z58" s="35"/>
      <c r="AA58" s="35"/>
      <c r="AB58" s="35"/>
      <c r="AC58" s="35"/>
    </row>
    <row r="59">
      <c r="A59" s="30" t="s">
        <v>41</v>
      </c>
      <c r="B59" s="52">
        <v>2011.0</v>
      </c>
      <c r="C59" s="30" t="s">
        <v>43</v>
      </c>
      <c r="D59" s="32" t="s">
        <v>53</v>
      </c>
      <c r="E59" s="33">
        <v>12.0</v>
      </c>
      <c r="F59" s="35">
        <v>205.0</v>
      </c>
      <c r="G59" s="31">
        <v>1174809.25</v>
      </c>
      <c r="H59" s="31">
        <f t="shared" si="1"/>
        <v>0.1744964129</v>
      </c>
      <c r="I59" s="54">
        <v>46.5</v>
      </c>
      <c r="J59" s="53">
        <v>9.78</v>
      </c>
      <c r="K59" s="61">
        <v>9388.5</v>
      </c>
      <c r="L59" s="46">
        <v>1.0</v>
      </c>
      <c r="M59" s="47">
        <v>50.719</v>
      </c>
      <c r="N59" s="48">
        <v>2.91</v>
      </c>
      <c r="O59" s="49">
        <v>9929.0</v>
      </c>
      <c r="P59" s="49">
        <v>1144249.5</v>
      </c>
      <c r="Q59" s="51">
        <v>0.0</v>
      </c>
      <c r="R59" s="51">
        <v>0.0</v>
      </c>
      <c r="S59" s="51">
        <v>1.0</v>
      </c>
      <c r="T59" s="51">
        <v>0.0</v>
      </c>
      <c r="U59" s="51">
        <v>0.0</v>
      </c>
      <c r="V59" s="35"/>
      <c r="W59" s="35"/>
      <c r="X59" s="35"/>
      <c r="Y59" s="35"/>
      <c r="Z59" s="35"/>
      <c r="AA59" s="35"/>
      <c r="AB59" s="35"/>
      <c r="AC59" s="35"/>
    </row>
    <row r="60">
      <c r="A60" s="30" t="s">
        <v>43</v>
      </c>
      <c r="B60" s="52">
        <v>2015.0</v>
      </c>
      <c r="C60" s="30">
        <v>2016.0</v>
      </c>
      <c r="D60" s="55" t="s">
        <v>53</v>
      </c>
      <c r="E60" s="33">
        <v>12.0</v>
      </c>
      <c r="F60" s="35">
        <v>780.0</v>
      </c>
      <c r="G60" s="31">
        <v>1196176.0</v>
      </c>
      <c r="H60" s="31">
        <f t="shared" si="1"/>
        <v>0.6520779551</v>
      </c>
      <c r="I60" s="54">
        <v>38.9</v>
      </c>
      <c r="J60" s="56">
        <v>13.65</v>
      </c>
      <c r="K60" s="61">
        <v>9861.0</v>
      </c>
      <c r="L60" s="46">
        <v>0.0</v>
      </c>
      <c r="M60" s="47">
        <v>93.483</v>
      </c>
      <c r="N60" s="48">
        <v>3.55</v>
      </c>
      <c r="O60" s="49">
        <v>7339.75</v>
      </c>
      <c r="P60" s="49">
        <v>1174809.25</v>
      </c>
      <c r="Q60" s="51">
        <v>0.0</v>
      </c>
      <c r="R60" s="51">
        <v>0.0</v>
      </c>
      <c r="S60" s="51">
        <v>0.0</v>
      </c>
      <c r="T60" s="51">
        <v>1.0</v>
      </c>
      <c r="U60" s="51">
        <v>0.0</v>
      </c>
      <c r="V60" s="35"/>
      <c r="W60" s="35"/>
      <c r="X60" s="35"/>
      <c r="Y60" s="35"/>
      <c r="Z60" s="35"/>
      <c r="AA60" s="35"/>
      <c r="AB60" s="35"/>
      <c r="AC60" s="35"/>
    </row>
    <row r="61">
      <c r="A61" s="30">
        <v>2016.0</v>
      </c>
      <c r="B61" s="52">
        <v>2016.0</v>
      </c>
      <c r="C61" s="30" t="s">
        <v>45</v>
      </c>
      <c r="D61" s="55" t="s">
        <v>53</v>
      </c>
      <c r="E61" s="33">
        <v>12.0</v>
      </c>
      <c r="F61" s="35">
        <v>55.0</v>
      </c>
      <c r="G61" s="31">
        <v>1215699.5</v>
      </c>
      <c r="H61" s="31">
        <f t="shared" si="1"/>
        <v>0.0452414433</v>
      </c>
      <c r="I61" s="54">
        <v>45.5</v>
      </c>
      <c r="J61" s="56">
        <v>14.41</v>
      </c>
      <c r="K61" s="62">
        <v>9071.0</v>
      </c>
      <c r="L61" s="46">
        <v>0.0</v>
      </c>
      <c r="M61" s="47">
        <v>103.426</v>
      </c>
      <c r="N61" s="48">
        <v>-0.3</v>
      </c>
      <c r="O61" s="49">
        <v>14365.0</v>
      </c>
      <c r="P61" s="49">
        <v>1196176.0</v>
      </c>
      <c r="Q61" s="51">
        <v>0.0</v>
      </c>
      <c r="R61" s="51">
        <v>0.0</v>
      </c>
      <c r="S61" s="51">
        <v>0.0</v>
      </c>
      <c r="T61" s="51">
        <v>0.0</v>
      </c>
      <c r="U61" s="51">
        <v>1.0</v>
      </c>
      <c r="V61" s="35"/>
      <c r="W61" s="35"/>
      <c r="X61" s="35"/>
      <c r="Y61" s="35"/>
      <c r="Z61" s="35"/>
      <c r="AA61" s="35"/>
      <c r="AB61" s="35"/>
      <c r="AC61" s="35"/>
    </row>
    <row r="62">
      <c r="A62" s="26" t="s">
        <v>37</v>
      </c>
      <c r="B62" s="52">
        <v>2002.0</v>
      </c>
      <c r="C62" s="30" t="s">
        <v>39</v>
      </c>
      <c r="D62" s="32" t="s">
        <v>54</v>
      </c>
      <c r="E62" s="33">
        <v>13.0</v>
      </c>
      <c r="F62" s="35">
        <v>139.6</v>
      </c>
      <c r="G62" s="31">
        <v>182131.0</v>
      </c>
      <c r="H62" s="31">
        <f t="shared" si="1"/>
        <v>0.766481269</v>
      </c>
      <c r="I62" s="42">
        <v>28.59</v>
      </c>
      <c r="J62" s="44">
        <v>2.9</v>
      </c>
      <c r="K62" s="61">
        <v>3450.8</v>
      </c>
      <c r="L62" s="46">
        <v>0.0</v>
      </c>
      <c r="M62" s="47">
        <v>0.939</v>
      </c>
      <c r="N62" s="64">
        <v>-8.68</v>
      </c>
      <c r="O62" s="49">
        <v>173.0</v>
      </c>
      <c r="P62" s="49">
        <v>184178.0</v>
      </c>
      <c r="Q62" s="50">
        <v>1.0</v>
      </c>
      <c r="R62" s="51">
        <v>0.0</v>
      </c>
      <c r="S62" s="51">
        <v>0.0</v>
      </c>
      <c r="T62" s="51">
        <v>0.0</v>
      </c>
      <c r="U62" s="51">
        <v>0.0</v>
      </c>
      <c r="V62" s="35"/>
      <c r="W62" s="35"/>
      <c r="X62" s="35"/>
      <c r="Y62" s="35"/>
      <c r="Z62" s="35"/>
      <c r="AA62" s="35"/>
      <c r="AB62" s="35"/>
      <c r="AC62" s="35"/>
    </row>
    <row r="63">
      <c r="A63" s="30" t="s">
        <v>39</v>
      </c>
      <c r="B63" s="52">
        <v>2007.0</v>
      </c>
      <c r="C63" s="30" t="s">
        <v>41</v>
      </c>
      <c r="D63" s="32" t="s">
        <v>54</v>
      </c>
      <c r="E63" s="33">
        <v>13.0</v>
      </c>
      <c r="F63" s="35">
        <v>48.0</v>
      </c>
      <c r="G63" s="31">
        <v>187216.5</v>
      </c>
      <c r="H63" s="31">
        <f t="shared" si="1"/>
        <v>0.2563876581</v>
      </c>
      <c r="I63" s="42">
        <v>38.57</v>
      </c>
      <c r="J63" s="53">
        <v>4.86</v>
      </c>
      <c r="K63" s="61">
        <v>4573.41</v>
      </c>
      <c r="L63" s="46">
        <v>0.0</v>
      </c>
      <c r="M63" s="47">
        <v>5.992</v>
      </c>
      <c r="N63" s="64">
        <v>1.34</v>
      </c>
      <c r="O63" s="49">
        <v>287.0</v>
      </c>
      <c r="P63" s="49">
        <v>182131.0</v>
      </c>
      <c r="Q63" s="51">
        <v>0.0</v>
      </c>
      <c r="R63" s="51">
        <v>1.0</v>
      </c>
      <c r="S63" s="51">
        <v>0.0</v>
      </c>
      <c r="T63" s="51">
        <v>0.0</v>
      </c>
      <c r="U63" s="51">
        <v>0.0</v>
      </c>
      <c r="V63" s="35"/>
      <c r="W63" s="35"/>
      <c r="X63" s="35"/>
      <c r="Y63" s="35"/>
      <c r="Z63" s="35"/>
      <c r="AA63" s="35"/>
      <c r="AB63" s="35"/>
      <c r="AC63" s="35"/>
    </row>
    <row r="64">
      <c r="A64" s="30" t="s">
        <v>41</v>
      </c>
      <c r="B64" s="52">
        <v>2011.0</v>
      </c>
      <c r="C64" s="30" t="s">
        <v>43</v>
      </c>
      <c r="D64" s="32" t="s">
        <v>54</v>
      </c>
      <c r="E64" s="33">
        <v>13.0</v>
      </c>
      <c r="F64" s="35">
        <v>0.0</v>
      </c>
      <c r="G64" s="31">
        <v>189422.0</v>
      </c>
      <c r="H64" s="31">
        <f t="shared" si="1"/>
        <v>0</v>
      </c>
      <c r="I64" s="54">
        <v>48.2</v>
      </c>
      <c r="J64" s="53">
        <v>7.31</v>
      </c>
      <c r="K64" s="61">
        <v>6440.75</v>
      </c>
      <c r="L64" s="46">
        <v>1.0</v>
      </c>
      <c r="M64" s="47">
        <v>16.31</v>
      </c>
      <c r="N64" s="64">
        <v>2.91</v>
      </c>
      <c r="O64" s="49">
        <v>783.333333333333</v>
      </c>
      <c r="P64" s="49">
        <v>187216.5</v>
      </c>
      <c r="Q64" s="51">
        <v>0.0</v>
      </c>
      <c r="R64" s="51">
        <v>0.0</v>
      </c>
      <c r="S64" s="51">
        <v>1.0</v>
      </c>
      <c r="T64" s="51">
        <v>0.0</v>
      </c>
      <c r="U64" s="51">
        <v>0.0</v>
      </c>
      <c r="V64" s="35"/>
      <c r="W64" s="35"/>
      <c r="X64" s="35"/>
      <c r="Y64" s="35"/>
      <c r="Z64" s="35"/>
      <c r="AA64" s="35"/>
      <c r="AB64" s="35"/>
      <c r="AC64" s="35"/>
    </row>
    <row r="65">
      <c r="A65" s="30" t="s">
        <v>43</v>
      </c>
      <c r="B65" s="52">
        <v>2015.0</v>
      </c>
      <c r="C65" s="30">
        <v>2016.0</v>
      </c>
      <c r="D65" s="55" t="s">
        <v>54</v>
      </c>
      <c r="E65" s="33">
        <v>13.0</v>
      </c>
      <c r="F65" s="35">
        <v>0.0</v>
      </c>
      <c r="G65" s="31">
        <v>192389.0</v>
      </c>
      <c r="H65" s="31">
        <f t="shared" si="1"/>
        <v>0</v>
      </c>
      <c r="I65" s="54">
        <v>41.5</v>
      </c>
      <c r="J65" s="56">
        <v>10.14</v>
      </c>
      <c r="K65" s="61">
        <v>7705.5</v>
      </c>
      <c r="L65" s="46">
        <v>0.0</v>
      </c>
      <c r="M65" s="47">
        <v>44.866</v>
      </c>
      <c r="N65" s="64">
        <v>-3.44</v>
      </c>
      <c r="O65" s="49">
        <v>818.5</v>
      </c>
      <c r="P65" s="49">
        <v>189422.0</v>
      </c>
      <c r="Q65" s="51">
        <v>0.0</v>
      </c>
      <c r="R65" s="51">
        <v>0.0</v>
      </c>
      <c r="S65" s="51">
        <v>0.0</v>
      </c>
      <c r="T65" s="51">
        <v>1.0</v>
      </c>
      <c r="U65" s="51">
        <v>0.0</v>
      </c>
      <c r="V65" s="35"/>
      <c r="W65" s="35"/>
      <c r="X65" s="35"/>
      <c r="Y65" s="35"/>
      <c r="Z65" s="35"/>
      <c r="AA65" s="35"/>
      <c r="AB65" s="35"/>
      <c r="AC65" s="35"/>
    </row>
    <row r="66">
      <c r="A66" s="30">
        <v>2016.0</v>
      </c>
      <c r="B66" s="52">
        <v>2016.0</v>
      </c>
      <c r="C66" s="30" t="s">
        <v>45</v>
      </c>
      <c r="D66" s="55" t="s">
        <v>54</v>
      </c>
      <c r="E66" s="33">
        <v>13.0</v>
      </c>
      <c r="F66" s="35">
        <v>160.0</v>
      </c>
      <c r="G66" s="31">
        <v>196288.0</v>
      </c>
      <c r="H66" s="31">
        <f t="shared" si="1"/>
        <v>0.8151287903</v>
      </c>
      <c r="I66" s="54">
        <v>53.3</v>
      </c>
      <c r="J66" s="56">
        <v>10.7</v>
      </c>
      <c r="K66" s="62">
        <v>7020.0</v>
      </c>
      <c r="L66" s="46">
        <v>0.0</v>
      </c>
      <c r="M66" s="47">
        <v>55.856</v>
      </c>
      <c r="N66" s="48">
        <v>4.16</v>
      </c>
      <c r="O66" s="49">
        <v>2639.0</v>
      </c>
      <c r="P66" s="49">
        <v>192389.0</v>
      </c>
      <c r="Q66" s="51">
        <v>0.0</v>
      </c>
      <c r="R66" s="51">
        <v>0.0</v>
      </c>
      <c r="S66" s="51">
        <v>0.0</v>
      </c>
      <c r="T66" s="51">
        <v>0.0</v>
      </c>
      <c r="U66" s="51">
        <v>1.0</v>
      </c>
      <c r="V66" s="35"/>
      <c r="W66" s="35"/>
      <c r="X66" s="35"/>
      <c r="Y66" s="35"/>
      <c r="Z66" s="35"/>
      <c r="AA66" s="35"/>
      <c r="AB66" s="35"/>
      <c r="AC66" s="35"/>
    </row>
    <row r="67">
      <c r="A67" s="26" t="s">
        <v>37</v>
      </c>
      <c r="B67" s="52">
        <v>2002.0</v>
      </c>
      <c r="C67" s="30" t="s">
        <v>39</v>
      </c>
      <c r="D67" s="32" t="s">
        <v>55</v>
      </c>
      <c r="E67" s="33">
        <v>14.0</v>
      </c>
      <c r="F67" s="35">
        <v>279.6</v>
      </c>
      <c r="G67" s="31">
        <v>472487.0</v>
      </c>
      <c r="H67" s="31">
        <f t="shared" si="1"/>
        <v>0.591762313</v>
      </c>
      <c r="I67" s="42">
        <v>20.62</v>
      </c>
      <c r="J67" s="44">
        <v>1.73</v>
      </c>
      <c r="K67" s="61">
        <v>2583.11</v>
      </c>
      <c r="L67" s="46">
        <v>0.0</v>
      </c>
      <c r="M67" s="47">
        <v>0.405</v>
      </c>
      <c r="N67" s="48">
        <v>-4.52</v>
      </c>
      <c r="O67" s="49">
        <v>185.0</v>
      </c>
      <c r="P67" s="49">
        <v>456734.0</v>
      </c>
      <c r="Q67" s="50">
        <v>1.0</v>
      </c>
      <c r="R67" s="51">
        <v>0.0</v>
      </c>
      <c r="S67" s="51">
        <v>0.0</v>
      </c>
      <c r="T67" s="51">
        <v>0.0</v>
      </c>
      <c r="U67" s="51">
        <v>0.0</v>
      </c>
      <c r="V67" s="35"/>
      <c r="W67" s="35"/>
      <c r="X67" s="35"/>
      <c r="Y67" s="35"/>
      <c r="Z67" s="35"/>
      <c r="AA67" s="35"/>
      <c r="AB67" s="35"/>
      <c r="AC67" s="35"/>
    </row>
    <row r="68">
      <c r="A68" s="30" t="s">
        <v>39</v>
      </c>
      <c r="B68" s="52">
        <v>2007.0</v>
      </c>
      <c r="C68" s="30" t="s">
        <v>41</v>
      </c>
      <c r="D68" s="32" t="s">
        <v>55</v>
      </c>
      <c r="E68" s="33">
        <v>14.0</v>
      </c>
      <c r="F68" s="35">
        <v>186.5</v>
      </c>
      <c r="G68" s="31">
        <v>504578.25</v>
      </c>
      <c r="H68" s="31">
        <f t="shared" si="1"/>
        <v>0.3696156146</v>
      </c>
      <c r="I68" s="42">
        <v>46.41</v>
      </c>
      <c r="J68" s="53">
        <v>3.41</v>
      </c>
      <c r="K68" s="61">
        <v>3438.96</v>
      </c>
      <c r="L68" s="46">
        <v>1.0</v>
      </c>
      <c r="M68" s="47">
        <v>4.878</v>
      </c>
      <c r="N68" s="48">
        <v>-5.55</v>
      </c>
      <c r="O68" s="49">
        <v>367.0</v>
      </c>
      <c r="P68" s="49">
        <v>472487.0</v>
      </c>
      <c r="Q68" s="51">
        <v>0.0</v>
      </c>
      <c r="R68" s="51">
        <v>1.0</v>
      </c>
      <c r="S68" s="51">
        <v>0.0</v>
      </c>
      <c r="T68" s="51">
        <v>0.0</v>
      </c>
      <c r="U68" s="51">
        <v>0.0</v>
      </c>
      <c r="V68" s="35"/>
      <c r="W68" s="35"/>
      <c r="X68" s="35"/>
      <c r="Y68" s="35"/>
      <c r="Z68" s="35"/>
      <c r="AA68" s="35"/>
      <c r="AB68" s="35"/>
      <c r="AC68" s="35"/>
    </row>
    <row r="69">
      <c r="A69" s="30" t="s">
        <v>41</v>
      </c>
      <c r="B69" s="52">
        <v>2011.0</v>
      </c>
      <c r="C69" s="30" t="s">
        <v>43</v>
      </c>
      <c r="D69" s="32" t="s">
        <v>55</v>
      </c>
      <c r="E69" s="33">
        <v>14.0</v>
      </c>
      <c r="F69" s="35">
        <v>423.75</v>
      </c>
      <c r="G69" s="31">
        <v>551503.0</v>
      </c>
      <c r="H69" s="31">
        <f t="shared" si="1"/>
        <v>0.7683548412</v>
      </c>
      <c r="I69" s="54">
        <v>37.1</v>
      </c>
      <c r="J69" s="53">
        <v>6.45</v>
      </c>
      <c r="K69" s="61">
        <v>5066.5</v>
      </c>
      <c r="L69" s="46">
        <v>0.0</v>
      </c>
      <c r="M69" s="47">
        <v>5.878</v>
      </c>
      <c r="N69" s="48">
        <v>-0.73</v>
      </c>
      <c r="O69" s="49">
        <v>141.0</v>
      </c>
      <c r="P69" s="49">
        <v>504578.25</v>
      </c>
      <c r="Q69" s="51">
        <v>0.0</v>
      </c>
      <c r="R69" s="51">
        <v>0.0</v>
      </c>
      <c r="S69" s="51">
        <v>1.0</v>
      </c>
      <c r="T69" s="51">
        <v>0.0</v>
      </c>
      <c r="U69" s="51">
        <v>0.0</v>
      </c>
      <c r="V69" s="35"/>
      <c r="W69" s="35"/>
      <c r="X69" s="35"/>
      <c r="Y69" s="35"/>
      <c r="Z69" s="35"/>
      <c r="AA69" s="35"/>
      <c r="AB69" s="35"/>
      <c r="AC69" s="35"/>
    </row>
    <row r="70">
      <c r="A70" s="30" t="s">
        <v>43</v>
      </c>
      <c r="B70" s="52">
        <v>2015.0</v>
      </c>
      <c r="C70" s="30">
        <v>2016.0</v>
      </c>
      <c r="D70" s="55" t="s">
        <v>55</v>
      </c>
      <c r="E70" s="33">
        <v>14.0</v>
      </c>
      <c r="F70" s="35">
        <v>320.0</v>
      </c>
      <c r="G70" s="31">
        <v>576899.0</v>
      </c>
      <c r="H70" s="31">
        <f t="shared" si="1"/>
        <v>0.5546898157</v>
      </c>
      <c r="I70" s="54">
        <v>18.2</v>
      </c>
      <c r="J70" s="56">
        <v>10.63</v>
      </c>
      <c r="K70" s="61">
        <v>5337.5</v>
      </c>
      <c r="L70" s="46">
        <v>0.0</v>
      </c>
      <c r="M70" s="47">
        <v>8.206</v>
      </c>
      <c r="N70" s="48">
        <v>-4.92</v>
      </c>
      <c r="O70" s="49">
        <v>494.75</v>
      </c>
      <c r="P70" s="49">
        <v>551503.0</v>
      </c>
      <c r="Q70" s="51">
        <v>0.0</v>
      </c>
      <c r="R70" s="51">
        <v>0.0</v>
      </c>
      <c r="S70" s="51">
        <v>0.0</v>
      </c>
      <c r="T70" s="51">
        <v>1.0</v>
      </c>
      <c r="U70" s="51">
        <v>0.0</v>
      </c>
      <c r="V70" s="35"/>
      <c r="W70" s="35"/>
      <c r="X70" s="35"/>
      <c r="Y70" s="35"/>
      <c r="Z70" s="35"/>
      <c r="AA70" s="35"/>
      <c r="AB70" s="35"/>
      <c r="AC70" s="35"/>
    </row>
    <row r="71">
      <c r="A71" s="30">
        <v>2016.0</v>
      </c>
      <c r="B71" s="52">
        <v>2016.0</v>
      </c>
      <c r="C71" s="30" t="s">
        <v>45</v>
      </c>
      <c r="D71" s="55" t="s">
        <v>55</v>
      </c>
      <c r="E71" s="33">
        <v>14.0</v>
      </c>
      <c r="F71" s="35">
        <v>195.0</v>
      </c>
      <c r="G71" s="31">
        <v>592177.5</v>
      </c>
      <c r="H71" s="31">
        <f t="shared" si="1"/>
        <v>0.3292931596</v>
      </c>
      <c r="I71" s="54">
        <v>28.4</v>
      </c>
      <c r="J71" s="56">
        <v>11.39</v>
      </c>
      <c r="K71" s="62">
        <v>4635.0</v>
      </c>
      <c r="L71" s="46">
        <v>0.0</v>
      </c>
      <c r="M71" s="47">
        <v>9.689</v>
      </c>
      <c r="N71" s="48">
        <v>-6.18</v>
      </c>
      <c r="O71" s="49">
        <v>2200.0</v>
      </c>
      <c r="P71" s="49">
        <v>576899.0</v>
      </c>
      <c r="Q71" s="51">
        <v>0.0</v>
      </c>
      <c r="R71" s="51">
        <v>0.0</v>
      </c>
      <c r="S71" s="51">
        <v>0.0</v>
      </c>
      <c r="T71" s="51">
        <v>0.0</v>
      </c>
      <c r="U71" s="51">
        <v>1.0</v>
      </c>
      <c r="V71" s="35"/>
      <c r="W71" s="35"/>
      <c r="X71" s="35"/>
      <c r="Y71" s="35"/>
      <c r="Z71" s="35"/>
      <c r="AA71" s="35"/>
      <c r="AB71" s="35"/>
      <c r="AC71" s="35"/>
    </row>
    <row r="72">
      <c r="A72" s="26" t="s">
        <v>37</v>
      </c>
      <c r="B72" s="52">
        <v>2002.0</v>
      </c>
      <c r="C72" s="30" t="s">
        <v>39</v>
      </c>
      <c r="D72" s="32" t="s">
        <v>56</v>
      </c>
      <c r="E72" s="33">
        <v>15.0</v>
      </c>
      <c r="F72" s="35">
        <v>32.8</v>
      </c>
      <c r="G72" s="31">
        <v>76609.0</v>
      </c>
      <c r="H72" s="31">
        <f t="shared" si="1"/>
        <v>0.4281481288</v>
      </c>
      <c r="I72" s="42">
        <v>26.74</v>
      </c>
      <c r="J72" s="44">
        <v>2.62</v>
      </c>
      <c r="K72" s="61">
        <v>2966.13</v>
      </c>
      <c r="L72" s="46">
        <v>0.0</v>
      </c>
      <c r="M72" s="47">
        <v>1.469</v>
      </c>
      <c r="N72" s="48">
        <v>-5.95</v>
      </c>
      <c r="O72" s="49">
        <v>143.0</v>
      </c>
      <c r="P72" s="49">
        <v>97358.0</v>
      </c>
      <c r="Q72" s="50">
        <v>1.0</v>
      </c>
      <c r="R72" s="51">
        <v>0.0</v>
      </c>
      <c r="S72" s="51">
        <v>0.0</v>
      </c>
      <c r="T72" s="51">
        <v>0.0</v>
      </c>
      <c r="U72" s="51">
        <v>0.0</v>
      </c>
      <c r="V72" s="35"/>
      <c r="W72" s="35"/>
      <c r="X72" s="35"/>
      <c r="Y72" s="35"/>
      <c r="Z72" s="35"/>
      <c r="AA72" s="35"/>
      <c r="AB72" s="35"/>
      <c r="AC72" s="35"/>
    </row>
    <row r="73">
      <c r="A73" s="30" t="s">
        <v>39</v>
      </c>
      <c r="B73" s="52">
        <v>2007.0</v>
      </c>
      <c r="C73" s="30" t="s">
        <v>41</v>
      </c>
      <c r="D73" s="32" t="s">
        <v>56</v>
      </c>
      <c r="E73" s="33">
        <v>15.0</v>
      </c>
      <c r="F73" s="35">
        <v>105.0</v>
      </c>
      <c r="G73" s="31">
        <v>75380.25</v>
      </c>
      <c r="H73" s="31">
        <f t="shared" si="1"/>
        <v>1.392937805</v>
      </c>
      <c r="I73" s="42">
        <v>60.75</v>
      </c>
      <c r="J73" s="53">
        <v>4.59</v>
      </c>
      <c r="K73" s="61">
        <v>3869.68</v>
      </c>
      <c r="L73" s="46">
        <v>0.0</v>
      </c>
      <c r="M73" s="47">
        <v>8.211</v>
      </c>
      <c r="N73" s="48">
        <v>-15.72</v>
      </c>
      <c r="O73" s="49">
        <v>177.0</v>
      </c>
      <c r="P73" s="49">
        <v>76609.0</v>
      </c>
      <c r="Q73" s="51">
        <v>0.0</v>
      </c>
      <c r="R73" s="51">
        <v>1.0</v>
      </c>
      <c r="S73" s="51">
        <v>0.0</v>
      </c>
      <c r="T73" s="51">
        <v>0.0</v>
      </c>
      <c r="U73" s="51">
        <v>0.0</v>
      </c>
      <c r="V73" s="35"/>
      <c r="W73" s="35"/>
      <c r="X73" s="35"/>
      <c r="Y73" s="35"/>
      <c r="Z73" s="35"/>
      <c r="AA73" s="35"/>
      <c r="AB73" s="35"/>
      <c r="AC73" s="35"/>
    </row>
    <row r="74">
      <c r="A74" s="30" t="s">
        <v>41</v>
      </c>
      <c r="B74" s="52">
        <v>2011.0</v>
      </c>
      <c r="C74" s="30" t="s">
        <v>43</v>
      </c>
      <c r="D74" s="32" t="s">
        <v>56</v>
      </c>
      <c r="E74" s="33">
        <v>15.0</v>
      </c>
      <c r="F74" s="35">
        <v>15.0</v>
      </c>
      <c r="G74" s="31">
        <v>77643.5</v>
      </c>
      <c r="H74" s="31">
        <f t="shared" si="1"/>
        <v>0.1931906728</v>
      </c>
      <c r="I74" s="54">
        <v>63.4</v>
      </c>
      <c r="J74" s="53">
        <v>7.56</v>
      </c>
      <c r="K74" s="61">
        <v>5887.25</v>
      </c>
      <c r="L74" s="46">
        <v>0.0</v>
      </c>
      <c r="M74" s="47">
        <v>22.778</v>
      </c>
      <c r="N74" s="48">
        <v>-17.87</v>
      </c>
      <c r="O74" s="49">
        <v>304.666666666667</v>
      </c>
      <c r="P74" s="49">
        <v>75380.25</v>
      </c>
      <c r="Q74" s="51">
        <v>0.0</v>
      </c>
      <c r="R74" s="51">
        <v>0.0</v>
      </c>
      <c r="S74" s="51">
        <v>1.0</v>
      </c>
      <c r="T74" s="51">
        <v>0.0</v>
      </c>
      <c r="U74" s="51">
        <v>0.0</v>
      </c>
      <c r="V74" s="35"/>
      <c r="W74" s="35"/>
      <c r="X74" s="35"/>
      <c r="Y74" s="35"/>
      <c r="Z74" s="35"/>
      <c r="AA74" s="35"/>
      <c r="AB74" s="35"/>
      <c r="AC74" s="35"/>
    </row>
    <row r="75">
      <c r="A75" s="30" t="s">
        <v>43</v>
      </c>
      <c r="B75" s="52">
        <v>2015.0</v>
      </c>
      <c r="C75" s="30">
        <v>2016.0</v>
      </c>
      <c r="D75" s="55" t="s">
        <v>56</v>
      </c>
      <c r="E75" s="33">
        <v>15.0</v>
      </c>
      <c r="F75" s="35">
        <v>0.0</v>
      </c>
      <c r="G75" s="31">
        <v>90154.0</v>
      </c>
      <c r="H75" s="31">
        <f t="shared" si="1"/>
        <v>0</v>
      </c>
      <c r="I75" s="54">
        <v>60.3</v>
      </c>
      <c r="J75" s="56">
        <v>12.02</v>
      </c>
      <c r="K75" s="61">
        <v>7214.0</v>
      </c>
      <c r="L75" s="46">
        <v>0.0</v>
      </c>
      <c r="M75" s="47">
        <v>45.744</v>
      </c>
      <c r="N75" s="48">
        <v>7.66</v>
      </c>
      <c r="O75" s="49">
        <v>521.25</v>
      </c>
      <c r="P75" s="49">
        <v>77643.5</v>
      </c>
      <c r="Q75" s="51">
        <v>0.0</v>
      </c>
      <c r="R75" s="51">
        <v>0.0</v>
      </c>
      <c r="S75" s="51">
        <v>0.0</v>
      </c>
      <c r="T75" s="51">
        <v>1.0</v>
      </c>
      <c r="U75" s="51">
        <v>0.0</v>
      </c>
      <c r="V75" s="35"/>
      <c r="W75" s="35"/>
      <c r="X75" s="35"/>
      <c r="Y75" s="35"/>
      <c r="Z75" s="35"/>
      <c r="AA75" s="35"/>
      <c r="AB75" s="35"/>
      <c r="AC75" s="35"/>
    </row>
    <row r="76">
      <c r="A76" s="30">
        <v>2016.0</v>
      </c>
      <c r="B76" s="52">
        <v>2016.0</v>
      </c>
      <c r="C76" s="30" t="s">
        <v>45</v>
      </c>
      <c r="D76" s="55" t="s">
        <v>56</v>
      </c>
      <c r="E76" s="33">
        <v>15.0</v>
      </c>
      <c r="F76" s="35">
        <v>0.0</v>
      </c>
      <c r="G76" s="31">
        <v>81345.5</v>
      </c>
      <c r="H76" s="31">
        <f t="shared" si="1"/>
        <v>0</v>
      </c>
      <c r="I76" s="54">
        <v>73.4</v>
      </c>
      <c r="J76" s="56">
        <v>11.42</v>
      </c>
      <c r="K76" s="62">
        <v>6427.0</v>
      </c>
      <c r="L76" s="46">
        <v>0.0</v>
      </c>
      <c r="M76" s="47">
        <v>51.881</v>
      </c>
      <c r="N76" s="48">
        <v>47.38</v>
      </c>
      <c r="O76" s="49">
        <v>348.0</v>
      </c>
      <c r="P76" s="49">
        <v>90154.0</v>
      </c>
      <c r="Q76" s="51">
        <v>0.0</v>
      </c>
      <c r="R76" s="51">
        <v>0.0</v>
      </c>
      <c r="S76" s="51">
        <v>0.0</v>
      </c>
      <c r="T76" s="51">
        <v>0.0</v>
      </c>
      <c r="U76" s="51">
        <v>1.0</v>
      </c>
      <c r="V76" s="35"/>
      <c r="W76" s="35"/>
      <c r="X76" s="35"/>
      <c r="Y76" s="35"/>
      <c r="Z76" s="35"/>
      <c r="AA76" s="35"/>
      <c r="AB76" s="35"/>
      <c r="AC76" s="35"/>
    </row>
    <row r="77">
      <c r="A77" s="26" t="s">
        <v>37</v>
      </c>
      <c r="B77" s="52">
        <v>2002.0</v>
      </c>
      <c r="C77" s="30" t="s">
        <v>39</v>
      </c>
      <c r="D77" s="32" t="s">
        <v>57</v>
      </c>
      <c r="E77" s="33">
        <v>16.0</v>
      </c>
      <c r="F77" s="35">
        <v>266.4</v>
      </c>
      <c r="G77" s="31">
        <v>203777.0</v>
      </c>
      <c r="H77" s="31">
        <f t="shared" si="1"/>
        <v>1.307311424</v>
      </c>
      <c r="I77" s="42">
        <v>24.88</v>
      </c>
      <c r="J77" s="44">
        <v>3.57</v>
      </c>
      <c r="K77" s="61">
        <v>6255.38</v>
      </c>
      <c r="L77" s="46">
        <v>0.0</v>
      </c>
      <c r="M77" s="47">
        <v>2.583</v>
      </c>
      <c r="N77" s="48">
        <v>5.79</v>
      </c>
      <c r="O77" s="49">
        <v>502.0</v>
      </c>
      <c r="P77" s="49">
        <v>194326.0</v>
      </c>
      <c r="Q77" s="50">
        <v>1.0</v>
      </c>
      <c r="R77" s="51">
        <v>0.0</v>
      </c>
      <c r="S77" s="51">
        <v>0.0</v>
      </c>
      <c r="T77" s="51">
        <v>0.0</v>
      </c>
      <c r="U77" s="51">
        <v>0.0</v>
      </c>
      <c r="V77" s="35"/>
      <c r="W77" s="35"/>
      <c r="X77" s="35"/>
      <c r="Y77" s="35"/>
      <c r="Z77" s="35"/>
      <c r="AA77" s="35"/>
      <c r="AB77" s="35"/>
      <c r="AC77" s="35"/>
    </row>
    <row r="78">
      <c r="A78" s="30" t="s">
        <v>39</v>
      </c>
      <c r="B78" s="52">
        <v>2007.0</v>
      </c>
      <c r="C78" s="30" t="s">
        <v>41</v>
      </c>
      <c r="D78" s="32" t="s">
        <v>57</v>
      </c>
      <c r="E78" s="33">
        <v>16.0</v>
      </c>
      <c r="F78" s="35">
        <v>45.0</v>
      </c>
      <c r="G78" s="31">
        <v>206115.0</v>
      </c>
      <c r="H78" s="31">
        <f t="shared" si="1"/>
        <v>0.2183247216</v>
      </c>
      <c r="I78" s="42">
        <v>39.97</v>
      </c>
      <c r="J78" s="53">
        <v>5.87</v>
      </c>
      <c r="K78" s="61">
        <v>8885.38</v>
      </c>
      <c r="L78" s="46">
        <v>0.0</v>
      </c>
      <c r="M78" s="47">
        <v>26.748</v>
      </c>
      <c r="N78" s="48">
        <v>1.38</v>
      </c>
      <c r="O78" s="49">
        <v>1335.0</v>
      </c>
      <c r="P78" s="49">
        <v>203777.0</v>
      </c>
      <c r="Q78" s="51">
        <v>0.0</v>
      </c>
      <c r="R78" s="51">
        <v>1.0</v>
      </c>
      <c r="S78" s="51">
        <v>0.0</v>
      </c>
      <c r="T78" s="51">
        <v>0.0</v>
      </c>
      <c r="U78" s="51">
        <v>0.0</v>
      </c>
      <c r="V78" s="35"/>
      <c r="W78" s="35"/>
      <c r="X78" s="35"/>
      <c r="Y78" s="35"/>
      <c r="Z78" s="35"/>
      <c r="AA78" s="35"/>
      <c r="AB78" s="35"/>
      <c r="AC78" s="35"/>
    </row>
    <row r="79">
      <c r="A79" s="30" t="s">
        <v>41</v>
      </c>
      <c r="B79" s="52">
        <v>2011.0</v>
      </c>
      <c r="C79" s="30" t="s">
        <v>43</v>
      </c>
      <c r="D79" s="32" t="s">
        <v>57</v>
      </c>
      <c r="E79" s="33">
        <v>16.0</v>
      </c>
      <c r="F79" s="35">
        <v>181.0</v>
      </c>
      <c r="G79" s="31">
        <v>208822.5</v>
      </c>
      <c r="H79" s="31">
        <f t="shared" si="1"/>
        <v>0.8667648362</v>
      </c>
      <c r="I79" s="54">
        <v>42.6</v>
      </c>
      <c r="J79" s="53">
        <v>9.45</v>
      </c>
      <c r="K79" s="61">
        <v>12772.0</v>
      </c>
      <c r="L79" s="46">
        <v>1.0</v>
      </c>
      <c r="M79" s="47">
        <v>54.222</v>
      </c>
      <c r="N79" s="48">
        <v>-0.68</v>
      </c>
      <c r="O79" s="49">
        <v>1803.0</v>
      </c>
      <c r="P79" s="49">
        <v>206115.0</v>
      </c>
      <c r="Q79" s="51">
        <v>0.0</v>
      </c>
      <c r="R79" s="51">
        <v>0.0</v>
      </c>
      <c r="S79" s="51">
        <v>1.0</v>
      </c>
      <c r="T79" s="51">
        <v>0.0</v>
      </c>
      <c r="U79" s="51">
        <v>0.0</v>
      </c>
      <c r="V79" s="35"/>
      <c r="W79" s="35"/>
      <c r="X79" s="35"/>
      <c r="Y79" s="35"/>
      <c r="Z79" s="35"/>
      <c r="AA79" s="35"/>
      <c r="AB79" s="35"/>
      <c r="AC79" s="35"/>
    </row>
    <row r="80">
      <c r="A80" s="30" t="s">
        <v>43</v>
      </c>
      <c r="B80" s="52">
        <v>2015.0</v>
      </c>
      <c r="C80" s="30">
        <v>2016.0</v>
      </c>
      <c r="D80" s="55" t="s">
        <v>57</v>
      </c>
      <c r="E80" s="33">
        <v>16.0</v>
      </c>
      <c r="F80" s="35">
        <v>0.0</v>
      </c>
      <c r="G80" s="31">
        <v>218297.0</v>
      </c>
      <c r="H80" s="31">
        <f t="shared" si="1"/>
        <v>0</v>
      </c>
      <c r="I80" s="54">
        <v>37.3</v>
      </c>
      <c r="J80" s="56">
        <v>13.15</v>
      </c>
      <c r="K80" s="61">
        <v>14494.25</v>
      </c>
      <c r="L80" s="46">
        <v>0.0</v>
      </c>
      <c r="M80" s="47">
        <v>103.299</v>
      </c>
      <c r="N80" s="48">
        <v>4.42</v>
      </c>
      <c r="O80" s="49">
        <v>2449.5</v>
      </c>
      <c r="P80" s="49">
        <v>208822.5</v>
      </c>
      <c r="Q80" s="51">
        <v>0.0</v>
      </c>
      <c r="R80" s="51">
        <v>0.0</v>
      </c>
      <c r="S80" s="51">
        <v>0.0</v>
      </c>
      <c r="T80" s="51">
        <v>1.0</v>
      </c>
      <c r="U80" s="51">
        <v>0.0</v>
      </c>
      <c r="V80" s="35"/>
      <c r="W80" s="35"/>
      <c r="X80" s="35"/>
      <c r="Y80" s="35"/>
      <c r="Z80" s="35"/>
      <c r="AA80" s="35"/>
      <c r="AB80" s="35"/>
      <c r="AC80" s="35"/>
    </row>
    <row r="81">
      <c r="A81" s="30">
        <v>2016.0</v>
      </c>
      <c r="B81" s="52">
        <v>2016.0</v>
      </c>
      <c r="C81" s="30" t="s">
        <v>45</v>
      </c>
      <c r="D81" s="55" t="s">
        <v>57</v>
      </c>
      <c r="E81" s="33">
        <v>16.0</v>
      </c>
      <c r="F81" s="35">
        <v>50.0</v>
      </c>
      <c r="G81" s="31">
        <v>222570.5</v>
      </c>
      <c r="H81" s="31">
        <f t="shared" si="1"/>
        <v>0.2246479205</v>
      </c>
      <c r="I81" s="54">
        <v>46.3</v>
      </c>
      <c r="J81" s="56">
        <v>13.56</v>
      </c>
      <c r="K81" s="62">
        <v>12659.0</v>
      </c>
      <c r="L81" s="46">
        <v>0.0</v>
      </c>
      <c r="M81" s="47">
        <v>114.422</v>
      </c>
      <c r="N81" s="48">
        <v>5.13</v>
      </c>
      <c r="O81" s="49">
        <v>2938.0</v>
      </c>
      <c r="P81" s="49">
        <v>218297.0</v>
      </c>
      <c r="Q81" s="51">
        <v>0.0</v>
      </c>
      <c r="R81" s="51">
        <v>0.0</v>
      </c>
      <c r="S81" s="51">
        <v>0.0</v>
      </c>
      <c r="T81" s="51">
        <v>0.0</v>
      </c>
      <c r="U81" s="51">
        <v>1.0</v>
      </c>
      <c r="V81" s="35"/>
      <c r="W81" s="35"/>
      <c r="X81" s="35"/>
      <c r="Y81" s="35"/>
      <c r="Z81" s="35"/>
      <c r="AA81" s="35"/>
      <c r="AB81" s="35"/>
      <c r="AC81" s="35"/>
    </row>
    <row r="82">
      <c r="A82" s="26" t="s">
        <v>37</v>
      </c>
      <c r="B82" s="52">
        <v>2002.0</v>
      </c>
      <c r="C82" s="30" t="s">
        <v>39</v>
      </c>
      <c r="D82" s="32" t="s">
        <v>58</v>
      </c>
      <c r="E82" s="33">
        <v>17.0</v>
      </c>
      <c r="F82" s="35">
        <v>249.6</v>
      </c>
      <c r="G82" s="31">
        <v>251552.0</v>
      </c>
      <c r="H82" s="31">
        <f t="shared" si="1"/>
        <v>0.992240173</v>
      </c>
      <c r="I82" s="42">
        <v>31.73</v>
      </c>
      <c r="J82" s="44">
        <v>2.14</v>
      </c>
      <c r="K82" s="61">
        <v>2088.45</v>
      </c>
      <c r="L82" s="46">
        <v>0.0</v>
      </c>
      <c r="M82" s="47">
        <v>0.256</v>
      </c>
      <c r="N82" s="48">
        <v>-5.01</v>
      </c>
      <c r="O82" s="49">
        <v>65.0</v>
      </c>
      <c r="P82" s="49">
        <v>253739.0</v>
      </c>
      <c r="Q82" s="50">
        <v>1.0</v>
      </c>
      <c r="R82" s="51">
        <v>0.0</v>
      </c>
      <c r="S82" s="51">
        <v>0.0</v>
      </c>
      <c r="T82" s="51">
        <v>0.0</v>
      </c>
      <c r="U82" s="51">
        <v>0.0</v>
      </c>
      <c r="V82" s="35"/>
      <c r="W82" s="35"/>
      <c r="X82" s="35"/>
      <c r="Y82" s="35"/>
      <c r="Z82" s="35"/>
      <c r="AA82" s="35"/>
      <c r="AB82" s="35"/>
      <c r="AC82" s="35"/>
    </row>
    <row r="83">
      <c r="A83" s="30" t="s">
        <v>39</v>
      </c>
      <c r="B83" s="52">
        <v>2007.0</v>
      </c>
      <c r="C83" s="30" t="s">
        <v>41</v>
      </c>
      <c r="D83" s="32" t="s">
        <v>58</v>
      </c>
      <c r="E83" s="33">
        <v>17.0</v>
      </c>
      <c r="F83" s="35">
        <v>245.0</v>
      </c>
      <c r="G83" s="31">
        <v>257317.25</v>
      </c>
      <c r="H83" s="31">
        <f t="shared" si="1"/>
        <v>0.9521320471</v>
      </c>
      <c r="I83" s="42">
        <v>71.12</v>
      </c>
      <c r="J83" s="53">
        <v>3.32</v>
      </c>
      <c r="K83" s="61">
        <v>2866.55</v>
      </c>
      <c r="L83" s="46">
        <v>1.0</v>
      </c>
      <c r="M83" s="47">
        <v>10.199</v>
      </c>
      <c r="N83" s="48">
        <v>-4.87</v>
      </c>
      <c r="O83" s="49">
        <v>627.0</v>
      </c>
      <c r="P83" s="49">
        <v>251552.0</v>
      </c>
      <c r="Q83" s="51">
        <v>0.0</v>
      </c>
      <c r="R83" s="51">
        <v>1.0</v>
      </c>
      <c r="S83" s="51">
        <v>0.0</v>
      </c>
      <c r="T83" s="51">
        <v>0.0</v>
      </c>
      <c r="U83" s="51">
        <v>0.0</v>
      </c>
      <c r="V83" s="35"/>
      <c r="W83" s="35"/>
      <c r="X83" s="35"/>
      <c r="Y83" s="35"/>
      <c r="Z83" s="35"/>
      <c r="AA83" s="35"/>
      <c r="AB83" s="35"/>
      <c r="AC83" s="35"/>
    </row>
    <row r="84">
      <c r="A84" s="30" t="s">
        <v>41</v>
      </c>
      <c r="B84" s="52">
        <v>2011.0</v>
      </c>
      <c r="C84" s="30" t="s">
        <v>43</v>
      </c>
      <c r="D84" s="32" t="s">
        <v>58</v>
      </c>
      <c r="E84" s="33">
        <v>17.0</v>
      </c>
      <c r="F84" s="35">
        <v>510.75</v>
      </c>
      <c r="G84" s="31">
        <v>265306.0</v>
      </c>
      <c r="H84" s="31">
        <f t="shared" si="1"/>
        <v>1.925135504</v>
      </c>
      <c r="I84" s="54">
        <v>67.1</v>
      </c>
      <c r="J84" s="53">
        <v>6.13</v>
      </c>
      <c r="K84" s="61">
        <v>4509.75</v>
      </c>
      <c r="L84" s="46">
        <v>0.0</v>
      </c>
      <c r="M84" s="47">
        <v>11.631</v>
      </c>
      <c r="N84" s="48">
        <v>-9.01</v>
      </c>
      <c r="O84" s="49">
        <v>198.333333333333</v>
      </c>
      <c r="P84" s="49">
        <v>257317.25</v>
      </c>
      <c r="Q84" s="51">
        <v>0.0</v>
      </c>
      <c r="R84" s="51">
        <v>0.0</v>
      </c>
      <c r="S84" s="51">
        <v>1.0</v>
      </c>
      <c r="T84" s="51">
        <v>0.0</v>
      </c>
      <c r="U84" s="51">
        <v>0.0</v>
      </c>
      <c r="V84" s="35"/>
      <c r="W84" s="35"/>
      <c r="X84" s="35"/>
      <c r="Y84" s="35"/>
      <c r="Z84" s="35"/>
      <c r="AA84" s="35"/>
      <c r="AB84" s="35"/>
      <c r="AC84" s="35"/>
    </row>
    <row r="85">
      <c r="A85" s="30" t="s">
        <v>43</v>
      </c>
      <c r="B85" s="52">
        <v>2015.0</v>
      </c>
      <c r="C85" s="30">
        <v>2016.0</v>
      </c>
      <c r="D85" s="55" t="s">
        <v>58</v>
      </c>
      <c r="E85" s="33">
        <v>17.0</v>
      </c>
      <c r="F85" s="35">
        <v>0.0</v>
      </c>
      <c r="G85" s="31">
        <v>269560.0</v>
      </c>
      <c r="H85" s="31">
        <f t="shared" si="1"/>
        <v>0</v>
      </c>
      <c r="I85" s="54">
        <v>46.9</v>
      </c>
      <c r="J85" s="56">
        <v>10.67</v>
      </c>
      <c r="K85" s="61">
        <v>5670.75</v>
      </c>
      <c r="L85" s="46">
        <v>0.0</v>
      </c>
      <c r="M85" s="47">
        <v>25.969</v>
      </c>
      <c r="N85" s="48">
        <v>-8.0</v>
      </c>
      <c r="O85" s="49">
        <v>1826.75</v>
      </c>
      <c r="P85" s="49">
        <v>265306.0</v>
      </c>
      <c r="Q85" s="51">
        <v>0.0</v>
      </c>
      <c r="R85" s="51">
        <v>0.0</v>
      </c>
      <c r="S85" s="51">
        <v>0.0</v>
      </c>
      <c r="T85" s="51">
        <v>1.0</v>
      </c>
      <c r="U85" s="51">
        <v>0.0</v>
      </c>
      <c r="V85" s="35"/>
      <c r="W85" s="35"/>
      <c r="X85" s="35"/>
      <c r="Y85" s="35"/>
      <c r="Z85" s="35"/>
      <c r="AA85" s="35"/>
      <c r="AB85" s="35"/>
      <c r="AC85" s="35"/>
    </row>
    <row r="86">
      <c r="A86" s="30">
        <v>2016.0</v>
      </c>
      <c r="B86" s="52">
        <v>2016.0</v>
      </c>
      <c r="C86" s="30" t="s">
        <v>45</v>
      </c>
      <c r="D86" s="55" t="s">
        <v>58</v>
      </c>
      <c r="E86" s="33">
        <v>17.0</v>
      </c>
      <c r="F86" s="35">
        <v>0.0</v>
      </c>
      <c r="G86" s="31">
        <v>277279.5</v>
      </c>
      <c r="H86" s="31">
        <f t="shared" si="1"/>
        <v>0</v>
      </c>
      <c r="I86" s="54">
        <v>64.6</v>
      </c>
      <c r="J86" s="56">
        <v>11.6</v>
      </c>
      <c r="K86" s="62">
        <v>5530.0</v>
      </c>
      <c r="L86" s="46">
        <v>0.0</v>
      </c>
      <c r="M86" s="47">
        <v>40.408</v>
      </c>
      <c r="N86" s="48">
        <v>-7.65</v>
      </c>
      <c r="O86" s="49">
        <v>1309.0</v>
      </c>
      <c r="P86" s="49">
        <v>269560.0</v>
      </c>
      <c r="Q86" s="51">
        <v>0.0</v>
      </c>
      <c r="R86" s="51">
        <v>0.0</v>
      </c>
      <c r="S86" s="51">
        <v>0.0</v>
      </c>
      <c r="T86" s="51">
        <v>0.0</v>
      </c>
      <c r="U86" s="51">
        <v>1.0</v>
      </c>
      <c r="V86" s="35"/>
      <c r="W86" s="35"/>
      <c r="X86" s="35"/>
      <c r="Y86" s="35"/>
      <c r="Z86" s="35"/>
      <c r="AA86" s="35"/>
      <c r="AB86" s="35"/>
      <c r="AC86" s="35"/>
    </row>
    <row r="87">
      <c r="A87" s="26" t="s">
        <v>37</v>
      </c>
      <c r="B87" s="52">
        <v>2002.0</v>
      </c>
      <c r="C87" s="30" t="s">
        <v>39</v>
      </c>
      <c r="D87" s="32" t="s">
        <v>59</v>
      </c>
      <c r="E87" s="33">
        <v>18.0</v>
      </c>
      <c r="F87" s="35">
        <v>232.8</v>
      </c>
      <c r="G87" s="31">
        <v>327886.0</v>
      </c>
      <c r="H87" s="31">
        <f t="shared" si="1"/>
        <v>0.7100028669</v>
      </c>
      <c r="I87" s="42">
        <v>17.67</v>
      </c>
      <c r="J87" s="44">
        <v>1.99</v>
      </c>
      <c r="K87" s="61">
        <v>1905.11</v>
      </c>
      <c r="L87" s="46">
        <v>0.0</v>
      </c>
      <c r="M87" s="47">
        <v>0.0</v>
      </c>
      <c r="N87" s="48">
        <v>-2.12</v>
      </c>
      <c r="O87" s="49">
        <v>0.0</v>
      </c>
      <c r="P87" s="49">
        <v>388678.0</v>
      </c>
      <c r="Q87" s="50">
        <v>1.0</v>
      </c>
      <c r="R87" s="51">
        <v>0.0</v>
      </c>
      <c r="S87" s="51">
        <v>0.0</v>
      </c>
      <c r="T87" s="51">
        <v>0.0</v>
      </c>
      <c r="U87" s="51">
        <v>0.0</v>
      </c>
      <c r="V87" s="35"/>
      <c r="W87" s="35"/>
      <c r="X87" s="35"/>
      <c r="Y87" s="35"/>
      <c r="Z87" s="35"/>
      <c r="AA87" s="35"/>
      <c r="AB87" s="35"/>
      <c r="AC87" s="35"/>
    </row>
    <row r="88">
      <c r="A88" s="30" t="s">
        <v>39</v>
      </c>
      <c r="B88" s="52">
        <v>2007.0</v>
      </c>
      <c r="C88" s="30" t="s">
        <v>41</v>
      </c>
      <c r="D88" s="32" t="s">
        <v>59</v>
      </c>
      <c r="E88" s="33">
        <v>18.0</v>
      </c>
      <c r="F88" s="35">
        <v>252.0</v>
      </c>
      <c r="G88" s="31">
        <v>330194.25</v>
      </c>
      <c r="H88" s="31">
        <f t="shared" si="1"/>
        <v>0.7631871239</v>
      </c>
      <c r="I88" s="42">
        <v>58.82</v>
      </c>
      <c r="J88" s="53">
        <v>3.37</v>
      </c>
      <c r="K88" s="61">
        <v>2630.1</v>
      </c>
      <c r="L88" s="46">
        <v>0.0</v>
      </c>
      <c r="M88" s="47">
        <v>0.967</v>
      </c>
      <c r="N88" s="48">
        <v>-14.99</v>
      </c>
      <c r="O88" s="49">
        <v>148.5</v>
      </c>
      <c r="P88" s="49">
        <v>327886.0</v>
      </c>
      <c r="Q88" s="51">
        <v>0.0</v>
      </c>
      <c r="R88" s="51">
        <v>1.0</v>
      </c>
      <c r="S88" s="51">
        <v>0.0</v>
      </c>
      <c r="T88" s="51">
        <v>0.0</v>
      </c>
      <c r="U88" s="51">
        <v>0.0</v>
      </c>
      <c r="V88" s="35"/>
      <c r="W88" s="35"/>
      <c r="X88" s="35"/>
      <c r="Y88" s="35"/>
      <c r="Z88" s="35"/>
      <c r="AA88" s="35"/>
      <c r="AB88" s="35"/>
      <c r="AC88" s="35"/>
    </row>
    <row r="89">
      <c r="A89" s="30" t="s">
        <v>41</v>
      </c>
      <c r="B89" s="52">
        <v>2011.0</v>
      </c>
      <c r="C89" s="30" t="s">
        <v>43</v>
      </c>
      <c r="D89" s="32" t="s">
        <v>59</v>
      </c>
      <c r="E89" s="33">
        <v>18.0</v>
      </c>
      <c r="F89" s="35">
        <v>312.5</v>
      </c>
      <c r="G89" s="31">
        <v>338220.25</v>
      </c>
      <c r="H89" s="31">
        <f t="shared" si="1"/>
        <v>0.9239541394</v>
      </c>
      <c r="I89" s="54">
        <v>50.7</v>
      </c>
      <c r="J89" s="53">
        <v>6.27</v>
      </c>
      <c r="K89" s="61">
        <v>4053.75</v>
      </c>
      <c r="L89" s="46">
        <v>0.0</v>
      </c>
      <c r="M89" s="47">
        <v>9.259</v>
      </c>
      <c r="N89" s="48">
        <v>-18.79</v>
      </c>
      <c r="O89" s="49">
        <v>1007.0</v>
      </c>
      <c r="P89" s="49">
        <v>330194.25</v>
      </c>
      <c r="Q89" s="51">
        <v>0.0</v>
      </c>
      <c r="R89" s="51">
        <v>0.0</v>
      </c>
      <c r="S89" s="51">
        <v>1.0</v>
      </c>
      <c r="T89" s="51">
        <v>0.0</v>
      </c>
      <c r="U89" s="51">
        <v>0.0</v>
      </c>
      <c r="V89" s="35"/>
      <c r="W89" s="35"/>
      <c r="X89" s="35"/>
      <c r="Y89" s="35"/>
      <c r="Z89" s="35"/>
      <c r="AA89" s="35"/>
      <c r="AB89" s="35"/>
      <c r="AC89" s="35"/>
    </row>
    <row r="90">
      <c r="A90" s="30" t="s">
        <v>43</v>
      </c>
      <c r="B90" s="52">
        <v>2015.0</v>
      </c>
      <c r="C90" s="30">
        <v>2016.0</v>
      </c>
      <c r="D90" s="55" t="s">
        <v>59</v>
      </c>
      <c r="E90" s="33">
        <v>18.0</v>
      </c>
      <c r="F90" s="35">
        <v>0.0</v>
      </c>
      <c r="G90" s="31">
        <v>341225.0</v>
      </c>
      <c r="H90" s="31">
        <f t="shared" si="1"/>
        <v>0</v>
      </c>
      <c r="I90" s="54">
        <v>30.9</v>
      </c>
      <c r="J90" s="56">
        <v>9.55</v>
      </c>
      <c r="K90" s="61">
        <v>5289.25</v>
      </c>
      <c r="L90" s="46">
        <v>0.0</v>
      </c>
      <c r="M90" s="47">
        <v>22.731</v>
      </c>
      <c r="N90" s="48">
        <v>-16.15</v>
      </c>
      <c r="O90" s="49">
        <v>1080.0</v>
      </c>
      <c r="P90" s="49">
        <v>338220.25</v>
      </c>
      <c r="Q90" s="51">
        <v>0.0</v>
      </c>
      <c r="R90" s="51">
        <v>0.0</v>
      </c>
      <c r="S90" s="51">
        <v>0.0</v>
      </c>
      <c r="T90" s="51">
        <v>1.0</v>
      </c>
      <c r="U90" s="51">
        <v>0.0</v>
      </c>
      <c r="V90" s="35"/>
      <c r="W90" s="35"/>
      <c r="X90" s="35"/>
      <c r="Y90" s="35"/>
      <c r="Z90" s="35"/>
      <c r="AA90" s="35"/>
      <c r="AB90" s="35"/>
      <c r="AC90" s="35"/>
    </row>
    <row r="91">
      <c r="A91" s="30">
        <v>2016.0</v>
      </c>
      <c r="B91" s="52">
        <v>2016.0</v>
      </c>
      <c r="C91" s="30" t="s">
        <v>45</v>
      </c>
      <c r="D91" s="55" t="s">
        <v>59</v>
      </c>
      <c r="E91" s="33">
        <v>18.0</v>
      </c>
      <c r="F91" s="35">
        <v>0.0</v>
      </c>
      <c r="G91" s="31">
        <v>345435.0</v>
      </c>
      <c r="H91" s="31">
        <f t="shared" si="1"/>
        <v>0</v>
      </c>
      <c r="I91" s="54">
        <v>43.8</v>
      </c>
      <c r="J91" s="56">
        <v>10.54</v>
      </c>
      <c r="K91" s="62">
        <v>4678.0</v>
      </c>
      <c r="L91" s="46">
        <v>0.0</v>
      </c>
      <c r="M91" s="47">
        <v>26.079</v>
      </c>
      <c r="N91" s="48">
        <v>-17.98</v>
      </c>
      <c r="O91" s="49">
        <v>655.0</v>
      </c>
      <c r="P91" s="49">
        <v>341225.0</v>
      </c>
      <c r="Q91" s="51">
        <v>0.0</v>
      </c>
      <c r="R91" s="51">
        <v>0.0</v>
      </c>
      <c r="S91" s="51">
        <v>0.0</v>
      </c>
      <c r="T91" s="51">
        <v>0.0</v>
      </c>
      <c r="U91" s="51">
        <v>1.0</v>
      </c>
      <c r="V91" s="35"/>
      <c r="W91" s="35"/>
      <c r="X91" s="35"/>
      <c r="Y91" s="35"/>
      <c r="Z91" s="35"/>
      <c r="AA91" s="35"/>
      <c r="AB91" s="35"/>
      <c r="AC91" s="35"/>
    </row>
    <row r="92">
      <c r="A92" s="26" t="s">
        <v>37</v>
      </c>
      <c r="B92" s="52">
        <v>2002.0</v>
      </c>
      <c r="C92" s="30" t="s">
        <v>39</v>
      </c>
      <c r="D92" s="32" t="s">
        <v>60</v>
      </c>
      <c r="E92" s="33">
        <v>19.0</v>
      </c>
      <c r="F92" s="35">
        <v>441.6</v>
      </c>
      <c r="G92" s="31">
        <v>270417.0</v>
      </c>
      <c r="H92" s="31">
        <f t="shared" si="1"/>
        <v>1.633033426</v>
      </c>
      <c r="I92" s="42">
        <v>43.08</v>
      </c>
      <c r="J92" s="44">
        <v>4.32</v>
      </c>
      <c r="K92" s="61">
        <v>6327.08</v>
      </c>
      <c r="L92" s="46">
        <v>0.0</v>
      </c>
      <c r="M92" s="47">
        <v>5.553</v>
      </c>
      <c r="N92" s="48">
        <v>-4.08</v>
      </c>
      <c r="O92" s="49">
        <v>1503.0</v>
      </c>
      <c r="P92" s="49">
        <v>270654.0</v>
      </c>
      <c r="Q92" s="50">
        <v>1.0</v>
      </c>
      <c r="R92" s="51">
        <v>0.0</v>
      </c>
      <c r="S92" s="51">
        <v>0.0</v>
      </c>
      <c r="T92" s="51">
        <v>0.0</v>
      </c>
      <c r="U92" s="51">
        <v>0.0</v>
      </c>
      <c r="V92" s="35"/>
      <c r="W92" s="35"/>
      <c r="X92" s="35"/>
      <c r="Y92" s="35"/>
      <c r="Z92" s="35"/>
      <c r="AA92" s="35"/>
      <c r="AB92" s="35"/>
      <c r="AC92" s="35"/>
    </row>
    <row r="93">
      <c r="A93" s="30" t="s">
        <v>39</v>
      </c>
      <c r="B93" s="52">
        <v>2007.0</v>
      </c>
      <c r="C93" s="30" t="s">
        <v>41</v>
      </c>
      <c r="D93" s="32" t="s">
        <v>60</v>
      </c>
      <c r="E93" s="33">
        <v>19.0</v>
      </c>
      <c r="F93" s="35">
        <v>269.5</v>
      </c>
      <c r="G93" s="31">
        <v>272035.25</v>
      </c>
      <c r="H93" s="31">
        <f t="shared" si="1"/>
        <v>0.9906804357</v>
      </c>
      <c r="I93" s="42">
        <v>54.89</v>
      </c>
      <c r="J93" s="53">
        <v>6.73</v>
      </c>
      <c r="K93" s="61">
        <v>8502.94</v>
      </c>
      <c r="L93" s="46">
        <v>0.0</v>
      </c>
      <c r="M93" s="47">
        <v>19.778</v>
      </c>
      <c r="N93" s="48">
        <v>-3.87</v>
      </c>
      <c r="O93" s="49">
        <v>1107.75</v>
      </c>
      <c r="P93" s="49">
        <v>270417.0</v>
      </c>
      <c r="Q93" s="51">
        <v>0.0</v>
      </c>
      <c r="R93" s="51">
        <v>1.0</v>
      </c>
      <c r="S93" s="51">
        <v>0.0</v>
      </c>
      <c r="T93" s="51">
        <v>0.0</v>
      </c>
      <c r="U93" s="51">
        <v>0.0</v>
      </c>
      <c r="V93" s="35"/>
      <c r="W93" s="35"/>
      <c r="X93" s="35"/>
      <c r="Y93" s="35"/>
      <c r="Z93" s="35"/>
      <c r="AA93" s="35"/>
      <c r="AB93" s="35"/>
      <c r="AC93" s="35"/>
    </row>
    <row r="94">
      <c r="A94" s="30" t="s">
        <v>41</v>
      </c>
      <c r="B94" s="52">
        <v>2011.0</v>
      </c>
      <c r="C94" s="30" t="s">
        <v>43</v>
      </c>
      <c r="D94" s="32" t="s">
        <v>60</v>
      </c>
      <c r="E94" s="33">
        <v>19.0</v>
      </c>
      <c r="F94" s="35">
        <v>266.25</v>
      </c>
      <c r="G94" s="31">
        <v>285115.0</v>
      </c>
      <c r="H94" s="31">
        <f t="shared" si="1"/>
        <v>0.9338337162</v>
      </c>
      <c r="I94" s="54">
        <v>58.5</v>
      </c>
      <c r="J94" s="53">
        <v>10.0</v>
      </c>
      <c r="K94" s="61">
        <v>12150.5</v>
      </c>
      <c r="L94" s="46">
        <v>0.0</v>
      </c>
      <c r="M94" s="47">
        <v>48.04</v>
      </c>
      <c r="N94" s="48">
        <v>2.03</v>
      </c>
      <c r="O94" s="49">
        <v>2449.66666666667</v>
      </c>
      <c r="P94" s="49">
        <v>272035.25</v>
      </c>
      <c r="Q94" s="51">
        <v>0.0</v>
      </c>
      <c r="R94" s="51">
        <v>0.0</v>
      </c>
      <c r="S94" s="51">
        <v>1.0</v>
      </c>
      <c r="T94" s="51">
        <v>0.0</v>
      </c>
      <c r="U94" s="51">
        <v>0.0</v>
      </c>
      <c r="V94" s="35"/>
      <c r="W94" s="35"/>
      <c r="X94" s="35"/>
      <c r="Y94" s="35"/>
      <c r="Z94" s="35"/>
      <c r="AA94" s="35"/>
      <c r="AB94" s="35"/>
      <c r="AC94" s="35"/>
    </row>
    <row r="95">
      <c r="A95" s="30" t="s">
        <v>43</v>
      </c>
      <c r="B95" s="52">
        <v>2015.0</v>
      </c>
      <c r="C95" s="30">
        <v>2016.0</v>
      </c>
      <c r="D95" s="55" t="s">
        <v>60</v>
      </c>
      <c r="E95" s="33">
        <v>19.0</v>
      </c>
      <c r="F95" s="35">
        <v>360.0</v>
      </c>
      <c r="G95" s="31">
        <v>299896.0</v>
      </c>
      <c r="H95" s="31">
        <f t="shared" si="1"/>
        <v>1.200416144</v>
      </c>
      <c r="I95" s="54">
        <v>52.0</v>
      </c>
      <c r="J95" s="56">
        <v>13.58</v>
      </c>
      <c r="K95" s="61">
        <v>13524.0</v>
      </c>
      <c r="L95" s="46">
        <v>0.0</v>
      </c>
      <c r="M95" s="47">
        <v>93.264</v>
      </c>
      <c r="N95" s="48">
        <v>4.97</v>
      </c>
      <c r="O95" s="49">
        <v>3448.5</v>
      </c>
      <c r="P95" s="49">
        <v>285115.0</v>
      </c>
      <c r="Q95" s="51">
        <v>0.0</v>
      </c>
      <c r="R95" s="51">
        <v>0.0</v>
      </c>
      <c r="S95" s="51">
        <v>0.0</v>
      </c>
      <c r="T95" s="51">
        <v>1.0</v>
      </c>
      <c r="U95" s="51">
        <v>0.0</v>
      </c>
      <c r="V95" s="35"/>
      <c r="W95" s="35"/>
      <c r="X95" s="35"/>
      <c r="Y95" s="35"/>
      <c r="Z95" s="35"/>
      <c r="AA95" s="35"/>
      <c r="AB95" s="35"/>
      <c r="AC95" s="35"/>
    </row>
    <row r="96">
      <c r="A96" s="30">
        <v>2016.0</v>
      </c>
      <c r="B96" s="52">
        <v>2016.0</v>
      </c>
      <c r="C96" s="30" t="s">
        <v>45</v>
      </c>
      <c r="D96" s="55" t="s">
        <v>60</v>
      </c>
      <c r="E96" s="33">
        <v>19.0</v>
      </c>
      <c r="F96" s="35">
        <v>0.0</v>
      </c>
      <c r="G96" s="31">
        <v>307497.0</v>
      </c>
      <c r="H96" s="31">
        <f t="shared" si="1"/>
        <v>0</v>
      </c>
      <c r="I96" s="54">
        <v>62.8</v>
      </c>
      <c r="J96" s="56">
        <v>14.16</v>
      </c>
      <c r="K96" s="62">
        <v>11713.0</v>
      </c>
      <c r="L96" s="46">
        <v>0.0</v>
      </c>
      <c r="M96" s="47">
        <v>105.405</v>
      </c>
      <c r="N96" s="48">
        <v>15.34</v>
      </c>
      <c r="O96" s="49">
        <v>3795.0</v>
      </c>
      <c r="P96" s="49">
        <v>299896.0</v>
      </c>
      <c r="Q96" s="51">
        <v>0.0</v>
      </c>
      <c r="R96" s="51">
        <v>0.0</v>
      </c>
      <c r="S96" s="51">
        <v>0.0</v>
      </c>
      <c r="T96" s="51">
        <v>0.0</v>
      </c>
      <c r="U96" s="51">
        <v>1.0</v>
      </c>
      <c r="V96" s="35"/>
      <c r="W96" s="35"/>
      <c r="X96" s="35"/>
      <c r="Y96" s="35"/>
      <c r="Z96" s="35"/>
      <c r="AA96" s="35"/>
      <c r="AB96" s="35"/>
      <c r="AC96" s="35"/>
    </row>
    <row r="97">
      <c r="A97" s="26" t="s">
        <v>37</v>
      </c>
      <c r="B97" s="52">
        <v>2002.0</v>
      </c>
      <c r="C97" s="30" t="s">
        <v>39</v>
      </c>
      <c r="D97" s="32" t="s">
        <v>61</v>
      </c>
      <c r="E97" s="33">
        <v>20.0</v>
      </c>
      <c r="F97" s="35">
        <v>273.6</v>
      </c>
      <c r="G97" s="31">
        <v>251181.0</v>
      </c>
      <c r="H97" s="31">
        <f t="shared" si="1"/>
        <v>1.089254362</v>
      </c>
      <c r="I97" s="42">
        <v>27.26</v>
      </c>
      <c r="J97" s="44">
        <v>4.25</v>
      </c>
      <c r="K97" s="61">
        <v>5064.57</v>
      </c>
      <c r="L97" s="46">
        <v>0.0</v>
      </c>
      <c r="M97" s="47">
        <v>2.329</v>
      </c>
      <c r="N97" s="48">
        <v>-2.27</v>
      </c>
      <c r="O97" s="49">
        <v>598.0</v>
      </c>
      <c r="P97" s="49">
        <v>256803.0</v>
      </c>
      <c r="Q97" s="50">
        <v>1.0</v>
      </c>
      <c r="R97" s="51">
        <v>0.0</v>
      </c>
      <c r="S97" s="51">
        <v>0.0</v>
      </c>
      <c r="T97" s="51">
        <v>0.0</v>
      </c>
      <c r="U97" s="51">
        <v>0.0</v>
      </c>
      <c r="V97" s="35"/>
      <c r="W97" s="35"/>
      <c r="X97" s="35"/>
      <c r="Y97" s="35"/>
      <c r="Z97" s="35"/>
      <c r="AA97" s="35"/>
      <c r="AB97" s="35"/>
      <c r="AC97" s="35"/>
    </row>
    <row r="98">
      <c r="A98" s="30" t="s">
        <v>39</v>
      </c>
      <c r="B98" s="52">
        <v>2007.0</v>
      </c>
      <c r="C98" s="30" t="s">
        <v>41</v>
      </c>
      <c r="D98" s="32" t="s">
        <v>61</v>
      </c>
      <c r="E98" s="33">
        <v>20.0</v>
      </c>
      <c r="F98" s="35">
        <v>48.0</v>
      </c>
      <c r="G98" s="31">
        <v>252095.5</v>
      </c>
      <c r="H98" s="31">
        <f t="shared" si="1"/>
        <v>0.1904040334</v>
      </c>
      <c r="I98" s="42">
        <v>41.44</v>
      </c>
      <c r="J98" s="53">
        <v>6.3</v>
      </c>
      <c r="K98" s="61">
        <v>6765.92</v>
      </c>
      <c r="L98" s="46">
        <v>0.0</v>
      </c>
      <c r="M98" s="47">
        <v>13.596</v>
      </c>
      <c r="N98" s="48">
        <v>-1.83</v>
      </c>
      <c r="O98" s="49">
        <v>813.25</v>
      </c>
      <c r="P98" s="49">
        <v>251181.0</v>
      </c>
      <c r="Q98" s="51">
        <v>0.0</v>
      </c>
      <c r="R98" s="51">
        <v>1.0</v>
      </c>
      <c r="S98" s="51">
        <v>0.0</v>
      </c>
      <c r="T98" s="51">
        <v>0.0</v>
      </c>
      <c r="U98" s="51">
        <v>0.0</v>
      </c>
      <c r="V98" s="35"/>
      <c r="W98" s="35"/>
      <c r="X98" s="35"/>
      <c r="Y98" s="35"/>
      <c r="Z98" s="35"/>
      <c r="AA98" s="35"/>
      <c r="AB98" s="35"/>
      <c r="AC98" s="35"/>
    </row>
    <row r="99">
      <c r="A99" s="30" t="s">
        <v>41</v>
      </c>
      <c r="B99" s="52">
        <v>2011.0</v>
      </c>
      <c r="C99" s="30" t="s">
        <v>43</v>
      </c>
      <c r="D99" s="32" t="s">
        <v>61</v>
      </c>
      <c r="E99" s="33">
        <v>20.0</v>
      </c>
      <c r="F99" s="35">
        <v>134.0</v>
      </c>
      <c r="G99" s="31">
        <v>256711.25</v>
      </c>
      <c r="H99" s="31">
        <f t="shared" si="1"/>
        <v>0.5219872522</v>
      </c>
      <c r="I99" s="54">
        <v>49.0</v>
      </c>
      <c r="J99" s="53">
        <v>9.26</v>
      </c>
      <c r="K99" s="61">
        <v>9818.25</v>
      </c>
      <c r="L99" s="46">
        <v>0.0</v>
      </c>
      <c r="M99" s="47">
        <v>27.703</v>
      </c>
      <c r="N99" s="48">
        <v>-0.46</v>
      </c>
      <c r="O99" s="49">
        <v>1036.66666666667</v>
      </c>
      <c r="P99" s="49">
        <v>252095.5</v>
      </c>
      <c r="Q99" s="51">
        <v>0.0</v>
      </c>
      <c r="R99" s="51">
        <v>0.0</v>
      </c>
      <c r="S99" s="51">
        <v>1.0</v>
      </c>
      <c r="T99" s="51">
        <v>0.0</v>
      </c>
      <c r="U99" s="51">
        <v>0.0</v>
      </c>
      <c r="V99" s="35"/>
      <c r="W99" s="35"/>
      <c r="X99" s="35"/>
      <c r="Y99" s="35"/>
      <c r="Z99" s="35"/>
      <c r="AA99" s="35"/>
      <c r="AB99" s="35"/>
      <c r="AC99" s="35"/>
    </row>
    <row r="100">
      <c r="A100" s="30" t="s">
        <v>43</v>
      </c>
      <c r="B100" s="52">
        <v>2015.0</v>
      </c>
      <c r="C100" s="30">
        <v>2016.0</v>
      </c>
      <c r="D100" s="55" t="s">
        <v>61</v>
      </c>
      <c r="E100" s="33">
        <v>20.0</v>
      </c>
      <c r="F100" s="35">
        <v>575.0</v>
      </c>
      <c r="G100" s="31">
        <v>261401.0</v>
      </c>
      <c r="H100" s="31">
        <f t="shared" si="1"/>
        <v>2.199685541</v>
      </c>
      <c r="I100" s="54">
        <v>42.9</v>
      </c>
      <c r="J100" s="56">
        <v>12.62</v>
      </c>
      <c r="K100" s="61">
        <v>10421.75</v>
      </c>
      <c r="L100" s="46">
        <v>0.0</v>
      </c>
      <c r="M100" s="47">
        <v>53.036</v>
      </c>
      <c r="N100" s="48">
        <v>1.26</v>
      </c>
      <c r="O100" s="49">
        <v>1861.75</v>
      </c>
      <c r="P100" s="49">
        <v>256711.25</v>
      </c>
      <c r="Q100" s="51">
        <v>0.0</v>
      </c>
      <c r="R100" s="51">
        <v>0.0</v>
      </c>
      <c r="S100" s="51">
        <v>0.0</v>
      </c>
      <c r="T100" s="51">
        <v>1.0</v>
      </c>
      <c r="U100" s="51">
        <v>0.0</v>
      </c>
      <c r="V100" s="35"/>
      <c r="W100" s="35"/>
      <c r="X100" s="35"/>
      <c r="Y100" s="35"/>
      <c r="Z100" s="35"/>
      <c r="AA100" s="35"/>
      <c r="AB100" s="35"/>
      <c r="AC100" s="35"/>
    </row>
    <row r="101">
      <c r="A101" s="30">
        <v>2016.0</v>
      </c>
      <c r="B101" s="52">
        <v>2016.0</v>
      </c>
      <c r="C101" s="30" t="s">
        <v>45</v>
      </c>
      <c r="D101" s="55" t="s">
        <v>61</v>
      </c>
      <c r="E101" s="33">
        <v>20.0</v>
      </c>
      <c r="F101" s="35">
        <v>0.0</v>
      </c>
      <c r="G101" s="31">
        <v>267352.5</v>
      </c>
      <c r="H101" s="31">
        <f t="shared" si="1"/>
        <v>0</v>
      </c>
      <c r="I101" s="54">
        <v>50.6</v>
      </c>
      <c r="J101" s="56">
        <v>13.24</v>
      </c>
      <c r="K101" s="62">
        <v>9412.0</v>
      </c>
      <c r="L101" s="46">
        <v>0.0</v>
      </c>
      <c r="M101" s="47">
        <v>61.056</v>
      </c>
      <c r="N101" s="48">
        <v>3.01</v>
      </c>
      <c r="O101" s="49">
        <v>2636.0</v>
      </c>
      <c r="P101" s="49">
        <v>261401.0</v>
      </c>
      <c r="Q101" s="51">
        <v>0.0</v>
      </c>
      <c r="R101" s="51">
        <v>0.0</v>
      </c>
      <c r="S101" s="51">
        <v>0.0</v>
      </c>
      <c r="T101" s="51">
        <v>0.0</v>
      </c>
      <c r="U101" s="51">
        <v>1.0</v>
      </c>
      <c r="V101" s="35"/>
      <c r="W101" s="35"/>
      <c r="X101" s="35"/>
      <c r="Y101" s="35"/>
      <c r="Z101" s="35"/>
      <c r="AA101" s="35"/>
      <c r="AB101" s="35"/>
      <c r="AC101" s="35"/>
    </row>
    <row r="102">
      <c r="A102" s="26" t="s">
        <v>37</v>
      </c>
      <c r="B102" s="52">
        <v>2002.0</v>
      </c>
      <c r="C102" s="30" t="s">
        <v>39</v>
      </c>
      <c r="D102" s="32" t="s">
        <v>62</v>
      </c>
      <c r="E102" s="33">
        <v>21.0</v>
      </c>
      <c r="F102" s="35">
        <v>1460.8</v>
      </c>
      <c r="G102" s="31">
        <v>2439876.0</v>
      </c>
      <c r="H102" s="31">
        <f t="shared" si="1"/>
        <v>0.5987189513</v>
      </c>
      <c r="I102" s="42">
        <v>41.3</v>
      </c>
      <c r="J102" s="44">
        <v>4.72</v>
      </c>
      <c r="K102" s="61">
        <v>6298.94</v>
      </c>
      <c r="L102" s="46">
        <v>0.0</v>
      </c>
      <c r="M102" s="47">
        <v>1.793</v>
      </c>
      <c r="N102" s="48">
        <v>4.51</v>
      </c>
      <c r="O102" s="49">
        <v>3811.0</v>
      </c>
      <c r="P102" s="49">
        <v>2125140.0</v>
      </c>
      <c r="Q102" s="50">
        <v>1.0</v>
      </c>
      <c r="R102" s="51">
        <v>0.0</v>
      </c>
      <c r="S102" s="51">
        <v>0.0</v>
      </c>
      <c r="T102" s="51">
        <v>0.0</v>
      </c>
      <c r="U102" s="51">
        <v>0.0</v>
      </c>
      <c r="V102" s="35"/>
      <c r="W102" s="35"/>
      <c r="X102" s="35"/>
      <c r="Y102" s="35"/>
      <c r="Z102" s="35"/>
      <c r="AA102" s="35"/>
      <c r="AB102" s="35"/>
      <c r="AC102" s="35"/>
    </row>
    <row r="103">
      <c r="A103" s="30" t="s">
        <v>39</v>
      </c>
      <c r="B103" s="52">
        <v>2007.0</v>
      </c>
      <c r="C103" s="30" t="s">
        <v>41</v>
      </c>
      <c r="D103" s="32" t="s">
        <v>62</v>
      </c>
      <c r="E103" s="33">
        <v>21.0</v>
      </c>
      <c r="F103" s="35">
        <v>2411.75</v>
      </c>
      <c r="G103" s="31">
        <v>2579057.25</v>
      </c>
      <c r="H103" s="31">
        <f t="shared" si="1"/>
        <v>0.9351285242</v>
      </c>
      <c r="I103" s="42">
        <v>50.75</v>
      </c>
      <c r="J103" s="53">
        <v>7.32</v>
      </c>
      <c r="K103" s="61">
        <v>8574.07</v>
      </c>
      <c r="L103" s="46">
        <v>0.0</v>
      </c>
      <c r="M103" s="47">
        <v>10.938</v>
      </c>
      <c r="N103" s="48">
        <v>9.4</v>
      </c>
      <c r="O103" s="49">
        <v>7180.75</v>
      </c>
      <c r="P103" s="49">
        <v>2439876.0</v>
      </c>
      <c r="Q103" s="51">
        <v>0.0</v>
      </c>
      <c r="R103" s="51">
        <v>1.0</v>
      </c>
      <c r="S103" s="51">
        <v>0.0</v>
      </c>
      <c r="T103" s="51">
        <v>0.0</v>
      </c>
      <c r="U103" s="51">
        <v>0.0</v>
      </c>
      <c r="V103" s="35"/>
      <c r="W103" s="35"/>
      <c r="X103" s="35"/>
      <c r="Y103" s="35"/>
      <c r="Z103" s="35"/>
      <c r="AA103" s="35"/>
      <c r="AB103" s="35"/>
      <c r="AC103" s="35"/>
    </row>
    <row r="104">
      <c r="A104" s="30" t="s">
        <v>41</v>
      </c>
      <c r="B104" s="52">
        <v>2011.0</v>
      </c>
      <c r="C104" s="30" t="s">
        <v>43</v>
      </c>
      <c r="D104" s="32" t="s">
        <v>62</v>
      </c>
      <c r="E104" s="33">
        <v>21.0</v>
      </c>
      <c r="F104" s="35">
        <v>424.0</v>
      </c>
      <c r="G104" s="31">
        <v>2764806.75</v>
      </c>
      <c r="H104" s="31">
        <f t="shared" si="1"/>
        <v>0.1533561071</v>
      </c>
      <c r="I104" s="54">
        <v>53.0</v>
      </c>
      <c r="J104" s="53">
        <v>10.25</v>
      </c>
      <c r="K104" s="61">
        <v>11746.5</v>
      </c>
      <c r="L104" s="46">
        <v>1.0</v>
      </c>
      <c r="M104" s="47">
        <v>31.519</v>
      </c>
      <c r="N104" s="48">
        <v>8.09</v>
      </c>
      <c r="O104" s="49">
        <v>17273.6666666667</v>
      </c>
      <c r="P104" s="49">
        <v>2579057.25</v>
      </c>
      <c r="Q104" s="51">
        <v>0.0</v>
      </c>
      <c r="R104" s="51">
        <v>0.0</v>
      </c>
      <c r="S104" s="51">
        <v>1.0</v>
      </c>
      <c r="T104" s="51">
        <v>0.0</v>
      </c>
      <c r="U104" s="51">
        <v>0.0</v>
      </c>
      <c r="V104" s="35"/>
      <c r="W104" s="35"/>
      <c r="X104" s="35"/>
      <c r="Y104" s="35"/>
      <c r="Z104" s="35"/>
      <c r="AA104" s="35"/>
      <c r="AB104" s="35"/>
      <c r="AC104" s="35"/>
    </row>
    <row r="105">
      <c r="A105" s="30" t="s">
        <v>43</v>
      </c>
      <c r="B105" s="52">
        <v>2015.0</v>
      </c>
      <c r="C105" s="30">
        <v>2016.0</v>
      </c>
      <c r="D105" s="55" t="s">
        <v>62</v>
      </c>
      <c r="E105" s="33">
        <v>21.0</v>
      </c>
      <c r="F105" s="35">
        <v>1444.0</v>
      </c>
      <c r="G105" s="31">
        <v>2901396.0</v>
      </c>
      <c r="H105" s="31">
        <f t="shared" si="1"/>
        <v>0.4976914561</v>
      </c>
      <c r="I105" s="54">
        <v>43.9</v>
      </c>
      <c r="J105" s="56">
        <v>14.2</v>
      </c>
      <c r="K105" s="61">
        <v>13251.75</v>
      </c>
      <c r="L105" s="46">
        <v>0.0</v>
      </c>
      <c r="M105" s="47">
        <v>70.637</v>
      </c>
      <c r="N105" s="48">
        <v>4.76</v>
      </c>
      <c r="O105" s="49">
        <v>26974.5</v>
      </c>
      <c r="P105" s="49">
        <v>2764806.75</v>
      </c>
      <c r="Q105" s="51">
        <v>0.0</v>
      </c>
      <c r="R105" s="51">
        <v>0.0</v>
      </c>
      <c r="S105" s="51">
        <v>0.0</v>
      </c>
      <c r="T105" s="51">
        <v>1.0</v>
      </c>
      <c r="U105" s="51">
        <v>0.0</v>
      </c>
      <c r="V105" s="35"/>
      <c r="W105" s="35"/>
      <c r="X105" s="35"/>
      <c r="Y105" s="35"/>
      <c r="Z105" s="35"/>
      <c r="AA105" s="35"/>
      <c r="AB105" s="35"/>
      <c r="AC105" s="35"/>
    </row>
    <row r="106">
      <c r="A106" s="30">
        <v>2016.0</v>
      </c>
      <c r="B106" s="52">
        <v>2016.0</v>
      </c>
      <c r="C106" s="30" t="s">
        <v>45</v>
      </c>
      <c r="D106" s="55" t="s">
        <v>62</v>
      </c>
      <c r="E106" s="33">
        <v>21.0</v>
      </c>
      <c r="F106" s="35">
        <v>0.0</v>
      </c>
      <c r="G106" s="31">
        <v>2965662.0</v>
      </c>
      <c r="H106" s="31">
        <f t="shared" si="1"/>
        <v>0</v>
      </c>
      <c r="I106" s="54">
        <v>54.0</v>
      </c>
      <c r="J106" s="56">
        <v>14.89</v>
      </c>
      <c r="K106" s="62">
        <v>12165.0</v>
      </c>
      <c r="L106" s="46">
        <v>0.0</v>
      </c>
      <c r="M106" s="47">
        <v>78.727</v>
      </c>
      <c r="N106" s="48">
        <v>7.05</v>
      </c>
      <c r="O106" s="49">
        <v>25148.0</v>
      </c>
      <c r="P106" s="49">
        <v>2901396.0</v>
      </c>
      <c r="Q106" s="51">
        <v>0.0</v>
      </c>
      <c r="R106" s="51">
        <v>0.0</v>
      </c>
      <c r="S106" s="51">
        <v>0.0</v>
      </c>
      <c r="T106" s="51">
        <v>0.0</v>
      </c>
      <c r="U106" s="51">
        <v>1.0</v>
      </c>
      <c r="V106" s="35"/>
      <c r="W106" s="35"/>
      <c r="X106" s="35"/>
      <c r="Y106" s="35"/>
      <c r="Z106" s="35"/>
      <c r="AA106" s="35"/>
      <c r="AB106" s="35"/>
      <c r="AC106" s="35"/>
    </row>
    <row r="107">
      <c r="A107" s="26" t="s">
        <v>37</v>
      </c>
      <c r="B107" s="52">
        <v>2002.0</v>
      </c>
      <c r="C107" s="30" t="s">
        <v>39</v>
      </c>
      <c r="D107" s="32" t="s">
        <v>63</v>
      </c>
      <c r="E107" s="33">
        <v>22.0</v>
      </c>
      <c r="F107" s="35">
        <v>114.4</v>
      </c>
      <c r="G107" s="31">
        <v>476128.0</v>
      </c>
      <c r="H107" s="31">
        <f t="shared" si="1"/>
        <v>0.2402715236</v>
      </c>
      <c r="I107" s="42">
        <v>25.84</v>
      </c>
      <c r="J107" s="44">
        <v>4.67</v>
      </c>
      <c r="K107" s="61">
        <v>5440.32</v>
      </c>
      <c r="L107" s="46">
        <v>0.0</v>
      </c>
      <c r="M107" s="47">
        <v>4.546</v>
      </c>
      <c r="N107" s="48">
        <v>2.74</v>
      </c>
      <c r="O107" s="49">
        <v>2114.0</v>
      </c>
      <c r="P107" s="49">
        <v>464975.0</v>
      </c>
      <c r="Q107" s="50">
        <v>1.0</v>
      </c>
      <c r="R107" s="51">
        <v>0.0</v>
      </c>
      <c r="S107" s="51">
        <v>0.0</v>
      </c>
      <c r="T107" s="51">
        <v>0.0</v>
      </c>
      <c r="U107" s="51">
        <v>0.0</v>
      </c>
      <c r="V107" s="35"/>
      <c r="W107" s="35"/>
      <c r="X107" s="35"/>
      <c r="Y107" s="35"/>
      <c r="Z107" s="35"/>
      <c r="AA107" s="35"/>
      <c r="AB107" s="35"/>
      <c r="AC107" s="35"/>
    </row>
    <row r="108">
      <c r="A108" s="30" t="s">
        <v>39</v>
      </c>
      <c r="B108" s="52">
        <v>2007.0</v>
      </c>
      <c r="C108" s="30" t="s">
        <v>41</v>
      </c>
      <c r="D108" s="32" t="s">
        <v>63</v>
      </c>
      <c r="E108" s="33">
        <v>22.0</v>
      </c>
      <c r="F108" s="35">
        <v>458.25</v>
      </c>
      <c r="G108" s="31">
        <v>482342.0</v>
      </c>
      <c r="H108" s="31">
        <f t="shared" si="1"/>
        <v>0.9500520378</v>
      </c>
      <c r="I108" s="42">
        <v>35.35</v>
      </c>
      <c r="J108" s="53">
        <v>6.96</v>
      </c>
      <c r="K108" s="61">
        <v>7345.12</v>
      </c>
      <c r="L108" s="46">
        <v>0.0</v>
      </c>
      <c r="M108" s="47">
        <v>22.441</v>
      </c>
      <c r="N108" s="48">
        <v>3.64</v>
      </c>
      <c r="O108" s="49">
        <v>2443.0</v>
      </c>
      <c r="P108" s="49">
        <v>476128.0</v>
      </c>
      <c r="Q108" s="51">
        <v>0.0</v>
      </c>
      <c r="R108" s="51">
        <v>1.0</v>
      </c>
      <c r="S108" s="51">
        <v>0.0</v>
      </c>
      <c r="T108" s="51">
        <v>0.0</v>
      </c>
      <c r="U108" s="51">
        <v>0.0</v>
      </c>
      <c r="V108" s="35"/>
      <c r="W108" s="35"/>
      <c r="X108" s="35"/>
      <c r="Y108" s="35"/>
      <c r="Z108" s="35"/>
      <c r="AA108" s="35"/>
      <c r="AB108" s="35"/>
      <c r="AC108" s="35"/>
    </row>
    <row r="109">
      <c r="A109" s="30" t="s">
        <v>41</v>
      </c>
      <c r="B109" s="52">
        <v>2011.0</v>
      </c>
      <c r="C109" s="30" t="s">
        <v>43</v>
      </c>
      <c r="D109" s="32" t="s">
        <v>63</v>
      </c>
      <c r="E109" s="33">
        <v>22.0</v>
      </c>
      <c r="F109" s="35">
        <v>64.0</v>
      </c>
      <c r="G109" s="31">
        <v>505287.5</v>
      </c>
      <c r="H109" s="31">
        <f t="shared" si="1"/>
        <v>0.1266605645</v>
      </c>
      <c r="I109" s="54">
        <v>41.6</v>
      </c>
      <c r="J109" s="53">
        <v>10.29</v>
      </c>
      <c r="K109" s="61">
        <v>10835.5</v>
      </c>
      <c r="L109" s="46">
        <v>1.0</v>
      </c>
      <c r="M109" s="47">
        <v>54.886</v>
      </c>
      <c r="N109" s="48">
        <v>2.72</v>
      </c>
      <c r="O109" s="49">
        <v>4901.66666666667</v>
      </c>
      <c r="P109" s="49">
        <v>482342.0</v>
      </c>
      <c r="Q109" s="51">
        <v>0.0</v>
      </c>
      <c r="R109" s="51">
        <v>0.0</v>
      </c>
      <c r="S109" s="51">
        <v>1.0</v>
      </c>
      <c r="T109" s="51">
        <v>0.0</v>
      </c>
      <c r="U109" s="51">
        <v>0.0</v>
      </c>
      <c r="V109" s="35"/>
      <c r="W109" s="35"/>
      <c r="X109" s="35"/>
      <c r="Y109" s="35"/>
      <c r="Z109" s="35"/>
      <c r="AA109" s="35"/>
      <c r="AB109" s="35"/>
      <c r="AC109" s="35"/>
    </row>
    <row r="110">
      <c r="A110" s="30" t="s">
        <v>43</v>
      </c>
      <c r="B110" s="52">
        <v>2015.0</v>
      </c>
      <c r="C110" s="30">
        <v>2016.0</v>
      </c>
      <c r="D110" s="55" t="s">
        <v>63</v>
      </c>
      <c r="E110" s="33">
        <v>22.0</v>
      </c>
      <c r="F110" s="35">
        <v>0.0</v>
      </c>
      <c r="G110" s="31">
        <v>519793.0</v>
      </c>
      <c r="H110" s="31">
        <f t="shared" si="1"/>
        <v>0</v>
      </c>
      <c r="I110" s="54">
        <v>34.2</v>
      </c>
      <c r="J110" s="56">
        <v>14.55</v>
      </c>
      <c r="K110" s="61">
        <v>11840.0</v>
      </c>
      <c r="L110" s="46">
        <v>0.0</v>
      </c>
      <c r="M110" s="47">
        <v>106.706</v>
      </c>
      <c r="N110" s="48">
        <v>12.05</v>
      </c>
      <c r="O110" s="49">
        <v>6956.75</v>
      </c>
      <c r="P110" s="49">
        <v>505287.5</v>
      </c>
      <c r="Q110" s="51">
        <v>0.0</v>
      </c>
      <c r="R110" s="51">
        <v>0.0</v>
      </c>
      <c r="S110" s="51">
        <v>0.0</v>
      </c>
      <c r="T110" s="51">
        <v>1.0</v>
      </c>
      <c r="U110" s="51">
        <v>0.0</v>
      </c>
      <c r="V110" s="35"/>
      <c r="W110" s="35"/>
      <c r="X110" s="35"/>
      <c r="Y110" s="35"/>
      <c r="Z110" s="35"/>
      <c r="AA110" s="35"/>
      <c r="AB110" s="35"/>
      <c r="AC110" s="35"/>
    </row>
    <row r="111">
      <c r="A111" s="30">
        <v>2016.0</v>
      </c>
      <c r="B111" s="52">
        <v>2016.0</v>
      </c>
      <c r="C111" s="30" t="s">
        <v>45</v>
      </c>
      <c r="D111" s="55" t="s">
        <v>63</v>
      </c>
      <c r="E111" s="33">
        <v>22.0</v>
      </c>
      <c r="F111" s="35">
        <v>0.0</v>
      </c>
      <c r="G111" s="31">
        <v>535539.5</v>
      </c>
      <c r="H111" s="31">
        <f t="shared" si="1"/>
        <v>0</v>
      </c>
      <c r="I111" s="54">
        <v>39.8</v>
      </c>
      <c r="J111" s="56">
        <v>15.33</v>
      </c>
      <c r="K111" s="62">
        <v>10866.0</v>
      </c>
      <c r="L111" s="46">
        <v>0.0</v>
      </c>
      <c r="M111" s="47">
        <v>120.771</v>
      </c>
      <c r="N111" s="48">
        <v>6.96</v>
      </c>
      <c r="O111" s="49">
        <v>7820.0</v>
      </c>
      <c r="P111" s="49">
        <v>519793.0</v>
      </c>
      <c r="Q111" s="51">
        <v>0.0</v>
      </c>
      <c r="R111" s="51">
        <v>0.0</v>
      </c>
      <c r="S111" s="51">
        <v>0.0</v>
      </c>
      <c r="T111" s="51">
        <v>0.0</v>
      </c>
      <c r="U111" s="51">
        <v>1.0</v>
      </c>
      <c r="V111" s="35"/>
      <c r="W111" s="35"/>
      <c r="X111" s="35"/>
      <c r="Y111" s="35"/>
      <c r="Z111" s="35"/>
      <c r="AA111" s="35"/>
      <c r="AB111" s="35"/>
      <c r="AC111" s="35"/>
    </row>
    <row r="112">
      <c r="A112" s="26" t="s">
        <v>37</v>
      </c>
      <c r="B112" s="52">
        <v>2002.0</v>
      </c>
      <c r="C112" s="30" t="s">
        <v>39</v>
      </c>
      <c r="D112" s="32" t="s">
        <v>64</v>
      </c>
      <c r="E112" s="33">
        <v>23.0</v>
      </c>
      <c r="F112" s="35">
        <v>38.2</v>
      </c>
      <c r="G112" s="31">
        <v>174012.0</v>
      </c>
      <c r="H112" s="31">
        <f t="shared" si="1"/>
        <v>0.2195250902</v>
      </c>
      <c r="I112" s="42">
        <v>49.93</v>
      </c>
      <c r="J112" s="44">
        <v>3.21</v>
      </c>
      <c r="K112" s="61">
        <v>4128.8</v>
      </c>
      <c r="L112" s="46">
        <v>0.0</v>
      </c>
      <c r="M112" s="47">
        <v>1.01</v>
      </c>
      <c r="N112" s="48">
        <v>-1.83</v>
      </c>
      <c r="O112" s="49">
        <v>273.0</v>
      </c>
      <c r="P112" s="49">
        <v>270355.0</v>
      </c>
      <c r="Q112" s="50">
        <v>1.0</v>
      </c>
      <c r="R112" s="51">
        <v>0.0</v>
      </c>
      <c r="S112" s="51">
        <v>0.0</v>
      </c>
      <c r="T112" s="51">
        <v>0.0</v>
      </c>
      <c r="U112" s="51">
        <v>0.0</v>
      </c>
      <c r="V112" s="35"/>
      <c r="W112" s="35"/>
      <c r="X112" s="35"/>
      <c r="Y112" s="35"/>
      <c r="Z112" s="35"/>
      <c r="AA112" s="35"/>
      <c r="AB112" s="35"/>
      <c r="AC112" s="35"/>
    </row>
    <row r="113">
      <c r="A113" s="30" t="s">
        <v>39</v>
      </c>
      <c r="B113" s="52">
        <v>2007.0</v>
      </c>
      <c r="C113" s="30" t="s">
        <v>41</v>
      </c>
      <c r="D113" s="32" t="s">
        <v>64</v>
      </c>
      <c r="E113" s="33">
        <v>23.0</v>
      </c>
      <c r="F113" s="35">
        <v>328.5</v>
      </c>
      <c r="G113" s="31">
        <v>179347.5</v>
      </c>
      <c r="H113" s="31">
        <f t="shared" si="1"/>
        <v>1.831639694</v>
      </c>
      <c r="I113" s="42">
        <v>60.74</v>
      </c>
      <c r="J113" s="53">
        <v>5.12</v>
      </c>
      <c r="K113" s="61">
        <v>5290.07</v>
      </c>
      <c r="L113" s="46">
        <v>0.0</v>
      </c>
      <c r="M113" s="47">
        <v>12.397</v>
      </c>
      <c r="N113" s="48">
        <v>2.13</v>
      </c>
      <c r="O113" s="49">
        <v>627.75</v>
      </c>
      <c r="P113" s="49">
        <v>174012.0</v>
      </c>
      <c r="Q113" s="51">
        <v>0.0</v>
      </c>
      <c r="R113" s="51">
        <v>1.0</v>
      </c>
      <c r="S113" s="51">
        <v>0.0</v>
      </c>
      <c r="T113" s="51">
        <v>0.0</v>
      </c>
      <c r="U113" s="51">
        <v>0.0</v>
      </c>
      <c r="V113" s="35"/>
      <c r="W113" s="35"/>
      <c r="X113" s="35"/>
      <c r="Y113" s="35"/>
      <c r="Z113" s="35"/>
      <c r="AA113" s="35"/>
      <c r="AB113" s="35"/>
      <c r="AC113" s="35"/>
    </row>
    <row r="114">
      <c r="A114" s="30" t="s">
        <v>41</v>
      </c>
      <c r="B114" s="52">
        <v>2011.0</v>
      </c>
      <c r="C114" s="30" t="s">
        <v>43</v>
      </c>
      <c r="D114" s="32" t="s">
        <v>64</v>
      </c>
      <c r="E114" s="33">
        <v>23.0</v>
      </c>
      <c r="F114" s="35">
        <v>418.25</v>
      </c>
      <c r="G114" s="31">
        <v>184952.5</v>
      </c>
      <c r="H114" s="31">
        <f t="shared" si="1"/>
        <v>2.261391438</v>
      </c>
      <c r="I114" s="54">
        <v>65.6</v>
      </c>
      <c r="J114" s="53">
        <v>7.24</v>
      </c>
      <c r="K114" s="61">
        <v>7558.25</v>
      </c>
      <c r="L114" s="46">
        <v>0.0</v>
      </c>
      <c r="M114" s="47">
        <v>37.255</v>
      </c>
      <c r="N114" s="48">
        <v>5.65</v>
      </c>
      <c r="O114" s="49">
        <v>1728.33333333333</v>
      </c>
      <c r="P114" s="49">
        <v>179347.5</v>
      </c>
      <c r="Q114" s="51">
        <v>0.0</v>
      </c>
      <c r="R114" s="51">
        <v>0.0</v>
      </c>
      <c r="S114" s="51">
        <v>1.0</v>
      </c>
      <c r="T114" s="51">
        <v>0.0</v>
      </c>
      <c r="U114" s="51">
        <v>0.0</v>
      </c>
      <c r="V114" s="35"/>
      <c r="W114" s="35"/>
      <c r="X114" s="35"/>
      <c r="Y114" s="35"/>
      <c r="Z114" s="35"/>
      <c r="AA114" s="35"/>
      <c r="AB114" s="35"/>
      <c r="AC114" s="35"/>
    </row>
    <row r="115">
      <c r="A115" s="30" t="s">
        <v>43</v>
      </c>
      <c r="B115" s="52">
        <v>2015.0</v>
      </c>
      <c r="C115" s="30">
        <v>2016.0</v>
      </c>
      <c r="D115" s="55" t="s">
        <v>64</v>
      </c>
      <c r="E115" s="33">
        <v>23.0</v>
      </c>
      <c r="F115" s="35">
        <v>673.0</v>
      </c>
      <c r="G115" s="31">
        <v>183880.0</v>
      </c>
      <c r="H115" s="31">
        <f t="shared" si="1"/>
        <v>3.659995649</v>
      </c>
      <c r="I115" s="54">
        <v>59.4</v>
      </c>
      <c r="J115" s="56">
        <v>11.0</v>
      </c>
      <c r="K115" s="61">
        <v>8556.0</v>
      </c>
      <c r="L115" s="46">
        <v>0.0</v>
      </c>
      <c r="M115" s="47">
        <v>83.922</v>
      </c>
      <c r="N115" s="48">
        <v>-0.69</v>
      </c>
      <c r="O115" s="49">
        <v>3533.0</v>
      </c>
      <c r="P115" s="49">
        <v>184952.5</v>
      </c>
      <c r="Q115" s="51">
        <v>0.0</v>
      </c>
      <c r="R115" s="51">
        <v>0.0</v>
      </c>
      <c r="S115" s="51">
        <v>0.0</v>
      </c>
      <c r="T115" s="51">
        <v>1.0</v>
      </c>
      <c r="U115" s="51">
        <v>0.0</v>
      </c>
      <c r="V115" s="35"/>
      <c r="W115" s="35"/>
      <c r="X115" s="35"/>
      <c r="Y115" s="35"/>
      <c r="Z115" s="35"/>
      <c r="AA115" s="35"/>
      <c r="AB115" s="35"/>
      <c r="AC115" s="35"/>
    </row>
    <row r="116">
      <c r="A116" s="30">
        <v>2016.0</v>
      </c>
      <c r="B116" s="52">
        <v>2016.0</v>
      </c>
      <c r="C116" s="30" t="s">
        <v>45</v>
      </c>
      <c r="D116" s="55" t="s">
        <v>64</v>
      </c>
      <c r="E116" s="33">
        <v>23.0</v>
      </c>
      <c r="F116" s="35">
        <v>0.0</v>
      </c>
      <c r="G116" s="31">
        <v>201218.0</v>
      </c>
      <c r="H116" s="31">
        <f t="shared" si="1"/>
        <v>0</v>
      </c>
      <c r="I116" s="54">
        <v>69.1</v>
      </c>
      <c r="J116" s="56">
        <v>11.42</v>
      </c>
      <c r="K116" s="62">
        <v>8208.0</v>
      </c>
      <c r="L116" s="46">
        <v>0.0</v>
      </c>
      <c r="M116" s="47">
        <v>93.196</v>
      </c>
      <c r="N116" s="48">
        <v>-8.66</v>
      </c>
      <c r="O116" s="49">
        <v>2580.0</v>
      </c>
      <c r="P116" s="49">
        <v>183880.0</v>
      </c>
      <c r="Q116" s="51">
        <v>0.0</v>
      </c>
      <c r="R116" s="51">
        <v>0.0</v>
      </c>
      <c r="S116" s="51">
        <v>0.0</v>
      </c>
      <c r="T116" s="51">
        <v>0.0</v>
      </c>
      <c r="U116" s="51">
        <v>1.0</v>
      </c>
      <c r="V116" s="35"/>
      <c r="W116" s="35"/>
      <c r="X116" s="35"/>
      <c r="Y116" s="35"/>
      <c r="Z116" s="35"/>
      <c r="AA116" s="35"/>
      <c r="AB116" s="35"/>
      <c r="AC116" s="35"/>
    </row>
    <row r="117">
      <c r="A117" s="26" t="s">
        <v>37</v>
      </c>
      <c r="B117" s="52">
        <v>2002.0</v>
      </c>
      <c r="C117" s="30" t="s">
        <v>39</v>
      </c>
      <c r="D117" s="32" t="s">
        <v>65</v>
      </c>
      <c r="E117" s="33">
        <v>24.0</v>
      </c>
      <c r="F117" s="35">
        <v>463.2</v>
      </c>
      <c r="G117" s="31">
        <v>549828.0</v>
      </c>
      <c r="H117" s="31">
        <f t="shared" si="1"/>
        <v>0.8424452738</v>
      </c>
      <c r="I117" s="42">
        <v>48.43</v>
      </c>
      <c r="J117" s="44">
        <v>2.74</v>
      </c>
      <c r="K117" s="61">
        <v>3542.47</v>
      </c>
      <c r="L117" s="46">
        <v>0.0</v>
      </c>
      <c r="M117" s="47">
        <v>2.338</v>
      </c>
      <c r="N117" s="48">
        <v>-5.84</v>
      </c>
      <c r="O117" s="49">
        <v>1396.0</v>
      </c>
      <c r="P117" s="49">
        <v>597065.0</v>
      </c>
      <c r="Q117" s="50">
        <v>1.0</v>
      </c>
      <c r="R117" s="51">
        <v>0.0</v>
      </c>
      <c r="S117" s="51">
        <v>0.0</v>
      </c>
      <c r="T117" s="51">
        <v>0.0</v>
      </c>
      <c r="U117" s="51">
        <v>0.0</v>
      </c>
      <c r="V117" s="35"/>
      <c r="W117" s="35"/>
      <c r="X117" s="35"/>
      <c r="Y117" s="35"/>
      <c r="Z117" s="35"/>
      <c r="AA117" s="35"/>
      <c r="AB117" s="35"/>
      <c r="AC117" s="35"/>
    </row>
    <row r="118">
      <c r="A118" s="30" t="s">
        <v>39</v>
      </c>
      <c r="B118" s="52">
        <v>2007.0</v>
      </c>
      <c r="C118" s="30" t="s">
        <v>41</v>
      </c>
      <c r="D118" s="32" t="s">
        <v>65</v>
      </c>
      <c r="E118" s="33">
        <v>24.0</v>
      </c>
      <c r="F118" s="35">
        <v>148.0</v>
      </c>
      <c r="G118" s="31">
        <v>539032.75</v>
      </c>
      <c r="H118" s="31">
        <f t="shared" si="1"/>
        <v>0.2745658775</v>
      </c>
      <c r="I118" s="42">
        <v>57.4</v>
      </c>
      <c r="J118" s="53">
        <v>4.8</v>
      </c>
      <c r="K118" s="61">
        <v>4585.13</v>
      </c>
      <c r="L118" s="46">
        <v>0.0</v>
      </c>
      <c r="M118" s="47">
        <v>15.382</v>
      </c>
      <c r="N118" s="48">
        <v>-10.42</v>
      </c>
      <c r="O118" s="49">
        <v>2311.75</v>
      </c>
      <c r="P118" s="49">
        <v>549828.0</v>
      </c>
      <c r="Q118" s="51">
        <v>0.0</v>
      </c>
      <c r="R118" s="51">
        <v>1.0</v>
      </c>
      <c r="S118" s="51">
        <v>0.0</v>
      </c>
      <c r="T118" s="51">
        <v>0.0</v>
      </c>
      <c r="U118" s="51">
        <v>0.0</v>
      </c>
      <c r="V118" s="35"/>
      <c r="W118" s="35"/>
      <c r="X118" s="35"/>
      <c r="Y118" s="35"/>
      <c r="Z118" s="35"/>
      <c r="AA118" s="35"/>
      <c r="AB118" s="35"/>
      <c r="AC118" s="35"/>
    </row>
    <row r="119">
      <c r="A119" s="30" t="s">
        <v>41</v>
      </c>
      <c r="B119" s="52">
        <v>2011.0</v>
      </c>
      <c r="C119" s="30" t="s">
        <v>43</v>
      </c>
      <c r="D119" s="32" t="s">
        <v>65</v>
      </c>
      <c r="E119" s="33">
        <v>24.0</v>
      </c>
      <c r="F119" s="35">
        <v>255.75</v>
      </c>
      <c r="G119" s="31">
        <v>528613.75</v>
      </c>
      <c r="H119" s="31">
        <f t="shared" si="1"/>
        <v>0.4838126137</v>
      </c>
      <c r="I119" s="54">
        <v>61.2</v>
      </c>
      <c r="J119" s="53">
        <v>7.19</v>
      </c>
      <c r="K119" s="61">
        <v>6996.25</v>
      </c>
      <c r="L119" s="46">
        <v>0.0</v>
      </c>
      <c r="M119" s="47">
        <v>46.125</v>
      </c>
      <c r="N119" s="48">
        <v>-15.71</v>
      </c>
      <c r="O119" s="49">
        <v>4841.66666666667</v>
      </c>
      <c r="P119" s="49">
        <v>539032.75</v>
      </c>
      <c r="Q119" s="51">
        <v>0.0</v>
      </c>
      <c r="R119" s="51">
        <v>0.0</v>
      </c>
      <c r="S119" s="51">
        <v>1.0</v>
      </c>
      <c r="T119" s="51">
        <v>0.0</v>
      </c>
      <c r="U119" s="51">
        <v>0.0</v>
      </c>
      <c r="V119" s="35"/>
      <c r="W119" s="35"/>
      <c r="X119" s="35"/>
      <c r="Y119" s="35"/>
      <c r="Z119" s="35"/>
      <c r="AA119" s="35"/>
      <c r="AB119" s="35"/>
      <c r="AC119" s="35"/>
    </row>
    <row r="120">
      <c r="A120" s="30" t="s">
        <v>43</v>
      </c>
      <c r="B120" s="52">
        <v>2015.0</v>
      </c>
      <c r="C120" s="30">
        <v>2016.0</v>
      </c>
      <c r="D120" s="55" t="s">
        <v>65</v>
      </c>
      <c r="E120" s="33">
        <v>24.0</v>
      </c>
      <c r="F120" s="35">
        <v>538.0</v>
      </c>
      <c r="G120" s="31">
        <v>527863.0</v>
      </c>
      <c r="H120" s="31">
        <f t="shared" si="1"/>
        <v>1.019203846</v>
      </c>
      <c r="I120" s="54">
        <v>54.4</v>
      </c>
      <c r="J120" s="56">
        <v>10.34</v>
      </c>
      <c r="K120" s="61">
        <v>7646.5</v>
      </c>
      <c r="L120" s="46">
        <v>0.0</v>
      </c>
      <c r="M120" s="47">
        <v>84.376</v>
      </c>
      <c r="N120" s="48">
        <v>-12.99</v>
      </c>
      <c r="O120" s="49">
        <v>4664.25</v>
      </c>
      <c r="P120" s="49">
        <v>528613.75</v>
      </c>
      <c r="Q120" s="51">
        <v>0.0</v>
      </c>
      <c r="R120" s="51">
        <v>0.0</v>
      </c>
      <c r="S120" s="51">
        <v>0.0</v>
      </c>
      <c r="T120" s="51">
        <v>1.0</v>
      </c>
      <c r="U120" s="51">
        <v>0.0</v>
      </c>
      <c r="V120" s="35"/>
      <c r="W120" s="35"/>
      <c r="X120" s="35"/>
      <c r="Y120" s="35"/>
      <c r="Z120" s="35"/>
      <c r="AA120" s="35"/>
      <c r="AB120" s="35"/>
      <c r="AC120" s="35"/>
    </row>
    <row r="121">
      <c r="A121" s="30">
        <v>2016.0</v>
      </c>
      <c r="B121" s="52">
        <v>2016.0</v>
      </c>
      <c r="C121" s="30" t="s">
        <v>45</v>
      </c>
      <c r="D121" s="55" t="s">
        <v>65</v>
      </c>
      <c r="E121" s="33">
        <v>24.0</v>
      </c>
      <c r="F121" s="35">
        <v>0.0</v>
      </c>
      <c r="G121" s="31">
        <v>532452.5</v>
      </c>
      <c r="H121" s="31">
        <f t="shared" si="1"/>
        <v>0</v>
      </c>
      <c r="I121" s="54">
        <v>61.3</v>
      </c>
      <c r="J121" s="56">
        <v>11.01</v>
      </c>
      <c r="K121" s="62">
        <v>7140.0</v>
      </c>
      <c r="L121" s="46">
        <v>0.0</v>
      </c>
      <c r="M121" s="47">
        <v>92.165</v>
      </c>
      <c r="N121" s="48">
        <v>-9.54</v>
      </c>
      <c r="O121" s="49">
        <v>4507.0</v>
      </c>
      <c r="P121" s="49">
        <v>527863.0</v>
      </c>
      <c r="Q121" s="51">
        <v>0.0</v>
      </c>
      <c r="R121" s="51">
        <v>0.0</v>
      </c>
      <c r="S121" s="51">
        <v>0.0</v>
      </c>
      <c r="T121" s="51">
        <v>0.0</v>
      </c>
      <c r="U121" s="51">
        <v>1.0</v>
      </c>
      <c r="V121" s="35"/>
      <c r="W121" s="35"/>
      <c r="X121" s="35"/>
      <c r="Y121" s="35"/>
      <c r="Z121" s="35"/>
      <c r="AA121" s="35"/>
      <c r="AB121" s="35"/>
      <c r="AC121" s="35"/>
    </row>
    <row r="122">
      <c r="A122" s="26" t="s">
        <v>37</v>
      </c>
      <c r="B122" s="52">
        <v>2002.0</v>
      </c>
      <c r="C122" s="30" t="s">
        <v>39</v>
      </c>
      <c r="D122" s="32" t="s">
        <v>66</v>
      </c>
      <c r="E122" s="33">
        <v>25.0</v>
      </c>
      <c r="F122" s="35">
        <v>575.6</v>
      </c>
      <c r="G122" s="31">
        <v>907325.0</v>
      </c>
      <c r="H122" s="31">
        <f t="shared" si="1"/>
        <v>0.6343923071</v>
      </c>
      <c r="I122" s="42">
        <v>24.17</v>
      </c>
      <c r="J122" s="44">
        <v>4.32</v>
      </c>
      <c r="K122" s="61">
        <v>5570.12</v>
      </c>
      <c r="L122" s="46">
        <v>0.0</v>
      </c>
      <c r="M122" s="47">
        <v>3.312</v>
      </c>
      <c r="N122" s="48">
        <v>1.99</v>
      </c>
      <c r="O122" s="49">
        <v>2815.0</v>
      </c>
      <c r="P122" s="49">
        <v>850029.0</v>
      </c>
      <c r="Q122" s="50">
        <v>1.0</v>
      </c>
      <c r="R122" s="51">
        <v>0.0</v>
      </c>
      <c r="S122" s="51">
        <v>0.0</v>
      </c>
      <c r="T122" s="51">
        <v>0.0</v>
      </c>
      <c r="U122" s="51">
        <v>0.0</v>
      </c>
      <c r="V122" s="35"/>
      <c r="W122" s="35"/>
      <c r="X122" s="35"/>
      <c r="Y122" s="35"/>
      <c r="Z122" s="35"/>
      <c r="AA122" s="35"/>
      <c r="AB122" s="35"/>
      <c r="AC122" s="35"/>
    </row>
    <row r="123">
      <c r="A123" s="30" t="s">
        <v>39</v>
      </c>
      <c r="B123" s="52">
        <v>2007.0</v>
      </c>
      <c r="C123" s="30" t="s">
        <v>41</v>
      </c>
      <c r="D123" s="32" t="s">
        <v>66</v>
      </c>
      <c r="E123" s="33">
        <v>25.0</v>
      </c>
      <c r="F123" s="35">
        <v>429.5</v>
      </c>
      <c r="G123" s="31">
        <v>929574.75</v>
      </c>
      <c r="H123" s="31">
        <f t="shared" si="1"/>
        <v>0.4620392282</v>
      </c>
      <c r="I123" s="42">
        <v>43.03</v>
      </c>
      <c r="J123" s="53">
        <v>6.79</v>
      </c>
      <c r="K123" s="61">
        <v>7155.6</v>
      </c>
      <c r="L123" s="46">
        <v>0.0</v>
      </c>
      <c r="M123" s="47">
        <v>22.134</v>
      </c>
      <c r="N123" s="48">
        <v>1.33</v>
      </c>
      <c r="O123" s="49">
        <v>4805.5</v>
      </c>
      <c r="P123" s="49">
        <v>907325.0</v>
      </c>
      <c r="Q123" s="51">
        <v>0.0</v>
      </c>
      <c r="R123" s="51">
        <v>1.0</v>
      </c>
      <c r="S123" s="51">
        <v>0.0</v>
      </c>
      <c r="T123" s="51">
        <v>0.0</v>
      </c>
      <c r="U123" s="51">
        <v>0.0</v>
      </c>
      <c r="V123" s="35"/>
      <c r="W123" s="35"/>
      <c r="X123" s="35"/>
      <c r="Y123" s="35"/>
      <c r="Z123" s="35"/>
      <c r="AA123" s="35"/>
      <c r="AB123" s="35"/>
      <c r="AC123" s="35"/>
    </row>
    <row r="124">
      <c r="A124" s="30" t="s">
        <v>41</v>
      </c>
      <c r="B124" s="52">
        <v>2011.0</v>
      </c>
      <c r="C124" s="30" t="s">
        <v>43</v>
      </c>
      <c r="D124" s="32" t="s">
        <v>66</v>
      </c>
      <c r="E124" s="33">
        <v>25.0</v>
      </c>
      <c r="F124" s="35">
        <v>259.75</v>
      </c>
      <c r="G124" s="31">
        <v>971540.75</v>
      </c>
      <c r="H124" s="31">
        <f t="shared" si="1"/>
        <v>0.2673588318</v>
      </c>
      <c r="I124" s="54">
        <v>46.6</v>
      </c>
      <c r="J124" s="53">
        <v>9.62</v>
      </c>
      <c r="K124" s="61">
        <v>9375.75</v>
      </c>
      <c r="L124" s="46">
        <v>0.0</v>
      </c>
      <c r="M124" s="47">
        <v>51.749</v>
      </c>
      <c r="N124" s="48">
        <v>-0.92</v>
      </c>
      <c r="O124" s="49">
        <v>7757.0</v>
      </c>
      <c r="P124" s="49">
        <v>929574.75</v>
      </c>
      <c r="Q124" s="51">
        <v>0.0</v>
      </c>
      <c r="R124" s="51">
        <v>0.0</v>
      </c>
      <c r="S124" s="51">
        <v>1.0</v>
      </c>
      <c r="T124" s="51">
        <v>0.0</v>
      </c>
      <c r="U124" s="51">
        <v>0.0</v>
      </c>
      <c r="V124" s="35"/>
      <c r="W124" s="35"/>
      <c r="X124" s="35"/>
      <c r="Y124" s="35"/>
      <c r="Z124" s="35"/>
      <c r="AA124" s="35"/>
      <c r="AB124" s="35"/>
      <c r="AC124" s="35"/>
    </row>
    <row r="125">
      <c r="A125" s="30" t="s">
        <v>43</v>
      </c>
      <c r="B125" s="52">
        <v>2015.0</v>
      </c>
      <c r="C125" s="30">
        <v>2016.0</v>
      </c>
      <c r="D125" s="55" t="s">
        <v>66</v>
      </c>
      <c r="E125" s="33">
        <v>25.0</v>
      </c>
      <c r="F125" s="35">
        <v>0.0</v>
      </c>
      <c r="G125" s="31">
        <v>1005687.0</v>
      </c>
      <c r="H125" s="31">
        <f t="shared" si="1"/>
        <v>0</v>
      </c>
      <c r="I125" s="54">
        <v>39.5</v>
      </c>
      <c r="J125" s="56">
        <v>13.06</v>
      </c>
      <c r="K125" s="61">
        <v>10815.5</v>
      </c>
      <c r="L125" s="46">
        <v>0.0</v>
      </c>
      <c r="M125" s="47">
        <v>91.44</v>
      </c>
      <c r="N125" s="48">
        <v>2.23</v>
      </c>
      <c r="O125" s="49">
        <v>10211.0</v>
      </c>
      <c r="P125" s="49">
        <v>971540.75</v>
      </c>
      <c r="Q125" s="51">
        <v>0.0</v>
      </c>
      <c r="R125" s="51">
        <v>0.0</v>
      </c>
      <c r="S125" s="51">
        <v>0.0</v>
      </c>
      <c r="T125" s="51">
        <v>1.0</v>
      </c>
      <c r="U125" s="51">
        <v>0.0</v>
      </c>
      <c r="V125" s="35"/>
      <c r="W125" s="35"/>
      <c r="X125" s="35"/>
      <c r="Y125" s="35"/>
      <c r="Z125" s="35"/>
      <c r="AA125" s="35"/>
      <c r="AB125" s="35"/>
      <c r="AC125" s="35"/>
    </row>
    <row r="126">
      <c r="A126" s="30">
        <v>2016.0</v>
      </c>
      <c r="B126" s="52">
        <v>2016.0</v>
      </c>
      <c r="C126" s="30" t="s">
        <v>45</v>
      </c>
      <c r="D126" s="55" t="s">
        <v>66</v>
      </c>
      <c r="E126" s="33">
        <v>25.0</v>
      </c>
      <c r="F126" s="35">
        <v>0.0</v>
      </c>
      <c r="G126" s="31">
        <v>1023258.5</v>
      </c>
      <c r="H126" s="31">
        <f t="shared" si="1"/>
        <v>0</v>
      </c>
      <c r="I126" s="54">
        <v>45.5</v>
      </c>
      <c r="J126" s="56">
        <v>13.79</v>
      </c>
      <c r="K126" s="62">
        <v>9988.0</v>
      </c>
      <c r="L126" s="46">
        <v>0.0</v>
      </c>
      <c r="M126" s="47">
        <v>101.807</v>
      </c>
      <c r="N126" s="48">
        <v>4.32</v>
      </c>
      <c r="O126" s="49">
        <v>11784.0</v>
      </c>
      <c r="P126" s="49">
        <v>1005687.0</v>
      </c>
      <c r="Q126" s="51">
        <v>0.0</v>
      </c>
      <c r="R126" s="51">
        <v>0.0</v>
      </c>
      <c r="S126" s="51">
        <v>0.0</v>
      </c>
      <c r="T126" s="51">
        <v>0.0</v>
      </c>
      <c r="U126" s="51">
        <v>1.0</v>
      </c>
      <c r="V126" s="35"/>
      <c r="W126" s="35"/>
      <c r="X126" s="35"/>
      <c r="Y126" s="35"/>
      <c r="Z126" s="35"/>
      <c r="AA126" s="35"/>
      <c r="AB126" s="35"/>
      <c r="AC126" s="35"/>
    </row>
    <row r="127">
      <c r="A127" s="26" t="s">
        <v>37</v>
      </c>
      <c r="B127" s="52">
        <v>2002.0</v>
      </c>
      <c r="C127" s="30" t="s">
        <v>39</v>
      </c>
      <c r="D127" s="32" t="s">
        <v>67</v>
      </c>
      <c r="E127" s="33">
        <v>26.0</v>
      </c>
      <c r="F127" s="35">
        <v>1042.4</v>
      </c>
      <c r="G127" s="31">
        <v>1460714.0</v>
      </c>
      <c r="H127" s="31">
        <f t="shared" si="1"/>
        <v>0.7136236115</v>
      </c>
      <c r="I127" s="42">
        <v>15.96</v>
      </c>
      <c r="J127" s="44">
        <v>2.22</v>
      </c>
      <c r="K127" s="61">
        <v>2627.58</v>
      </c>
      <c r="L127" s="46">
        <v>0.0</v>
      </c>
      <c r="M127" s="47">
        <v>0.119</v>
      </c>
      <c r="N127" s="48">
        <v>-4.0</v>
      </c>
      <c r="O127" s="49">
        <v>162.0</v>
      </c>
      <c r="P127" s="49">
        <v>1362708.0</v>
      </c>
      <c r="Q127" s="50">
        <v>1.0</v>
      </c>
      <c r="R127" s="51">
        <v>0.0</v>
      </c>
      <c r="S127" s="51">
        <v>0.0</v>
      </c>
      <c r="T127" s="51">
        <v>0.0</v>
      </c>
      <c r="U127" s="51">
        <v>0.0</v>
      </c>
      <c r="V127" s="35"/>
      <c r="W127" s="35"/>
      <c r="X127" s="35"/>
      <c r="Y127" s="35"/>
      <c r="Z127" s="35"/>
      <c r="AA127" s="35"/>
      <c r="AB127" s="35"/>
      <c r="AC127" s="35"/>
    </row>
    <row r="128">
      <c r="A128" s="30" t="s">
        <v>39</v>
      </c>
      <c r="B128" s="52">
        <v>2007.0</v>
      </c>
      <c r="C128" s="30" t="s">
        <v>41</v>
      </c>
      <c r="D128" s="32" t="s">
        <v>67</v>
      </c>
      <c r="E128" s="33">
        <v>26.0</v>
      </c>
      <c r="F128" s="35">
        <v>1113.0</v>
      </c>
      <c r="G128" s="31">
        <v>1526935.0</v>
      </c>
      <c r="H128" s="31">
        <f t="shared" si="1"/>
        <v>0.7289111848</v>
      </c>
      <c r="I128" s="42">
        <v>40.9</v>
      </c>
      <c r="J128" s="53">
        <v>3.56</v>
      </c>
      <c r="K128" s="61">
        <v>3438.44</v>
      </c>
      <c r="L128" s="46">
        <v>0.0</v>
      </c>
      <c r="M128" s="47">
        <v>2.035</v>
      </c>
      <c r="N128" s="48">
        <v>-7.37</v>
      </c>
      <c r="O128" s="49">
        <v>739.25</v>
      </c>
      <c r="P128" s="49">
        <v>1460714.0</v>
      </c>
      <c r="Q128" s="51">
        <v>0.0</v>
      </c>
      <c r="R128" s="51">
        <v>1.0</v>
      </c>
      <c r="S128" s="51">
        <v>0.0</v>
      </c>
      <c r="T128" s="51">
        <v>0.0</v>
      </c>
      <c r="U128" s="51">
        <v>0.0</v>
      </c>
      <c r="V128" s="35"/>
      <c r="W128" s="35"/>
      <c r="X128" s="35"/>
      <c r="Y128" s="35"/>
      <c r="Z128" s="35"/>
      <c r="AA128" s="35"/>
      <c r="AB128" s="35"/>
      <c r="AC128" s="35"/>
    </row>
    <row r="129">
      <c r="A129" s="30" t="s">
        <v>41</v>
      </c>
      <c r="B129" s="52">
        <v>2011.0</v>
      </c>
      <c r="C129" s="30" t="s">
        <v>43</v>
      </c>
      <c r="D129" s="32" t="s">
        <v>67</v>
      </c>
      <c r="E129" s="33">
        <v>26.0</v>
      </c>
      <c r="F129" s="35">
        <v>100.0</v>
      </c>
      <c r="G129" s="31">
        <v>1622212.0</v>
      </c>
      <c r="H129" s="31">
        <f t="shared" si="1"/>
        <v>0.06164422406</v>
      </c>
      <c r="I129" s="54">
        <v>32.2</v>
      </c>
      <c r="J129" s="53">
        <v>6.48</v>
      </c>
      <c r="K129" s="61">
        <v>4843.5</v>
      </c>
      <c r="L129" s="46">
        <v>0.0</v>
      </c>
      <c r="M129" s="47">
        <v>7.657</v>
      </c>
      <c r="N129" s="48">
        <v>-8.29</v>
      </c>
      <c r="O129" s="49">
        <v>2742.33333333333</v>
      </c>
      <c r="P129" s="49">
        <v>1526935.0</v>
      </c>
      <c r="Q129" s="51">
        <v>0.0</v>
      </c>
      <c r="R129" s="51">
        <v>0.0</v>
      </c>
      <c r="S129" s="51">
        <v>1.0</v>
      </c>
      <c r="T129" s="51">
        <v>0.0</v>
      </c>
      <c r="U129" s="51">
        <v>0.0</v>
      </c>
      <c r="V129" s="35"/>
      <c r="W129" s="35"/>
      <c r="X129" s="35"/>
      <c r="Y129" s="35"/>
      <c r="Z129" s="35"/>
      <c r="AA129" s="35"/>
      <c r="AB129" s="35"/>
      <c r="AC129" s="35"/>
    </row>
    <row r="130">
      <c r="A130" s="30" t="s">
        <v>43</v>
      </c>
      <c r="B130" s="52">
        <v>2015.0</v>
      </c>
      <c r="C130" s="30">
        <v>2016.0</v>
      </c>
      <c r="D130" s="55" t="s">
        <v>67</v>
      </c>
      <c r="E130" s="33">
        <v>26.0</v>
      </c>
      <c r="F130" s="35">
        <v>2312.0</v>
      </c>
      <c r="G130" s="31">
        <v>1673119.0</v>
      </c>
      <c r="H130" s="31">
        <f t="shared" si="1"/>
        <v>1.381850305</v>
      </c>
      <c r="I130" s="54">
        <v>14.0</v>
      </c>
      <c r="J130" s="56">
        <v>10.58</v>
      </c>
      <c r="K130" s="61">
        <v>5686.75</v>
      </c>
      <c r="L130" s="46">
        <v>0.0</v>
      </c>
      <c r="M130" s="47">
        <v>16.004</v>
      </c>
      <c r="N130" s="48">
        <v>-7.87</v>
      </c>
      <c r="O130" s="49">
        <v>2573.0</v>
      </c>
      <c r="P130" s="49">
        <v>1622212.0</v>
      </c>
      <c r="Q130" s="51">
        <v>0.0</v>
      </c>
      <c r="R130" s="51">
        <v>0.0</v>
      </c>
      <c r="S130" s="51">
        <v>0.0</v>
      </c>
      <c r="T130" s="51">
        <v>1.0</v>
      </c>
      <c r="U130" s="51">
        <v>0.0</v>
      </c>
      <c r="V130" s="35"/>
      <c r="W130" s="35"/>
      <c r="X130" s="35"/>
      <c r="Y130" s="35"/>
      <c r="Z130" s="35"/>
      <c r="AA130" s="35"/>
      <c r="AB130" s="35"/>
      <c r="AC130" s="35"/>
    </row>
    <row r="131">
      <c r="A131" s="30">
        <v>2016.0</v>
      </c>
      <c r="B131" s="52">
        <v>2016.0</v>
      </c>
      <c r="C131" s="30" t="s">
        <v>45</v>
      </c>
      <c r="D131" s="55" t="s">
        <v>67</v>
      </c>
      <c r="E131" s="33">
        <v>26.0</v>
      </c>
      <c r="F131" s="35">
        <v>0.0</v>
      </c>
      <c r="G131" s="31">
        <v>1716148.5</v>
      </c>
      <c r="H131" s="31">
        <f t="shared" si="1"/>
        <v>0</v>
      </c>
      <c r="I131" s="54">
        <v>21.4</v>
      </c>
      <c r="J131" s="56">
        <v>11.32</v>
      </c>
      <c r="K131" s="62">
        <v>5230.0</v>
      </c>
      <c r="L131" s="46">
        <v>0.0</v>
      </c>
      <c r="M131" s="47">
        <v>19.718</v>
      </c>
      <c r="N131" s="48">
        <v>-10.87</v>
      </c>
      <c r="O131" s="49">
        <v>6535.0</v>
      </c>
      <c r="P131" s="49">
        <v>1673119.0</v>
      </c>
      <c r="Q131" s="51">
        <v>0.0</v>
      </c>
      <c r="R131" s="51">
        <v>0.0</v>
      </c>
      <c r="S131" s="51">
        <v>0.0</v>
      </c>
      <c r="T131" s="51">
        <v>0.0</v>
      </c>
      <c r="U131" s="51">
        <v>1.0</v>
      </c>
      <c r="V131" s="35"/>
      <c r="W131" s="35"/>
      <c r="X131" s="35"/>
      <c r="Y131" s="35"/>
      <c r="Z131" s="35"/>
      <c r="AA131" s="35"/>
      <c r="AB131" s="35"/>
      <c r="AC131" s="35"/>
    </row>
    <row r="132">
      <c r="A132" s="26" t="s">
        <v>37</v>
      </c>
      <c r="B132" s="52">
        <v>2002.0</v>
      </c>
      <c r="C132" s="30" t="s">
        <v>39</v>
      </c>
      <c r="D132" s="32" t="s">
        <v>68</v>
      </c>
      <c r="E132" s="33">
        <v>27.0</v>
      </c>
      <c r="F132" s="35">
        <v>717.2</v>
      </c>
      <c r="G132" s="31">
        <v>323328.0</v>
      </c>
      <c r="H132" s="31">
        <f t="shared" si="1"/>
        <v>2.218180918</v>
      </c>
      <c r="I132" s="42">
        <v>52.46</v>
      </c>
      <c r="J132" s="44">
        <v>0.31</v>
      </c>
      <c r="K132" s="61">
        <v>4493.67</v>
      </c>
      <c r="L132" s="46">
        <v>0.0</v>
      </c>
      <c r="M132" s="47">
        <v>4.191</v>
      </c>
      <c r="N132" s="48">
        <v>0.8</v>
      </c>
      <c r="O132" s="49">
        <v>1317.0</v>
      </c>
      <c r="P132" s="49">
        <v>314266.0</v>
      </c>
      <c r="Q132" s="50">
        <v>1.0</v>
      </c>
      <c r="R132" s="51">
        <v>0.0</v>
      </c>
      <c r="S132" s="51">
        <v>0.0</v>
      </c>
      <c r="T132" s="51">
        <v>0.0</v>
      </c>
      <c r="U132" s="51">
        <v>0.0</v>
      </c>
      <c r="V132" s="35"/>
      <c r="W132" s="35"/>
      <c r="X132" s="35"/>
      <c r="Y132" s="35"/>
      <c r="Z132" s="35"/>
      <c r="AA132" s="35"/>
      <c r="AB132" s="35"/>
      <c r="AC132" s="35"/>
    </row>
    <row r="133">
      <c r="A133" s="30" t="s">
        <v>39</v>
      </c>
      <c r="B133" s="52">
        <v>2007.0</v>
      </c>
      <c r="C133" s="30" t="s">
        <v>41</v>
      </c>
      <c r="D133" s="32" t="s">
        <v>68</v>
      </c>
      <c r="E133" s="33">
        <v>27.0</v>
      </c>
      <c r="F133" s="35">
        <v>111.5</v>
      </c>
      <c r="G133" s="31">
        <v>336025.25</v>
      </c>
      <c r="H133" s="31">
        <f t="shared" si="1"/>
        <v>0.3318203022</v>
      </c>
      <c r="I133" s="42">
        <v>60.6</v>
      </c>
      <c r="J133" s="53">
        <v>5.12</v>
      </c>
      <c r="K133" s="61">
        <v>6145.4</v>
      </c>
      <c r="L133" s="46">
        <v>0.0</v>
      </c>
      <c r="M133" s="47">
        <v>28.68</v>
      </c>
      <c r="N133" s="48">
        <v>3.16</v>
      </c>
      <c r="O133" s="49">
        <v>1086.75</v>
      </c>
      <c r="P133" s="49">
        <v>323328.0</v>
      </c>
      <c r="Q133" s="51">
        <v>0.0</v>
      </c>
      <c r="R133" s="51">
        <v>1.0</v>
      </c>
      <c r="S133" s="51">
        <v>0.0</v>
      </c>
      <c r="T133" s="51">
        <v>0.0</v>
      </c>
      <c r="U133" s="51">
        <v>0.0</v>
      </c>
      <c r="V133" s="35"/>
      <c r="W133" s="35"/>
      <c r="X133" s="35"/>
      <c r="Y133" s="35"/>
      <c r="Z133" s="35"/>
      <c r="AA133" s="35"/>
      <c r="AB133" s="35"/>
      <c r="AC133" s="35"/>
    </row>
    <row r="134">
      <c r="A134" s="30" t="s">
        <v>41</v>
      </c>
      <c r="B134" s="52">
        <v>2011.0</v>
      </c>
      <c r="C134" s="30" t="s">
        <v>43</v>
      </c>
      <c r="D134" s="32" t="s">
        <v>68</v>
      </c>
      <c r="E134" s="33">
        <v>27.0</v>
      </c>
      <c r="F134" s="35">
        <v>355.5</v>
      </c>
      <c r="G134" s="31">
        <v>353484.75</v>
      </c>
      <c r="H134" s="31">
        <f t="shared" si="1"/>
        <v>1.005701095</v>
      </c>
      <c r="I134" s="54">
        <v>65.9</v>
      </c>
      <c r="J134" s="53">
        <v>7.92</v>
      </c>
      <c r="K134" s="61">
        <v>8895.0</v>
      </c>
      <c r="L134" s="46">
        <v>0.0</v>
      </c>
      <c r="M134" s="47">
        <v>52.824</v>
      </c>
      <c r="N134" s="48">
        <v>5.46</v>
      </c>
      <c r="O134" s="49">
        <v>2540.33333333333</v>
      </c>
      <c r="P134" s="49">
        <v>336025.25</v>
      </c>
      <c r="Q134" s="51">
        <v>0.0</v>
      </c>
      <c r="R134" s="51">
        <v>0.0</v>
      </c>
      <c r="S134" s="51">
        <v>1.0</v>
      </c>
      <c r="T134" s="51">
        <v>0.0</v>
      </c>
      <c r="U134" s="51">
        <v>0.0</v>
      </c>
      <c r="V134" s="35"/>
      <c r="W134" s="35"/>
      <c r="X134" s="35"/>
      <c r="Y134" s="35"/>
      <c r="Z134" s="35"/>
      <c r="AA134" s="35"/>
      <c r="AB134" s="35"/>
      <c r="AC134" s="35"/>
    </row>
    <row r="135">
      <c r="A135" s="30" t="s">
        <v>43</v>
      </c>
      <c r="B135" s="52">
        <v>2015.0</v>
      </c>
      <c r="C135" s="30">
        <v>2016.0</v>
      </c>
      <c r="D135" s="55" t="s">
        <v>68</v>
      </c>
      <c r="E135" s="33">
        <v>27.0</v>
      </c>
      <c r="F135" s="35">
        <v>0.0</v>
      </c>
      <c r="G135" s="31">
        <v>370371.0</v>
      </c>
      <c r="H135" s="31">
        <f t="shared" si="1"/>
        <v>0</v>
      </c>
      <c r="I135" s="54">
        <v>59.4</v>
      </c>
      <c r="J135" s="56">
        <v>11.75</v>
      </c>
      <c r="K135" s="61">
        <v>10651.5</v>
      </c>
      <c r="L135" s="46">
        <v>0.0</v>
      </c>
      <c r="M135" s="47">
        <v>78.603</v>
      </c>
      <c r="N135" s="48">
        <v>0.88</v>
      </c>
      <c r="O135" s="49">
        <v>2623.75</v>
      </c>
      <c r="P135" s="49">
        <v>353484.75</v>
      </c>
      <c r="Q135" s="51">
        <v>0.0</v>
      </c>
      <c r="R135" s="51">
        <v>0.0</v>
      </c>
      <c r="S135" s="51">
        <v>0.0</v>
      </c>
      <c r="T135" s="51">
        <v>1.0</v>
      </c>
      <c r="U135" s="51">
        <v>0.0</v>
      </c>
      <c r="V135" s="35"/>
      <c r="W135" s="35"/>
      <c r="X135" s="35"/>
      <c r="Y135" s="35"/>
      <c r="Z135" s="35"/>
      <c r="AA135" s="35"/>
      <c r="AB135" s="35"/>
      <c r="AC135" s="35"/>
    </row>
    <row r="136">
      <c r="A136" s="30">
        <v>2016.0</v>
      </c>
      <c r="B136" s="52">
        <v>2016.0</v>
      </c>
      <c r="C136" s="30" t="s">
        <v>45</v>
      </c>
      <c r="D136" s="55" t="s">
        <v>68</v>
      </c>
      <c r="E136" s="33">
        <v>27.0</v>
      </c>
      <c r="F136" s="35">
        <v>49.0</v>
      </c>
      <c r="G136" s="31">
        <v>382727.0</v>
      </c>
      <c r="H136" s="31">
        <f t="shared" si="1"/>
        <v>0.1280285948</v>
      </c>
      <c r="I136" s="54">
        <v>70.8</v>
      </c>
      <c r="J136" s="56">
        <v>12.46</v>
      </c>
      <c r="K136" s="62">
        <v>9843.0</v>
      </c>
      <c r="L136" s="46">
        <v>0.0</v>
      </c>
      <c r="M136" s="47">
        <v>87.202</v>
      </c>
      <c r="N136" s="48">
        <v>8.45</v>
      </c>
      <c r="O136" s="49">
        <v>3704.0</v>
      </c>
      <c r="P136" s="49">
        <v>370371.0</v>
      </c>
      <c r="Q136" s="51">
        <v>0.0</v>
      </c>
      <c r="R136" s="51">
        <v>0.0</v>
      </c>
      <c r="S136" s="51">
        <v>0.0</v>
      </c>
      <c r="T136" s="51">
        <v>0.0</v>
      </c>
      <c r="U136" s="51">
        <v>1.0</v>
      </c>
      <c r="V136" s="35"/>
      <c r="W136" s="35"/>
      <c r="X136" s="35"/>
      <c r="Y136" s="35"/>
      <c r="Z136" s="35"/>
      <c r="AA136" s="35"/>
      <c r="AB136" s="35"/>
      <c r="AC136" s="35"/>
    </row>
    <row r="137">
      <c r="A137" s="26" t="s">
        <v>37</v>
      </c>
      <c r="B137" s="52">
        <v>2002.0</v>
      </c>
      <c r="C137" s="30" t="s">
        <v>39</v>
      </c>
      <c r="D137" s="32" t="s">
        <v>69</v>
      </c>
      <c r="E137" s="33">
        <v>28.0</v>
      </c>
      <c r="F137" s="35">
        <v>296.0</v>
      </c>
      <c r="G137" s="31">
        <v>396462.0</v>
      </c>
      <c r="H137" s="31">
        <f t="shared" si="1"/>
        <v>0.7466037098</v>
      </c>
      <c r="I137" s="42">
        <v>8.73</v>
      </c>
      <c r="J137" s="44">
        <v>4.71</v>
      </c>
      <c r="K137" s="61">
        <v>4665.21</v>
      </c>
      <c r="L137" s="46">
        <v>0.0</v>
      </c>
      <c r="M137" s="47">
        <v>5.161</v>
      </c>
      <c r="N137" s="48">
        <v>-1.4</v>
      </c>
      <c r="O137" s="49">
        <v>2078.0</v>
      </c>
      <c r="P137" s="49">
        <v>402606.0</v>
      </c>
      <c r="Q137" s="50">
        <v>1.0</v>
      </c>
      <c r="R137" s="51">
        <v>0.0</v>
      </c>
      <c r="S137" s="51">
        <v>0.0</v>
      </c>
      <c r="T137" s="51">
        <v>0.0</v>
      </c>
      <c r="U137" s="51">
        <v>0.0</v>
      </c>
      <c r="V137" s="35"/>
      <c r="W137" s="35"/>
      <c r="X137" s="35"/>
      <c r="Y137" s="35"/>
      <c r="Z137" s="35"/>
      <c r="AA137" s="35"/>
      <c r="AB137" s="35"/>
      <c r="AC137" s="35"/>
    </row>
    <row r="138">
      <c r="A138" s="30" t="s">
        <v>39</v>
      </c>
      <c r="B138" s="52">
        <v>2007.0</v>
      </c>
      <c r="C138" s="30" t="s">
        <v>41</v>
      </c>
      <c r="D138" s="32" t="s">
        <v>69</v>
      </c>
      <c r="E138" s="33">
        <v>28.0</v>
      </c>
      <c r="F138" s="35">
        <v>735.5</v>
      </c>
      <c r="G138" s="31">
        <v>394962.75</v>
      </c>
      <c r="H138" s="31">
        <f t="shared" si="1"/>
        <v>1.862200929</v>
      </c>
      <c r="I138" s="42">
        <v>20.72</v>
      </c>
      <c r="J138" s="53">
        <v>6.86</v>
      </c>
      <c r="K138" s="61">
        <v>6191.79</v>
      </c>
      <c r="L138" s="46">
        <v>0.0</v>
      </c>
      <c r="M138" s="47">
        <v>23.871</v>
      </c>
      <c r="N138" s="48">
        <v>-4.55</v>
      </c>
      <c r="O138" s="49">
        <v>1973.0</v>
      </c>
      <c r="P138" s="49">
        <v>396462.0</v>
      </c>
      <c r="Q138" s="51">
        <v>0.0</v>
      </c>
      <c r="R138" s="51">
        <v>1.0</v>
      </c>
      <c r="S138" s="51">
        <v>0.0</v>
      </c>
      <c r="T138" s="51">
        <v>0.0</v>
      </c>
      <c r="U138" s="51">
        <v>0.0</v>
      </c>
      <c r="V138" s="35"/>
      <c r="W138" s="35"/>
      <c r="X138" s="35"/>
      <c r="Y138" s="35"/>
      <c r="Z138" s="35"/>
      <c r="AA138" s="35"/>
      <c r="AB138" s="35"/>
      <c r="AC138" s="35"/>
    </row>
    <row r="139">
      <c r="A139" s="30" t="s">
        <v>41</v>
      </c>
      <c r="B139" s="52">
        <v>2011.0</v>
      </c>
      <c r="C139" s="30" t="s">
        <v>43</v>
      </c>
      <c r="D139" s="32" t="s">
        <v>69</v>
      </c>
      <c r="E139" s="33">
        <v>28.0</v>
      </c>
      <c r="F139" s="35">
        <v>129.25</v>
      </c>
      <c r="G139" s="31">
        <v>400276.75</v>
      </c>
      <c r="H139" s="31">
        <f t="shared" si="1"/>
        <v>0.3229015925</v>
      </c>
      <c r="I139" s="54">
        <v>30.4</v>
      </c>
      <c r="J139" s="53">
        <v>9.74</v>
      </c>
      <c r="K139" s="61">
        <v>9335.5</v>
      </c>
      <c r="L139" s="46">
        <v>1.0</v>
      </c>
      <c r="M139" s="47">
        <v>56.391</v>
      </c>
      <c r="N139" s="48">
        <v>-1.34</v>
      </c>
      <c r="O139" s="49">
        <v>3939.66666666667</v>
      </c>
      <c r="P139" s="49">
        <v>394962.75</v>
      </c>
      <c r="Q139" s="51">
        <v>0.0</v>
      </c>
      <c r="R139" s="51">
        <v>0.0</v>
      </c>
      <c r="S139" s="51">
        <v>1.0</v>
      </c>
      <c r="T139" s="51">
        <v>0.0</v>
      </c>
      <c r="U139" s="51">
        <v>0.0</v>
      </c>
      <c r="V139" s="35"/>
      <c r="W139" s="35"/>
      <c r="X139" s="35"/>
      <c r="Y139" s="35"/>
      <c r="Z139" s="35"/>
      <c r="AA139" s="35"/>
      <c r="AB139" s="35"/>
      <c r="AC139" s="35"/>
    </row>
    <row r="140">
      <c r="A140" s="30" t="s">
        <v>43</v>
      </c>
      <c r="B140" s="52">
        <v>2015.0</v>
      </c>
      <c r="C140" s="30">
        <v>2016.0</v>
      </c>
      <c r="D140" s="55" t="s">
        <v>69</v>
      </c>
      <c r="E140" s="33">
        <v>28.0</v>
      </c>
      <c r="F140" s="35">
        <v>0.0</v>
      </c>
      <c r="G140" s="31">
        <v>401701.0</v>
      </c>
      <c r="H140" s="31">
        <f t="shared" si="1"/>
        <v>0</v>
      </c>
      <c r="I140" s="54">
        <v>24.2</v>
      </c>
      <c r="J140" s="56">
        <v>13.21</v>
      </c>
      <c r="K140" s="61">
        <v>10266.75</v>
      </c>
      <c r="L140" s="46">
        <v>0.0</v>
      </c>
      <c r="M140" s="47">
        <v>108.644</v>
      </c>
      <c r="N140" s="48">
        <v>-0.24</v>
      </c>
      <c r="O140" s="49">
        <v>5016.75</v>
      </c>
      <c r="P140" s="49">
        <v>400276.75</v>
      </c>
      <c r="Q140" s="51">
        <v>0.0</v>
      </c>
      <c r="R140" s="51">
        <v>0.0</v>
      </c>
      <c r="S140" s="51">
        <v>0.0</v>
      </c>
      <c r="T140" s="51">
        <v>1.0</v>
      </c>
      <c r="U140" s="51">
        <v>0.0</v>
      </c>
      <c r="V140" s="35"/>
      <c r="W140" s="35"/>
      <c r="X140" s="35"/>
      <c r="Y140" s="35"/>
      <c r="Z140" s="35"/>
      <c r="AA140" s="35"/>
      <c r="AB140" s="35"/>
      <c r="AC140" s="35"/>
    </row>
    <row r="141">
      <c r="A141" s="30">
        <v>2016.0</v>
      </c>
      <c r="B141" s="52">
        <v>2016.0</v>
      </c>
      <c r="C141" s="30" t="s">
        <v>45</v>
      </c>
      <c r="D141" s="55" t="s">
        <v>69</v>
      </c>
      <c r="E141" s="33">
        <v>28.0</v>
      </c>
      <c r="F141" s="35">
        <v>0.0</v>
      </c>
      <c r="G141" s="31">
        <v>409191.5</v>
      </c>
      <c r="H141" s="31">
        <f t="shared" si="1"/>
        <v>0</v>
      </c>
      <c r="I141" s="54">
        <v>27.0</v>
      </c>
      <c r="J141" s="56">
        <v>13.73</v>
      </c>
      <c r="K141" s="62">
        <v>9195.0</v>
      </c>
      <c r="L141" s="46">
        <v>0.0</v>
      </c>
      <c r="M141" s="47">
        <v>117.414</v>
      </c>
      <c r="N141" s="48">
        <v>0.94</v>
      </c>
      <c r="O141" s="49">
        <v>3180.0</v>
      </c>
      <c r="P141" s="49">
        <v>401701.0</v>
      </c>
      <c r="Q141" s="51">
        <v>0.0</v>
      </c>
      <c r="R141" s="51">
        <v>0.0</v>
      </c>
      <c r="S141" s="51">
        <v>0.0</v>
      </c>
      <c r="T141" s="51">
        <v>0.0</v>
      </c>
      <c r="U141" s="51">
        <v>1.0</v>
      </c>
      <c r="V141" s="35"/>
      <c r="W141" s="35"/>
      <c r="X141" s="35"/>
      <c r="Y141" s="35"/>
      <c r="Z141" s="35"/>
      <c r="AA141" s="35"/>
      <c r="AB141" s="35"/>
      <c r="AC141" s="35"/>
    </row>
    <row r="142">
      <c r="A142" s="26" t="s">
        <v>37</v>
      </c>
      <c r="B142" s="52">
        <v>2002.0</v>
      </c>
      <c r="C142" s="30" t="s">
        <v>39</v>
      </c>
      <c r="D142" s="32" t="s">
        <v>70</v>
      </c>
      <c r="E142" s="33">
        <v>29.0</v>
      </c>
      <c r="F142" s="35">
        <v>197.6</v>
      </c>
      <c r="G142" s="31">
        <v>541258.0</v>
      </c>
      <c r="H142" s="31">
        <f t="shared" si="1"/>
        <v>0.3650754354</v>
      </c>
      <c r="I142" s="42">
        <v>41.99</v>
      </c>
      <c r="J142" s="44">
        <v>3.96</v>
      </c>
      <c r="K142" s="61">
        <v>3240.23</v>
      </c>
      <c r="L142" s="46">
        <v>0.0</v>
      </c>
      <c r="M142" s="47">
        <v>1.524</v>
      </c>
      <c r="N142" s="48">
        <v>-2.38</v>
      </c>
      <c r="O142" s="49">
        <v>868.0</v>
      </c>
      <c r="P142" s="49">
        <v>569616.0</v>
      </c>
      <c r="Q142" s="50">
        <v>1.0</v>
      </c>
      <c r="R142" s="51">
        <v>0.0</v>
      </c>
      <c r="S142" s="51">
        <v>0.0</v>
      </c>
      <c r="T142" s="51">
        <v>0.0</v>
      </c>
      <c r="U142" s="51">
        <v>0.0</v>
      </c>
      <c r="V142" s="35"/>
      <c r="W142" s="35"/>
      <c r="X142" s="35"/>
      <c r="Y142" s="35"/>
      <c r="Z142" s="35"/>
      <c r="AA142" s="35"/>
      <c r="AB142" s="35"/>
      <c r="AC142" s="35"/>
    </row>
    <row r="143">
      <c r="A143" s="30" t="s">
        <v>39</v>
      </c>
      <c r="B143" s="52">
        <v>2007.0</v>
      </c>
      <c r="C143" s="30" t="s">
        <v>41</v>
      </c>
      <c r="D143" s="32" t="s">
        <v>70</v>
      </c>
      <c r="E143" s="33">
        <v>29.0</v>
      </c>
      <c r="F143" s="35">
        <v>1353.5</v>
      </c>
      <c r="G143" s="31">
        <v>552357.75</v>
      </c>
      <c r="H143" s="31">
        <f t="shared" si="1"/>
        <v>2.450404652</v>
      </c>
      <c r="I143" s="42">
        <v>57.2</v>
      </c>
      <c r="J143" s="53">
        <v>5.6</v>
      </c>
      <c r="K143" s="61">
        <v>4487.27</v>
      </c>
      <c r="L143" s="46">
        <v>0.0</v>
      </c>
      <c r="M143" s="47">
        <v>17.501</v>
      </c>
      <c r="N143" s="48">
        <v>-4.4</v>
      </c>
      <c r="O143" s="49">
        <v>2142.5</v>
      </c>
      <c r="P143" s="49">
        <v>541258.0</v>
      </c>
      <c r="Q143" s="51">
        <v>0.0</v>
      </c>
      <c r="R143" s="51">
        <v>1.0</v>
      </c>
      <c r="S143" s="51">
        <v>0.0</v>
      </c>
      <c r="T143" s="51">
        <v>0.0</v>
      </c>
      <c r="U143" s="51">
        <v>0.0</v>
      </c>
      <c r="V143" s="35"/>
      <c r="W143" s="35"/>
      <c r="X143" s="35"/>
      <c r="Y143" s="35"/>
      <c r="Z143" s="35"/>
      <c r="AA143" s="35"/>
      <c r="AB143" s="35"/>
      <c r="AC143" s="35"/>
    </row>
    <row r="144">
      <c r="A144" s="30" t="s">
        <v>41</v>
      </c>
      <c r="B144" s="52">
        <v>2011.0</v>
      </c>
      <c r="C144" s="30" t="s">
        <v>43</v>
      </c>
      <c r="D144" s="32" t="s">
        <v>70</v>
      </c>
      <c r="E144" s="33">
        <v>29.0</v>
      </c>
      <c r="F144" s="35">
        <v>227.5</v>
      </c>
      <c r="G144" s="31">
        <v>568499.75</v>
      </c>
      <c r="H144" s="31">
        <f t="shared" si="1"/>
        <v>0.4001760775</v>
      </c>
      <c r="I144" s="54">
        <v>67.4</v>
      </c>
      <c r="J144" s="53">
        <v>9.22</v>
      </c>
      <c r="K144" s="61">
        <v>6813.0</v>
      </c>
      <c r="L144" s="46">
        <v>1.0</v>
      </c>
      <c r="M144" s="47">
        <v>46.172</v>
      </c>
      <c r="N144" s="48">
        <v>-5.74</v>
      </c>
      <c r="O144" s="49">
        <v>5216.0</v>
      </c>
      <c r="P144" s="49">
        <v>552357.75</v>
      </c>
      <c r="Q144" s="51">
        <v>0.0</v>
      </c>
      <c r="R144" s="51">
        <v>0.0</v>
      </c>
      <c r="S144" s="51">
        <v>1.0</v>
      </c>
      <c r="T144" s="51">
        <v>0.0</v>
      </c>
      <c r="U144" s="51">
        <v>0.0</v>
      </c>
      <c r="V144" s="35"/>
      <c r="W144" s="35"/>
      <c r="X144" s="35"/>
      <c r="Y144" s="35"/>
      <c r="Z144" s="35"/>
      <c r="AA144" s="35"/>
      <c r="AB144" s="35"/>
      <c r="AC144" s="35"/>
    </row>
    <row r="145">
      <c r="A145" s="30" t="s">
        <v>43</v>
      </c>
      <c r="B145" s="52">
        <v>2015.0</v>
      </c>
      <c r="C145" s="30">
        <v>2016.0</v>
      </c>
      <c r="D145" s="55" t="s">
        <v>70</v>
      </c>
      <c r="E145" s="33">
        <v>29.0</v>
      </c>
      <c r="F145" s="35">
        <v>385.0</v>
      </c>
      <c r="G145" s="31">
        <v>578789.0</v>
      </c>
      <c r="H145" s="31">
        <f t="shared" si="1"/>
        <v>0.6651819575</v>
      </c>
      <c r="I145" s="54">
        <v>52.9</v>
      </c>
      <c r="J145" s="56">
        <v>13.14</v>
      </c>
      <c r="K145" s="61">
        <v>7647.0</v>
      </c>
      <c r="L145" s="46">
        <v>0.0</v>
      </c>
      <c r="M145" s="47">
        <v>91.234</v>
      </c>
      <c r="N145" s="48">
        <v>-3.86</v>
      </c>
      <c r="O145" s="49">
        <v>4422.5</v>
      </c>
      <c r="P145" s="49">
        <v>568499.75</v>
      </c>
      <c r="Q145" s="51">
        <v>0.0</v>
      </c>
      <c r="R145" s="51">
        <v>0.0</v>
      </c>
      <c r="S145" s="51">
        <v>0.0</v>
      </c>
      <c r="T145" s="51">
        <v>1.0</v>
      </c>
      <c r="U145" s="51">
        <v>0.0</v>
      </c>
      <c r="V145" s="35"/>
      <c r="W145" s="35"/>
      <c r="X145" s="35"/>
      <c r="Y145" s="35"/>
      <c r="Z145" s="35"/>
      <c r="AA145" s="35"/>
      <c r="AB145" s="35"/>
      <c r="AC145" s="35"/>
    </row>
    <row r="146">
      <c r="A146" s="30">
        <v>2016.0</v>
      </c>
      <c r="B146" s="52">
        <v>2016.0</v>
      </c>
      <c r="C146" s="30" t="s">
        <v>45</v>
      </c>
      <c r="D146" s="55" t="s">
        <v>70</v>
      </c>
      <c r="E146" s="33">
        <v>29.0</v>
      </c>
      <c r="F146" s="35">
        <v>682.5</v>
      </c>
      <c r="G146" s="31">
        <v>589654.5</v>
      </c>
      <c r="H146" s="31">
        <f t="shared" si="1"/>
        <v>1.15745746</v>
      </c>
      <c r="I146" s="54">
        <v>66.8</v>
      </c>
      <c r="J146" s="56">
        <v>14.01</v>
      </c>
      <c r="K146" s="62">
        <v>6976.0</v>
      </c>
      <c r="L146" s="46">
        <v>0.0</v>
      </c>
      <c r="M146" s="47">
        <v>95.19</v>
      </c>
      <c r="N146" s="48">
        <v>-0.91</v>
      </c>
      <c r="O146" s="49">
        <v>3962.0</v>
      </c>
      <c r="P146" s="49">
        <v>578789.0</v>
      </c>
      <c r="Q146" s="51">
        <v>0.0</v>
      </c>
      <c r="R146" s="51">
        <v>0.0</v>
      </c>
      <c r="S146" s="51">
        <v>0.0</v>
      </c>
      <c r="T146" s="51">
        <v>0.0</v>
      </c>
      <c r="U146" s="51">
        <v>1.0</v>
      </c>
      <c r="V146" s="35"/>
      <c r="W146" s="35"/>
      <c r="X146" s="35"/>
      <c r="Y146" s="35"/>
      <c r="Z146" s="35"/>
      <c r="AA146" s="35"/>
      <c r="AB146" s="35"/>
      <c r="AC146" s="35"/>
    </row>
    <row r="147">
      <c r="A147" s="26" t="s">
        <v>37</v>
      </c>
      <c r="B147" s="52">
        <v>2002.0</v>
      </c>
      <c r="C147" s="30" t="s">
        <v>39</v>
      </c>
      <c r="D147" s="32" t="s">
        <v>71</v>
      </c>
      <c r="E147" s="33">
        <v>30.0</v>
      </c>
      <c r="F147" s="35">
        <v>413.4</v>
      </c>
      <c r="G147" s="31">
        <v>213538.0</v>
      </c>
      <c r="H147" s="31">
        <f t="shared" si="1"/>
        <v>1.935955193</v>
      </c>
      <c r="I147" s="42">
        <v>40.55</v>
      </c>
      <c r="J147" s="44">
        <v>3.68</v>
      </c>
      <c r="K147" s="61">
        <v>4254.96</v>
      </c>
      <c r="L147" s="46">
        <v>0.0</v>
      </c>
      <c r="M147" s="47">
        <v>0.271</v>
      </c>
      <c r="N147" s="48">
        <v>-0.47</v>
      </c>
      <c r="O147" s="49">
        <v>86.0</v>
      </c>
      <c r="P147" s="49">
        <v>316841.0</v>
      </c>
      <c r="Q147" s="50">
        <v>1.0</v>
      </c>
      <c r="R147" s="51">
        <v>0.0</v>
      </c>
      <c r="S147" s="51">
        <v>0.0</v>
      </c>
      <c r="T147" s="51">
        <v>0.0</v>
      </c>
      <c r="U147" s="51">
        <v>0.0</v>
      </c>
      <c r="V147" s="35"/>
      <c r="W147" s="35"/>
      <c r="X147" s="35"/>
      <c r="Y147" s="35"/>
      <c r="Z147" s="35"/>
      <c r="AA147" s="35"/>
      <c r="AB147" s="35"/>
      <c r="AC147" s="35"/>
    </row>
    <row r="148">
      <c r="A148" s="30" t="s">
        <v>39</v>
      </c>
      <c r="B148" s="52">
        <v>2007.0</v>
      </c>
      <c r="C148" s="30" t="s">
        <v>41</v>
      </c>
      <c r="D148" s="32" t="s">
        <v>71</v>
      </c>
      <c r="E148" s="33">
        <v>30.0</v>
      </c>
      <c r="F148" s="35">
        <v>496.75</v>
      </c>
      <c r="G148" s="31">
        <v>216039.75</v>
      </c>
      <c r="H148" s="31">
        <f t="shared" si="1"/>
        <v>2.299345375</v>
      </c>
      <c r="I148" s="42">
        <v>54.33</v>
      </c>
      <c r="J148" s="53">
        <v>5.95</v>
      </c>
      <c r="K148" s="61">
        <v>5654.39</v>
      </c>
      <c r="L148" s="46">
        <v>0.0</v>
      </c>
      <c r="M148" s="47">
        <v>15.652</v>
      </c>
      <c r="N148" s="48">
        <v>-2.6</v>
      </c>
      <c r="O148" s="49">
        <v>711.25</v>
      </c>
      <c r="P148" s="49">
        <v>213538.0</v>
      </c>
      <c r="Q148" s="51">
        <v>0.0</v>
      </c>
      <c r="R148" s="51">
        <v>1.0</v>
      </c>
      <c r="S148" s="51">
        <v>0.0</v>
      </c>
      <c r="T148" s="51">
        <v>0.0</v>
      </c>
      <c r="U148" s="51">
        <v>0.0</v>
      </c>
      <c r="V148" s="35"/>
      <c r="W148" s="35"/>
      <c r="X148" s="35"/>
      <c r="Y148" s="35"/>
      <c r="Z148" s="35"/>
      <c r="AA148" s="35"/>
      <c r="AB148" s="35"/>
      <c r="AC148" s="35"/>
    </row>
    <row r="149">
      <c r="A149" s="30" t="s">
        <v>41</v>
      </c>
      <c r="B149" s="52">
        <v>2011.0</v>
      </c>
      <c r="C149" s="30" t="s">
        <v>43</v>
      </c>
      <c r="D149" s="32" t="s">
        <v>71</v>
      </c>
      <c r="E149" s="33">
        <v>30.0</v>
      </c>
      <c r="F149" s="35">
        <v>1550.75</v>
      </c>
      <c r="G149" s="31">
        <v>221108.25</v>
      </c>
      <c r="H149" s="31">
        <f t="shared" si="1"/>
        <v>7.013532964</v>
      </c>
      <c r="I149" s="54">
        <v>57.1</v>
      </c>
      <c r="J149" s="53">
        <v>9.21</v>
      </c>
      <c r="K149" s="61">
        <v>8924.75</v>
      </c>
      <c r="L149" s="46">
        <v>0.0</v>
      </c>
      <c r="M149" s="47">
        <v>31.113</v>
      </c>
      <c r="N149" s="48">
        <v>2.37</v>
      </c>
      <c r="O149" s="49">
        <v>1394.66666666667</v>
      </c>
      <c r="P149" s="49">
        <v>216039.75</v>
      </c>
      <c r="Q149" s="51">
        <v>0.0</v>
      </c>
      <c r="R149" s="51">
        <v>0.0</v>
      </c>
      <c r="S149" s="51">
        <v>1.0</v>
      </c>
      <c r="T149" s="51">
        <v>0.0</v>
      </c>
      <c r="U149" s="51">
        <v>0.0</v>
      </c>
      <c r="V149" s="35"/>
      <c r="W149" s="35"/>
      <c r="X149" s="35"/>
      <c r="Y149" s="35"/>
      <c r="Z149" s="35"/>
      <c r="AA149" s="35"/>
      <c r="AB149" s="35"/>
      <c r="AC149" s="35"/>
    </row>
    <row r="150">
      <c r="A150" s="30" t="s">
        <v>43</v>
      </c>
      <c r="B150" s="52">
        <v>2015.0</v>
      </c>
      <c r="C150" s="30">
        <v>2016.0</v>
      </c>
      <c r="D150" s="55" t="s">
        <v>71</v>
      </c>
      <c r="E150" s="33">
        <v>30.0</v>
      </c>
      <c r="F150" s="35">
        <v>352.0</v>
      </c>
      <c r="G150" s="31">
        <v>226032.0</v>
      </c>
      <c r="H150" s="31">
        <f t="shared" si="1"/>
        <v>1.557301621</v>
      </c>
      <c r="I150" s="54">
        <v>49.2</v>
      </c>
      <c r="J150" s="56">
        <v>14.62</v>
      </c>
      <c r="K150" s="61">
        <v>10429.75</v>
      </c>
      <c r="L150" s="46">
        <v>0.0</v>
      </c>
      <c r="M150" s="47">
        <v>68.76</v>
      </c>
      <c r="N150" s="48">
        <v>0.45</v>
      </c>
      <c r="O150" s="49">
        <v>3047.75</v>
      </c>
      <c r="P150" s="49">
        <v>221108.25</v>
      </c>
      <c r="Q150" s="51">
        <v>0.0</v>
      </c>
      <c r="R150" s="51">
        <v>0.0</v>
      </c>
      <c r="S150" s="51">
        <v>0.0</v>
      </c>
      <c r="T150" s="51">
        <v>1.0</v>
      </c>
      <c r="U150" s="51">
        <v>0.0</v>
      </c>
      <c r="V150" s="35"/>
      <c r="W150" s="35"/>
      <c r="X150" s="35"/>
      <c r="Y150" s="35"/>
      <c r="Z150" s="35"/>
      <c r="AA150" s="35"/>
      <c r="AB150" s="35"/>
      <c r="AC150" s="35"/>
    </row>
    <row r="151">
      <c r="A151" s="30">
        <v>2016.0</v>
      </c>
      <c r="B151" s="52">
        <v>2016.0</v>
      </c>
      <c r="C151" s="30" t="s">
        <v>45</v>
      </c>
      <c r="D151" s="55" t="s">
        <v>71</v>
      </c>
      <c r="E151" s="33">
        <v>30.0</v>
      </c>
      <c r="F151" s="35">
        <v>157.0</v>
      </c>
      <c r="G151" s="31">
        <v>233772.5</v>
      </c>
      <c r="H151" s="31">
        <f t="shared" si="1"/>
        <v>0.6715931087</v>
      </c>
      <c r="I151" s="54">
        <v>56.8</v>
      </c>
      <c r="J151" s="56">
        <v>15.08</v>
      </c>
      <c r="K151" s="62">
        <v>8998.0</v>
      </c>
      <c r="L151" s="46">
        <v>0.0</v>
      </c>
      <c r="M151" s="47">
        <v>93.881</v>
      </c>
      <c r="N151" s="48">
        <v>-6.21</v>
      </c>
      <c r="O151" s="49">
        <v>1763.0</v>
      </c>
      <c r="P151" s="49">
        <v>226032.0</v>
      </c>
      <c r="Q151" s="51">
        <v>0.0</v>
      </c>
      <c r="R151" s="51">
        <v>0.0</v>
      </c>
      <c r="S151" s="51">
        <v>0.0</v>
      </c>
      <c r="T151" s="51">
        <v>0.0</v>
      </c>
      <c r="U151" s="51">
        <v>1.0</v>
      </c>
      <c r="V151" s="35"/>
      <c r="W151" s="35"/>
      <c r="X151" s="35"/>
      <c r="Y151" s="35"/>
      <c r="Z151" s="35"/>
      <c r="AA151" s="35"/>
      <c r="AB151" s="35"/>
      <c r="AC151" s="35"/>
    </row>
    <row r="152">
      <c r="A152" s="26" t="s">
        <v>37</v>
      </c>
      <c r="B152" s="52">
        <v>2002.0</v>
      </c>
      <c r="C152" s="30" t="s">
        <v>39</v>
      </c>
      <c r="D152" s="32" t="s">
        <v>75</v>
      </c>
      <c r="E152" s="33">
        <v>31.0</v>
      </c>
      <c r="F152" s="35">
        <v>537.6</v>
      </c>
      <c r="G152" s="31">
        <v>784941.0</v>
      </c>
      <c r="H152" s="31">
        <f t="shared" si="1"/>
        <v>0.6848922403</v>
      </c>
      <c r="I152" s="42">
        <v>54.65</v>
      </c>
      <c r="J152" s="44">
        <v>0.33</v>
      </c>
      <c r="K152" s="61">
        <v>2775.53</v>
      </c>
      <c r="L152" s="46">
        <v>0.0</v>
      </c>
      <c r="M152" s="47">
        <v>1.226</v>
      </c>
      <c r="N152" s="48">
        <v>-5.48</v>
      </c>
      <c r="O152" s="49">
        <v>1149.0</v>
      </c>
      <c r="P152" s="49">
        <v>937389.0</v>
      </c>
      <c r="Q152" s="50">
        <v>1.0</v>
      </c>
      <c r="R152" s="51">
        <v>0.0</v>
      </c>
      <c r="S152" s="51">
        <v>0.0</v>
      </c>
      <c r="T152" s="51">
        <v>0.0</v>
      </c>
      <c r="U152" s="51">
        <v>0.0</v>
      </c>
      <c r="V152" s="35"/>
      <c r="W152" s="35"/>
      <c r="X152" s="35"/>
      <c r="Y152" s="35"/>
      <c r="Z152" s="35"/>
      <c r="AA152" s="35"/>
      <c r="AB152" s="35"/>
      <c r="AC152" s="35"/>
    </row>
    <row r="153">
      <c r="A153" s="30" t="s">
        <v>39</v>
      </c>
      <c r="B153" s="52">
        <v>2007.0</v>
      </c>
      <c r="C153" s="30" t="s">
        <v>41</v>
      </c>
      <c r="D153" s="32" t="s">
        <v>75</v>
      </c>
      <c r="E153" s="33">
        <v>31.0</v>
      </c>
      <c r="F153" s="35">
        <v>565.5</v>
      </c>
      <c r="G153" s="31">
        <v>774776.5</v>
      </c>
      <c r="H153" s="31">
        <f t="shared" si="1"/>
        <v>0.7298879096</v>
      </c>
      <c r="I153" s="42">
        <v>68.29</v>
      </c>
      <c r="J153" s="53">
        <v>5.38</v>
      </c>
      <c r="K153" s="61">
        <v>3669.91</v>
      </c>
      <c r="L153" s="46">
        <v>0.0</v>
      </c>
      <c r="M153" s="47">
        <v>7.702</v>
      </c>
      <c r="N153" s="48">
        <v>-18.36</v>
      </c>
      <c r="O153" s="49">
        <v>1258.0</v>
      </c>
      <c r="P153" s="49">
        <v>784941.0</v>
      </c>
      <c r="Q153" s="51">
        <v>0.0</v>
      </c>
      <c r="R153" s="51">
        <v>1.0</v>
      </c>
      <c r="S153" s="51">
        <v>0.0</v>
      </c>
      <c r="T153" s="51">
        <v>0.0</v>
      </c>
      <c r="U153" s="51">
        <v>0.0</v>
      </c>
      <c r="V153" s="35"/>
      <c r="W153" s="35"/>
      <c r="X153" s="35"/>
      <c r="Y153" s="35"/>
      <c r="Z153" s="35"/>
      <c r="AA153" s="35"/>
      <c r="AB153" s="35"/>
      <c r="AC153" s="35"/>
    </row>
    <row r="154">
      <c r="A154" s="30" t="s">
        <v>41</v>
      </c>
      <c r="B154" s="52">
        <v>2011.0</v>
      </c>
      <c r="C154" s="30" t="s">
        <v>43</v>
      </c>
      <c r="D154" s="32" t="s">
        <v>75</v>
      </c>
      <c r="E154" s="33">
        <v>31.0</v>
      </c>
      <c r="F154" s="35">
        <v>671.25</v>
      </c>
      <c r="G154" s="31">
        <v>767641.25</v>
      </c>
      <c r="H154" s="31">
        <f t="shared" si="1"/>
        <v>0.8744319042</v>
      </c>
      <c r="I154" s="54">
        <v>69.2</v>
      </c>
      <c r="J154" s="53">
        <v>8.79</v>
      </c>
      <c r="K154" s="61">
        <v>5829.5</v>
      </c>
      <c r="L154" s="46">
        <v>0.0</v>
      </c>
      <c r="M154" s="47">
        <v>19.243</v>
      </c>
      <c r="N154" s="48">
        <v>-19.54</v>
      </c>
      <c r="O154" s="49">
        <v>2981.33333333333</v>
      </c>
      <c r="P154" s="49">
        <v>774776.5</v>
      </c>
      <c r="Q154" s="51">
        <v>0.0</v>
      </c>
      <c r="R154" s="51">
        <v>0.0</v>
      </c>
      <c r="S154" s="51">
        <v>1.0</v>
      </c>
      <c r="T154" s="51">
        <v>0.0</v>
      </c>
      <c r="U154" s="51">
        <v>0.0</v>
      </c>
      <c r="V154" s="35"/>
      <c r="W154" s="35"/>
      <c r="X154" s="35"/>
      <c r="Y154" s="35"/>
      <c r="Z154" s="35"/>
      <c r="AA154" s="35"/>
      <c r="AB154" s="35"/>
      <c r="AC154" s="35"/>
    </row>
    <row r="155">
      <c r="A155" s="30" t="s">
        <v>43</v>
      </c>
      <c r="B155" s="52">
        <v>2015.0</v>
      </c>
      <c r="C155" s="30">
        <v>2016.0</v>
      </c>
      <c r="D155" s="55" t="s">
        <v>75</v>
      </c>
      <c r="E155" s="33">
        <v>31.0</v>
      </c>
      <c r="F155" s="35">
        <v>2229.0</v>
      </c>
      <c r="G155" s="31">
        <v>762021.0</v>
      </c>
      <c r="H155" s="31">
        <f t="shared" si="1"/>
        <v>2.925116237</v>
      </c>
      <c r="I155" s="54">
        <v>52.0</v>
      </c>
      <c r="J155" s="56">
        <v>11.73</v>
      </c>
      <c r="K155" s="61">
        <v>6826.25</v>
      </c>
      <c r="L155" s="46">
        <v>0.0</v>
      </c>
      <c r="M155" s="47">
        <v>34.086</v>
      </c>
      <c r="N155" s="48">
        <v>-16.21</v>
      </c>
      <c r="O155" s="49">
        <v>2857.75</v>
      </c>
      <c r="P155" s="49">
        <v>767641.25</v>
      </c>
      <c r="Q155" s="51">
        <v>0.0</v>
      </c>
      <c r="R155" s="51">
        <v>0.0</v>
      </c>
      <c r="S155" s="51">
        <v>0.0</v>
      </c>
      <c r="T155" s="51">
        <v>1.0</v>
      </c>
      <c r="U155" s="51">
        <v>0.0</v>
      </c>
      <c r="V155" s="35"/>
      <c r="W155" s="35"/>
      <c r="X155" s="35"/>
      <c r="Y155" s="35"/>
      <c r="Z155" s="35"/>
      <c r="AA155" s="35"/>
      <c r="AB155" s="35"/>
      <c r="AC155" s="35"/>
    </row>
    <row r="156">
      <c r="A156" s="30">
        <v>2016.0</v>
      </c>
      <c r="B156" s="52">
        <v>2016.0</v>
      </c>
      <c r="C156" s="30" t="s">
        <v>45</v>
      </c>
      <c r="D156" s="55" t="s">
        <v>75</v>
      </c>
      <c r="E156" s="33">
        <v>31.0</v>
      </c>
      <c r="F156" s="35">
        <v>0.0</v>
      </c>
      <c r="G156" s="31">
        <v>764162.0</v>
      </c>
      <c r="H156" s="31">
        <f t="shared" si="1"/>
        <v>0</v>
      </c>
      <c r="I156" s="54">
        <v>68.1</v>
      </c>
      <c r="J156" s="56">
        <v>12.5</v>
      </c>
      <c r="K156" s="62">
        <v>6557.0</v>
      </c>
      <c r="L156" s="46">
        <v>0.0</v>
      </c>
      <c r="M156" s="47">
        <v>37.201</v>
      </c>
      <c r="N156" s="48">
        <v>-14.05</v>
      </c>
      <c r="O156" s="49">
        <v>3844.0</v>
      </c>
      <c r="P156" s="49">
        <v>762021.0</v>
      </c>
      <c r="Q156" s="51">
        <v>0.0</v>
      </c>
      <c r="R156" s="51">
        <v>0.0</v>
      </c>
      <c r="S156" s="51">
        <v>0.0</v>
      </c>
      <c r="T156" s="51">
        <v>0.0</v>
      </c>
      <c r="U156" s="51">
        <v>1.0</v>
      </c>
      <c r="V156" s="35"/>
      <c r="W156" s="35"/>
      <c r="X156" s="35"/>
      <c r="Y156" s="35"/>
      <c r="Z156" s="35"/>
      <c r="AA156" s="35"/>
      <c r="AB156" s="35"/>
      <c r="AC156" s="35"/>
    </row>
    <row r="157">
      <c r="A157" s="26" t="s">
        <v>37</v>
      </c>
      <c r="B157" s="52">
        <v>2002.0</v>
      </c>
      <c r="C157" s="30" t="s">
        <v>39</v>
      </c>
      <c r="D157" s="32" t="s">
        <v>77</v>
      </c>
      <c r="E157" s="33">
        <v>32.0</v>
      </c>
      <c r="F157" s="35">
        <v>1109.4</v>
      </c>
      <c r="G157" s="31">
        <v>724849.0</v>
      </c>
      <c r="H157" s="31">
        <f t="shared" si="1"/>
        <v>1.530525668</v>
      </c>
      <c r="I157" s="42">
        <v>29.59</v>
      </c>
      <c r="J157" s="44">
        <v>5.91</v>
      </c>
      <c r="K157" s="61">
        <v>5719.87</v>
      </c>
      <c r="L157" s="46">
        <v>0.0</v>
      </c>
      <c r="M157" s="47">
        <v>2.889</v>
      </c>
      <c r="N157" s="48">
        <v>1.48</v>
      </c>
      <c r="O157" s="49">
        <v>2040.0</v>
      </c>
      <c r="P157" s="49">
        <v>706009.0</v>
      </c>
      <c r="Q157" s="50">
        <v>1.0</v>
      </c>
      <c r="R157" s="51">
        <v>0.0</v>
      </c>
      <c r="S157" s="51">
        <v>0.0</v>
      </c>
      <c r="T157" s="51">
        <v>0.0</v>
      </c>
      <c r="U157" s="51">
        <v>0.0</v>
      </c>
      <c r="V157" s="35"/>
      <c r="W157" s="35"/>
      <c r="X157" s="35"/>
      <c r="Y157" s="35"/>
      <c r="Z157" s="35"/>
      <c r="AA157" s="35"/>
      <c r="AB157" s="35"/>
      <c r="AC157" s="35"/>
    </row>
    <row r="158">
      <c r="A158" s="30" t="s">
        <v>39</v>
      </c>
      <c r="B158" s="52">
        <v>2007.0</v>
      </c>
      <c r="C158" s="30" t="s">
        <v>41</v>
      </c>
      <c r="D158" s="32" t="s">
        <v>77</v>
      </c>
      <c r="E158" s="33">
        <v>32.0</v>
      </c>
      <c r="F158" s="35">
        <v>855.0</v>
      </c>
      <c r="G158" s="31">
        <v>760749.25</v>
      </c>
      <c r="H158" s="31">
        <f t="shared" si="1"/>
        <v>1.123892005</v>
      </c>
      <c r="I158" s="42">
        <v>44.48</v>
      </c>
      <c r="J158" s="53">
        <v>8.97</v>
      </c>
      <c r="K158" s="61">
        <v>7916.65</v>
      </c>
      <c r="L158" s="46">
        <v>0.0</v>
      </c>
      <c r="M158" s="47">
        <v>17.659</v>
      </c>
      <c r="N158" s="48">
        <v>7.37</v>
      </c>
      <c r="O158" s="49">
        <v>5392.75</v>
      </c>
      <c r="P158" s="49">
        <v>724849.0</v>
      </c>
      <c r="Q158" s="51">
        <v>0.0</v>
      </c>
      <c r="R158" s="51">
        <v>1.0</v>
      </c>
      <c r="S158" s="51">
        <v>0.0</v>
      </c>
      <c r="T158" s="51">
        <v>0.0</v>
      </c>
      <c r="U158" s="51">
        <v>0.0</v>
      </c>
      <c r="V158" s="35"/>
      <c r="W158" s="35"/>
      <c r="X158" s="35"/>
      <c r="Y158" s="35"/>
      <c r="Z158" s="35"/>
      <c r="AA158" s="35"/>
      <c r="AB158" s="35"/>
      <c r="AC158" s="35"/>
    </row>
    <row r="159">
      <c r="A159" s="30" t="s">
        <v>41</v>
      </c>
      <c r="B159" s="52">
        <v>2011.0</v>
      </c>
      <c r="C159" s="30" t="s">
        <v>43</v>
      </c>
      <c r="D159" s="32" t="s">
        <v>77</v>
      </c>
      <c r="E159" s="33">
        <v>32.0</v>
      </c>
      <c r="F159" s="35">
        <v>28.75</v>
      </c>
      <c r="G159" s="31">
        <v>807127.5</v>
      </c>
      <c r="H159" s="31">
        <f t="shared" si="1"/>
        <v>0.03562014676</v>
      </c>
      <c r="I159" s="54">
        <v>44.1</v>
      </c>
      <c r="J159" s="53">
        <v>13.28</v>
      </c>
      <c r="K159" s="61">
        <v>11239.0</v>
      </c>
      <c r="L159" s="46">
        <v>0.0</v>
      </c>
      <c r="M159" s="47">
        <v>126.157</v>
      </c>
      <c r="N159" s="48">
        <v>10.6</v>
      </c>
      <c r="O159" s="49">
        <v>13343.6666666667</v>
      </c>
      <c r="P159" s="49">
        <v>760749.25</v>
      </c>
      <c r="Q159" s="51">
        <v>0.0</v>
      </c>
      <c r="R159" s="51">
        <v>0.0</v>
      </c>
      <c r="S159" s="51">
        <v>1.0</v>
      </c>
      <c r="T159" s="51">
        <v>0.0</v>
      </c>
      <c r="U159" s="51">
        <v>0.0</v>
      </c>
      <c r="V159" s="35"/>
      <c r="W159" s="35"/>
      <c r="X159" s="35"/>
      <c r="Y159" s="35"/>
      <c r="Z159" s="35"/>
      <c r="AA159" s="35"/>
      <c r="AB159" s="35"/>
      <c r="AC159" s="35"/>
    </row>
    <row r="160">
      <c r="A160" s="30" t="s">
        <v>43</v>
      </c>
      <c r="B160" s="52">
        <v>2015.0</v>
      </c>
      <c r="C160" s="30">
        <v>2016.0</v>
      </c>
      <c r="D160" s="55" t="s">
        <v>77</v>
      </c>
      <c r="E160" s="33">
        <v>32.0</v>
      </c>
      <c r="F160" s="35">
        <v>484.0</v>
      </c>
      <c r="G160" s="31">
        <v>844842.0</v>
      </c>
      <c r="H160" s="31">
        <f t="shared" si="1"/>
        <v>0.572888185</v>
      </c>
      <c r="I160" s="54">
        <v>35.9</v>
      </c>
      <c r="J160" s="56">
        <v>17.2</v>
      </c>
      <c r="K160" s="61">
        <v>12807.75</v>
      </c>
      <c r="L160" s="46">
        <v>0.0</v>
      </c>
      <c r="M160" s="47">
        <v>205.428</v>
      </c>
      <c r="N160" s="48">
        <v>8.74</v>
      </c>
      <c r="O160" s="49">
        <v>12126.0</v>
      </c>
      <c r="P160" s="49">
        <v>807127.5</v>
      </c>
      <c r="Q160" s="51">
        <v>0.0</v>
      </c>
      <c r="R160" s="51">
        <v>0.0</v>
      </c>
      <c r="S160" s="51">
        <v>0.0</v>
      </c>
      <c r="T160" s="51">
        <v>1.0</v>
      </c>
      <c r="U160" s="51">
        <v>0.0</v>
      </c>
      <c r="V160" s="35"/>
      <c r="W160" s="35"/>
      <c r="X160" s="35"/>
      <c r="Y160" s="35"/>
      <c r="Z160" s="35"/>
      <c r="AA160" s="35"/>
      <c r="AB160" s="35"/>
      <c r="AC160" s="35"/>
    </row>
    <row r="161">
      <c r="A161" s="30">
        <v>2016.0</v>
      </c>
      <c r="B161" s="52">
        <v>2016.0</v>
      </c>
      <c r="C161" s="30" t="s">
        <v>45</v>
      </c>
      <c r="D161" s="55" t="s">
        <v>77</v>
      </c>
      <c r="E161" s="33">
        <v>32.0</v>
      </c>
      <c r="F161" s="35">
        <v>0.0</v>
      </c>
      <c r="G161" s="31">
        <v>865903.5</v>
      </c>
      <c r="H161" s="31">
        <f t="shared" si="1"/>
        <v>0</v>
      </c>
      <c r="I161" s="54">
        <v>43.1</v>
      </c>
      <c r="J161" s="56">
        <v>17.99</v>
      </c>
      <c r="K161" s="62">
        <v>11644.0</v>
      </c>
      <c r="L161" s="46">
        <v>0.0</v>
      </c>
      <c r="M161" s="47">
        <v>219.982</v>
      </c>
      <c r="N161" s="48">
        <v>11.2</v>
      </c>
      <c r="O161" s="49">
        <v>12691.0</v>
      </c>
      <c r="P161" s="49">
        <v>844842.0</v>
      </c>
      <c r="Q161" s="51">
        <v>0.0</v>
      </c>
      <c r="R161" s="51">
        <v>0.0</v>
      </c>
      <c r="S161" s="51">
        <v>0.0</v>
      </c>
      <c r="T161" s="51">
        <v>0.0</v>
      </c>
      <c r="U161" s="51">
        <v>1.0</v>
      </c>
      <c r="V161" s="35"/>
      <c r="W161" s="35"/>
      <c r="X161" s="35"/>
      <c r="Y161" s="35"/>
      <c r="Z161" s="35"/>
      <c r="AA161" s="35"/>
      <c r="AB161" s="35"/>
      <c r="AC161" s="35"/>
    </row>
    <row r="162">
      <c r="A162" s="26" t="s">
        <v>37</v>
      </c>
      <c r="B162" s="52">
        <v>2002.0</v>
      </c>
      <c r="C162" s="30" t="s">
        <v>39</v>
      </c>
      <c r="D162" s="32" t="s">
        <v>78</v>
      </c>
      <c r="E162" s="33">
        <v>33.0</v>
      </c>
      <c r="F162" s="35">
        <v>1300.4</v>
      </c>
      <c r="G162" s="31">
        <v>1560023.0</v>
      </c>
      <c r="H162" s="31">
        <f t="shared" si="1"/>
        <v>0.8335774537</v>
      </c>
      <c r="I162" s="42">
        <v>40.04</v>
      </c>
      <c r="J162" s="44">
        <v>2.44</v>
      </c>
      <c r="K162" s="61">
        <v>3811.13</v>
      </c>
      <c r="L162" s="46">
        <v>0.0</v>
      </c>
      <c r="M162" s="47">
        <v>0.838</v>
      </c>
      <c r="N162" s="48">
        <v>0.31</v>
      </c>
      <c r="O162" s="49">
        <v>1077.0</v>
      </c>
      <c r="P162" s="49">
        <v>1285249.0</v>
      </c>
      <c r="Q162" s="50">
        <v>1.0</v>
      </c>
      <c r="R162" s="51">
        <v>0.0</v>
      </c>
      <c r="S162" s="51">
        <v>0.0</v>
      </c>
      <c r="T162" s="51">
        <v>0.0</v>
      </c>
      <c r="U162" s="51">
        <v>0.0</v>
      </c>
      <c r="V162" s="35"/>
      <c r="W162" s="35"/>
      <c r="X162" s="35"/>
      <c r="Y162" s="35"/>
      <c r="Z162" s="35"/>
      <c r="AA162" s="35"/>
      <c r="AB162" s="35"/>
      <c r="AC162" s="35"/>
    </row>
    <row r="163">
      <c r="A163" s="30" t="s">
        <v>39</v>
      </c>
      <c r="B163" s="52">
        <v>2007.0</v>
      </c>
      <c r="C163" s="30" t="s">
        <v>41</v>
      </c>
      <c r="D163" s="32" t="s">
        <v>78</v>
      </c>
      <c r="E163" s="33">
        <v>33.0</v>
      </c>
      <c r="F163" s="35">
        <v>705.0</v>
      </c>
      <c r="G163" s="31">
        <v>1680063.0</v>
      </c>
      <c r="H163" s="31">
        <f t="shared" si="1"/>
        <v>0.4196271211</v>
      </c>
      <c r="I163" s="42">
        <v>59.25</v>
      </c>
      <c r="J163" s="53">
        <v>4.4</v>
      </c>
      <c r="K163" s="61">
        <v>4973.99</v>
      </c>
      <c r="L163" s="46">
        <v>0.0</v>
      </c>
      <c r="M163" s="47">
        <v>4.869</v>
      </c>
      <c r="N163" s="48">
        <v>0.45</v>
      </c>
      <c r="O163" s="49">
        <v>2458.25</v>
      </c>
      <c r="P163" s="49">
        <v>1560023.0</v>
      </c>
      <c r="Q163" s="51">
        <v>0.0</v>
      </c>
      <c r="R163" s="51">
        <v>1.0</v>
      </c>
      <c r="S163" s="51">
        <v>0.0</v>
      </c>
      <c r="T163" s="51">
        <v>0.0</v>
      </c>
      <c r="U163" s="51">
        <v>0.0</v>
      </c>
      <c r="V163" s="35"/>
      <c r="W163" s="35"/>
      <c r="X163" s="35"/>
      <c r="Y163" s="35"/>
      <c r="Z163" s="35"/>
      <c r="AA163" s="35"/>
      <c r="AB163" s="35"/>
      <c r="AC163" s="35"/>
    </row>
    <row r="164">
      <c r="A164" s="30" t="s">
        <v>41</v>
      </c>
      <c r="B164" s="52">
        <v>2011.0</v>
      </c>
      <c r="C164" s="30" t="s">
        <v>43</v>
      </c>
      <c r="D164" s="32" t="s">
        <v>78</v>
      </c>
      <c r="E164" s="33">
        <v>33.0</v>
      </c>
      <c r="F164" s="35">
        <v>1546.0</v>
      </c>
      <c r="G164" s="31">
        <v>1866324.5</v>
      </c>
      <c r="H164" s="31">
        <f t="shared" si="1"/>
        <v>0.8283661282</v>
      </c>
      <c r="I164" s="54">
        <v>61.7</v>
      </c>
      <c r="J164" s="53">
        <v>6.72</v>
      </c>
      <c r="K164" s="61">
        <v>6598.0</v>
      </c>
      <c r="L164" s="46">
        <v>0.0</v>
      </c>
      <c r="M164" s="47">
        <v>16.792</v>
      </c>
      <c r="N164" s="48">
        <v>1.39</v>
      </c>
      <c r="O164" s="49">
        <v>5079.66666666667</v>
      </c>
      <c r="P164" s="49">
        <v>1680063.0</v>
      </c>
      <c r="Q164" s="51">
        <v>0.0</v>
      </c>
      <c r="R164" s="51">
        <v>0.0</v>
      </c>
      <c r="S164" s="51">
        <v>1.0</v>
      </c>
      <c r="T164" s="51">
        <v>0.0</v>
      </c>
      <c r="U164" s="51">
        <v>0.0</v>
      </c>
      <c r="V164" s="35"/>
      <c r="W164" s="35"/>
      <c r="X164" s="35"/>
      <c r="Y164" s="35"/>
      <c r="Z164" s="35"/>
      <c r="AA164" s="35"/>
      <c r="AB164" s="35"/>
      <c r="AC164" s="35"/>
    </row>
    <row r="165">
      <c r="A165" s="30" t="s">
        <v>43</v>
      </c>
      <c r="B165" s="52">
        <v>2015.0</v>
      </c>
      <c r="C165" s="30">
        <v>2016.0</v>
      </c>
      <c r="D165" s="55" t="s">
        <v>78</v>
      </c>
      <c r="E165" s="33">
        <v>33.0</v>
      </c>
      <c r="F165" s="35">
        <v>4711.0</v>
      </c>
      <c r="G165" s="31">
        <v>1974244.0</v>
      </c>
      <c r="H165" s="31">
        <f t="shared" si="1"/>
        <v>2.386229868</v>
      </c>
      <c r="I165" s="54">
        <v>47.0</v>
      </c>
      <c r="J165" s="56">
        <v>9.9</v>
      </c>
      <c r="K165" s="61">
        <v>8141.0</v>
      </c>
      <c r="L165" s="46">
        <v>0.0</v>
      </c>
      <c r="M165" s="47">
        <v>37.726</v>
      </c>
      <c r="N165" s="48">
        <v>1.59</v>
      </c>
      <c r="O165" s="49">
        <v>12226.25</v>
      </c>
      <c r="P165" s="49">
        <v>1866324.5</v>
      </c>
      <c r="Q165" s="51">
        <v>0.0</v>
      </c>
      <c r="R165" s="51">
        <v>0.0</v>
      </c>
      <c r="S165" s="51">
        <v>0.0</v>
      </c>
      <c r="T165" s="51">
        <v>1.0</v>
      </c>
      <c r="U165" s="51">
        <v>0.0</v>
      </c>
      <c r="V165" s="35"/>
      <c r="W165" s="35"/>
      <c r="X165" s="35"/>
      <c r="Y165" s="35"/>
      <c r="Z165" s="35"/>
      <c r="AA165" s="35"/>
      <c r="AB165" s="35"/>
      <c r="AC165" s="35"/>
    </row>
    <row r="166">
      <c r="A166" s="30">
        <v>2016.0</v>
      </c>
      <c r="B166" s="52">
        <v>2016.0</v>
      </c>
      <c r="C166" s="30" t="s">
        <v>45</v>
      </c>
      <c r="D166" s="55" t="s">
        <v>78</v>
      </c>
      <c r="E166" s="33">
        <v>33.0</v>
      </c>
      <c r="F166" s="35">
        <v>250.0</v>
      </c>
      <c r="G166" s="31">
        <v>2017039.0</v>
      </c>
      <c r="H166" s="31">
        <f t="shared" si="1"/>
        <v>0.1239440586</v>
      </c>
      <c r="I166" s="54">
        <v>61.7</v>
      </c>
      <c r="J166" s="56">
        <v>10.69</v>
      </c>
      <c r="K166" s="62">
        <v>7868.0</v>
      </c>
      <c r="L166" s="46">
        <v>0.0</v>
      </c>
      <c r="M166" s="47">
        <v>46.034</v>
      </c>
      <c r="N166" s="48">
        <v>-1.71</v>
      </c>
      <c r="O166" s="49">
        <v>17664.0</v>
      </c>
      <c r="P166" s="49">
        <v>1974244.0</v>
      </c>
      <c r="Q166" s="51">
        <v>0.0</v>
      </c>
      <c r="R166" s="51">
        <v>0.0</v>
      </c>
      <c r="S166" s="51">
        <v>0.0</v>
      </c>
      <c r="T166" s="51">
        <v>0.0</v>
      </c>
      <c r="U166" s="51">
        <v>1.0</v>
      </c>
      <c r="V166" s="35"/>
      <c r="W166" s="35"/>
      <c r="X166" s="35"/>
      <c r="Y166" s="35"/>
      <c r="Z166" s="35"/>
      <c r="AA166" s="35"/>
      <c r="AB166" s="35"/>
      <c r="AC166" s="35"/>
    </row>
    <row r="167">
      <c r="A167" s="26" t="s">
        <v>37</v>
      </c>
      <c r="B167" s="52">
        <v>2002.0</v>
      </c>
      <c r="C167" s="30" t="s">
        <v>39</v>
      </c>
      <c r="D167" s="32" t="s">
        <v>79</v>
      </c>
      <c r="E167" s="33">
        <v>34.0</v>
      </c>
      <c r="F167" s="35">
        <v>115.2</v>
      </c>
      <c r="G167" s="31">
        <v>417505.0</v>
      </c>
      <c r="H167" s="31">
        <f t="shared" si="1"/>
        <v>0.2759248392</v>
      </c>
      <c r="I167" s="42">
        <v>45.46</v>
      </c>
      <c r="J167" s="44">
        <v>3.23</v>
      </c>
      <c r="K167" s="61">
        <v>2948.88</v>
      </c>
      <c r="L167" s="46">
        <v>0.0</v>
      </c>
      <c r="M167" s="47">
        <v>2.05</v>
      </c>
      <c r="N167" s="48">
        <v>-1.21</v>
      </c>
      <c r="O167" s="49">
        <v>1074.0</v>
      </c>
      <c r="P167" s="49">
        <v>523819.0</v>
      </c>
      <c r="Q167" s="50">
        <v>1.0</v>
      </c>
      <c r="R167" s="51">
        <v>0.0</v>
      </c>
      <c r="S167" s="51">
        <v>0.0</v>
      </c>
      <c r="T167" s="51">
        <v>0.0</v>
      </c>
      <c r="U167" s="51">
        <v>0.0</v>
      </c>
      <c r="V167" s="35"/>
      <c r="W167" s="35"/>
      <c r="X167" s="35"/>
      <c r="Y167" s="35"/>
      <c r="Z167" s="35"/>
      <c r="AA167" s="35"/>
      <c r="AB167" s="35"/>
      <c r="AC167" s="35"/>
    </row>
    <row r="168">
      <c r="A168" s="30" t="s">
        <v>39</v>
      </c>
      <c r="B168" s="52">
        <v>2007.0</v>
      </c>
      <c r="C168" s="30" t="s">
        <v>41</v>
      </c>
      <c r="D168" s="32" t="s">
        <v>79</v>
      </c>
      <c r="E168" s="33">
        <v>34.0</v>
      </c>
      <c r="F168" s="35">
        <v>118.0</v>
      </c>
      <c r="G168" s="31">
        <v>420595.0</v>
      </c>
      <c r="H168" s="31">
        <f t="shared" si="1"/>
        <v>0.2805549281</v>
      </c>
      <c r="I168" s="42">
        <v>51.28</v>
      </c>
      <c r="J168" s="53">
        <v>5.59</v>
      </c>
      <c r="K168" s="61">
        <v>4212.48</v>
      </c>
      <c r="L168" s="46">
        <v>1.0</v>
      </c>
      <c r="M168" s="47">
        <v>12.294</v>
      </c>
      <c r="N168" s="48">
        <v>1.24</v>
      </c>
      <c r="O168" s="49">
        <v>1252.0</v>
      </c>
      <c r="P168" s="49">
        <v>417505.0</v>
      </c>
      <c r="Q168" s="51">
        <v>0.0</v>
      </c>
      <c r="R168" s="51">
        <v>1.0</v>
      </c>
      <c r="S168" s="51">
        <v>0.0</v>
      </c>
      <c r="T168" s="51">
        <v>0.0</v>
      </c>
      <c r="U168" s="51">
        <v>0.0</v>
      </c>
      <c r="V168" s="35"/>
      <c r="W168" s="35"/>
      <c r="X168" s="35"/>
      <c r="Y168" s="35"/>
      <c r="Z168" s="35"/>
      <c r="AA168" s="35"/>
      <c r="AB168" s="35"/>
      <c r="AC168" s="35"/>
    </row>
    <row r="169">
      <c r="A169" s="30" t="s">
        <v>41</v>
      </c>
      <c r="B169" s="52">
        <v>2011.0</v>
      </c>
      <c r="C169" s="30" t="s">
        <v>43</v>
      </c>
      <c r="D169" s="32" t="s">
        <v>79</v>
      </c>
      <c r="E169" s="33">
        <v>34.0</v>
      </c>
      <c r="F169" s="35">
        <v>245.0</v>
      </c>
      <c r="G169" s="31">
        <v>425308.0</v>
      </c>
      <c r="H169" s="31">
        <f t="shared" si="1"/>
        <v>0.5760531192</v>
      </c>
      <c r="I169" s="54">
        <v>59.4</v>
      </c>
      <c r="J169" s="53">
        <v>8.43</v>
      </c>
      <c r="K169" s="61">
        <v>6271.5</v>
      </c>
      <c r="L169" s="46">
        <v>1.0</v>
      </c>
      <c r="M169" s="47">
        <v>28.143</v>
      </c>
      <c r="N169" s="48">
        <v>-3.23</v>
      </c>
      <c r="O169" s="49">
        <v>2086.33333333333</v>
      </c>
      <c r="P169" s="49">
        <v>420595.0</v>
      </c>
      <c r="Q169" s="51">
        <v>0.0</v>
      </c>
      <c r="R169" s="51">
        <v>0.0</v>
      </c>
      <c r="S169" s="51">
        <v>1.0</v>
      </c>
      <c r="T169" s="51">
        <v>0.0</v>
      </c>
      <c r="U169" s="51">
        <v>0.0</v>
      </c>
      <c r="V169" s="35"/>
      <c r="W169" s="35"/>
      <c r="X169" s="35"/>
      <c r="Y169" s="35"/>
      <c r="Z169" s="35"/>
      <c r="AA169" s="35"/>
      <c r="AB169" s="35"/>
      <c r="AC169" s="35"/>
    </row>
    <row r="170">
      <c r="A170" s="30" t="s">
        <v>43</v>
      </c>
      <c r="B170" s="52">
        <v>2015.0</v>
      </c>
      <c r="C170" s="30">
        <v>2016.0</v>
      </c>
      <c r="D170" s="55" t="s">
        <v>79</v>
      </c>
      <c r="E170" s="33">
        <v>34.0</v>
      </c>
      <c r="F170" s="35">
        <v>342.0</v>
      </c>
      <c r="G170" s="31">
        <v>444467.0</v>
      </c>
      <c r="H170" s="31">
        <f t="shared" si="1"/>
        <v>0.7694609499</v>
      </c>
      <c r="I170" s="54">
        <v>53.6</v>
      </c>
      <c r="J170" s="56">
        <v>11.94</v>
      </c>
      <c r="K170" s="61">
        <v>7000.25</v>
      </c>
      <c r="L170" s="46">
        <v>0.0</v>
      </c>
      <c r="M170" s="47">
        <v>54.188</v>
      </c>
      <c r="N170" s="48">
        <v>2.57</v>
      </c>
      <c r="O170" s="49">
        <v>2912.75</v>
      </c>
      <c r="P170" s="49">
        <v>425308.0</v>
      </c>
      <c r="Q170" s="51">
        <v>0.0</v>
      </c>
      <c r="R170" s="51">
        <v>0.0</v>
      </c>
      <c r="S170" s="51">
        <v>0.0</v>
      </c>
      <c r="T170" s="51">
        <v>1.0</v>
      </c>
      <c r="U170" s="51">
        <v>0.0</v>
      </c>
      <c r="V170" s="35"/>
      <c r="W170" s="35"/>
      <c r="X170" s="35"/>
      <c r="Y170" s="35"/>
      <c r="Z170" s="35"/>
      <c r="AA170" s="35"/>
      <c r="AB170" s="35"/>
      <c r="AC170" s="35"/>
    </row>
    <row r="171">
      <c r="A171" s="30">
        <v>2016.0</v>
      </c>
      <c r="B171" s="52">
        <v>2016.0</v>
      </c>
      <c r="C171" s="30" t="s">
        <v>45</v>
      </c>
      <c r="D171" s="55" t="s">
        <v>79</v>
      </c>
      <c r="E171" s="33">
        <v>34.0</v>
      </c>
      <c r="F171" s="35">
        <v>41.0</v>
      </c>
      <c r="G171" s="31">
        <v>445652.5</v>
      </c>
      <c r="H171" s="31">
        <f t="shared" si="1"/>
        <v>0.09199993268</v>
      </c>
      <c r="I171" s="54">
        <v>61.8</v>
      </c>
      <c r="J171" s="56">
        <v>12.73</v>
      </c>
      <c r="K171" s="62">
        <v>6274.0</v>
      </c>
      <c r="L171" s="46">
        <v>0.0</v>
      </c>
      <c r="M171" s="47">
        <v>61.823</v>
      </c>
      <c r="N171" s="48">
        <v>11.87</v>
      </c>
      <c r="O171" s="49">
        <v>3030.0</v>
      </c>
      <c r="P171" s="49">
        <v>444467.0</v>
      </c>
      <c r="Q171" s="51">
        <v>0.0</v>
      </c>
      <c r="R171" s="51">
        <v>0.0</v>
      </c>
      <c r="S171" s="51">
        <v>0.0</v>
      </c>
      <c r="T171" s="51">
        <v>0.0</v>
      </c>
      <c r="U171" s="51">
        <v>1.0</v>
      </c>
      <c r="V171" s="35"/>
      <c r="W171" s="35"/>
      <c r="X171" s="35"/>
      <c r="Y171" s="35"/>
      <c r="Z171" s="35"/>
      <c r="AA171" s="35"/>
      <c r="AB171" s="35"/>
      <c r="AC171" s="35"/>
    </row>
    <row r="172">
      <c r="A172" s="26" t="s">
        <v>37</v>
      </c>
      <c r="B172" s="52">
        <v>2002.0</v>
      </c>
      <c r="C172" s="30" t="s">
        <v>39</v>
      </c>
      <c r="D172" s="32" t="s">
        <v>80</v>
      </c>
      <c r="E172" s="33">
        <v>35.0</v>
      </c>
      <c r="F172" s="35">
        <v>175.6</v>
      </c>
      <c r="G172" s="31">
        <v>130825.0</v>
      </c>
      <c r="H172" s="31">
        <f t="shared" si="1"/>
        <v>1.342251099</v>
      </c>
      <c r="I172" s="42">
        <v>42.47</v>
      </c>
      <c r="J172" s="44">
        <v>2.73</v>
      </c>
      <c r="K172" s="61">
        <v>3691.32</v>
      </c>
      <c r="L172" s="46">
        <v>0.0</v>
      </c>
      <c r="M172" s="47">
        <v>1.064</v>
      </c>
      <c r="N172" s="48">
        <v>-2.35</v>
      </c>
      <c r="O172" s="49">
        <v>199.0</v>
      </c>
      <c r="P172" s="49">
        <v>186953.0</v>
      </c>
      <c r="Q172" s="50">
        <v>1.0</v>
      </c>
      <c r="R172" s="51">
        <v>0.0</v>
      </c>
      <c r="S172" s="51">
        <v>0.0</v>
      </c>
      <c r="T172" s="51">
        <v>0.0</v>
      </c>
      <c r="U172" s="51">
        <v>0.0</v>
      </c>
      <c r="V172" s="35"/>
      <c r="W172" s="35"/>
      <c r="X172" s="35"/>
      <c r="Y172" s="35"/>
      <c r="Z172" s="35"/>
      <c r="AA172" s="35"/>
      <c r="AB172" s="35"/>
      <c r="AC172" s="35"/>
    </row>
    <row r="173">
      <c r="A173" s="30" t="s">
        <v>39</v>
      </c>
      <c r="B173" s="52">
        <v>2007.0</v>
      </c>
      <c r="C173" s="30" t="s">
        <v>41</v>
      </c>
      <c r="D173" s="32" t="s">
        <v>80</v>
      </c>
      <c r="E173" s="33">
        <v>35.0</v>
      </c>
      <c r="F173" s="35">
        <v>78.5</v>
      </c>
      <c r="G173" s="31">
        <v>131083.75</v>
      </c>
      <c r="H173" s="31">
        <f t="shared" si="1"/>
        <v>0.5988537862</v>
      </c>
      <c r="I173" s="42">
        <v>60.64</v>
      </c>
      <c r="J173" s="53">
        <v>4.8</v>
      </c>
      <c r="K173" s="61">
        <v>4858.19</v>
      </c>
      <c r="L173" s="46">
        <v>0.0</v>
      </c>
      <c r="M173" s="47">
        <v>13.239</v>
      </c>
      <c r="N173" s="48">
        <v>-0.39</v>
      </c>
      <c r="O173" s="49">
        <v>503.25</v>
      </c>
      <c r="P173" s="49">
        <v>130825.0</v>
      </c>
      <c r="Q173" s="51">
        <v>0.0</v>
      </c>
      <c r="R173" s="51">
        <v>1.0</v>
      </c>
      <c r="S173" s="51">
        <v>0.0</v>
      </c>
      <c r="T173" s="51">
        <v>0.0</v>
      </c>
      <c r="U173" s="51">
        <v>0.0</v>
      </c>
      <c r="V173" s="35"/>
      <c r="W173" s="35"/>
      <c r="X173" s="35"/>
      <c r="Y173" s="35"/>
      <c r="Z173" s="35"/>
      <c r="AA173" s="35"/>
      <c r="AB173" s="35"/>
      <c r="AC173" s="35"/>
    </row>
    <row r="174">
      <c r="A174" s="30" t="s">
        <v>41</v>
      </c>
      <c r="B174" s="52">
        <v>2011.0</v>
      </c>
      <c r="C174" s="30" t="s">
        <v>43</v>
      </c>
      <c r="D174" s="32" t="s">
        <v>80</v>
      </c>
      <c r="E174" s="33">
        <v>35.0</v>
      </c>
      <c r="F174" s="35">
        <v>21.0</v>
      </c>
      <c r="G174" s="31">
        <v>143607.5</v>
      </c>
      <c r="H174" s="31">
        <f t="shared" si="1"/>
        <v>0.1462319169</v>
      </c>
      <c r="I174" s="54">
        <v>65.0</v>
      </c>
      <c r="J174" s="53">
        <v>8.0</v>
      </c>
      <c r="K174" s="61">
        <v>7303.75</v>
      </c>
      <c r="L174" s="46">
        <v>0.0</v>
      </c>
      <c r="M174" s="47">
        <v>33.018</v>
      </c>
      <c r="N174" s="48">
        <v>-7.21</v>
      </c>
      <c r="O174" s="49">
        <v>861.666666666667</v>
      </c>
      <c r="P174" s="49">
        <v>131083.75</v>
      </c>
      <c r="Q174" s="51">
        <v>0.0</v>
      </c>
      <c r="R174" s="51">
        <v>0.0</v>
      </c>
      <c r="S174" s="51">
        <v>1.0</v>
      </c>
      <c r="T174" s="51">
        <v>0.0</v>
      </c>
      <c r="U174" s="51">
        <v>0.0</v>
      </c>
      <c r="V174" s="35"/>
      <c r="W174" s="35"/>
      <c r="X174" s="35"/>
      <c r="Y174" s="35"/>
      <c r="Z174" s="35"/>
      <c r="AA174" s="35"/>
      <c r="AB174" s="35"/>
      <c r="AC174" s="35"/>
    </row>
    <row r="175">
      <c r="A175" s="30" t="s">
        <v>43</v>
      </c>
      <c r="B175" s="52">
        <v>2015.0</v>
      </c>
      <c r="C175" s="30">
        <v>2016.0</v>
      </c>
      <c r="D175" s="55" t="s">
        <v>80</v>
      </c>
      <c r="E175" s="33">
        <v>35.0</v>
      </c>
      <c r="F175" s="35">
        <v>528.0</v>
      </c>
      <c r="G175" s="31">
        <v>172034.0</v>
      </c>
      <c r="H175" s="31">
        <f t="shared" si="1"/>
        <v>3.069160747</v>
      </c>
      <c r="I175" s="54">
        <v>56.9</v>
      </c>
      <c r="J175" s="56">
        <v>12.47</v>
      </c>
      <c r="K175" s="61">
        <v>8196.25</v>
      </c>
      <c r="L175" s="46">
        <v>0.0</v>
      </c>
      <c r="M175" s="47">
        <v>61.926</v>
      </c>
      <c r="N175" s="48">
        <v>21.44</v>
      </c>
      <c r="O175" s="49">
        <v>846.0</v>
      </c>
      <c r="P175" s="49">
        <v>143607.5</v>
      </c>
      <c r="Q175" s="51">
        <v>0.0</v>
      </c>
      <c r="R175" s="51">
        <v>0.0</v>
      </c>
      <c r="S175" s="51">
        <v>0.0</v>
      </c>
      <c r="T175" s="51">
        <v>1.0</v>
      </c>
      <c r="U175" s="51">
        <v>0.0</v>
      </c>
      <c r="V175" s="35"/>
      <c r="W175" s="35"/>
      <c r="X175" s="35"/>
      <c r="Y175" s="35"/>
      <c r="Z175" s="35"/>
      <c r="AA175" s="35"/>
      <c r="AB175" s="35"/>
      <c r="AC175" s="35"/>
    </row>
    <row r="176">
      <c r="A176" s="30">
        <v>2016.0</v>
      </c>
      <c r="B176" s="52">
        <v>2016.0</v>
      </c>
      <c r="C176" s="30" t="s">
        <v>45</v>
      </c>
      <c r="D176" s="55" t="s">
        <v>80</v>
      </c>
      <c r="E176" s="33">
        <v>35.0</v>
      </c>
      <c r="F176" s="35">
        <v>0.0</v>
      </c>
      <c r="G176" s="31">
        <v>166460.5</v>
      </c>
      <c r="H176" s="31">
        <f t="shared" si="1"/>
        <v>0</v>
      </c>
      <c r="I176" s="54">
        <v>68.3</v>
      </c>
      <c r="J176" s="56">
        <v>13.26</v>
      </c>
      <c r="K176" s="62">
        <v>6453.0</v>
      </c>
      <c r="L176" s="46">
        <v>0.0</v>
      </c>
      <c r="M176" s="47">
        <v>71.15</v>
      </c>
      <c r="N176" s="48">
        <v>33.83</v>
      </c>
      <c r="O176" s="49">
        <v>717.0</v>
      </c>
      <c r="P176" s="49">
        <v>172034.0</v>
      </c>
      <c r="Q176" s="51">
        <v>0.0</v>
      </c>
      <c r="R176" s="51">
        <v>0.0</v>
      </c>
      <c r="S176" s="51">
        <v>0.0</v>
      </c>
      <c r="T176" s="51">
        <v>0.0</v>
      </c>
      <c r="U176" s="51">
        <v>1.0</v>
      </c>
      <c r="V176" s="35"/>
      <c r="W176" s="35"/>
      <c r="X176" s="35"/>
      <c r="Y176" s="35"/>
      <c r="Z176" s="35"/>
      <c r="AA176" s="35"/>
      <c r="AB176" s="35"/>
      <c r="AC176" s="35"/>
    </row>
    <row r="177">
      <c r="A177" s="26" t="s">
        <v>37</v>
      </c>
      <c r="B177" s="52">
        <v>2002.0</v>
      </c>
      <c r="C177" s="30" t="s">
        <v>39</v>
      </c>
      <c r="D177" s="32" t="s">
        <v>81</v>
      </c>
      <c r="E177" s="33">
        <v>36.0</v>
      </c>
      <c r="F177" s="35">
        <v>32.0</v>
      </c>
      <c r="G177" s="31">
        <v>246469.0</v>
      </c>
      <c r="H177" s="31">
        <f t="shared" si="1"/>
        <v>0.1298337722</v>
      </c>
      <c r="I177" s="42">
        <v>6.81</v>
      </c>
      <c r="J177" s="44">
        <v>2.04</v>
      </c>
      <c r="K177" s="61">
        <v>2398.86</v>
      </c>
      <c r="L177" s="46">
        <v>0.0</v>
      </c>
      <c r="M177" s="47">
        <v>0.727</v>
      </c>
      <c r="N177" s="48">
        <v>-1.25</v>
      </c>
      <c r="O177" s="49">
        <v>172.0</v>
      </c>
      <c r="P177" s="49">
        <v>236581.0</v>
      </c>
      <c r="Q177" s="50">
        <v>1.0</v>
      </c>
      <c r="R177" s="51">
        <v>0.0</v>
      </c>
      <c r="S177" s="51">
        <v>0.0</v>
      </c>
      <c r="T177" s="51">
        <v>0.0</v>
      </c>
      <c r="U177" s="51">
        <v>0.0</v>
      </c>
      <c r="V177" s="35"/>
      <c r="W177" s="35"/>
      <c r="X177" s="35"/>
      <c r="Y177" s="35"/>
      <c r="Z177" s="35"/>
      <c r="AA177" s="35"/>
      <c r="AB177" s="35"/>
      <c r="AC177" s="35"/>
    </row>
    <row r="178">
      <c r="A178" s="30" t="s">
        <v>39</v>
      </c>
      <c r="B178" s="52">
        <v>2007.0</v>
      </c>
      <c r="C178" s="30" t="s">
        <v>41</v>
      </c>
      <c r="D178" s="32" t="s">
        <v>81</v>
      </c>
      <c r="E178" s="33">
        <v>36.0</v>
      </c>
      <c r="F178" s="35">
        <v>25.5</v>
      </c>
      <c r="G178" s="31">
        <v>259704.5</v>
      </c>
      <c r="H178" s="31">
        <f t="shared" si="1"/>
        <v>0.0981885181</v>
      </c>
      <c r="I178" s="42">
        <v>33.49</v>
      </c>
      <c r="J178" s="53">
        <v>3.35</v>
      </c>
      <c r="K178" s="61">
        <v>3211.32</v>
      </c>
      <c r="L178" s="46">
        <v>0.0</v>
      </c>
      <c r="M178" s="47">
        <v>5.844</v>
      </c>
      <c r="N178" s="48">
        <v>0.97</v>
      </c>
      <c r="O178" s="49">
        <v>368.25</v>
      </c>
      <c r="P178" s="49">
        <v>246469.0</v>
      </c>
      <c r="Q178" s="51">
        <v>0.0</v>
      </c>
      <c r="R178" s="51">
        <v>1.0</v>
      </c>
      <c r="S178" s="51">
        <v>0.0</v>
      </c>
      <c r="T178" s="51">
        <v>0.0</v>
      </c>
      <c r="U178" s="51">
        <v>0.0</v>
      </c>
      <c r="V178" s="35"/>
      <c r="W178" s="35"/>
      <c r="X178" s="35"/>
      <c r="Y178" s="35"/>
      <c r="Z178" s="35"/>
      <c r="AA178" s="35"/>
      <c r="AB178" s="35"/>
      <c r="AC178" s="35"/>
    </row>
    <row r="179">
      <c r="A179" s="30" t="s">
        <v>41</v>
      </c>
      <c r="B179" s="52">
        <v>2011.0</v>
      </c>
      <c r="C179" s="30" t="s">
        <v>43</v>
      </c>
      <c r="D179" s="32" t="s">
        <v>81</v>
      </c>
      <c r="E179" s="33">
        <v>36.0</v>
      </c>
      <c r="F179" s="35">
        <v>0.0</v>
      </c>
      <c r="G179" s="31">
        <v>277021.25</v>
      </c>
      <c r="H179" s="31">
        <f t="shared" si="1"/>
        <v>0</v>
      </c>
      <c r="I179" s="54">
        <v>16.5</v>
      </c>
      <c r="J179" s="53">
        <v>6.24</v>
      </c>
      <c r="K179" s="61">
        <v>4521.25</v>
      </c>
      <c r="L179" s="46">
        <v>0.0</v>
      </c>
      <c r="M179" s="47">
        <v>16.042</v>
      </c>
      <c r="N179" s="48">
        <v>-7.86</v>
      </c>
      <c r="O179" s="49">
        <v>592.0</v>
      </c>
      <c r="P179" s="49">
        <v>259704.5</v>
      </c>
      <c r="Q179" s="51">
        <v>0.0</v>
      </c>
      <c r="R179" s="51">
        <v>0.0</v>
      </c>
      <c r="S179" s="51">
        <v>1.0</v>
      </c>
      <c r="T179" s="51">
        <v>0.0</v>
      </c>
      <c r="U179" s="51">
        <v>0.0</v>
      </c>
      <c r="V179" s="35"/>
      <c r="W179" s="35"/>
      <c r="X179" s="35"/>
      <c r="Y179" s="35"/>
      <c r="Z179" s="35"/>
      <c r="AA179" s="35"/>
      <c r="AB179" s="35"/>
      <c r="AC179" s="35"/>
    </row>
    <row r="180">
      <c r="A180" s="30" t="s">
        <v>43</v>
      </c>
      <c r="B180" s="52">
        <v>2015.0</v>
      </c>
      <c r="C180" s="30">
        <v>2016.0</v>
      </c>
      <c r="D180" s="55" t="s">
        <v>81</v>
      </c>
      <c r="E180" s="33">
        <v>36.0</v>
      </c>
      <c r="F180" s="35">
        <v>0.0</v>
      </c>
      <c r="G180" s="31">
        <v>267813.0</v>
      </c>
      <c r="H180" s="31">
        <f t="shared" si="1"/>
        <v>0</v>
      </c>
      <c r="I180" s="54">
        <v>8.8</v>
      </c>
      <c r="J180" s="56">
        <v>10.5</v>
      </c>
      <c r="K180" s="61">
        <v>5152.0</v>
      </c>
      <c r="L180" s="46">
        <v>0.0</v>
      </c>
      <c r="M180" s="47">
        <v>23.298</v>
      </c>
      <c r="N180" s="48">
        <v>-9.75</v>
      </c>
      <c r="O180" s="49">
        <v>522.5</v>
      </c>
      <c r="P180" s="49">
        <v>277021.25</v>
      </c>
      <c r="Q180" s="51">
        <v>0.0</v>
      </c>
      <c r="R180" s="51">
        <v>0.0</v>
      </c>
      <c r="S180" s="51">
        <v>0.0</v>
      </c>
      <c r="T180" s="51">
        <v>1.0</v>
      </c>
      <c r="U180" s="51">
        <v>0.0</v>
      </c>
      <c r="V180" s="35"/>
      <c r="W180" s="35"/>
      <c r="X180" s="35"/>
      <c r="Y180" s="35"/>
      <c r="Z180" s="35"/>
      <c r="AA180" s="35"/>
      <c r="AB180" s="35"/>
      <c r="AC180" s="35"/>
    </row>
    <row r="181">
      <c r="A181" s="30">
        <v>2016.0</v>
      </c>
      <c r="B181" s="52">
        <v>2016.0</v>
      </c>
      <c r="C181" s="30" t="s">
        <v>45</v>
      </c>
      <c r="D181" s="55" t="s">
        <v>81</v>
      </c>
      <c r="E181" s="33">
        <v>36.0</v>
      </c>
      <c r="F181" s="35">
        <v>0.0</v>
      </c>
      <c r="G181" s="31">
        <v>281115.5</v>
      </c>
      <c r="H181" s="31">
        <f t="shared" si="1"/>
        <v>0</v>
      </c>
      <c r="I181" s="54">
        <v>12.6</v>
      </c>
      <c r="J181" s="56">
        <v>11.03</v>
      </c>
      <c r="K181" s="62">
        <v>4992.0</v>
      </c>
      <c r="L181" s="46">
        <v>0.0</v>
      </c>
      <c r="M181" s="47">
        <v>25.239</v>
      </c>
      <c r="N181" s="48">
        <v>-27.02</v>
      </c>
      <c r="O181" s="49">
        <v>228.0</v>
      </c>
      <c r="P181" s="49">
        <v>267813.0</v>
      </c>
      <c r="Q181" s="51">
        <v>0.0</v>
      </c>
      <c r="R181" s="51">
        <v>0.0</v>
      </c>
      <c r="S181" s="51">
        <v>0.0</v>
      </c>
      <c r="T181" s="51">
        <v>0.0</v>
      </c>
      <c r="U181" s="51">
        <v>1.0</v>
      </c>
      <c r="V181" s="35"/>
      <c r="W181" s="35"/>
      <c r="X181" s="35"/>
      <c r="Y181" s="35"/>
      <c r="Z181" s="35"/>
      <c r="AA181" s="35"/>
      <c r="AB181" s="35"/>
      <c r="AC181" s="35"/>
    </row>
    <row r="182">
      <c r="A182" s="26" t="s">
        <v>37</v>
      </c>
      <c r="B182" s="52">
        <v>2002.0</v>
      </c>
      <c r="C182" s="30" t="s">
        <v>39</v>
      </c>
      <c r="D182" s="32" t="s">
        <v>82</v>
      </c>
      <c r="E182" s="33">
        <v>37.0</v>
      </c>
      <c r="F182" s="35">
        <v>189.8</v>
      </c>
      <c r="G182" s="31">
        <v>1386224.0</v>
      </c>
      <c r="H182" s="31">
        <f t="shared" si="1"/>
        <v>0.1369187087</v>
      </c>
      <c r="I182" s="42">
        <v>29.88</v>
      </c>
      <c r="J182" s="44">
        <v>3.04</v>
      </c>
      <c r="K182" s="61">
        <v>3287.43</v>
      </c>
      <c r="L182" s="46">
        <v>0.0</v>
      </c>
      <c r="M182" s="47">
        <v>1.412</v>
      </c>
      <c r="N182" s="48">
        <v>-3.39</v>
      </c>
      <c r="O182" s="49">
        <v>1770.0</v>
      </c>
      <c r="P182" s="49">
        <v>1253726.0</v>
      </c>
      <c r="Q182" s="50">
        <v>1.0</v>
      </c>
      <c r="R182" s="51">
        <v>0.0</v>
      </c>
      <c r="S182" s="51">
        <v>0.0</v>
      </c>
      <c r="T182" s="51">
        <v>0.0</v>
      </c>
      <c r="U182" s="51">
        <v>0.0</v>
      </c>
      <c r="V182" s="35"/>
      <c r="W182" s="35"/>
      <c r="X182" s="35"/>
      <c r="Y182" s="35"/>
      <c r="Z182" s="35"/>
      <c r="AA182" s="35"/>
      <c r="AB182" s="35"/>
      <c r="AC182" s="35"/>
    </row>
    <row r="183">
      <c r="A183" s="30" t="s">
        <v>39</v>
      </c>
      <c r="B183" s="52">
        <v>2007.0</v>
      </c>
      <c r="C183" s="30" t="s">
        <v>41</v>
      </c>
      <c r="D183" s="32" t="s">
        <v>82</v>
      </c>
      <c r="E183" s="33">
        <v>37.0</v>
      </c>
      <c r="F183" s="35">
        <v>719.5</v>
      </c>
      <c r="G183" s="31">
        <v>1454124.75</v>
      </c>
      <c r="H183" s="31">
        <f t="shared" si="1"/>
        <v>0.494799363</v>
      </c>
      <c r="I183" s="42">
        <v>40.84</v>
      </c>
      <c r="J183" s="53">
        <v>5.14</v>
      </c>
      <c r="K183" s="61">
        <v>4456.12</v>
      </c>
      <c r="L183" s="46">
        <v>0.0</v>
      </c>
      <c r="M183" s="47">
        <v>8.095</v>
      </c>
      <c r="N183" s="48">
        <v>-2.82</v>
      </c>
      <c r="O183" s="49">
        <v>2889.75</v>
      </c>
      <c r="P183" s="49">
        <v>1386224.0</v>
      </c>
      <c r="Q183" s="51">
        <v>0.0</v>
      </c>
      <c r="R183" s="51">
        <v>1.0</v>
      </c>
      <c r="S183" s="51">
        <v>0.0</v>
      </c>
      <c r="T183" s="51">
        <v>0.0</v>
      </c>
      <c r="U183" s="51">
        <v>0.0</v>
      </c>
      <c r="V183" s="35"/>
      <c r="W183" s="35"/>
      <c r="X183" s="35"/>
      <c r="Y183" s="35"/>
      <c r="Z183" s="35"/>
      <c r="AA183" s="35"/>
      <c r="AB183" s="35"/>
      <c r="AC183" s="35"/>
    </row>
    <row r="184">
      <c r="A184" s="30" t="s">
        <v>41</v>
      </c>
      <c r="B184" s="52">
        <v>2011.0</v>
      </c>
      <c r="C184" s="30" t="s">
        <v>43</v>
      </c>
      <c r="D184" s="32" t="s">
        <v>82</v>
      </c>
      <c r="E184" s="33">
        <v>37.0</v>
      </c>
      <c r="F184" s="35">
        <v>100.75</v>
      </c>
      <c r="G184" s="31">
        <v>1510020.75</v>
      </c>
      <c r="H184" s="31">
        <f t="shared" si="1"/>
        <v>0.06672093744</v>
      </c>
      <c r="I184" s="54">
        <v>44.4</v>
      </c>
      <c r="J184" s="53">
        <v>7.67</v>
      </c>
      <c r="K184" s="61">
        <v>6546.25</v>
      </c>
      <c r="L184" s="46">
        <v>0.0</v>
      </c>
      <c r="M184" s="47">
        <v>23.263</v>
      </c>
      <c r="N184" s="48">
        <v>-2.5</v>
      </c>
      <c r="O184" s="49">
        <v>6981.0</v>
      </c>
      <c r="P184" s="49">
        <v>1454124.75</v>
      </c>
      <c r="Q184" s="51">
        <v>0.0</v>
      </c>
      <c r="R184" s="51">
        <v>0.0</v>
      </c>
      <c r="S184" s="51">
        <v>1.0</v>
      </c>
      <c r="T184" s="51">
        <v>0.0</v>
      </c>
      <c r="U184" s="51">
        <v>0.0</v>
      </c>
      <c r="V184" s="35"/>
      <c r="W184" s="35"/>
      <c r="X184" s="35"/>
      <c r="Y184" s="35"/>
      <c r="Z184" s="35"/>
      <c r="AA184" s="35"/>
      <c r="AB184" s="35"/>
      <c r="AC184" s="35"/>
    </row>
    <row r="185">
      <c r="A185" s="30" t="s">
        <v>43</v>
      </c>
      <c r="B185" s="52">
        <v>2015.0</v>
      </c>
      <c r="C185" s="30">
        <v>2016.0</v>
      </c>
      <c r="D185" s="55" t="s">
        <v>82</v>
      </c>
      <c r="E185" s="33">
        <v>37.0</v>
      </c>
      <c r="F185" s="35">
        <v>2404.0</v>
      </c>
      <c r="G185" s="31">
        <v>1555165.0</v>
      </c>
      <c r="H185" s="31">
        <f t="shared" si="1"/>
        <v>1.545816682</v>
      </c>
      <c r="I185" s="54">
        <v>37.8</v>
      </c>
      <c r="J185" s="56">
        <v>11.38</v>
      </c>
      <c r="K185" s="61">
        <v>7455.75</v>
      </c>
      <c r="L185" s="46">
        <v>0.0</v>
      </c>
      <c r="M185" s="47">
        <v>52.513</v>
      </c>
      <c r="N185" s="48">
        <v>-5.39</v>
      </c>
      <c r="O185" s="49">
        <v>11980.5</v>
      </c>
      <c r="P185" s="49">
        <v>1510020.75</v>
      </c>
      <c r="Q185" s="51">
        <v>0.0</v>
      </c>
      <c r="R185" s="51">
        <v>0.0</v>
      </c>
      <c r="S185" s="51">
        <v>0.0</v>
      </c>
      <c r="T185" s="51">
        <v>1.0</v>
      </c>
      <c r="U185" s="51">
        <v>0.0</v>
      </c>
      <c r="V185" s="35"/>
      <c r="W185" s="35"/>
      <c r="X185" s="35"/>
      <c r="Y185" s="35"/>
      <c r="Z185" s="35"/>
      <c r="AA185" s="35"/>
      <c r="AB185" s="35"/>
      <c r="AC185" s="35"/>
    </row>
    <row r="186">
      <c r="A186" s="30">
        <v>2016.0</v>
      </c>
      <c r="B186" s="52">
        <v>2016.0</v>
      </c>
      <c r="C186" s="30" t="s">
        <v>45</v>
      </c>
      <c r="D186" s="55" t="s">
        <v>82</v>
      </c>
      <c r="E186" s="33">
        <v>37.0</v>
      </c>
      <c r="F186" s="35">
        <v>192.0</v>
      </c>
      <c r="G186" s="31">
        <v>1592541.0</v>
      </c>
      <c r="H186" s="31">
        <f t="shared" si="1"/>
        <v>0.1205620452</v>
      </c>
      <c r="I186" s="54">
        <v>43.2</v>
      </c>
      <c r="J186" s="56">
        <v>12.22</v>
      </c>
      <c r="K186" s="62">
        <v>7082.0</v>
      </c>
      <c r="L186" s="46">
        <v>0.0</v>
      </c>
      <c r="M186" s="47">
        <v>60.88</v>
      </c>
      <c r="N186" s="48">
        <v>-3.92</v>
      </c>
      <c r="O186" s="49">
        <v>12200.0</v>
      </c>
      <c r="P186" s="49">
        <v>1555165.0</v>
      </c>
      <c r="Q186" s="51">
        <v>0.0</v>
      </c>
      <c r="R186" s="51">
        <v>0.0</v>
      </c>
      <c r="S186" s="51">
        <v>0.0</v>
      </c>
      <c r="T186" s="51">
        <v>0.0</v>
      </c>
      <c r="U186" s="51">
        <v>1.0</v>
      </c>
      <c r="V186" s="35"/>
      <c r="W186" s="35"/>
      <c r="X186" s="35"/>
      <c r="Y186" s="35"/>
      <c r="Z186" s="35"/>
      <c r="AA186" s="35"/>
      <c r="AB186" s="35"/>
      <c r="AC186" s="35"/>
    </row>
    <row r="187">
      <c r="A187" s="26" t="s">
        <v>37</v>
      </c>
      <c r="B187" s="52">
        <v>2002.0</v>
      </c>
      <c r="C187" s="30" t="s">
        <v>39</v>
      </c>
      <c r="D187" s="32" t="s">
        <v>83</v>
      </c>
      <c r="E187" s="33">
        <v>38.0</v>
      </c>
      <c r="F187" s="35">
        <v>57.6</v>
      </c>
      <c r="G187" s="31">
        <v>181866.0</v>
      </c>
      <c r="H187" s="31">
        <f t="shared" si="1"/>
        <v>0.3167167035</v>
      </c>
      <c r="I187" s="42">
        <v>6.5</v>
      </c>
      <c r="J187" s="44">
        <v>2.44</v>
      </c>
      <c r="K187" s="61">
        <v>2686.58</v>
      </c>
      <c r="L187" s="46">
        <v>0.0</v>
      </c>
      <c r="M187" s="47">
        <v>0.362</v>
      </c>
      <c r="N187" s="48">
        <v>1.24</v>
      </c>
      <c r="O187" s="49">
        <v>61.0</v>
      </c>
      <c r="P187" s="49">
        <v>168634.0</v>
      </c>
      <c r="Q187" s="50">
        <v>1.0</v>
      </c>
      <c r="R187" s="51">
        <v>0.0</v>
      </c>
      <c r="S187" s="51">
        <v>0.0</v>
      </c>
      <c r="T187" s="51">
        <v>0.0</v>
      </c>
      <c r="U187" s="51">
        <v>0.0</v>
      </c>
      <c r="V187" s="35"/>
      <c r="W187" s="35"/>
      <c r="X187" s="35"/>
      <c r="Y187" s="35"/>
      <c r="Z187" s="35"/>
      <c r="AA187" s="35"/>
      <c r="AB187" s="35"/>
      <c r="AC187" s="35"/>
    </row>
    <row r="188">
      <c r="A188" s="30" t="s">
        <v>39</v>
      </c>
      <c r="B188" s="52">
        <v>2007.0</v>
      </c>
      <c r="C188" s="30" t="s">
        <v>41</v>
      </c>
      <c r="D188" s="32" t="s">
        <v>83</v>
      </c>
      <c r="E188" s="33">
        <v>38.0</v>
      </c>
      <c r="F188" s="35">
        <v>81.0</v>
      </c>
      <c r="G188" s="31">
        <v>185196.5</v>
      </c>
      <c r="H188" s="31">
        <f t="shared" si="1"/>
        <v>0.4373732765</v>
      </c>
      <c r="I188" s="42">
        <v>28.91</v>
      </c>
      <c r="J188" s="53">
        <v>3.92</v>
      </c>
      <c r="K188" s="61">
        <v>3784.15</v>
      </c>
      <c r="L188" s="46">
        <v>0.0</v>
      </c>
      <c r="M188" s="47">
        <v>5.206</v>
      </c>
      <c r="N188" s="48">
        <v>-9.59</v>
      </c>
      <c r="O188" s="49">
        <v>210.0</v>
      </c>
      <c r="P188" s="49">
        <v>181866.0</v>
      </c>
      <c r="Q188" s="51">
        <v>0.0</v>
      </c>
      <c r="R188" s="51">
        <v>1.0</v>
      </c>
      <c r="S188" s="51">
        <v>0.0</v>
      </c>
      <c r="T188" s="51">
        <v>0.0</v>
      </c>
      <c r="U188" s="51">
        <v>0.0</v>
      </c>
      <c r="V188" s="35"/>
      <c r="W188" s="35"/>
      <c r="X188" s="35"/>
      <c r="Y188" s="35"/>
      <c r="Z188" s="35"/>
      <c r="AA188" s="35"/>
      <c r="AB188" s="35"/>
      <c r="AC188" s="35"/>
    </row>
    <row r="189">
      <c r="A189" s="30" t="s">
        <v>41</v>
      </c>
      <c r="B189" s="52">
        <v>2011.0</v>
      </c>
      <c r="C189" s="30" t="s">
        <v>43</v>
      </c>
      <c r="D189" s="32" t="s">
        <v>83</v>
      </c>
      <c r="E189" s="33">
        <v>38.0</v>
      </c>
      <c r="F189" s="35">
        <v>21.5</v>
      </c>
      <c r="G189" s="31">
        <v>191331.0</v>
      </c>
      <c r="H189" s="31">
        <f t="shared" si="1"/>
        <v>0.1123707084</v>
      </c>
      <c r="I189" s="54">
        <v>28.3</v>
      </c>
      <c r="J189" s="53">
        <v>6.64</v>
      </c>
      <c r="K189" s="61">
        <v>5646.0</v>
      </c>
      <c r="L189" s="46">
        <v>0.0</v>
      </c>
      <c r="M189" s="47">
        <v>9.622</v>
      </c>
      <c r="N189" s="48">
        <v>-14.9</v>
      </c>
      <c r="O189" s="49">
        <v>224.333333333333</v>
      </c>
      <c r="P189" s="49">
        <v>185196.5</v>
      </c>
      <c r="Q189" s="51">
        <v>0.0</v>
      </c>
      <c r="R189" s="51">
        <v>0.0</v>
      </c>
      <c r="S189" s="51">
        <v>1.0</v>
      </c>
      <c r="T189" s="51">
        <v>0.0</v>
      </c>
      <c r="U189" s="51">
        <v>0.0</v>
      </c>
      <c r="V189" s="35"/>
      <c r="W189" s="35"/>
      <c r="X189" s="35"/>
      <c r="Y189" s="35"/>
      <c r="Z189" s="35"/>
      <c r="AA189" s="35"/>
      <c r="AB189" s="35"/>
      <c r="AC189" s="35"/>
    </row>
    <row r="190">
      <c r="A190" s="30" t="s">
        <v>43</v>
      </c>
      <c r="B190" s="52">
        <v>2015.0</v>
      </c>
      <c r="C190" s="30">
        <v>2016.0</v>
      </c>
      <c r="D190" s="55" t="s">
        <v>83</v>
      </c>
      <c r="E190" s="33">
        <v>38.0</v>
      </c>
      <c r="F190" s="35">
        <v>0.0</v>
      </c>
      <c r="G190" s="31">
        <v>192785.0</v>
      </c>
      <c r="H190" s="31">
        <f t="shared" si="1"/>
        <v>0</v>
      </c>
      <c r="I190" s="54">
        <v>10.8</v>
      </c>
      <c r="J190" s="56">
        <v>10.46</v>
      </c>
      <c r="K190" s="61">
        <v>6383.25</v>
      </c>
      <c r="L190" s="46">
        <v>0.0</v>
      </c>
      <c r="M190" s="47">
        <v>19.649</v>
      </c>
      <c r="N190" s="48">
        <v>-11.49</v>
      </c>
      <c r="O190" s="49">
        <v>1587.75</v>
      </c>
      <c r="P190" s="49">
        <v>191331.0</v>
      </c>
      <c r="Q190" s="51">
        <v>0.0</v>
      </c>
      <c r="R190" s="51">
        <v>0.0</v>
      </c>
      <c r="S190" s="51">
        <v>0.0</v>
      </c>
      <c r="T190" s="51">
        <v>1.0</v>
      </c>
      <c r="U190" s="51">
        <v>0.0</v>
      </c>
      <c r="V190" s="35"/>
      <c r="W190" s="35"/>
      <c r="X190" s="35"/>
      <c r="Y190" s="35"/>
      <c r="Z190" s="35"/>
      <c r="AA190" s="35"/>
      <c r="AB190" s="35"/>
      <c r="AC190" s="35"/>
    </row>
    <row r="191">
      <c r="A191" s="30">
        <v>2016.0</v>
      </c>
      <c r="B191" s="52">
        <v>2016.0</v>
      </c>
      <c r="C191" s="30" t="s">
        <v>45</v>
      </c>
      <c r="D191" s="55" t="s">
        <v>83</v>
      </c>
      <c r="E191" s="33">
        <v>38.0</v>
      </c>
      <c r="F191" s="35">
        <v>0.0</v>
      </c>
      <c r="G191" s="31">
        <v>196115.5</v>
      </c>
      <c r="H191" s="31">
        <f t="shared" si="1"/>
        <v>0</v>
      </c>
      <c r="I191" s="54">
        <v>31.0</v>
      </c>
      <c r="J191" s="56">
        <v>10.96</v>
      </c>
      <c r="K191" s="62">
        <v>5790.0</v>
      </c>
      <c r="L191" s="46">
        <v>0.0</v>
      </c>
      <c r="M191" s="47">
        <v>27.054</v>
      </c>
      <c r="N191" s="48">
        <v>-15.24</v>
      </c>
      <c r="O191" s="49">
        <v>798.0</v>
      </c>
      <c r="P191" s="49">
        <v>192785.0</v>
      </c>
      <c r="Q191" s="51">
        <v>0.0</v>
      </c>
      <c r="R191" s="51">
        <v>0.0</v>
      </c>
      <c r="S191" s="51">
        <v>0.0</v>
      </c>
      <c r="T191" s="51">
        <v>0.0</v>
      </c>
      <c r="U191" s="51">
        <v>1.0</v>
      </c>
      <c r="V191" s="35"/>
      <c r="W191" s="35"/>
      <c r="X191" s="35"/>
      <c r="Y191" s="35"/>
      <c r="Z191" s="35"/>
      <c r="AA191" s="35"/>
      <c r="AB191" s="35"/>
      <c r="AC191" s="35"/>
    </row>
    <row r="192">
      <c r="A192" s="26" t="s">
        <v>37</v>
      </c>
      <c r="B192" s="52">
        <v>2002.0</v>
      </c>
      <c r="C192" s="30" t="s">
        <v>39</v>
      </c>
      <c r="D192" s="32" t="s">
        <v>84</v>
      </c>
      <c r="E192" s="33">
        <v>39.0</v>
      </c>
      <c r="F192" s="35">
        <v>309.8</v>
      </c>
      <c r="G192" s="31">
        <v>419845.0</v>
      </c>
      <c r="H192" s="31">
        <f t="shared" si="1"/>
        <v>0.7378913647</v>
      </c>
      <c r="I192" s="42">
        <v>41.65</v>
      </c>
      <c r="J192" s="44">
        <v>4.85</v>
      </c>
      <c r="K192" s="61">
        <v>4583.52</v>
      </c>
      <c r="L192" s="46">
        <v>0.0</v>
      </c>
      <c r="M192" s="47">
        <v>2.788</v>
      </c>
      <c r="N192" s="48">
        <v>-0.93</v>
      </c>
      <c r="O192" s="49">
        <v>1432.0</v>
      </c>
      <c r="P192" s="49">
        <v>513681.0</v>
      </c>
      <c r="Q192" s="50">
        <v>1.0</v>
      </c>
      <c r="R192" s="51">
        <v>0.0</v>
      </c>
      <c r="S192" s="51">
        <v>0.0</v>
      </c>
      <c r="T192" s="51">
        <v>0.0</v>
      </c>
      <c r="U192" s="51">
        <v>0.0</v>
      </c>
      <c r="V192" s="35"/>
      <c r="W192" s="35"/>
      <c r="X192" s="35"/>
      <c r="Y192" s="35"/>
      <c r="Z192" s="35"/>
      <c r="AA192" s="35"/>
      <c r="AB192" s="35"/>
      <c r="AC192" s="35"/>
    </row>
    <row r="193">
      <c r="A193" s="30" t="s">
        <v>39</v>
      </c>
      <c r="B193" s="52">
        <v>2007.0</v>
      </c>
      <c r="C193" s="30" t="s">
        <v>41</v>
      </c>
      <c r="D193" s="32" t="s">
        <v>84</v>
      </c>
      <c r="E193" s="33">
        <v>39.0</v>
      </c>
      <c r="F193" s="35">
        <v>406.0</v>
      </c>
      <c r="G193" s="31">
        <v>421950.5</v>
      </c>
      <c r="H193" s="31">
        <f t="shared" si="1"/>
        <v>0.9621981725</v>
      </c>
      <c r="I193" s="42">
        <v>43.87</v>
      </c>
      <c r="J193" s="53">
        <v>7.65</v>
      </c>
      <c r="K193" s="61">
        <v>6085.95</v>
      </c>
      <c r="L193" s="46">
        <v>0.0</v>
      </c>
      <c r="M193" s="47">
        <v>44.433</v>
      </c>
      <c r="N193" s="48">
        <v>1.01</v>
      </c>
      <c r="O193" s="49">
        <v>7948.25</v>
      </c>
      <c r="P193" s="49">
        <v>419845.0</v>
      </c>
      <c r="Q193" s="51">
        <v>0.0</v>
      </c>
      <c r="R193" s="51">
        <v>1.0</v>
      </c>
      <c r="S193" s="51">
        <v>0.0</v>
      </c>
      <c r="T193" s="51">
        <v>0.0</v>
      </c>
      <c r="U193" s="51">
        <v>0.0</v>
      </c>
      <c r="V193" s="35"/>
      <c r="W193" s="35"/>
      <c r="X193" s="35"/>
      <c r="Y193" s="35"/>
      <c r="Z193" s="35"/>
      <c r="AA193" s="35"/>
      <c r="AB193" s="35"/>
      <c r="AC193" s="35"/>
    </row>
    <row r="194">
      <c r="A194" s="30" t="s">
        <v>41</v>
      </c>
      <c r="B194" s="52">
        <v>2011.0</v>
      </c>
      <c r="C194" s="30" t="s">
        <v>43</v>
      </c>
      <c r="D194" s="32" t="s">
        <v>84</v>
      </c>
      <c r="E194" s="33">
        <v>39.0</v>
      </c>
      <c r="F194" s="35">
        <v>123.0</v>
      </c>
      <c r="G194" s="31">
        <v>418745.75</v>
      </c>
      <c r="H194" s="31">
        <f t="shared" si="1"/>
        <v>0.2937343245</v>
      </c>
      <c r="I194" s="54">
        <v>52.9</v>
      </c>
      <c r="J194" s="53">
        <v>11.19</v>
      </c>
      <c r="K194" s="61">
        <v>8698.75</v>
      </c>
      <c r="L194" s="46">
        <v>0.0</v>
      </c>
      <c r="M194" s="47">
        <v>106.007</v>
      </c>
      <c r="N194" s="48">
        <v>0.81</v>
      </c>
      <c r="O194" s="49">
        <v>3122.33333333333</v>
      </c>
      <c r="P194" s="49">
        <v>421950.5</v>
      </c>
      <c r="Q194" s="51">
        <v>0.0</v>
      </c>
      <c r="R194" s="51">
        <v>0.0</v>
      </c>
      <c r="S194" s="51">
        <v>1.0</v>
      </c>
      <c r="T194" s="51">
        <v>0.0</v>
      </c>
      <c r="U194" s="51">
        <v>0.0</v>
      </c>
      <c r="V194" s="35"/>
      <c r="W194" s="35"/>
      <c r="X194" s="35"/>
      <c r="Y194" s="35"/>
      <c r="Z194" s="35"/>
      <c r="AA194" s="35"/>
      <c r="AB194" s="35"/>
      <c r="AC194" s="35"/>
    </row>
    <row r="195">
      <c r="A195" s="30" t="s">
        <v>43</v>
      </c>
      <c r="B195" s="52">
        <v>2015.0</v>
      </c>
      <c r="C195" s="30">
        <v>2016.0</v>
      </c>
      <c r="D195" s="55" t="s">
        <v>84</v>
      </c>
      <c r="E195" s="33">
        <v>39.0</v>
      </c>
      <c r="F195" s="35">
        <v>345.0</v>
      </c>
      <c r="G195" s="31">
        <v>427324.0</v>
      </c>
      <c r="H195" s="31">
        <f t="shared" si="1"/>
        <v>0.8073499265</v>
      </c>
      <c r="I195" s="54">
        <v>44.1</v>
      </c>
      <c r="J195" s="56">
        <v>14.79</v>
      </c>
      <c r="K195" s="61">
        <v>9319.75</v>
      </c>
      <c r="L195" s="46">
        <v>0.0</v>
      </c>
      <c r="M195" s="47">
        <v>136.113</v>
      </c>
      <c r="N195" s="48">
        <v>-0.33</v>
      </c>
      <c r="O195" s="49">
        <v>3213.0</v>
      </c>
      <c r="P195" s="49">
        <v>418745.75</v>
      </c>
      <c r="Q195" s="51">
        <v>0.0</v>
      </c>
      <c r="R195" s="51">
        <v>0.0</v>
      </c>
      <c r="S195" s="51">
        <v>0.0</v>
      </c>
      <c r="T195" s="51">
        <v>1.0</v>
      </c>
      <c r="U195" s="51">
        <v>0.0</v>
      </c>
      <c r="V195" s="35"/>
      <c r="W195" s="35"/>
      <c r="X195" s="35"/>
      <c r="Y195" s="35"/>
      <c r="Z195" s="35"/>
      <c r="AA195" s="35"/>
      <c r="AB195" s="35"/>
      <c r="AC195" s="35"/>
    </row>
    <row r="196">
      <c r="A196" s="30">
        <v>2016.0</v>
      </c>
      <c r="B196" s="52">
        <v>2016.0</v>
      </c>
      <c r="C196" s="30" t="s">
        <v>45</v>
      </c>
      <c r="D196" s="55" t="s">
        <v>84</v>
      </c>
      <c r="E196" s="33">
        <v>39.0</v>
      </c>
      <c r="F196" s="35">
        <v>188.5</v>
      </c>
      <c r="G196" s="31">
        <v>437621.0</v>
      </c>
      <c r="H196" s="31">
        <f t="shared" si="1"/>
        <v>0.430738013</v>
      </c>
      <c r="I196" s="54">
        <v>53.2</v>
      </c>
      <c r="J196" s="56">
        <v>15.52</v>
      </c>
      <c r="K196" s="62">
        <v>8746.0</v>
      </c>
      <c r="L196" s="46">
        <v>0.0</v>
      </c>
      <c r="M196" s="47">
        <v>143.776</v>
      </c>
      <c r="N196" s="48">
        <v>3.58</v>
      </c>
      <c r="O196" s="49">
        <v>4655.0</v>
      </c>
      <c r="P196" s="49">
        <v>427324.0</v>
      </c>
      <c r="Q196" s="51">
        <v>0.0</v>
      </c>
      <c r="R196" s="51">
        <v>0.0</v>
      </c>
      <c r="S196" s="51">
        <v>0.0</v>
      </c>
      <c r="T196" s="51">
        <v>0.0</v>
      </c>
      <c r="U196" s="51">
        <v>1.0</v>
      </c>
      <c r="V196" s="35"/>
      <c r="W196" s="35"/>
      <c r="X196" s="35"/>
      <c r="Y196" s="35"/>
      <c r="Z196" s="35"/>
      <c r="AA196" s="35"/>
      <c r="AB196" s="35"/>
      <c r="AC196" s="35"/>
    </row>
    <row r="197">
      <c r="A197" s="26" t="s">
        <v>37</v>
      </c>
      <c r="B197" s="52">
        <v>2002.0</v>
      </c>
      <c r="C197" s="30" t="s">
        <v>39</v>
      </c>
      <c r="D197" s="32" t="s">
        <v>85</v>
      </c>
      <c r="E197" s="33">
        <v>40.0</v>
      </c>
      <c r="F197" s="35">
        <v>4960.6</v>
      </c>
      <c r="G197" s="31">
        <v>1.2573836E7</v>
      </c>
      <c r="H197" s="31">
        <f t="shared" si="1"/>
        <v>0.3945176317</v>
      </c>
      <c r="I197" s="93">
        <v>37.24</v>
      </c>
      <c r="J197" s="44">
        <v>7.06</v>
      </c>
      <c r="K197" s="61">
        <v>9289.58</v>
      </c>
      <c r="L197" s="46">
        <v>0.0</v>
      </c>
      <c r="M197" s="47">
        <v>0.867</v>
      </c>
      <c r="N197" s="48">
        <v>3.07</v>
      </c>
      <c r="O197" s="49">
        <v>10232.0</v>
      </c>
      <c r="P197" s="49">
        <v>1.0018735E7</v>
      </c>
      <c r="Q197" s="50">
        <v>1.0</v>
      </c>
      <c r="R197" s="51">
        <v>0.0</v>
      </c>
      <c r="S197" s="51">
        <v>0.0</v>
      </c>
      <c r="T197" s="51">
        <v>0.0</v>
      </c>
      <c r="U197" s="51">
        <v>0.0</v>
      </c>
      <c r="V197" s="35"/>
      <c r="W197" s="35"/>
      <c r="X197" s="35"/>
      <c r="Y197" s="35"/>
      <c r="Z197" s="35"/>
      <c r="AA197" s="35"/>
      <c r="AB197" s="35"/>
      <c r="AC197" s="35"/>
    </row>
    <row r="198">
      <c r="A198" s="30" t="s">
        <v>39</v>
      </c>
      <c r="B198" s="52">
        <v>2007.0</v>
      </c>
      <c r="C198" s="30" t="s">
        <v>41</v>
      </c>
      <c r="D198" s="32" t="s">
        <v>85</v>
      </c>
      <c r="E198" s="33">
        <v>40.0</v>
      </c>
      <c r="F198" s="35">
        <v>6426.5</v>
      </c>
      <c r="G198" s="31">
        <v>1.312306175E7</v>
      </c>
      <c r="H198" s="31">
        <f t="shared" si="1"/>
        <v>0.4897104138</v>
      </c>
      <c r="I198" s="63">
        <v>45.22</v>
      </c>
      <c r="J198" s="53">
        <v>9.3</v>
      </c>
      <c r="K198" s="61">
        <v>12451.06</v>
      </c>
      <c r="L198" s="46">
        <v>1.0</v>
      </c>
      <c r="M198" s="47">
        <v>4.266</v>
      </c>
      <c r="N198" s="48">
        <v>2.59</v>
      </c>
      <c r="O198" s="49">
        <v>14963.25</v>
      </c>
      <c r="P198" s="49">
        <v>1.2573836E7</v>
      </c>
      <c r="Q198" s="51">
        <v>0.0</v>
      </c>
      <c r="R198" s="51">
        <v>1.0</v>
      </c>
      <c r="S198" s="51">
        <v>0.0</v>
      </c>
      <c r="T198" s="51">
        <v>0.0</v>
      </c>
      <c r="U198" s="51">
        <v>0.0</v>
      </c>
      <c r="V198" s="35"/>
      <c r="W198" s="35"/>
      <c r="X198" s="35"/>
      <c r="Y198" s="35"/>
      <c r="Z198" s="35"/>
      <c r="AA198" s="35"/>
      <c r="AB198" s="35"/>
      <c r="AC198" s="35"/>
    </row>
    <row r="199">
      <c r="A199" s="30" t="s">
        <v>41</v>
      </c>
      <c r="B199" s="52">
        <v>2011.0</v>
      </c>
      <c r="C199" s="30" t="s">
        <v>43</v>
      </c>
      <c r="D199" s="32" t="s">
        <v>85</v>
      </c>
      <c r="E199" s="33">
        <v>40.0</v>
      </c>
      <c r="F199" s="35">
        <v>1465.0</v>
      </c>
      <c r="G199" s="31">
        <v>1.426241475E7</v>
      </c>
      <c r="H199" s="31">
        <f t="shared" si="1"/>
        <v>0.102717529</v>
      </c>
      <c r="I199" s="93">
        <v>49.43</v>
      </c>
      <c r="J199" s="53">
        <v>12.62</v>
      </c>
      <c r="K199" s="61">
        <v>17468.5</v>
      </c>
      <c r="L199" s="46">
        <v>1.0</v>
      </c>
      <c r="M199" s="47">
        <v>16.492</v>
      </c>
      <c r="N199" s="48">
        <v>4.31</v>
      </c>
      <c r="O199" s="49">
        <v>71583.0</v>
      </c>
      <c r="P199" s="49">
        <v>1.312306175E7</v>
      </c>
      <c r="Q199" s="51">
        <v>0.0</v>
      </c>
      <c r="R199" s="51">
        <v>0.0</v>
      </c>
      <c r="S199" s="51">
        <v>1.0</v>
      </c>
      <c r="T199" s="51">
        <v>0.0</v>
      </c>
      <c r="U199" s="51">
        <v>0.0</v>
      </c>
      <c r="V199" s="35"/>
      <c r="W199" s="35"/>
      <c r="X199" s="35"/>
      <c r="Y199" s="35"/>
      <c r="Z199" s="35"/>
      <c r="AA199" s="35"/>
      <c r="AB199" s="35"/>
      <c r="AC199" s="35"/>
    </row>
    <row r="200">
      <c r="A200" s="30" t="s">
        <v>43</v>
      </c>
      <c r="B200" s="52">
        <v>2015.0</v>
      </c>
      <c r="C200" s="30">
        <v>2016.0</v>
      </c>
      <c r="D200" s="55" t="s">
        <v>85</v>
      </c>
      <c r="E200" s="33">
        <v>40.0</v>
      </c>
      <c r="F200" s="35">
        <v>757.0</v>
      </c>
      <c r="G200" s="31">
        <v>1.4804116E7</v>
      </c>
      <c r="H200" s="31">
        <f t="shared" si="1"/>
        <v>0.05113442775</v>
      </c>
      <c r="I200" s="63">
        <v>41.00000000000001</v>
      </c>
      <c r="J200" s="56">
        <v>17.41</v>
      </c>
      <c r="K200" s="61">
        <v>19562.25</v>
      </c>
      <c r="L200" s="46">
        <v>0.0</v>
      </c>
      <c r="M200" s="47">
        <v>51.239</v>
      </c>
      <c r="N200" s="48">
        <v>4.22</v>
      </c>
      <c r="O200" s="49">
        <v>81641.75</v>
      </c>
      <c r="P200" s="49">
        <v>1.426241475E7</v>
      </c>
      <c r="Q200" s="51">
        <v>0.0</v>
      </c>
      <c r="R200" s="51">
        <v>0.0</v>
      </c>
      <c r="S200" s="51">
        <v>0.0</v>
      </c>
      <c r="T200" s="51">
        <v>1.0</v>
      </c>
      <c r="U200" s="51">
        <v>0.0</v>
      </c>
      <c r="V200" s="35"/>
      <c r="W200" s="35"/>
      <c r="X200" s="35"/>
      <c r="Y200" s="35"/>
      <c r="Z200" s="35"/>
      <c r="AA200" s="35"/>
      <c r="AB200" s="35"/>
      <c r="AC200" s="35"/>
    </row>
    <row r="201">
      <c r="A201" s="30">
        <v>2016.0</v>
      </c>
      <c r="B201" s="52">
        <v>2016.0</v>
      </c>
      <c r="C201" s="30" t="s">
        <v>45</v>
      </c>
      <c r="D201" s="55" t="s">
        <v>85</v>
      </c>
      <c r="E201" s="33">
        <v>40.0</v>
      </c>
      <c r="F201" s="35">
        <v>2543.0</v>
      </c>
      <c r="G201" s="31">
        <v>1.50484775E7</v>
      </c>
      <c r="H201" s="31">
        <f t="shared" si="1"/>
        <v>0.1689871949</v>
      </c>
      <c r="I201" s="63">
        <v>48.9</v>
      </c>
      <c r="J201" s="56">
        <v>18.27</v>
      </c>
      <c r="K201" s="62">
        <v>18169.0</v>
      </c>
      <c r="L201" s="46">
        <v>0.0</v>
      </c>
      <c r="M201" s="47">
        <v>61.393</v>
      </c>
      <c r="N201" s="48">
        <v>-0.68</v>
      </c>
      <c r="O201" s="49">
        <v>158350.0</v>
      </c>
      <c r="P201" s="49">
        <v>1.4804116E7</v>
      </c>
      <c r="Q201" s="51">
        <v>0.0</v>
      </c>
      <c r="R201" s="51">
        <v>0.0</v>
      </c>
      <c r="S201" s="51">
        <v>0.0</v>
      </c>
      <c r="T201" s="51">
        <v>0.0</v>
      </c>
      <c r="U201" s="51">
        <v>1.0</v>
      </c>
      <c r="V201" s="35"/>
      <c r="W201" s="35"/>
      <c r="X201" s="35"/>
      <c r="Y201" s="35"/>
      <c r="Z201" s="35"/>
      <c r="AA201" s="35"/>
      <c r="AB201" s="35"/>
      <c r="AC201" s="35"/>
    </row>
    <row r="202">
      <c r="A202" s="26" t="s">
        <v>37</v>
      </c>
      <c r="B202" s="52">
        <v>2002.0</v>
      </c>
      <c r="C202" s="30" t="s">
        <v>39</v>
      </c>
      <c r="D202" s="32" t="s">
        <v>86</v>
      </c>
      <c r="E202" s="33">
        <v>41.0</v>
      </c>
      <c r="F202" s="35">
        <v>1395.6</v>
      </c>
      <c r="G202" s="31">
        <v>3739353.0</v>
      </c>
      <c r="H202" s="31">
        <f t="shared" si="1"/>
        <v>0.3732196452</v>
      </c>
      <c r="I202" s="63">
        <v>17.165</v>
      </c>
      <c r="J202" s="44">
        <v>7.16</v>
      </c>
      <c r="K202" s="61">
        <v>6679.24</v>
      </c>
      <c r="L202" s="46">
        <v>0.0</v>
      </c>
      <c r="M202" s="47">
        <v>4.454</v>
      </c>
      <c r="N202" s="48">
        <v>4.61</v>
      </c>
      <c r="O202" s="49">
        <v>15014.0</v>
      </c>
      <c r="P202" s="49">
        <v>3370866.0</v>
      </c>
      <c r="Q202" s="50">
        <v>1.0</v>
      </c>
      <c r="R202" s="51">
        <v>0.0</v>
      </c>
      <c r="S202" s="51">
        <v>0.0</v>
      </c>
      <c r="T202" s="51">
        <v>0.0</v>
      </c>
      <c r="U202" s="51">
        <v>0.0</v>
      </c>
      <c r="V202" s="35"/>
      <c r="W202" s="35"/>
      <c r="X202" s="35"/>
      <c r="Y202" s="35"/>
      <c r="Z202" s="35"/>
      <c r="AA202" s="35"/>
      <c r="AB202" s="35"/>
      <c r="AC202" s="35"/>
    </row>
    <row r="203">
      <c r="A203" s="30" t="s">
        <v>39</v>
      </c>
      <c r="B203" s="52">
        <v>2007.0</v>
      </c>
      <c r="C203" s="30" t="s">
        <v>41</v>
      </c>
      <c r="D203" s="32" t="s">
        <v>86</v>
      </c>
      <c r="E203" s="33">
        <v>41.0</v>
      </c>
      <c r="F203" s="35">
        <v>607.0</v>
      </c>
      <c r="G203" s="31">
        <v>3894591.5</v>
      </c>
      <c r="H203" s="31">
        <f t="shared" si="1"/>
        <v>0.1558571676</v>
      </c>
      <c r="I203" s="63">
        <v>30.490000000000002</v>
      </c>
      <c r="J203" s="53">
        <v>9.95</v>
      </c>
      <c r="K203" s="61">
        <v>8930.02</v>
      </c>
      <c r="L203" s="46">
        <v>0.0</v>
      </c>
      <c r="M203" s="47">
        <v>21.861</v>
      </c>
      <c r="N203" s="48">
        <v>5.91</v>
      </c>
      <c r="O203" s="49">
        <v>17084.0</v>
      </c>
      <c r="P203" s="49">
        <v>3739353.0</v>
      </c>
      <c r="Q203" s="51">
        <v>0.0</v>
      </c>
      <c r="R203" s="51">
        <v>1.0</v>
      </c>
      <c r="S203" s="51">
        <v>0.0</v>
      </c>
      <c r="T203" s="51">
        <v>0.0</v>
      </c>
      <c r="U203" s="51">
        <v>0.0</v>
      </c>
      <c r="V203" s="35"/>
      <c r="W203" s="35"/>
      <c r="X203" s="35"/>
      <c r="Y203" s="35"/>
      <c r="Z203" s="35"/>
      <c r="AA203" s="35"/>
      <c r="AB203" s="35"/>
      <c r="AC203" s="35"/>
    </row>
    <row r="204">
      <c r="A204" s="30" t="s">
        <v>41</v>
      </c>
      <c r="B204" s="52">
        <v>2011.0</v>
      </c>
      <c r="C204" s="30" t="s">
        <v>43</v>
      </c>
      <c r="D204" s="32" t="s">
        <v>86</v>
      </c>
      <c r="E204" s="33">
        <v>41.0</v>
      </c>
      <c r="F204" s="35">
        <v>371.0</v>
      </c>
      <c r="G204" s="31">
        <v>4087005.0</v>
      </c>
      <c r="H204" s="31">
        <f t="shared" si="1"/>
        <v>0.09077551899</v>
      </c>
      <c r="I204" s="63">
        <v>36.8</v>
      </c>
      <c r="J204" s="53">
        <v>13.11</v>
      </c>
      <c r="K204" s="61">
        <v>12161.25</v>
      </c>
      <c r="L204" s="46">
        <v>0.0</v>
      </c>
      <c r="M204" s="47">
        <v>48.793</v>
      </c>
      <c r="N204" s="48">
        <v>5.69</v>
      </c>
      <c r="O204" s="49">
        <v>33683.3333333333</v>
      </c>
      <c r="P204" s="49">
        <v>3894591.5</v>
      </c>
      <c r="Q204" s="51">
        <v>0.0</v>
      </c>
      <c r="R204" s="51">
        <v>0.0</v>
      </c>
      <c r="S204" s="51">
        <v>1.0</v>
      </c>
      <c r="T204" s="51">
        <v>0.0</v>
      </c>
      <c r="U204" s="51">
        <v>0.0</v>
      </c>
      <c r="V204" s="35"/>
      <c r="W204" s="35"/>
      <c r="X204" s="35"/>
      <c r="Y204" s="35"/>
      <c r="Z204" s="35"/>
      <c r="AA204" s="35"/>
      <c r="AB204" s="35"/>
      <c r="AC204" s="35"/>
    </row>
    <row r="205">
      <c r="A205" s="30" t="s">
        <v>43</v>
      </c>
      <c r="B205" s="52">
        <v>2015.0</v>
      </c>
      <c r="C205" s="30">
        <v>2016.0</v>
      </c>
      <c r="D205" s="55" t="s">
        <v>86</v>
      </c>
      <c r="E205" s="33">
        <v>41.0</v>
      </c>
      <c r="F205" s="35">
        <v>1190.0</v>
      </c>
      <c r="G205" s="31">
        <v>4223545.0</v>
      </c>
      <c r="H205" s="31">
        <f t="shared" si="1"/>
        <v>0.2817538348</v>
      </c>
      <c r="I205" s="63">
        <v>26.25</v>
      </c>
      <c r="J205" s="56">
        <v>17.15</v>
      </c>
      <c r="K205" s="61">
        <v>13808.0</v>
      </c>
      <c r="L205" s="46">
        <v>0.0</v>
      </c>
      <c r="M205" s="47">
        <v>89.699</v>
      </c>
      <c r="N205" s="48">
        <v>3.45</v>
      </c>
      <c r="O205" s="49">
        <v>23909.75</v>
      </c>
      <c r="P205" s="49">
        <v>4087005.0</v>
      </c>
      <c r="Q205" s="51">
        <v>0.0</v>
      </c>
      <c r="R205" s="51">
        <v>0.0</v>
      </c>
      <c r="S205" s="51">
        <v>0.0</v>
      </c>
      <c r="T205" s="51">
        <v>1.0</v>
      </c>
      <c r="U205" s="51">
        <v>0.0</v>
      </c>
      <c r="V205" s="35"/>
      <c r="W205" s="35"/>
      <c r="X205" s="35"/>
      <c r="Y205" s="35"/>
      <c r="Z205" s="35"/>
      <c r="AA205" s="35"/>
      <c r="AB205" s="35"/>
      <c r="AC205" s="35"/>
    </row>
    <row r="206">
      <c r="A206" s="30">
        <v>2016.0</v>
      </c>
      <c r="B206" s="52">
        <v>2016.0</v>
      </c>
      <c r="C206" s="30" t="s">
        <v>45</v>
      </c>
      <c r="D206" s="55" t="s">
        <v>86</v>
      </c>
      <c r="E206" s="33">
        <v>41.0</v>
      </c>
      <c r="F206" s="35">
        <v>731.0</v>
      </c>
      <c r="G206" s="58">
        <v>4300098.0</v>
      </c>
      <c r="H206" s="31">
        <f t="shared" si="1"/>
        <v>0.1699961257</v>
      </c>
      <c r="I206" s="63">
        <v>31.049999999999997</v>
      </c>
      <c r="J206" s="56">
        <v>18.01</v>
      </c>
      <c r="K206" s="62">
        <v>12508.0</v>
      </c>
      <c r="L206" s="46">
        <v>0.0</v>
      </c>
      <c r="M206" s="47">
        <v>100.92</v>
      </c>
      <c r="N206" s="48">
        <v>5.33</v>
      </c>
      <c r="O206" s="49">
        <v>46811.0</v>
      </c>
      <c r="P206" s="49">
        <v>4223545.0</v>
      </c>
      <c r="Q206" s="51">
        <v>0.0</v>
      </c>
      <c r="R206" s="51">
        <v>0.0</v>
      </c>
      <c r="S206" s="51">
        <v>0.0</v>
      </c>
      <c r="T206" s="51">
        <v>0.0</v>
      </c>
      <c r="U206" s="51">
        <v>1.0</v>
      </c>
      <c r="V206" s="35"/>
      <c r="W206" s="35"/>
      <c r="X206" s="35"/>
      <c r="Y206" s="35"/>
      <c r="Z206" s="35"/>
      <c r="AA206" s="35"/>
      <c r="AB206" s="35"/>
      <c r="AC206" s="35"/>
    </row>
    <row r="207">
      <c r="A207" s="26" t="s">
        <v>37</v>
      </c>
      <c r="B207" s="52">
        <v>2002.0</v>
      </c>
      <c r="C207" s="30" t="s">
        <v>39</v>
      </c>
      <c r="D207" s="32" t="s">
        <v>87</v>
      </c>
      <c r="E207" s="33">
        <v>42.0</v>
      </c>
      <c r="F207" s="35">
        <v>155.2</v>
      </c>
      <c r="G207" s="31">
        <v>1004414.0</v>
      </c>
      <c r="H207" s="31">
        <f t="shared" si="1"/>
        <v>0.1545179577</v>
      </c>
      <c r="I207" s="42">
        <v>53.88</v>
      </c>
      <c r="J207" s="44">
        <v>2.82</v>
      </c>
      <c r="K207" s="61">
        <v>3253.85</v>
      </c>
      <c r="L207" s="46">
        <v>0.0</v>
      </c>
      <c r="M207" s="47">
        <v>1.543</v>
      </c>
      <c r="N207" s="48">
        <v>3.99</v>
      </c>
      <c r="O207" s="49">
        <v>1547.0</v>
      </c>
      <c r="P207" s="49">
        <v>1002384.0</v>
      </c>
      <c r="Q207" s="50">
        <v>1.0</v>
      </c>
      <c r="R207" s="51">
        <v>0.0</v>
      </c>
      <c r="S207" s="51">
        <v>0.0</v>
      </c>
      <c r="T207" s="51">
        <v>0.0</v>
      </c>
      <c r="U207" s="51">
        <v>0.0</v>
      </c>
      <c r="V207" s="35"/>
      <c r="W207" s="35"/>
      <c r="X207" s="35"/>
      <c r="Y207" s="35"/>
      <c r="Z207" s="35"/>
      <c r="AA207" s="35"/>
      <c r="AB207" s="35"/>
      <c r="AC207" s="35"/>
    </row>
    <row r="208">
      <c r="A208" s="30" t="s">
        <v>39</v>
      </c>
      <c r="B208" s="52">
        <v>2007.0</v>
      </c>
      <c r="C208" s="30" t="s">
        <v>41</v>
      </c>
      <c r="D208" s="32" t="s">
        <v>87</v>
      </c>
      <c r="E208" s="33">
        <v>42.0</v>
      </c>
      <c r="F208" s="35">
        <v>332.25</v>
      </c>
      <c r="G208" s="31">
        <v>1041453.75</v>
      </c>
      <c r="H208" s="31">
        <f t="shared" si="1"/>
        <v>0.3190252088</v>
      </c>
      <c r="I208" s="42">
        <v>68.0</v>
      </c>
      <c r="J208" s="53">
        <v>4.57</v>
      </c>
      <c r="K208" s="61">
        <v>4215.31</v>
      </c>
      <c r="L208" s="46">
        <v>0.0</v>
      </c>
      <c r="M208" s="47">
        <v>6.836</v>
      </c>
      <c r="N208" s="48">
        <v>2.27</v>
      </c>
      <c r="O208" s="49">
        <v>1663.0</v>
      </c>
      <c r="P208" s="49">
        <v>1004414.0</v>
      </c>
      <c r="Q208" s="51">
        <v>0.0</v>
      </c>
      <c r="R208" s="51">
        <v>1.0</v>
      </c>
      <c r="S208" s="51">
        <v>0.0</v>
      </c>
      <c r="T208" s="51">
        <v>0.0</v>
      </c>
      <c r="U208" s="51">
        <v>0.0</v>
      </c>
      <c r="V208" s="35"/>
      <c r="W208" s="35"/>
      <c r="X208" s="35"/>
      <c r="Y208" s="35"/>
      <c r="Z208" s="35"/>
      <c r="AA208" s="35"/>
      <c r="AB208" s="35"/>
      <c r="AC208" s="35"/>
    </row>
    <row r="209">
      <c r="A209" s="30" t="s">
        <v>41</v>
      </c>
      <c r="B209" s="52">
        <v>2011.0</v>
      </c>
      <c r="C209" s="30" t="s">
        <v>43</v>
      </c>
      <c r="D209" s="32" t="s">
        <v>87</v>
      </c>
      <c r="E209" s="33">
        <v>42.0</v>
      </c>
      <c r="F209" s="35">
        <v>0.0</v>
      </c>
      <c r="G209" s="31">
        <v>1081132.0</v>
      </c>
      <c r="H209" s="31">
        <f t="shared" si="1"/>
        <v>0</v>
      </c>
      <c r="I209" s="54">
        <v>69.6</v>
      </c>
      <c r="J209" s="53">
        <v>6.82</v>
      </c>
      <c r="K209" s="61">
        <v>6265.75</v>
      </c>
      <c r="L209" s="46">
        <v>0.0</v>
      </c>
      <c r="M209" s="47">
        <v>20.259</v>
      </c>
      <c r="N209" s="48">
        <v>-4.87</v>
      </c>
      <c r="O209" s="49">
        <v>5230.0</v>
      </c>
      <c r="P209" s="49">
        <v>1041453.75</v>
      </c>
      <c r="Q209" s="51">
        <v>0.0</v>
      </c>
      <c r="R209" s="51">
        <v>0.0</v>
      </c>
      <c r="S209" s="51">
        <v>1.0</v>
      </c>
      <c r="T209" s="51">
        <v>0.0</v>
      </c>
      <c r="U209" s="51">
        <v>0.0</v>
      </c>
      <c r="V209" s="35"/>
      <c r="W209" s="35"/>
      <c r="X209" s="35"/>
      <c r="Y209" s="35"/>
      <c r="Z209" s="35"/>
      <c r="AA209" s="35"/>
      <c r="AB209" s="35"/>
      <c r="AC209" s="35"/>
    </row>
    <row r="210">
      <c r="A210" s="30" t="s">
        <v>43</v>
      </c>
      <c r="B210" s="52">
        <v>2015.0</v>
      </c>
      <c r="C210" s="30">
        <v>2016.0</v>
      </c>
      <c r="D210" s="55" t="s">
        <v>87</v>
      </c>
      <c r="E210" s="33">
        <v>42.0</v>
      </c>
      <c r="F210" s="35">
        <v>190.0</v>
      </c>
      <c r="G210" s="31">
        <v>1112634.0</v>
      </c>
      <c r="H210" s="31">
        <f t="shared" si="1"/>
        <v>0.1707659482</v>
      </c>
      <c r="I210" s="54">
        <v>61.0</v>
      </c>
      <c r="J210" s="56">
        <v>10.37</v>
      </c>
      <c r="K210" s="61">
        <v>7043.25</v>
      </c>
      <c r="L210" s="46">
        <v>0.0</v>
      </c>
      <c r="M210" s="47">
        <v>42.419</v>
      </c>
      <c r="N210" s="48">
        <v>-6.29</v>
      </c>
      <c r="O210" s="49">
        <v>3500.5</v>
      </c>
      <c r="P210" s="49">
        <v>1081132.0</v>
      </c>
      <c r="Q210" s="51">
        <v>0.0</v>
      </c>
      <c r="R210" s="51">
        <v>0.0</v>
      </c>
      <c r="S210" s="51">
        <v>0.0</v>
      </c>
      <c r="T210" s="51">
        <v>1.0</v>
      </c>
      <c r="U210" s="51">
        <v>0.0</v>
      </c>
      <c r="V210" s="35"/>
      <c r="W210" s="35"/>
      <c r="X210" s="35"/>
      <c r="Y210" s="35"/>
      <c r="Z210" s="35"/>
      <c r="AA210" s="35"/>
      <c r="AB210" s="35"/>
      <c r="AC210" s="35"/>
    </row>
    <row r="211">
      <c r="A211" s="30">
        <v>2016.0</v>
      </c>
      <c r="B211" s="52">
        <v>2016.0</v>
      </c>
      <c r="C211" s="30" t="s">
        <v>45</v>
      </c>
      <c r="D211" s="55" t="s">
        <v>87</v>
      </c>
      <c r="E211" s="33">
        <v>42.0</v>
      </c>
      <c r="F211" s="35">
        <v>382.5</v>
      </c>
      <c r="G211" s="59">
        <v>1136237.0</v>
      </c>
      <c r="H211" s="31">
        <f t="shared" si="1"/>
        <v>0.3366375149</v>
      </c>
      <c r="I211" s="54">
        <v>71.8</v>
      </c>
      <c r="J211" s="56">
        <v>11.06</v>
      </c>
      <c r="K211" s="62">
        <v>6467.0</v>
      </c>
      <c r="L211" s="46">
        <v>0.0</v>
      </c>
      <c r="M211" s="47">
        <v>47.976</v>
      </c>
      <c r="N211" s="48">
        <v>-3.21</v>
      </c>
      <c r="O211" s="49">
        <v>6390.0</v>
      </c>
      <c r="P211" s="49">
        <v>1112634.0</v>
      </c>
      <c r="Q211" s="51">
        <v>0.0</v>
      </c>
      <c r="R211" s="51">
        <v>0.0</v>
      </c>
      <c r="S211" s="51">
        <v>0.0</v>
      </c>
      <c r="T211" s="51">
        <v>0.0</v>
      </c>
      <c r="U211" s="51">
        <v>1.0</v>
      </c>
      <c r="V211" s="35"/>
      <c r="W211" s="35"/>
      <c r="X211" s="35"/>
      <c r="Y211" s="35"/>
      <c r="Z211" s="35"/>
      <c r="AA211" s="35"/>
      <c r="AB211" s="35"/>
      <c r="AC211" s="35"/>
    </row>
    <row r="212">
      <c r="A212" s="26" t="s">
        <v>37</v>
      </c>
      <c r="B212" s="52">
        <v>2002.0</v>
      </c>
      <c r="C212" s="30" t="s">
        <v>39</v>
      </c>
      <c r="D212" s="32" t="s">
        <v>88</v>
      </c>
      <c r="E212" s="33">
        <v>43.0</v>
      </c>
      <c r="F212" s="35">
        <v>258.4</v>
      </c>
      <c r="G212" s="31">
        <v>218463.0</v>
      </c>
      <c r="H212" s="31">
        <f t="shared" si="1"/>
        <v>1.182808988</v>
      </c>
      <c r="I212" s="42">
        <v>45.19</v>
      </c>
      <c r="J212" s="44">
        <v>4.23</v>
      </c>
      <c r="K212" s="61">
        <v>3822.02</v>
      </c>
      <c r="L212" s="46">
        <v>0.0</v>
      </c>
      <c r="M212" s="47">
        <v>3.692</v>
      </c>
      <c r="N212" s="48">
        <v>-2.83</v>
      </c>
      <c r="O212" s="49">
        <v>831.0</v>
      </c>
      <c r="P212" s="49">
        <v>225102.0</v>
      </c>
      <c r="Q212" s="50">
        <v>1.0</v>
      </c>
      <c r="R212" s="51">
        <v>0.0</v>
      </c>
      <c r="S212" s="51">
        <v>0.0</v>
      </c>
      <c r="T212" s="51">
        <v>0.0</v>
      </c>
      <c r="U212" s="51">
        <v>0.0</v>
      </c>
      <c r="V212" s="35"/>
      <c r="W212" s="35"/>
      <c r="X212" s="35"/>
      <c r="Y212" s="35"/>
      <c r="Z212" s="35"/>
      <c r="AA212" s="35"/>
      <c r="AB212" s="35"/>
      <c r="AC212" s="35"/>
    </row>
    <row r="213">
      <c r="A213" s="30" t="s">
        <v>39</v>
      </c>
      <c r="B213" s="52">
        <v>2007.0</v>
      </c>
      <c r="C213" s="30" t="s">
        <v>41</v>
      </c>
      <c r="D213" s="32" t="s">
        <v>88</v>
      </c>
      <c r="E213" s="33">
        <v>43.0</v>
      </c>
      <c r="F213" s="35">
        <v>247.0</v>
      </c>
      <c r="G213" s="31">
        <v>220537.5</v>
      </c>
      <c r="H213" s="31">
        <f t="shared" si="1"/>
        <v>1.119990931</v>
      </c>
      <c r="I213" s="42">
        <v>54.69</v>
      </c>
      <c r="J213" s="53">
        <v>6.57</v>
      </c>
      <c r="K213" s="61">
        <v>5228.66</v>
      </c>
      <c r="L213" s="46">
        <v>0.0</v>
      </c>
      <c r="M213" s="47">
        <v>25.947</v>
      </c>
      <c r="N213" s="48">
        <v>-1.66</v>
      </c>
      <c r="O213" s="49">
        <v>882.25</v>
      </c>
      <c r="P213" s="49">
        <v>218463.0</v>
      </c>
      <c r="Q213" s="51">
        <v>0.0</v>
      </c>
      <c r="R213" s="51">
        <v>1.0</v>
      </c>
      <c r="S213" s="51">
        <v>0.0</v>
      </c>
      <c r="T213" s="51">
        <v>0.0</v>
      </c>
      <c r="U213" s="51">
        <v>0.0</v>
      </c>
      <c r="V213" s="35"/>
      <c r="W213" s="35"/>
      <c r="X213" s="35"/>
      <c r="Y213" s="35"/>
      <c r="Z213" s="35"/>
      <c r="AA213" s="35"/>
      <c r="AB213" s="35"/>
      <c r="AC213" s="35"/>
    </row>
    <row r="214">
      <c r="A214" s="30" t="s">
        <v>41</v>
      </c>
      <c r="B214" s="52">
        <v>2011.0</v>
      </c>
      <c r="C214" s="30" t="s">
        <v>43</v>
      </c>
      <c r="D214" s="32" t="s">
        <v>88</v>
      </c>
      <c r="E214" s="33">
        <v>43.0</v>
      </c>
      <c r="F214" s="35">
        <v>410.75</v>
      </c>
      <c r="G214" s="31">
        <v>230926.75</v>
      </c>
      <c r="H214" s="31">
        <f t="shared" si="1"/>
        <v>1.778702554</v>
      </c>
      <c r="I214" s="54">
        <v>57.9</v>
      </c>
      <c r="J214" s="53">
        <v>9.82</v>
      </c>
      <c r="K214" s="61">
        <v>7823.75</v>
      </c>
      <c r="L214" s="46">
        <v>0.0</v>
      </c>
      <c r="M214" s="47">
        <v>42.663</v>
      </c>
      <c r="N214" s="48">
        <v>-1.09</v>
      </c>
      <c r="O214" s="49">
        <v>1134.0</v>
      </c>
      <c r="P214" s="49">
        <v>220537.5</v>
      </c>
      <c r="Q214" s="51">
        <v>0.0</v>
      </c>
      <c r="R214" s="51">
        <v>0.0</v>
      </c>
      <c r="S214" s="51">
        <v>1.0</v>
      </c>
      <c r="T214" s="51">
        <v>0.0</v>
      </c>
      <c r="U214" s="51">
        <v>0.0</v>
      </c>
      <c r="V214" s="35"/>
      <c r="W214" s="35"/>
      <c r="X214" s="35"/>
      <c r="Y214" s="35"/>
      <c r="Z214" s="35"/>
      <c r="AA214" s="35"/>
      <c r="AB214" s="35"/>
      <c r="AC214" s="35"/>
    </row>
    <row r="215">
      <c r="A215" s="30" t="s">
        <v>43</v>
      </c>
      <c r="B215" s="52">
        <v>2015.0</v>
      </c>
      <c r="C215" s="30">
        <v>2016.0</v>
      </c>
      <c r="D215" s="55" t="s">
        <v>88</v>
      </c>
      <c r="E215" s="33">
        <v>43.0</v>
      </c>
      <c r="F215" s="35">
        <v>831.0</v>
      </c>
      <c r="G215" s="31">
        <v>242347.0</v>
      </c>
      <c r="H215" s="31">
        <f t="shared" si="1"/>
        <v>3.428967555</v>
      </c>
      <c r="I215" s="54">
        <v>47.9</v>
      </c>
      <c r="J215" s="56">
        <v>13.65</v>
      </c>
      <c r="K215" s="61">
        <v>9219.0</v>
      </c>
      <c r="L215" s="46">
        <v>0.0</v>
      </c>
      <c r="M215" s="47">
        <v>89.344</v>
      </c>
      <c r="N215" s="48">
        <v>7.17</v>
      </c>
      <c r="O215" s="49">
        <v>3311.25</v>
      </c>
      <c r="P215" s="49">
        <v>230926.75</v>
      </c>
      <c r="Q215" s="51">
        <v>0.0</v>
      </c>
      <c r="R215" s="51">
        <v>0.0</v>
      </c>
      <c r="S215" s="51">
        <v>0.0</v>
      </c>
      <c r="T215" s="51">
        <v>1.0</v>
      </c>
      <c r="U215" s="51">
        <v>0.0</v>
      </c>
      <c r="V215" s="35"/>
      <c r="W215" s="35"/>
      <c r="X215" s="35"/>
      <c r="Y215" s="35"/>
      <c r="Z215" s="35"/>
      <c r="AA215" s="35"/>
      <c r="AB215" s="35"/>
      <c r="AC215" s="35"/>
    </row>
    <row r="216">
      <c r="A216" s="30">
        <v>2016.0</v>
      </c>
      <c r="B216" s="52">
        <v>2016.0</v>
      </c>
      <c r="C216" s="30" t="s">
        <v>45</v>
      </c>
      <c r="D216" s="55" t="s">
        <v>88</v>
      </c>
      <c r="E216" s="33">
        <v>43.0</v>
      </c>
      <c r="F216" s="35">
        <v>572.0</v>
      </c>
      <c r="G216" s="31">
        <v>246233.5</v>
      </c>
      <c r="H216" s="31">
        <f t="shared" si="1"/>
        <v>2.322998292</v>
      </c>
      <c r="I216" s="54">
        <v>60.5</v>
      </c>
      <c r="J216" s="56">
        <v>14.52</v>
      </c>
      <c r="K216" s="62">
        <v>8488.0</v>
      </c>
      <c r="L216" s="46">
        <v>0.0</v>
      </c>
      <c r="M216" s="47">
        <v>107.333</v>
      </c>
      <c r="N216" s="48">
        <v>16.34</v>
      </c>
      <c r="O216" s="49">
        <v>3463.0</v>
      </c>
      <c r="P216" s="49">
        <v>242347.0</v>
      </c>
      <c r="Q216" s="51">
        <v>0.0</v>
      </c>
      <c r="R216" s="51">
        <v>0.0</v>
      </c>
      <c r="S216" s="51">
        <v>0.0</v>
      </c>
      <c r="T216" s="51">
        <v>0.0</v>
      </c>
      <c r="U216" s="51">
        <v>1.0</v>
      </c>
      <c r="V216" s="35"/>
      <c r="W216" s="35"/>
      <c r="X216" s="35"/>
      <c r="Y216" s="35"/>
      <c r="Z216" s="35"/>
      <c r="AA216" s="35"/>
      <c r="AB216" s="35"/>
      <c r="AC216" s="35"/>
    </row>
    <row r="217">
      <c r="A217" s="26" t="s">
        <v>37</v>
      </c>
      <c r="B217" s="52">
        <v>2002.0</v>
      </c>
      <c r="C217" s="30" t="s">
        <v>39</v>
      </c>
      <c r="D217" s="32" t="s">
        <v>89</v>
      </c>
      <c r="E217" s="33">
        <v>44.0</v>
      </c>
      <c r="F217" s="35">
        <v>144.0</v>
      </c>
      <c r="G217" s="31">
        <v>226049.0</v>
      </c>
      <c r="H217" s="31">
        <f t="shared" si="1"/>
        <v>0.6370300245</v>
      </c>
      <c r="I217" s="42">
        <v>38.19</v>
      </c>
      <c r="J217" s="44">
        <v>3.12</v>
      </c>
      <c r="K217" s="61">
        <v>4902.1</v>
      </c>
      <c r="L217" s="46">
        <v>0.0</v>
      </c>
      <c r="M217" s="47">
        <v>37.128</v>
      </c>
      <c r="N217" s="48">
        <v>-4.07</v>
      </c>
      <c r="O217" s="49">
        <v>903.0</v>
      </c>
      <c r="P217" s="49" t="s">
        <v>127</v>
      </c>
      <c r="Q217" s="50">
        <v>1.0</v>
      </c>
      <c r="R217" s="51">
        <v>0.0</v>
      </c>
      <c r="S217" s="51">
        <v>0.0</v>
      </c>
      <c r="T217" s="51">
        <v>0.0</v>
      </c>
      <c r="U217" s="51">
        <v>0.0</v>
      </c>
      <c r="V217" s="35"/>
      <c r="W217" s="35"/>
      <c r="X217" s="35"/>
      <c r="Y217" s="35"/>
      <c r="Z217" s="35"/>
      <c r="AA217" s="35"/>
      <c r="AB217" s="35"/>
      <c r="AC217" s="35"/>
    </row>
    <row r="218">
      <c r="A218" s="30" t="s">
        <v>39</v>
      </c>
      <c r="B218" s="52">
        <v>2007.0</v>
      </c>
      <c r="C218" s="30" t="s">
        <v>41</v>
      </c>
      <c r="D218" s="32" t="s">
        <v>89</v>
      </c>
      <c r="E218" s="33">
        <v>44.0</v>
      </c>
      <c r="F218" s="35">
        <v>357.75</v>
      </c>
      <c r="G218" s="31">
        <v>232163.75</v>
      </c>
      <c r="H218" s="31">
        <f t="shared" si="1"/>
        <v>1.540938239</v>
      </c>
      <c r="I218" s="42">
        <v>51.32</v>
      </c>
      <c r="J218" s="53">
        <v>5.43</v>
      </c>
      <c r="K218" s="61">
        <v>6457.82</v>
      </c>
      <c r="L218" s="46">
        <v>0.0</v>
      </c>
      <c r="M218" s="47">
        <v>60.201</v>
      </c>
      <c r="N218" s="48">
        <v>-0.39</v>
      </c>
      <c r="O218" s="49">
        <v>827.25</v>
      </c>
      <c r="P218" s="49">
        <v>226049.0</v>
      </c>
      <c r="Q218" s="51">
        <v>0.0</v>
      </c>
      <c r="R218" s="51">
        <v>1.0</v>
      </c>
      <c r="S218" s="51">
        <v>0.0</v>
      </c>
      <c r="T218" s="51">
        <v>0.0</v>
      </c>
      <c r="U218" s="51">
        <v>0.0</v>
      </c>
      <c r="V218" s="35"/>
      <c r="W218" s="35"/>
      <c r="X218" s="35"/>
      <c r="Y218" s="35"/>
      <c r="Z218" s="35"/>
      <c r="AA218" s="35"/>
      <c r="AB218" s="35"/>
      <c r="AC218" s="35"/>
    </row>
    <row r="219">
      <c r="A219" s="30" t="s">
        <v>41</v>
      </c>
      <c r="B219" s="52">
        <v>2011.0</v>
      </c>
      <c r="C219" s="30" t="s">
        <v>43</v>
      </c>
      <c r="D219" s="32" t="s">
        <v>89</v>
      </c>
      <c r="E219" s="33">
        <v>44.0</v>
      </c>
      <c r="F219" s="35">
        <v>183.25</v>
      </c>
      <c r="G219" s="31">
        <v>238980.25</v>
      </c>
      <c r="H219" s="31">
        <f t="shared" si="1"/>
        <v>0.7667997669</v>
      </c>
      <c r="I219" s="54">
        <v>57.3</v>
      </c>
      <c r="J219" s="53">
        <v>8.01</v>
      </c>
      <c r="K219" s="61">
        <v>8776.25</v>
      </c>
      <c r="L219" s="46">
        <v>0.0</v>
      </c>
      <c r="M219" s="47">
        <v>85.418</v>
      </c>
      <c r="N219" s="48">
        <v>-1.79</v>
      </c>
      <c r="O219" s="49">
        <v>1740.0</v>
      </c>
      <c r="P219" s="49">
        <v>232163.75</v>
      </c>
      <c r="Q219" s="51">
        <v>0.0</v>
      </c>
      <c r="R219" s="51">
        <v>0.0</v>
      </c>
      <c r="S219" s="51">
        <v>1.0</v>
      </c>
      <c r="T219" s="51">
        <v>0.0</v>
      </c>
      <c r="U219" s="51">
        <v>0.0</v>
      </c>
      <c r="V219" s="35"/>
      <c r="W219" s="35"/>
      <c r="X219" s="35"/>
      <c r="Y219" s="35"/>
      <c r="Z219" s="35"/>
      <c r="AA219" s="35"/>
      <c r="AB219" s="35"/>
      <c r="AC219" s="35"/>
    </row>
    <row r="220">
      <c r="A220" s="30" t="s">
        <v>43</v>
      </c>
      <c r="B220" s="52">
        <v>2015.0</v>
      </c>
      <c r="C220" s="30">
        <v>2016.0</v>
      </c>
      <c r="D220" s="55" t="s">
        <v>89</v>
      </c>
      <c r="E220" s="33">
        <v>44.0</v>
      </c>
      <c r="F220" s="35">
        <v>1941.0</v>
      </c>
      <c r="G220" s="31">
        <v>245610.0</v>
      </c>
      <c r="H220" s="31">
        <f t="shared" si="1"/>
        <v>7.902772688</v>
      </c>
      <c r="I220" s="54">
        <v>55.5</v>
      </c>
      <c r="J220" s="56">
        <v>11.73</v>
      </c>
      <c r="K220" s="61">
        <v>10796.5</v>
      </c>
      <c r="L220" s="46">
        <v>0.0</v>
      </c>
      <c r="M220" s="47">
        <v>117.249</v>
      </c>
      <c r="N220" s="48">
        <v>-3.64</v>
      </c>
      <c r="O220" s="49">
        <v>2114.75</v>
      </c>
      <c r="P220" s="49">
        <v>238980.25</v>
      </c>
      <c r="Q220" s="51">
        <v>0.0</v>
      </c>
      <c r="R220" s="51">
        <v>0.0</v>
      </c>
      <c r="S220" s="51">
        <v>0.0</v>
      </c>
      <c r="T220" s="51">
        <v>1.0</v>
      </c>
      <c r="U220" s="51">
        <v>0.0</v>
      </c>
      <c r="V220" s="35"/>
      <c r="W220" s="35"/>
      <c r="X220" s="35"/>
      <c r="Y220" s="35"/>
      <c r="Z220" s="35"/>
      <c r="AA220" s="35"/>
      <c r="AB220" s="35"/>
      <c r="AC220" s="35"/>
    </row>
    <row r="221">
      <c r="A221" s="30">
        <v>2016.0</v>
      </c>
      <c r="B221" s="52">
        <v>2016.0</v>
      </c>
      <c r="C221" s="30" t="s">
        <v>45</v>
      </c>
      <c r="D221" s="55" t="s">
        <v>89</v>
      </c>
      <c r="E221" s="33">
        <v>44.0</v>
      </c>
      <c r="F221" s="35">
        <v>0.0</v>
      </c>
      <c r="G221" s="31">
        <v>249292.5</v>
      </c>
      <c r="H221" s="31">
        <f t="shared" si="1"/>
        <v>0</v>
      </c>
      <c r="I221" s="54">
        <v>64.6</v>
      </c>
      <c r="J221" s="56">
        <v>12.48</v>
      </c>
      <c r="K221" s="62">
        <v>9714.0</v>
      </c>
      <c r="L221" s="46">
        <v>0.0</v>
      </c>
      <c r="M221" s="47">
        <v>127.451</v>
      </c>
      <c r="N221" s="48">
        <v>-1.98</v>
      </c>
      <c r="O221" s="49">
        <v>2548.0</v>
      </c>
      <c r="P221" s="49">
        <v>245610.0</v>
      </c>
      <c r="Q221" s="51">
        <v>0.0</v>
      </c>
      <c r="R221" s="51">
        <v>0.0</v>
      </c>
      <c r="S221" s="51">
        <v>0.0</v>
      </c>
      <c r="T221" s="51">
        <v>0.0</v>
      </c>
      <c r="U221" s="51">
        <v>1.0</v>
      </c>
      <c r="V221" s="35"/>
      <c r="W221" s="35"/>
      <c r="X221" s="35"/>
      <c r="Y221" s="35"/>
      <c r="Z221" s="35"/>
      <c r="AA221" s="35"/>
      <c r="AB221" s="35"/>
      <c r="AC221" s="35"/>
    </row>
    <row r="222">
      <c r="A222" s="26" t="s">
        <v>37</v>
      </c>
      <c r="B222" s="52">
        <v>2002.0</v>
      </c>
      <c r="C222" s="30" t="s">
        <v>39</v>
      </c>
      <c r="D222" s="32" t="s">
        <v>90</v>
      </c>
      <c r="E222" s="33">
        <v>45.0</v>
      </c>
      <c r="F222" s="35">
        <v>201.6</v>
      </c>
      <c r="G222" s="31">
        <v>312205.0</v>
      </c>
      <c r="H222" s="31">
        <f t="shared" si="1"/>
        <v>0.6457295687</v>
      </c>
      <c r="I222" s="42">
        <v>17.24</v>
      </c>
      <c r="J222" s="44">
        <v>2.64</v>
      </c>
      <c r="K222" s="61">
        <v>2380.71</v>
      </c>
      <c r="L222" s="46">
        <v>0.0</v>
      </c>
      <c r="M222" s="47">
        <v>0.105</v>
      </c>
      <c r="N222" s="48">
        <v>-1.26</v>
      </c>
      <c r="O222" s="49">
        <v>34.0</v>
      </c>
      <c r="P222" s="49">
        <v>325016.0</v>
      </c>
      <c r="Q222" s="50">
        <v>1.0</v>
      </c>
      <c r="R222" s="51">
        <v>0.0</v>
      </c>
      <c r="S222" s="51">
        <v>0.0</v>
      </c>
      <c r="T222" s="51">
        <v>0.0</v>
      </c>
      <c r="U222" s="51">
        <v>0.0</v>
      </c>
      <c r="V222" s="35"/>
      <c r="W222" s="35"/>
      <c r="X222" s="35"/>
      <c r="Y222" s="35"/>
      <c r="Z222" s="35"/>
      <c r="AA222" s="35"/>
      <c r="AB222" s="35"/>
      <c r="AC222" s="35"/>
    </row>
    <row r="223">
      <c r="A223" s="30" t="s">
        <v>39</v>
      </c>
      <c r="B223" s="52">
        <v>2007.0</v>
      </c>
      <c r="C223" s="30" t="s">
        <v>41</v>
      </c>
      <c r="D223" s="32" t="s">
        <v>90</v>
      </c>
      <c r="E223" s="33">
        <v>45.0</v>
      </c>
      <c r="F223" s="35">
        <v>168.0</v>
      </c>
      <c r="G223" s="31">
        <v>306546.25</v>
      </c>
      <c r="H223" s="31">
        <f t="shared" si="1"/>
        <v>0.5480412825</v>
      </c>
      <c r="I223" s="42">
        <v>41.18</v>
      </c>
      <c r="J223" s="53">
        <v>3.82</v>
      </c>
      <c r="K223" s="61">
        <v>3114.93</v>
      </c>
      <c r="L223" s="46">
        <v>0.0</v>
      </c>
      <c r="M223" s="47">
        <v>5.921</v>
      </c>
      <c r="N223" s="48">
        <v>-14.64</v>
      </c>
      <c r="O223" s="49">
        <v>526.25</v>
      </c>
      <c r="P223" s="49">
        <v>312205.0</v>
      </c>
      <c r="Q223" s="51">
        <v>0.0</v>
      </c>
      <c r="R223" s="51">
        <v>1.0</v>
      </c>
      <c r="S223" s="51">
        <v>0.0</v>
      </c>
      <c r="T223" s="51">
        <v>0.0</v>
      </c>
      <c r="U223" s="51">
        <v>0.0</v>
      </c>
      <c r="V223" s="35"/>
      <c r="W223" s="35"/>
      <c r="X223" s="35"/>
      <c r="Y223" s="35"/>
      <c r="Z223" s="35"/>
      <c r="AA223" s="35"/>
      <c r="AB223" s="35"/>
      <c r="AC223" s="35"/>
    </row>
    <row r="224">
      <c r="A224" s="30" t="s">
        <v>41</v>
      </c>
      <c r="B224" s="52">
        <v>2011.0</v>
      </c>
      <c r="C224" s="30" t="s">
        <v>43</v>
      </c>
      <c r="D224" s="32" t="s">
        <v>90</v>
      </c>
      <c r="E224" s="33">
        <v>45.0</v>
      </c>
      <c r="F224" s="35">
        <v>259.0</v>
      </c>
      <c r="G224" s="31">
        <v>298705.25</v>
      </c>
      <c r="H224" s="31">
        <f t="shared" si="1"/>
        <v>0.8670754866</v>
      </c>
      <c r="I224" s="54">
        <v>42.6</v>
      </c>
      <c r="J224" s="53">
        <v>6.92</v>
      </c>
      <c r="K224" s="61">
        <v>4787.5</v>
      </c>
      <c r="L224" s="46">
        <v>0.0</v>
      </c>
      <c r="M224" s="47">
        <v>10.856</v>
      </c>
      <c r="N224" s="48">
        <v>-23.85</v>
      </c>
      <c r="O224" s="49">
        <v>430.666666666667</v>
      </c>
      <c r="P224" s="49">
        <v>306546.25</v>
      </c>
      <c r="Q224" s="51">
        <v>0.0</v>
      </c>
      <c r="R224" s="51">
        <v>0.0</v>
      </c>
      <c r="S224" s="51">
        <v>1.0</v>
      </c>
      <c r="T224" s="51">
        <v>0.0</v>
      </c>
      <c r="U224" s="51">
        <v>0.0</v>
      </c>
      <c r="V224" s="35"/>
      <c r="W224" s="35"/>
      <c r="X224" s="35"/>
      <c r="Y224" s="35"/>
      <c r="Z224" s="35"/>
      <c r="AA224" s="35"/>
      <c r="AB224" s="35"/>
      <c r="AC224" s="35"/>
    </row>
    <row r="225">
      <c r="A225" s="30" t="s">
        <v>43</v>
      </c>
      <c r="B225" s="52">
        <v>2015.0</v>
      </c>
      <c r="C225" s="30">
        <v>2016.0</v>
      </c>
      <c r="D225" s="55" t="s">
        <v>90</v>
      </c>
      <c r="E225" s="33">
        <v>45.0</v>
      </c>
      <c r="F225" s="35">
        <v>316.0</v>
      </c>
      <c r="G225" s="31">
        <v>289786.0</v>
      </c>
      <c r="H225" s="31">
        <f t="shared" si="1"/>
        <v>1.090459857</v>
      </c>
      <c r="I225" s="54">
        <v>26.6</v>
      </c>
      <c r="J225" s="56">
        <v>10.06</v>
      </c>
      <c r="K225" s="61">
        <v>5683.75</v>
      </c>
      <c r="L225" s="46">
        <v>0.0</v>
      </c>
      <c r="M225" s="47">
        <v>20.952</v>
      </c>
      <c r="N225" s="48">
        <v>-23.74</v>
      </c>
      <c r="O225" s="49">
        <v>1108.25</v>
      </c>
      <c r="P225" s="49">
        <v>298705.25</v>
      </c>
      <c r="Q225" s="51">
        <v>0.0</v>
      </c>
      <c r="R225" s="51">
        <v>0.0</v>
      </c>
      <c r="S225" s="51">
        <v>0.0</v>
      </c>
      <c r="T225" s="51">
        <v>1.0</v>
      </c>
      <c r="U225" s="51">
        <v>0.0</v>
      </c>
      <c r="V225" s="35"/>
      <c r="W225" s="35"/>
      <c r="X225" s="35"/>
      <c r="Y225" s="35"/>
      <c r="Z225" s="35"/>
      <c r="AA225" s="35"/>
      <c r="AB225" s="35"/>
      <c r="AC225" s="35"/>
    </row>
    <row r="226">
      <c r="A226" s="30">
        <v>2016.0</v>
      </c>
      <c r="B226" s="52">
        <v>2016.0</v>
      </c>
      <c r="C226" s="30" t="s">
        <v>45</v>
      </c>
      <c r="D226" s="55" t="s">
        <v>90</v>
      </c>
      <c r="E226" s="33">
        <v>45.0</v>
      </c>
      <c r="F226" s="35">
        <v>0.0</v>
      </c>
      <c r="G226" s="31">
        <v>288266.0</v>
      </c>
      <c r="H226" s="31">
        <f t="shared" si="1"/>
        <v>0</v>
      </c>
      <c r="I226" s="54">
        <v>35.6</v>
      </c>
      <c r="J226" s="56">
        <v>10.86</v>
      </c>
      <c r="K226" s="62">
        <v>5551.0</v>
      </c>
      <c r="L226" s="46">
        <v>0.0</v>
      </c>
      <c r="M226" s="47">
        <v>27.061</v>
      </c>
      <c r="N226" s="48">
        <v>-25.18</v>
      </c>
      <c r="O226" s="49">
        <v>1260.0</v>
      </c>
      <c r="P226" s="49">
        <v>289786.0</v>
      </c>
      <c r="Q226" s="51">
        <v>0.0</v>
      </c>
      <c r="R226" s="51">
        <v>0.0</v>
      </c>
      <c r="S226" s="51">
        <v>0.0</v>
      </c>
      <c r="T226" s="51">
        <v>0.0</v>
      </c>
      <c r="U226" s="51">
        <v>1.0</v>
      </c>
      <c r="V226" s="35"/>
      <c r="W226" s="35"/>
      <c r="X226" s="35"/>
      <c r="Y226" s="35"/>
      <c r="Z226" s="35"/>
      <c r="AA226" s="35"/>
      <c r="AB226" s="35"/>
      <c r="AC226" s="35"/>
    </row>
    <row r="227">
      <c r="A227" s="26" t="s">
        <v>37</v>
      </c>
      <c r="B227" s="52">
        <v>2002.0</v>
      </c>
      <c r="C227" s="30" t="s">
        <v>39</v>
      </c>
      <c r="D227" s="32" t="s">
        <v>91</v>
      </c>
      <c r="E227" s="33">
        <v>46.0</v>
      </c>
      <c r="F227" s="35">
        <v>244.8</v>
      </c>
      <c r="G227" s="31">
        <v>360366.0</v>
      </c>
      <c r="H227" s="31">
        <f t="shared" si="1"/>
        <v>0.6793093688</v>
      </c>
      <c r="I227" s="42">
        <v>30.9</v>
      </c>
      <c r="J227" s="44">
        <v>2.95</v>
      </c>
      <c r="K227" s="61">
        <v>4345.72</v>
      </c>
      <c r="L227" s="46">
        <v>0.0</v>
      </c>
      <c r="M227" s="47">
        <v>3.939</v>
      </c>
      <c r="N227" s="48">
        <v>-6.11</v>
      </c>
      <c r="O227" s="49">
        <v>1479.0</v>
      </c>
      <c r="P227" s="49">
        <v>375476.0</v>
      </c>
      <c r="Q227" s="50">
        <v>1.0</v>
      </c>
      <c r="R227" s="51">
        <v>0.0</v>
      </c>
      <c r="S227" s="51">
        <v>0.0</v>
      </c>
      <c r="T227" s="51">
        <v>0.0</v>
      </c>
      <c r="U227" s="51">
        <v>0.0</v>
      </c>
      <c r="V227" s="35"/>
      <c r="W227" s="35"/>
      <c r="X227" s="35"/>
      <c r="Y227" s="35"/>
      <c r="Z227" s="35"/>
      <c r="AA227" s="35"/>
      <c r="AB227" s="35"/>
      <c r="AC227" s="35"/>
    </row>
    <row r="228">
      <c r="A228" s="30" t="s">
        <v>39</v>
      </c>
      <c r="B228" s="52">
        <v>2007.0</v>
      </c>
      <c r="C228" s="30" t="s">
        <v>41</v>
      </c>
      <c r="D228" s="32" t="s">
        <v>91</v>
      </c>
      <c r="E228" s="33">
        <v>46.0</v>
      </c>
      <c r="F228" s="35">
        <v>118.0</v>
      </c>
      <c r="G228" s="31">
        <v>360307.0</v>
      </c>
      <c r="H228" s="31">
        <f t="shared" si="1"/>
        <v>0.3274984943</v>
      </c>
      <c r="I228" s="42">
        <v>49.43</v>
      </c>
      <c r="J228" s="53">
        <v>4.75</v>
      </c>
      <c r="K228" s="61">
        <v>5514.73</v>
      </c>
      <c r="L228" s="46">
        <v>0.0</v>
      </c>
      <c r="M228" s="47">
        <v>23.292</v>
      </c>
      <c r="N228" s="48">
        <v>-1.99</v>
      </c>
      <c r="O228" s="49">
        <v>1924.0</v>
      </c>
      <c r="P228" s="49">
        <v>360366.0</v>
      </c>
      <c r="Q228" s="51">
        <v>0.0</v>
      </c>
      <c r="R228" s="51">
        <v>1.0</v>
      </c>
      <c r="S228" s="51">
        <v>0.0</v>
      </c>
      <c r="T228" s="51">
        <v>0.0</v>
      </c>
      <c r="U228" s="51">
        <v>0.0</v>
      </c>
      <c r="V228" s="35"/>
      <c r="W228" s="35"/>
      <c r="X228" s="35"/>
      <c r="Y228" s="35"/>
      <c r="Z228" s="35"/>
      <c r="AA228" s="35"/>
      <c r="AB228" s="35"/>
      <c r="AC228" s="35"/>
    </row>
    <row r="229">
      <c r="A229" s="30" t="s">
        <v>41</v>
      </c>
      <c r="B229" s="52">
        <v>2011.0</v>
      </c>
      <c r="C229" s="30" t="s">
        <v>43</v>
      </c>
      <c r="D229" s="32" t="s">
        <v>91</v>
      </c>
      <c r="E229" s="33">
        <v>46.0</v>
      </c>
      <c r="F229" s="35">
        <v>105.75</v>
      </c>
      <c r="G229" s="31">
        <v>367360.25</v>
      </c>
      <c r="H229" s="31">
        <f t="shared" si="1"/>
        <v>0.2878645689</v>
      </c>
      <c r="I229" s="54">
        <v>55.8</v>
      </c>
      <c r="J229" s="53">
        <v>7.13</v>
      </c>
      <c r="K229" s="61">
        <v>8047.5</v>
      </c>
      <c r="L229" s="46">
        <v>0.0</v>
      </c>
      <c r="M229" s="47">
        <v>45.647</v>
      </c>
      <c r="N229" s="48">
        <v>-2.18</v>
      </c>
      <c r="O229" s="49">
        <v>2408.66666666667</v>
      </c>
      <c r="P229" s="49">
        <v>360307.0</v>
      </c>
      <c r="Q229" s="51">
        <v>0.0</v>
      </c>
      <c r="R229" s="51">
        <v>0.0</v>
      </c>
      <c r="S229" s="51">
        <v>1.0</v>
      </c>
      <c r="T229" s="51">
        <v>0.0</v>
      </c>
      <c r="U229" s="51">
        <v>0.0</v>
      </c>
      <c r="V229" s="35"/>
      <c r="W229" s="35"/>
      <c r="X229" s="35"/>
      <c r="Y229" s="35"/>
      <c r="Z229" s="35"/>
      <c r="AA229" s="35"/>
      <c r="AB229" s="35"/>
      <c r="AC229" s="35"/>
    </row>
    <row r="230">
      <c r="A230" s="30" t="s">
        <v>43</v>
      </c>
      <c r="B230" s="52">
        <v>2015.0</v>
      </c>
      <c r="C230" s="30">
        <v>2016.0</v>
      </c>
      <c r="D230" s="55" t="s">
        <v>91</v>
      </c>
      <c r="E230" s="33">
        <v>46.0</v>
      </c>
      <c r="F230" s="35">
        <v>262.0</v>
      </c>
      <c r="G230" s="31">
        <v>376945.0</v>
      </c>
      <c r="H230" s="31">
        <f t="shared" si="1"/>
        <v>0.6950616138</v>
      </c>
      <c r="I230" s="54">
        <v>48.7</v>
      </c>
      <c r="J230" s="56">
        <v>10.49</v>
      </c>
      <c r="K230" s="61">
        <v>8892.75</v>
      </c>
      <c r="L230" s="46">
        <v>0.0</v>
      </c>
      <c r="M230" s="47">
        <v>80.907</v>
      </c>
      <c r="N230" s="48">
        <v>2.45</v>
      </c>
      <c r="O230" s="49">
        <v>3217.0</v>
      </c>
      <c r="P230" s="49">
        <v>367360.25</v>
      </c>
      <c r="Q230" s="51">
        <v>0.0</v>
      </c>
      <c r="R230" s="51">
        <v>0.0</v>
      </c>
      <c r="S230" s="51">
        <v>0.0</v>
      </c>
      <c r="T230" s="51">
        <v>1.0</v>
      </c>
      <c r="U230" s="51">
        <v>0.0</v>
      </c>
      <c r="V230" s="35"/>
      <c r="W230" s="35"/>
      <c r="X230" s="35"/>
      <c r="Y230" s="35"/>
      <c r="Z230" s="35"/>
      <c r="AA230" s="35"/>
      <c r="AB230" s="35"/>
      <c r="AC230" s="35"/>
    </row>
    <row r="231">
      <c r="A231" s="30">
        <v>2016.0</v>
      </c>
      <c r="B231" s="52">
        <v>2016.0</v>
      </c>
      <c r="C231" s="30" t="s">
        <v>45</v>
      </c>
      <c r="D231" s="55" t="s">
        <v>91</v>
      </c>
      <c r="E231" s="33">
        <v>46.0</v>
      </c>
      <c r="F231" s="35">
        <v>437.5</v>
      </c>
      <c r="G231" s="31">
        <v>377873.0</v>
      </c>
      <c r="H231" s="31">
        <f t="shared" si="1"/>
        <v>1.157796402</v>
      </c>
      <c r="I231" s="54">
        <v>60.0</v>
      </c>
      <c r="J231" s="56">
        <v>11.17</v>
      </c>
      <c r="K231" s="62">
        <v>8022.0</v>
      </c>
      <c r="L231" s="46">
        <v>0.0</v>
      </c>
      <c r="M231" s="47">
        <v>88.869</v>
      </c>
      <c r="N231" s="48">
        <v>6.96</v>
      </c>
      <c r="O231" s="49">
        <v>4225.0</v>
      </c>
      <c r="P231" s="49">
        <v>376945.0</v>
      </c>
      <c r="Q231" s="51">
        <v>0.0</v>
      </c>
      <c r="R231" s="51">
        <v>0.0</v>
      </c>
      <c r="S231" s="51">
        <v>0.0</v>
      </c>
      <c r="T231" s="51">
        <v>0.0</v>
      </c>
      <c r="U231" s="51">
        <v>1.0</v>
      </c>
      <c r="V231" s="35"/>
      <c r="W231" s="35"/>
      <c r="X231" s="35"/>
      <c r="Y231" s="35"/>
      <c r="Z231" s="35"/>
      <c r="AA231" s="35"/>
      <c r="AB231" s="35"/>
      <c r="AC231" s="35"/>
    </row>
    <row r="232">
      <c r="A232" s="26" t="s">
        <v>37</v>
      </c>
      <c r="B232" s="52">
        <v>2002.0</v>
      </c>
      <c r="C232" s="30" t="s">
        <v>39</v>
      </c>
      <c r="D232" s="32" t="s">
        <v>92</v>
      </c>
      <c r="E232" s="33">
        <v>47.0</v>
      </c>
      <c r="F232" s="35">
        <v>1347.6</v>
      </c>
      <c r="G232" s="31">
        <v>1165088.0</v>
      </c>
      <c r="H232" s="31">
        <f t="shared" si="1"/>
        <v>1.156650828</v>
      </c>
      <c r="I232" s="42">
        <v>54.34</v>
      </c>
      <c r="J232" s="44">
        <v>4.08</v>
      </c>
      <c r="K232" s="61">
        <v>4828.58</v>
      </c>
      <c r="L232" s="46">
        <v>0.0</v>
      </c>
      <c r="M232" s="47">
        <v>6.686</v>
      </c>
      <c r="N232" s="48">
        <v>-3.28</v>
      </c>
      <c r="O232" s="49">
        <v>7090.0</v>
      </c>
      <c r="P232" s="49">
        <v>1060432.0</v>
      </c>
      <c r="Q232" s="50">
        <v>1.0</v>
      </c>
      <c r="R232" s="51">
        <v>0.0</v>
      </c>
      <c r="S232" s="51">
        <v>0.0</v>
      </c>
      <c r="T232" s="51">
        <v>0.0</v>
      </c>
      <c r="U232" s="51">
        <v>0.0</v>
      </c>
      <c r="V232" s="35"/>
      <c r="W232" s="35"/>
      <c r="X232" s="35"/>
      <c r="Y232" s="35"/>
      <c r="Z232" s="35"/>
      <c r="AA232" s="35"/>
      <c r="AB232" s="35"/>
      <c r="AC232" s="35"/>
    </row>
    <row r="233">
      <c r="A233" s="30" t="s">
        <v>39</v>
      </c>
      <c r="B233" s="52">
        <v>2007.0</v>
      </c>
      <c r="C233" s="30" t="s">
        <v>41</v>
      </c>
      <c r="D233" s="32" t="s">
        <v>92</v>
      </c>
      <c r="E233" s="33">
        <v>47.0</v>
      </c>
      <c r="F233" s="35">
        <v>1014.5</v>
      </c>
      <c r="G233" s="31">
        <v>1220064.5</v>
      </c>
      <c r="H233" s="31">
        <f t="shared" si="1"/>
        <v>0.8315134159</v>
      </c>
      <c r="I233" s="42">
        <v>65.73</v>
      </c>
      <c r="J233" s="53">
        <v>7.19</v>
      </c>
      <c r="K233" s="61">
        <v>6582.48</v>
      </c>
      <c r="L233" s="46">
        <v>0.0</v>
      </c>
      <c r="M233" s="47">
        <v>24.715</v>
      </c>
      <c r="N233" s="48">
        <v>-1.05</v>
      </c>
      <c r="O233" s="49">
        <v>6023.0</v>
      </c>
      <c r="P233" s="49">
        <v>1165088.0</v>
      </c>
      <c r="Q233" s="51">
        <v>0.0</v>
      </c>
      <c r="R233" s="51">
        <v>1.0</v>
      </c>
      <c r="S233" s="51">
        <v>0.0</v>
      </c>
      <c r="T233" s="51">
        <v>0.0</v>
      </c>
      <c r="U233" s="51">
        <v>0.0</v>
      </c>
      <c r="V233" s="35"/>
      <c r="W233" s="35"/>
      <c r="X233" s="35"/>
      <c r="Y233" s="35"/>
      <c r="Z233" s="35"/>
      <c r="AA233" s="35"/>
      <c r="AB233" s="35"/>
      <c r="AC233" s="35"/>
    </row>
    <row r="234">
      <c r="A234" s="30" t="s">
        <v>41</v>
      </c>
      <c r="B234" s="52">
        <v>2011.0</v>
      </c>
      <c r="C234" s="30" t="s">
        <v>43</v>
      </c>
      <c r="D234" s="32" t="s">
        <v>92</v>
      </c>
      <c r="E234" s="33">
        <v>47.0</v>
      </c>
      <c r="F234" s="35">
        <v>696.0</v>
      </c>
      <c r="G234" s="31">
        <v>1308438.75</v>
      </c>
      <c r="H234" s="31">
        <f t="shared" si="1"/>
        <v>0.5319316628</v>
      </c>
      <c r="I234" s="54">
        <v>64.9</v>
      </c>
      <c r="J234" s="53">
        <v>10.27</v>
      </c>
      <c r="K234" s="61">
        <v>9039.75</v>
      </c>
      <c r="L234" s="46">
        <v>0.0</v>
      </c>
      <c r="M234" s="47">
        <v>59.48</v>
      </c>
      <c r="N234" s="48">
        <v>3.03</v>
      </c>
      <c r="O234" s="49">
        <v>12022.6666666667</v>
      </c>
      <c r="P234" s="49">
        <v>1220064.5</v>
      </c>
      <c r="Q234" s="51">
        <v>0.0</v>
      </c>
      <c r="R234" s="51">
        <v>0.0</v>
      </c>
      <c r="S234" s="51">
        <v>1.0</v>
      </c>
      <c r="T234" s="51">
        <v>0.0</v>
      </c>
      <c r="U234" s="51">
        <v>0.0</v>
      </c>
      <c r="V234" s="35"/>
      <c r="W234" s="35"/>
      <c r="X234" s="35"/>
      <c r="Y234" s="35"/>
      <c r="Z234" s="35"/>
      <c r="AA234" s="35"/>
      <c r="AB234" s="35"/>
      <c r="AC234" s="35"/>
    </row>
    <row r="235">
      <c r="A235" s="30" t="s">
        <v>43</v>
      </c>
      <c r="B235" s="52">
        <v>2015.0</v>
      </c>
      <c r="C235" s="30">
        <v>2016.0</v>
      </c>
      <c r="D235" s="55" t="s">
        <v>92</v>
      </c>
      <c r="E235" s="33">
        <v>47.0</v>
      </c>
      <c r="F235" s="35">
        <v>3220.0</v>
      </c>
      <c r="G235" s="31">
        <v>1358980.0</v>
      </c>
      <c r="H235" s="31">
        <f t="shared" si="1"/>
        <v>2.369424127</v>
      </c>
      <c r="I235" s="54">
        <v>52.4</v>
      </c>
      <c r="J235" s="56">
        <v>13.7</v>
      </c>
      <c r="K235" s="61">
        <v>10286.75</v>
      </c>
      <c r="L235" s="46">
        <v>0.0</v>
      </c>
      <c r="M235" s="47">
        <v>97.121</v>
      </c>
      <c r="N235" s="48">
        <v>3.24</v>
      </c>
      <c r="O235" s="49">
        <v>12260.25</v>
      </c>
      <c r="P235" s="49">
        <v>1308438.75</v>
      </c>
      <c r="Q235" s="51">
        <v>0.0</v>
      </c>
      <c r="R235" s="51">
        <v>0.0</v>
      </c>
      <c r="S235" s="51">
        <v>0.0</v>
      </c>
      <c r="T235" s="51">
        <v>1.0</v>
      </c>
      <c r="U235" s="51">
        <v>0.0</v>
      </c>
      <c r="V235" s="35"/>
      <c r="W235" s="35"/>
      <c r="X235" s="35"/>
      <c r="Y235" s="35"/>
      <c r="Z235" s="35"/>
      <c r="AA235" s="35"/>
      <c r="AB235" s="35"/>
      <c r="AC235" s="35"/>
    </row>
    <row r="236">
      <c r="A236" s="30">
        <v>2016.0</v>
      </c>
      <c r="B236" s="52">
        <v>2016.0</v>
      </c>
      <c r="C236" s="30" t="s">
        <v>45</v>
      </c>
      <c r="D236" s="55" t="s">
        <v>92</v>
      </c>
      <c r="E236" s="33">
        <v>47.0</v>
      </c>
      <c r="F236" s="35">
        <v>495.0</v>
      </c>
      <c r="G236" s="31">
        <v>1383201.0</v>
      </c>
      <c r="H236" s="31">
        <f t="shared" si="1"/>
        <v>0.3578655597</v>
      </c>
      <c r="I236" s="54">
        <v>65.6</v>
      </c>
      <c r="J236" s="56">
        <v>14.4</v>
      </c>
      <c r="K236" s="62">
        <v>9322.0</v>
      </c>
      <c r="L236" s="46">
        <v>0.0</v>
      </c>
      <c r="M236" s="47">
        <v>107.181</v>
      </c>
      <c r="N236" s="48">
        <v>0.66</v>
      </c>
      <c r="O236" s="49">
        <v>11759.0</v>
      </c>
      <c r="P236" s="49">
        <v>1358980.0</v>
      </c>
      <c r="Q236" s="51">
        <v>0.0</v>
      </c>
      <c r="R236" s="51">
        <v>0.0</v>
      </c>
      <c r="S236" s="51">
        <v>0.0</v>
      </c>
      <c r="T236" s="51">
        <v>0.0</v>
      </c>
      <c r="U236" s="51">
        <v>1.0</v>
      </c>
      <c r="V236" s="35"/>
      <c r="W236" s="35"/>
      <c r="X236" s="35"/>
      <c r="Y236" s="35"/>
      <c r="Z236" s="35"/>
      <c r="AA236" s="35"/>
      <c r="AB236" s="35"/>
      <c r="AC236" s="35"/>
    </row>
    <row r="237">
      <c r="A237" s="26" t="s">
        <v>37</v>
      </c>
      <c r="B237" s="52">
        <v>2002.0</v>
      </c>
      <c r="C237" s="30" t="s">
        <v>39</v>
      </c>
      <c r="D237" s="32" t="s">
        <v>93</v>
      </c>
      <c r="E237" s="33">
        <v>48.0</v>
      </c>
      <c r="F237" s="7">
        <v>128.0</v>
      </c>
      <c r="G237" s="58">
        <v>118457.0</v>
      </c>
      <c r="H237" s="31">
        <f t="shared" si="1"/>
        <v>1.080560879</v>
      </c>
      <c r="I237" s="42">
        <f>36.39</f>
        <v>36.39</v>
      </c>
      <c r="J237" s="44">
        <v>2.6</v>
      </c>
      <c r="K237" s="61">
        <v>2591.28</v>
      </c>
      <c r="L237" s="46">
        <v>0.0</v>
      </c>
      <c r="M237" s="47">
        <v>0.087</v>
      </c>
      <c r="N237" s="48">
        <v>-0.35</v>
      </c>
      <c r="O237" s="49">
        <v>10.0</v>
      </c>
      <c r="P237" s="49">
        <v>114724.0</v>
      </c>
      <c r="Q237" s="50">
        <v>1.0</v>
      </c>
      <c r="R237" s="51">
        <v>0.0</v>
      </c>
      <c r="S237" s="51">
        <v>0.0</v>
      </c>
      <c r="T237" s="51">
        <v>0.0</v>
      </c>
      <c r="U237" s="51">
        <v>0.0</v>
      </c>
      <c r="V237" s="35"/>
      <c r="W237" s="35"/>
      <c r="X237" s="35"/>
      <c r="Y237" s="35"/>
      <c r="Z237" s="35"/>
      <c r="AA237" s="35"/>
      <c r="AB237" s="35"/>
      <c r="AC237" s="35"/>
    </row>
    <row r="238">
      <c r="A238" s="30" t="s">
        <v>39</v>
      </c>
      <c r="B238" s="52">
        <v>2007.0</v>
      </c>
      <c r="C238" s="30" t="s">
        <v>41</v>
      </c>
      <c r="D238" s="32" t="s">
        <v>93</v>
      </c>
      <c r="E238" s="33">
        <v>48.0</v>
      </c>
      <c r="F238" s="7">
        <v>72.0</v>
      </c>
      <c r="G238" s="58">
        <v>122670.5</v>
      </c>
      <c r="H238" s="31">
        <f t="shared" si="1"/>
        <v>0.5869381799</v>
      </c>
      <c r="I238" s="42">
        <v>56.2</v>
      </c>
      <c r="J238" s="53">
        <v>4.32</v>
      </c>
      <c r="K238" s="61">
        <v>3701.87</v>
      </c>
      <c r="L238" s="46">
        <v>0.0</v>
      </c>
      <c r="M238" s="47">
        <v>3.321</v>
      </c>
      <c r="N238" s="48">
        <v>1.43</v>
      </c>
      <c r="O238" s="49">
        <v>112.0</v>
      </c>
      <c r="P238" s="49">
        <v>118457.0</v>
      </c>
      <c r="Q238" s="51">
        <v>0.0</v>
      </c>
      <c r="R238" s="51">
        <v>1.0</v>
      </c>
      <c r="S238" s="51">
        <v>0.0</v>
      </c>
      <c r="T238" s="51">
        <v>0.0</v>
      </c>
      <c r="U238" s="51">
        <v>0.0</v>
      </c>
      <c r="V238" s="35"/>
      <c r="W238" s="35"/>
      <c r="X238" s="35"/>
      <c r="Y238" s="35"/>
      <c r="Z238" s="35"/>
      <c r="AA238" s="35"/>
      <c r="AB238" s="35"/>
      <c r="AC238" s="35"/>
    </row>
    <row r="239">
      <c r="A239" s="30" t="s">
        <v>41</v>
      </c>
      <c r="B239" s="52">
        <v>2011.0</v>
      </c>
      <c r="C239" s="30" t="s">
        <v>43</v>
      </c>
      <c r="D239" s="32" t="s">
        <v>93</v>
      </c>
      <c r="E239" s="33">
        <v>48.0</v>
      </c>
      <c r="F239" s="7">
        <v>0.0</v>
      </c>
      <c r="G239" s="58">
        <v>128085.5</v>
      </c>
      <c r="H239" s="31">
        <f t="shared" si="1"/>
        <v>0</v>
      </c>
      <c r="I239" s="54">
        <v>56.5</v>
      </c>
      <c r="J239" s="53">
        <v>6.64</v>
      </c>
      <c r="K239" s="61">
        <v>5222.5</v>
      </c>
      <c r="L239" s="46">
        <v>0.0</v>
      </c>
      <c r="M239" s="47">
        <v>12.879</v>
      </c>
      <c r="N239" s="48">
        <v>-3.74</v>
      </c>
      <c r="O239" s="49">
        <v>566.333333333333</v>
      </c>
      <c r="P239" s="49">
        <v>122670.5</v>
      </c>
      <c r="Q239" s="51">
        <v>0.0</v>
      </c>
      <c r="R239" s="51">
        <v>0.0</v>
      </c>
      <c r="S239" s="51">
        <v>1.0</v>
      </c>
      <c r="T239" s="51">
        <v>0.0</v>
      </c>
      <c r="U239" s="51">
        <v>0.0</v>
      </c>
      <c r="V239" s="35"/>
      <c r="W239" s="35"/>
      <c r="X239" s="35"/>
      <c r="Y239" s="35"/>
      <c r="Z239" s="35"/>
      <c r="AA239" s="35"/>
      <c r="AB239" s="35"/>
      <c r="AC239" s="35"/>
    </row>
    <row r="240">
      <c r="A240" s="30" t="s">
        <v>43</v>
      </c>
      <c r="B240" s="52">
        <v>2015.0</v>
      </c>
      <c r="C240" s="30">
        <v>2016.0</v>
      </c>
      <c r="D240" s="55" t="s">
        <v>93</v>
      </c>
      <c r="E240" s="33">
        <v>48.0</v>
      </c>
      <c r="F240" s="7">
        <v>0.0</v>
      </c>
      <c r="G240" s="58">
        <v>130825.0</v>
      </c>
      <c r="H240" s="31">
        <f t="shared" si="1"/>
        <v>0</v>
      </c>
      <c r="I240" s="54">
        <v>49.18</v>
      </c>
      <c r="J240" s="56">
        <v>10.25</v>
      </c>
      <c r="K240" s="61">
        <v>6276.0</v>
      </c>
      <c r="L240" s="46">
        <v>0.0</v>
      </c>
      <c r="M240" s="47">
        <v>33.765</v>
      </c>
      <c r="N240" s="48">
        <v>-9.44</v>
      </c>
      <c r="O240" s="49">
        <v>783.0</v>
      </c>
      <c r="P240" s="49">
        <v>128085.5</v>
      </c>
      <c r="Q240" s="51">
        <v>0.0</v>
      </c>
      <c r="R240" s="51">
        <v>0.0</v>
      </c>
      <c r="S240" s="51">
        <v>0.0</v>
      </c>
      <c r="T240" s="51">
        <v>1.0</v>
      </c>
      <c r="U240" s="51">
        <v>0.0</v>
      </c>
      <c r="V240" s="35"/>
      <c r="W240" s="35"/>
      <c r="X240" s="35"/>
      <c r="Y240" s="35"/>
      <c r="Z240" s="35"/>
      <c r="AA240" s="35"/>
      <c r="AB240" s="35"/>
      <c r="AC240" s="35"/>
    </row>
    <row r="241">
      <c r="A241" s="30">
        <v>2016.0</v>
      </c>
      <c r="B241" s="52">
        <v>2016.0</v>
      </c>
      <c r="C241" s="30" t="s">
        <v>45</v>
      </c>
      <c r="D241" s="55" t="s">
        <v>93</v>
      </c>
      <c r="E241" s="33">
        <v>48.0</v>
      </c>
      <c r="F241" s="7">
        <v>0.0</v>
      </c>
      <c r="G241" s="58">
        <v>139430.0</v>
      </c>
      <c r="H241" s="31">
        <f t="shared" si="1"/>
        <v>0</v>
      </c>
      <c r="I241" s="54">
        <v>65.6</v>
      </c>
      <c r="J241" s="56">
        <v>11.02</v>
      </c>
      <c r="K241" s="62">
        <v>6144.0</v>
      </c>
      <c r="L241" s="46">
        <v>0.0</v>
      </c>
      <c r="M241" s="47">
        <v>43.034</v>
      </c>
      <c r="N241" s="48">
        <v>-8.03</v>
      </c>
      <c r="O241" s="49">
        <v>1521.0</v>
      </c>
      <c r="P241" s="49">
        <v>130825.0</v>
      </c>
      <c r="Q241" s="51">
        <v>0.0</v>
      </c>
      <c r="R241" s="51">
        <v>0.0</v>
      </c>
      <c r="S241" s="51">
        <v>0.0</v>
      </c>
      <c r="T241" s="51">
        <v>0.0</v>
      </c>
      <c r="U241" s="51">
        <v>1.0</v>
      </c>
      <c r="V241" s="35"/>
      <c r="W241" s="35"/>
      <c r="X241" s="35"/>
      <c r="Y241" s="35"/>
      <c r="Z241" s="35"/>
      <c r="AA241" s="35"/>
      <c r="AB241" s="35"/>
      <c r="AC241" s="35"/>
    </row>
    <row r="242">
      <c r="A242" s="26" t="s">
        <v>37</v>
      </c>
      <c r="B242" s="52">
        <v>2002.0</v>
      </c>
      <c r="C242" s="30" t="s">
        <v>39</v>
      </c>
      <c r="D242" s="32" t="s">
        <v>94</v>
      </c>
      <c r="E242" s="33">
        <v>49.0</v>
      </c>
      <c r="F242" s="7">
        <v>361.2</v>
      </c>
      <c r="G242" s="58">
        <v>280234.0</v>
      </c>
      <c r="H242" s="31">
        <f t="shared" si="1"/>
        <v>1.288922829</v>
      </c>
      <c r="I242" s="54">
        <v>49.1</v>
      </c>
      <c r="J242" s="44">
        <v>3.28</v>
      </c>
      <c r="K242" s="61">
        <v>3494.37</v>
      </c>
      <c r="L242" s="46">
        <v>0.0</v>
      </c>
      <c r="M242" s="47">
        <v>0.657</v>
      </c>
      <c r="N242" s="48">
        <v>-3.89</v>
      </c>
      <c r="O242" s="49">
        <v>252.0</v>
      </c>
      <c r="P242" s="49">
        <v>383508.0</v>
      </c>
      <c r="Q242" s="50">
        <v>1.0</v>
      </c>
      <c r="R242" s="51">
        <v>0.0</v>
      </c>
      <c r="S242" s="51">
        <v>0.0</v>
      </c>
      <c r="T242" s="51">
        <v>0.0</v>
      </c>
      <c r="U242" s="51">
        <v>0.0</v>
      </c>
      <c r="V242" s="35"/>
      <c r="W242" s="35"/>
      <c r="X242" s="35"/>
      <c r="Y242" s="35"/>
      <c r="Z242" s="35"/>
      <c r="AA242" s="35"/>
      <c r="AB242" s="35"/>
      <c r="AC242" s="35"/>
    </row>
    <row r="243">
      <c r="A243" s="30" t="s">
        <v>39</v>
      </c>
      <c r="B243" s="52">
        <v>2007.0</v>
      </c>
      <c r="C243" s="30" t="s">
        <v>41</v>
      </c>
      <c r="D243" s="32" t="s">
        <v>94</v>
      </c>
      <c r="E243" s="33">
        <v>49.0</v>
      </c>
      <c r="F243" s="7">
        <v>253.5</v>
      </c>
      <c r="G243" s="58">
        <v>277949.5</v>
      </c>
      <c r="H243" s="31">
        <f t="shared" si="1"/>
        <v>0.9120361792</v>
      </c>
      <c r="I243" s="42">
        <v>58.0</v>
      </c>
      <c r="J243" s="53">
        <v>6.01</v>
      </c>
      <c r="K243" s="61">
        <v>4939.1</v>
      </c>
      <c r="L243" s="46">
        <v>0.0</v>
      </c>
      <c r="M243" s="47">
        <v>6.806</v>
      </c>
      <c r="N243" s="48">
        <v>-11.25</v>
      </c>
      <c r="O243" s="49">
        <v>593.75</v>
      </c>
      <c r="P243" s="49">
        <v>280234.0</v>
      </c>
      <c r="Q243" s="51">
        <v>0.0</v>
      </c>
      <c r="R243" s="51">
        <v>1.0</v>
      </c>
      <c r="S243" s="51">
        <v>0.0</v>
      </c>
      <c r="T243" s="51">
        <v>0.0</v>
      </c>
      <c r="U243" s="51">
        <v>0.0</v>
      </c>
      <c r="V243" s="35"/>
      <c r="W243" s="35"/>
      <c r="X243" s="35"/>
      <c r="Y243" s="35"/>
      <c r="Z243" s="35"/>
      <c r="AA243" s="35"/>
      <c r="AB243" s="35"/>
      <c r="AC243" s="35"/>
    </row>
    <row r="244">
      <c r="A244" s="30" t="s">
        <v>41</v>
      </c>
      <c r="B244" s="52">
        <v>2011.0</v>
      </c>
      <c r="C244" s="30" t="s">
        <v>43</v>
      </c>
      <c r="D244" s="32" t="s">
        <v>94</v>
      </c>
      <c r="E244" s="33">
        <v>49.0</v>
      </c>
      <c r="F244" s="7">
        <v>60.0</v>
      </c>
      <c r="G244" s="58">
        <v>272687.0</v>
      </c>
      <c r="H244" s="31">
        <f t="shared" si="1"/>
        <v>0.2200324915</v>
      </c>
      <c r="I244" s="42">
        <v>62.08</v>
      </c>
      <c r="J244" s="53">
        <v>8.89</v>
      </c>
      <c r="K244" s="61">
        <v>7749.75</v>
      </c>
      <c r="L244" s="46">
        <v>0.0</v>
      </c>
      <c r="M244" s="47">
        <v>20.249</v>
      </c>
      <c r="N244" s="48">
        <v>-13.87</v>
      </c>
      <c r="O244" s="49">
        <v>1189.66666666667</v>
      </c>
      <c r="P244" s="49">
        <v>277949.5</v>
      </c>
      <c r="Q244" s="51">
        <v>0.0</v>
      </c>
      <c r="R244" s="51">
        <v>0.0</v>
      </c>
      <c r="S244" s="51">
        <v>1.0</v>
      </c>
      <c r="T244" s="51">
        <v>0.0</v>
      </c>
      <c r="U244" s="51">
        <v>0.0</v>
      </c>
      <c r="V244" s="35"/>
      <c r="W244" s="35"/>
      <c r="X244" s="35"/>
      <c r="Y244" s="35"/>
      <c r="Z244" s="35"/>
      <c r="AA244" s="35"/>
      <c r="AB244" s="35"/>
      <c r="AC244" s="35"/>
    </row>
    <row r="245">
      <c r="A245" s="30" t="s">
        <v>43</v>
      </c>
      <c r="B245" s="52">
        <v>2015.0</v>
      </c>
      <c r="C245" s="30">
        <v>2016.0</v>
      </c>
      <c r="D245" s="55" t="s">
        <v>94</v>
      </c>
      <c r="E245" s="33">
        <v>49.0</v>
      </c>
      <c r="F245" s="7">
        <v>807.0</v>
      </c>
      <c r="G245" s="58">
        <v>277984.0</v>
      </c>
      <c r="H245" s="31">
        <f t="shared" si="1"/>
        <v>2.90304478</v>
      </c>
      <c r="I245" s="54">
        <v>49.92</v>
      </c>
      <c r="J245" s="56">
        <v>12.81</v>
      </c>
      <c r="K245" s="61">
        <v>8915.0</v>
      </c>
      <c r="L245" s="46">
        <v>0.0</v>
      </c>
      <c r="M245" s="47">
        <v>53.71</v>
      </c>
      <c r="N245" s="48">
        <v>-12.33</v>
      </c>
      <c r="O245" s="49">
        <v>2885.75</v>
      </c>
      <c r="P245" s="49">
        <v>272687.0</v>
      </c>
      <c r="Q245" s="51">
        <v>0.0</v>
      </c>
      <c r="R245" s="51">
        <v>0.0</v>
      </c>
      <c r="S245" s="51">
        <v>0.0</v>
      </c>
      <c r="T245" s="51">
        <v>1.0</v>
      </c>
      <c r="U245" s="51">
        <v>0.0</v>
      </c>
      <c r="V245" s="35"/>
      <c r="W245" s="35"/>
      <c r="X245" s="35"/>
      <c r="Y245" s="35"/>
      <c r="Z245" s="35"/>
      <c r="AA245" s="35"/>
      <c r="AB245" s="35"/>
      <c r="AC245" s="35"/>
    </row>
    <row r="246">
      <c r="A246" s="30">
        <v>2016.0</v>
      </c>
      <c r="B246" s="52">
        <v>2016.0</v>
      </c>
      <c r="C246" s="30" t="s">
        <v>45</v>
      </c>
      <c r="D246" s="55" t="s">
        <v>94</v>
      </c>
      <c r="E246" s="33">
        <v>49.0</v>
      </c>
      <c r="F246" s="7">
        <v>463.5</v>
      </c>
      <c r="G246" s="58">
        <v>282675.5</v>
      </c>
      <c r="H246" s="31">
        <f t="shared" si="1"/>
        <v>1.639689326</v>
      </c>
      <c r="I246" s="54">
        <v>62.3</v>
      </c>
      <c r="J246" s="56">
        <v>13.56</v>
      </c>
      <c r="K246" s="62">
        <v>7988.0</v>
      </c>
      <c r="L246" s="46">
        <v>0.0</v>
      </c>
      <c r="M246" s="47">
        <v>65.85</v>
      </c>
      <c r="N246" s="48">
        <v>-2.16</v>
      </c>
      <c r="O246" s="49">
        <v>2944.0</v>
      </c>
      <c r="P246" s="49">
        <v>277984.0</v>
      </c>
      <c r="Q246" s="51">
        <v>0.0</v>
      </c>
      <c r="R246" s="51">
        <v>0.0</v>
      </c>
      <c r="S246" s="51">
        <v>0.0</v>
      </c>
      <c r="T246" s="51">
        <v>0.0</v>
      </c>
      <c r="U246" s="51">
        <v>1.0</v>
      </c>
      <c r="V246" s="35"/>
      <c r="W246" s="35"/>
      <c r="X246" s="35"/>
      <c r="Y246" s="35"/>
      <c r="Z246" s="35"/>
      <c r="AA246" s="35"/>
      <c r="AB246" s="35"/>
      <c r="AC246" s="35"/>
    </row>
    <row r="247">
      <c r="A247" s="26" t="s">
        <v>37</v>
      </c>
      <c r="B247" s="52">
        <v>2002.0</v>
      </c>
      <c r="C247" s="30" t="s">
        <v>39</v>
      </c>
      <c r="D247" s="32" t="s">
        <v>95</v>
      </c>
      <c r="E247" s="33">
        <v>50.0</v>
      </c>
      <c r="F247" s="7">
        <v>91.2</v>
      </c>
      <c r="G247" s="58">
        <v>333256.0</v>
      </c>
      <c r="H247" s="31">
        <f t="shared" si="1"/>
        <v>0.2736634899</v>
      </c>
      <c r="I247" s="54">
        <v>32.8</v>
      </c>
      <c r="J247" s="44">
        <v>4.61</v>
      </c>
      <c r="K247" s="61">
        <v>5598.25</v>
      </c>
      <c r="L247" s="46">
        <v>0.0</v>
      </c>
      <c r="M247" s="47">
        <v>3.891</v>
      </c>
      <c r="N247" s="48">
        <v>-3.27</v>
      </c>
      <c r="O247" s="49">
        <v>1278.0</v>
      </c>
      <c r="P247" s="49">
        <v>328461.0</v>
      </c>
      <c r="Q247" s="50">
        <v>1.0</v>
      </c>
      <c r="R247" s="51">
        <v>0.0</v>
      </c>
      <c r="S247" s="51">
        <v>0.0</v>
      </c>
      <c r="T247" s="51">
        <v>0.0</v>
      </c>
      <c r="U247" s="51">
        <v>0.0</v>
      </c>
      <c r="V247" s="35"/>
      <c r="W247" s="35"/>
      <c r="X247" s="35"/>
      <c r="Y247" s="35"/>
      <c r="Z247" s="35"/>
      <c r="AA247" s="35"/>
      <c r="AB247" s="35"/>
      <c r="AC247" s="35"/>
    </row>
    <row r="248">
      <c r="A248" s="30" t="s">
        <v>39</v>
      </c>
      <c r="B248" s="52">
        <v>2007.0</v>
      </c>
      <c r="C248" s="30" t="s">
        <v>41</v>
      </c>
      <c r="D248" s="32" t="s">
        <v>95</v>
      </c>
      <c r="E248" s="33">
        <v>50.0</v>
      </c>
      <c r="F248" s="7">
        <v>0.0</v>
      </c>
      <c r="G248" s="58">
        <v>335777.75</v>
      </c>
      <c r="H248" s="31">
        <f t="shared" si="1"/>
        <v>0</v>
      </c>
      <c r="I248" s="42">
        <v>40.1</v>
      </c>
      <c r="J248" s="53">
        <v>6.6</v>
      </c>
      <c r="K248" s="61">
        <v>7493.67</v>
      </c>
      <c r="L248" s="46">
        <v>0.0</v>
      </c>
      <c r="M248" s="47">
        <v>21.356</v>
      </c>
      <c r="N248" s="48">
        <v>-2.32</v>
      </c>
      <c r="O248" s="49">
        <v>1537.0</v>
      </c>
      <c r="P248" s="49">
        <v>333256.0</v>
      </c>
      <c r="Q248" s="51">
        <v>0.0</v>
      </c>
      <c r="R248" s="51">
        <v>1.0</v>
      </c>
      <c r="S248" s="51">
        <v>0.0</v>
      </c>
      <c r="T248" s="51">
        <v>0.0</v>
      </c>
      <c r="U248" s="51">
        <v>0.0</v>
      </c>
      <c r="V248" s="35"/>
      <c r="W248" s="35"/>
      <c r="X248" s="35"/>
      <c r="Y248" s="35"/>
      <c r="Z248" s="35"/>
      <c r="AA248" s="35"/>
      <c r="AB248" s="35"/>
      <c r="AC248" s="35"/>
    </row>
    <row r="249">
      <c r="A249" s="30" t="s">
        <v>41</v>
      </c>
      <c r="B249" s="52">
        <v>2011.0</v>
      </c>
      <c r="C249" s="30" t="s">
        <v>43</v>
      </c>
      <c r="D249" s="32" t="s">
        <v>95</v>
      </c>
      <c r="E249" s="33">
        <v>50.0</v>
      </c>
      <c r="F249" s="7">
        <v>0.0</v>
      </c>
      <c r="G249" s="58">
        <v>343118.25</v>
      </c>
      <c r="H249" s="31">
        <f t="shared" si="1"/>
        <v>0</v>
      </c>
      <c r="I249" s="42">
        <v>52.68</v>
      </c>
      <c r="J249" s="53">
        <v>9.41</v>
      </c>
      <c r="K249" s="61">
        <v>11226.25</v>
      </c>
      <c r="L249" s="46">
        <v>1.0</v>
      </c>
      <c r="M249" s="47">
        <v>47.178</v>
      </c>
      <c r="N249" s="48">
        <v>-0.58</v>
      </c>
      <c r="O249" s="49">
        <v>2825.66666666667</v>
      </c>
      <c r="P249" s="49">
        <v>335777.75</v>
      </c>
      <c r="Q249" s="51">
        <v>0.0</v>
      </c>
      <c r="R249" s="51">
        <v>0.0</v>
      </c>
      <c r="S249" s="51">
        <v>1.0</v>
      </c>
      <c r="T249" s="51">
        <v>0.0</v>
      </c>
      <c r="U249" s="51">
        <v>0.0</v>
      </c>
      <c r="V249" s="35"/>
      <c r="W249" s="35"/>
      <c r="X249" s="35"/>
      <c r="Y249" s="35"/>
      <c r="Z249" s="35"/>
      <c r="AA249" s="35"/>
      <c r="AB249" s="35"/>
      <c r="AC249" s="35"/>
    </row>
    <row r="250">
      <c r="A250" s="30" t="s">
        <v>43</v>
      </c>
      <c r="B250" s="52">
        <v>2015.0</v>
      </c>
      <c r="C250" s="30">
        <v>2016.0</v>
      </c>
      <c r="D250" s="55" t="s">
        <v>95</v>
      </c>
      <c r="E250" s="33">
        <v>50.0</v>
      </c>
      <c r="F250" s="7">
        <v>0.0</v>
      </c>
      <c r="G250" s="58">
        <v>351684.0</v>
      </c>
      <c r="H250" s="31">
        <f t="shared" si="1"/>
        <v>0</v>
      </c>
      <c r="I250" s="54">
        <v>41.74</v>
      </c>
      <c r="J250" s="56">
        <v>13.28</v>
      </c>
      <c r="K250" s="61">
        <v>12435.5</v>
      </c>
      <c r="L250" s="46">
        <v>0.0</v>
      </c>
      <c r="M250" s="47">
        <v>83.469</v>
      </c>
      <c r="N250" s="48">
        <v>2.32</v>
      </c>
      <c r="O250" s="49">
        <v>2981.75</v>
      </c>
      <c r="P250" s="49">
        <v>343118.25</v>
      </c>
      <c r="Q250" s="51">
        <v>0.0</v>
      </c>
      <c r="R250" s="51">
        <v>0.0</v>
      </c>
      <c r="S250" s="51">
        <v>0.0</v>
      </c>
      <c r="T250" s="51">
        <v>1.0</v>
      </c>
      <c r="U250" s="51">
        <v>0.0</v>
      </c>
      <c r="V250" s="35"/>
      <c r="W250" s="35"/>
      <c r="X250" s="35"/>
      <c r="Y250" s="35"/>
      <c r="Z250" s="35"/>
      <c r="AA250" s="35"/>
      <c r="AB250" s="35"/>
      <c r="AC250" s="35"/>
    </row>
    <row r="251">
      <c r="A251" s="26">
        <v>2016.0</v>
      </c>
      <c r="B251" s="52">
        <v>2016.0</v>
      </c>
      <c r="C251" s="30" t="s">
        <v>45</v>
      </c>
      <c r="D251" s="55" t="s">
        <v>95</v>
      </c>
      <c r="E251" s="33">
        <v>50.0</v>
      </c>
      <c r="F251" s="7">
        <v>399.5</v>
      </c>
      <c r="G251" s="58">
        <v>358455.0</v>
      </c>
      <c r="H251" s="31">
        <f t="shared" si="1"/>
        <v>1.114505308</v>
      </c>
      <c r="I251" s="54">
        <v>55.7</v>
      </c>
      <c r="J251" s="56">
        <v>13.84</v>
      </c>
      <c r="K251" s="62">
        <v>11014.0</v>
      </c>
      <c r="L251" s="46">
        <v>0.0</v>
      </c>
      <c r="M251" s="47">
        <v>97.424</v>
      </c>
      <c r="N251" s="48">
        <v>8.6</v>
      </c>
      <c r="O251" s="49">
        <v>4174.0</v>
      </c>
      <c r="P251" s="49">
        <v>351684.0</v>
      </c>
      <c r="Q251" s="51">
        <v>0.0</v>
      </c>
      <c r="R251" s="51">
        <v>0.0</v>
      </c>
      <c r="S251" s="51">
        <v>0.0</v>
      </c>
      <c r="T251" s="51">
        <v>0.0</v>
      </c>
      <c r="U251" s="51">
        <v>1.0</v>
      </c>
      <c r="V251" s="35"/>
      <c r="W251" s="35"/>
      <c r="X251" s="35"/>
      <c r="Y251" s="35"/>
      <c r="Z251" s="35"/>
      <c r="AA251" s="35"/>
      <c r="AB251" s="35"/>
      <c r="AC251" s="35"/>
    </row>
    <row r="252">
      <c r="A252" s="26" t="s">
        <v>37</v>
      </c>
      <c r="B252" s="52">
        <v>2002.0</v>
      </c>
      <c r="C252" s="30" t="s">
        <v>39</v>
      </c>
      <c r="D252" s="32" t="s">
        <v>96</v>
      </c>
      <c r="E252" s="33">
        <v>51.0</v>
      </c>
      <c r="F252" s="35">
        <v>140.8</v>
      </c>
      <c r="G252" s="31">
        <v>223170.0</v>
      </c>
      <c r="H252" s="31">
        <f t="shared" si="1"/>
        <v>0.6309091724</v>
      </c>
      <c r="I252" s="42">
        <v>31.16</v>
      </c>
      <c r="J252" s="44">
        <v>0.03</v>
      </c>
      <c r="K252" s="61">
        <v>3516.15</v>
      </c>
      <c r="L252" s="46">
        <v>0.0</v>
      </c>
      <c r="M252" s="47">
        <v>3.882</v>
      </c>
      <c r="N252" s="48">
        <v>1.8</v>
      </c>
      <c r="O252" s="49">
        <v>983.0</v>
      </c>
      <c r="P252" s="49">
        <v>253239.0</v>
      </c>
      <c r="Q252" s="50">
        <v>1.0</v>
      </c>
      <c r="R252" s="51">
        <v>0.0</v>
      </c>
      <c r="S252" s="51">
        <v>0.0</v>
      </c>
      <c r="T252" s="51">
        <v>0.0</v>
      </c>
      <c r="U252" s="51">
        <v>0.0</v>
      </c>
      <c r="V252" s="35"/>
      <c r="W252" s="35"/>
      <c r="X252" s="35"/>
      <c r="Y252" s="35"/>
      <c r="Z252" s="35"/>
      <c r="AA252" s="35"/>
      <c r="AB252" s="35"/>
      <c r="AC252" s="35"/>
    </row>
    <row r="253">
      <c r="A253" s="30" t="s">
        <v>39</v>
      </c>
      <c r="B253" s="52">
        <v>2007.0</v>
      </c>
      <c r="C253" s="30" t="s">
        <v>41</v>
      </c>
      <c r="D253" s="32" t="s">
        <v>96</v>
      </c>
      <c r="E253" s="33">
        <v>51.0</v>
      </c>
      <c r="F253" s="35">
        <v>342.0</v>
      </c>
      <c r="G253" s="31">
        <v>222182.0</v>
      </c>
      <c r="H253" s="31">
        <f t="shared" si="1"/>
        <v>1.539278609</v>
      </c>
      <c r="I253" s="42">
        <v>44.26</v>
      </c>
      <c r="J253" s="53">
        <v>5.97</v>
      </c>
      <c r="K253" s="61">
        <v>4698.04</v>
      </c>
      <c r="L253" s="46">
        <v>0.0</v>
      </c>
      <c r="M253" s="47">
        <v>23.582</v>
      </c>
      <c r="N253" s="48">
        <v>-4.66</v>
      </c>
      <c r="O253" s="49">
        <v>1447.25</v>
      </c>
      <c r="P253" s="49">
        <v>223170.0</v>
      </c>
      <c r="Q253" s="51">
        <v>0.0</v>
      </c>
      <c r="R253" s="51">
        <v>1.0</v>
      </c>
      <c r="S253" s="51">
        <v>0.0</v>
      </c>
      <c r="T253" s="51">
        <v>0.0</v>
      </c>
      <c r="U253" s="51">
        <v>0.0</v>
      </c>
      <c r="V253" s="35"/>
      <c r="W253" s="35"/>
      <c r="X253" s="35"/>
      <c r="Y253" s="35"/>
      <c r="Z253" s="35"/>
      <c r="AA253" s="35"/>
      <c r="AB253" s="35"/>
      <c r="AC253" s="35"/>
    </row>
    <row r="254">
      <c r="A254" s="30" t="s">
        <v>41</v>
      </c>
      <c r="B254" s="52">
        <v>2011.0</v>
      </c>
      <c r="C254" s="30" t="s">
        <v>43</v>
      </c>
      <c r="D254" s="32" t="s">
        <v>96</v>
      </c>
      <c r="E254" s="33">
        <v>51.0</v>
      </c>
      <c r="F254" s="35">
        <v>267.0</v>
      </c>
      <c r="G254" s="31">
        <v>223244.0</v>
      </c>
      <c r="H254" s="31">
        <f t="shared" si="1"/>
        <v>1.196000788</v>
      </c>
      <c r="I254" s="54">
        <v>50.2</v>
      </c>
      <c r="J254" s="53">
        <v>9.12</v>
      </c>
      <c r="K254" s="61">
        <v>7203.0</v>
      </c>
      <c r="L254" s="46">
        <v>0.0</v>
      </c>
      <c r="M254" s="47">
        <v>56.174</v>
      </c>
      <c r="N254" s="48">
        <v>-9.66</v>
      </c>
      <c r="O254" s="49">
        <v>1800.66666666667</v>
      </c>
      <c r="P254" s="49">
        <v>222182.0</v>
      </c>
      <c r="Q254" s="51">
        <v>0.0</v>
      </c>
      <c r="R254" s="51">
        <v>0.0</v>
      </c>
      <c r="S254" s="51">
        <v>1.0</v>
      </c>
      <c r="T254" s="51">
        <v>0.0</v>
      </c>
      <c r="U254" s="51">
        <v>0.0</v>
      </c>
      <c r="V254" s="35"/>
      <c r="W254" s="35"/>
      <c r="X254" s="35"/>
      <c r="Y254" s="35"/>
      <c r="Z254" s="35"/>
      <c r="AA254" s="35"/>
      <c r="AB254" s="35"/>
      <c r="AC254" s="35"/>
    </row>
    <row r="255">
      <c r="A255" s="30" t="s">
        <v>43</v>
      </c>
      <c r="B255" s="52">
        <v>2015.0</v>
      </c>
      <c r="C255" s="30">
        <v>2016.0</v>
      </c>
      <c r="D255" s="55" t="s">
        <v>96</v>
      </c>
      <c r="E255" s="33">
        <v>51.0</v>
      </c>
      <c r="F255" s="35">
        <v>0.0</v>
      </c>
      <c r="G255" s="31">
        <v>229975.0</v>
      </c>
      <c r="H255" s="31">
        <f t="shared" si="1"/>
        <v>0</v>
      </c>
      <c r="I255" s="54">
        <v>39.6</v>
      </c>
      <c r="J255" s="56">
        <v>13.42</v>
      </c>
      <c r="K255" s="61">
        <v>7991.5</v>
      </c>
      <c r="L255" s="46">
        <v>0.0</v>
      </c>
      <c r="M255" s="47">
        <v>101.082</v>
      </c>
      <c r="N255" s="48">
        <v>-4.58</v>
      </c>
      <c r="O255" s="49">
        <v>11219.0</v>
      </c>
      <c r="P255" s="49">
        <v>223244.0</v>
      </c>
      <c r="Q255" s="51">
        <v>0.0</v>
      </c>
      <c r="R255" s="51">
        <v>0.0</v>
      </c>
      <c r="S255" s="51">
        <v>0.0</v>
      </c>
      <c r="T255" s="51">
        <v>1.0</v>
      </c>
      <c r="U255" s="51">
        <v>0.0</v>
      </c>
      <c r="V255" s="35"/>
      <c r="W255" s="35"/>
      <c r="X255" s="35"/>
      <c r="Y255" s="35"/>
      <c r="Z255" s="35"/>
      <c r="AA255" s="35"/>
      <c r="AB255" s="35"/>
      <c r="AC255" s="35"/>
    </row>
    <row r="256">
      <c r="A256" s="30">
        <v>2016.0</v>
      </c>
      <c r="B256" s="52">
        <v>2016.0</v>
      </c>
      <c r="C256" s="30" t="s">
        <v>45</v>
      </c>
      <c r="D256" s="55" t="s">
        <v>96</v>
      </c>
      <c r="E256" s="33">
        <v>51.0</v>
      </c>
      <c r="F256" s="35">
        <v>745.5</v>
      </c>
      <c r="G256" s="31">
        <v>238198.5</v>
      </c>
      <c r="H256" s="31">
        <f t="shared" si="1"/>
        <v>3.129742631</v>
      </c>
      <c r="I256" s="54">
        <v>50.7</v>
      </c>
      <c r="J256" s="56">
        <v>14.22</v>
      </c>
      <c r="K256" s="62">
        <v>7492.0</v>
      </c>
      <c r="L256" s="46">
        <v>0.0</v>
      </c>
      <c r="M256" s="47">
        <v>116.762</v>
      </c>
      <c r="N256" s="48">
        <v>2.65</v>
      </c>
      <c r="O256" s="49">
        <v>2806.0</v>
      </c>
      <c r="P256" s="49">
        <v>229975.0</v>
      </c>
      <c r="Q256" s="51">
        <v>0.0</v>
      </c>
      <c r="R256" s="51">
        <v>0.0</v>
      </c>
      <c r="S256" s="51">
        <v>0.0</v>
      </c>
      <c r="T256" s="51">
        <v>0.0</v>
      </c>
      <c r="U256" s="51">
        <v>1.0</v>
      </c>
      <c r="V256" s="35"/>
      <c r="W256" s="35"/>
      <c r="X256" s="35"/>
      <c r="Y256" s="35"/>
      <c r="Z256" s="35"/>
      <c r="AA256" s="35"/>
      <c r="AB256" s="35"/>
      <c r="AC256" s="35"/>
    </row>
    <row r="257">
      <c r="A257" s="26" t="s">
        <v>37</v>
      </c>
      <c r="B257" s="52">
        <v>2002.0</v>
      </c>
      <c r="C257" s="30" t="s">
        <v>39</v>
      </c>
      <c r="D257" s="32" t="s">
        <v>97</v>
      </c>
      <c r="E257" s="33">
        <v>52.0</v>
      </c>
      <c r="F257" s="35">
        <v>1149.6</v>
      </c>
      <c r="G257" s="31">
        <v>1437926.0</v>
      </c>
      <c r="H257" s="31">
        <f t="shared" si="1"/>
        <v>0.7994848135</v>
      </c>
      <c r="I257" s="42">
        <v>42.85</v>
      </c>
      <c r="J257" s="44">
        <v>4.38</v>
      </c>
      <c r="K257" s="61">
        <v>7978.05</v>
      </c>
      <c r="L257" s="46">
        <v>0.0</v>
      </c>
      <c r="M257" s="47">
        <v>4.227</v>
      </c>
      <c r="N257" s="48">
        <v>-4.51</v>
      </c>
      <c r="O257" s="49">
        <v>5098.0</v>
      </c>
      <c r="P257" s="49">
        <v>1206085.0</v>
      </c>
      <c r="Q257" s="50">
        <v>1.0</v>
      </c>
      <c r="R257" s="51">
        <v>0.0</v>
      </c>
      <c r="S257" s="51">
        <v>0.0</v>
      </c>
      <c r="T257" s="51">
        <v>0.0</v>
      </c>
      <c r="U257" s="51">
        <v>0.0</v>
      </c>
      <c r="V257" s="35"/>
      <c r="W257" s="35"/>
      <c r="X257" s="35"/>
      <c r="Y257" s="35"/>
      <c r="Z257" s="35"/>
      <c r="AA257" s="35"/>
      <c r="AB257" s="35"/>
      <c r="AC257" s="35"/>
    </row>
    <row r="258">
      <c r="A258" s="30" t="s">
        <v>39</v>
      </c>
      <c r="B258" s="52">
        <v>2007.0</v>
      </c>
      <c r="C258" s="30" t="s">
        <v>41</v>
      </c>
      <c r="D258" s="32" t="s">
        <v>97</v>
      </c>
      <c r="E258" s="33">
        <v>52.0</v>
      </c>
      <c r="F258" s="35">
        <v>538.5</v>
      </c>
      <c r="G258" s="31">
        <v>1543656.0</v>
      </c>
      <c r="H258" s="31">
        <f t="shared" si="1"/>
        <v>0.3488471525</v>
      </c>
      <c r="I258" s="42">
        <v>49.26</v>
      </c>
      <c r="J258" s="53">
        <v>7.35</v>
      </c>
      <c r="K258" s="61">
        <v>11173.22</v>
      </c>
      <c r="L258" s="46">
        <v>0.0</v>
      </c>
      <c r="M258" s="47">
        <v>17.915</v>
      </c>
      <c r="N258" s="48">
        <v>5.53</v>
      </c>
      <c r="O258" s="49">
        <v>7372.25</v>
      </c>
      <c r="P258" s="49">
        <v>1437926.0</v>
      </c>
      <c r="Q258" s="51">
        <v>0.0</v>
      </c>
      <c r="R258" s="51">
        <v>1.0</v>
      </c>
      <c r="S258" s="51">
        <v>0.0</v>
      </c>
      <c r="T258" s="51">
        <v>0.0</v>
      </c>
      <c r="U258" s="51">
        <v>0.0</v>
      </c>
      <c r="V258" s="35"/>
      <c r="W258" s="35"/>
      <c r="X258" s="35"/>
      <c r="Y258" s="35"/>
      <c r="Z258" s="35"/>
      <c r="AA258" s="35"/>
      <c r="AB258" s="35"/>
      <c r="AC258" s="35"/>
    </row>
    <row r="259">
      <c r="A259" s="30" t="s">
        <v>41</v>
      </c>
      <c r="B259" s="52">
        <v>2011.0</v>
      </c>
      <c r="C259" s="30" t="s">
        <v>43</v>
      </c>
      <c r="D259" s="32" t="s">
        <v>97</v>
      </c>
      <c r="E259" s="33">
        <v>52.0</v>
      </c>
      <c r="F259" s="35">
        <v>400.25</v>
      </c>
      <c r="G259" s="31">
        <v>1703435.75</v>
      </c>
      <c r="H259" s="31">
        <f t="shared" si="1"/>
        <v>0.2349663027</v>
      </c>
      <c r="I259" s="54">
        <v>52.7</v>
      </c>
      <c r="J259" s="53">
        <v>10.89</v>
      </c>
      <c r="K259" s="61">
        <v>16180.5</v>
      </c>
      <c r="L259" s="46">
        <v>1.0</v>
      </c>
      <c r="M259" s="47">
        <v>49.637</v>
      </c>
      <c r="N259" s="48">
        <v>11.08</v>
      </c>
      <c r="O259" s="49">
        <v>12879.3333333333</v>
      </c>
      <c r="P259" s="49">
        <v>1543656.0</v>
      </c>
      <c r="Q259" s="51">
        <v>0.0</v>
      </c>
      <c r="R259" s="51">
        <v>0.0</v>
      </c>
      <c r="S259" s="51">
        <v>1.0</v>
      </c>
      <c r="T259" s="51">
        <v>0.0</v>
      </c>
      <c r="U259" s="51">
        <v>0.0</v>
      </c>
      <c r="V259" s="35"/>
      <c r="W259" s="35"/>
      <c r="X259" s="35"/>
      <c r="Y259" s="35"/>
      <c r="Z259" s="35"/>
      <c r="AA259" s="35"/>
      <c r="AB259" s="35"/>
      <c r="AC259" s="35"/>
    </row>
    <row r="260">
      <c r="A260" s="30" t="s">
        <v>43</v>
      </c>
      <c r="B260" s="52">
        <v>2015.0</v>
      </c>
      <c r="C260" s="30">
        <v>2016.0</v>
      </c>
      <c r="D260" s="55" t="s">
        <v>97</v>
      </c>
      <c r="E260" s="33">
        <v>52.0</v>
      </c>
      <c r="F260" s="35">
        <v>138.0</v>
      </c>
      <c r="G260" s="31">
        <v>1830772.0</v>
      </c>
      <c r="H260" s="31">
        <f t="shared" si="1"/>
        <v>0.07537803724</v>
      </c>
      <c r="I260" s="54">
        <v>46.3</v>
      </c>
      <c r="J260" s="56">
        <v>15.1</v>
      </c>
      <c r="K260" s="61">
        <v>19231.75</v>
      </c>
      <c r="L260" s="46">
        <v>0.0</v>
      </c>
      <c r="M260" s="47">
        <v>94.258</v>
      </c>
      <c r="N260" s="48">
        <v>9.89</v>
      </c>
      <c r="O260" s="49">
        <v>19513.5</v>
      </c>
      <c r="P260" s="49">
        <v>1703435.75</v>
      </c>
      <c r="Q260" s="51">
        <v>0.0</v>
      </c>
      <c r="R260" s="51">
        <v>0.0</v>
      </c>
      <c r="S260" s="51">
        <v>0.0</v>
      </c>
      <c r="T260" s="51">
        <v>1.0</v>
      </c>
      <c r="U260" s="51">
        <v>0.0</v>
      </c>
      <c r="V260" s="35"/>
      <c r="W260" s="35"/>
      <c r="X260" s="35"/>
      <c r="Y260" s="35"/>
      <c r="Z260" s="35"/>
      <c r="AA260" s="35"/>
      <c r="AB260" s="35"/>
      <c r="AC260" s="35"/>
    </row>
    <row r="261">
      <c r="A261" s="30">
        <v>2016.0</v>
      </c>
      <c r="B261" s="52">
        <v>2016.0</v>
      </c>
      <c r="C261" s="30" t="s">
        <v>45</v>
      </c>
      <c r="D261" s="55" t="s">
        <v>97</v>
      </c>
      <c r="E261" s="33">
        <v>52.0</v>
      </c>
      <c r="F261" s="35">
        <v>405.5</v>
      </c>
      <c r="G261" s="31">
        <v>1894830.5</v>
      </c>
      <c r="H261" s="31">
        <f t="shared" si="1"/>
        <v>0.2140033106</v>
      </c>
      <c r="I261" s="54">
        <v>56.5</v>
      </c>
      <c r="J261" s="56">
        <v>15.89</v>
      </c>
      <c r="K261" s="62">
        <v>17618.0</v>
      </c>
      <c r="L261" s="46">
        <v>0.0</v>
      </c>
      <c r="M261" s="47">
        <v>104.902</v>
      </c>
      <c r="N261" s="48">
        <v>15.48</v>
      </c>
      <c r="O261" s="49">
        <v>18463.0</v>
      </c>
      <c r="P261" s="49">
        <v>1830772.0</v>
      </c>
      <c r="Q261" s="51">
        <v>0.0</v>
      </c>
      <c r="R261" s="51">
        <v>0.0</v>
      </c>
      <c r="S261" s="51">
        <v>0.0</v>
      </c>
      <c r="T261" s="51">
        <v>0.0</v>
      </c>
      <c r="U261" s="51">
        <v>1.0</v>
      </c>
      <c r="V261" s="35"/>
      <c r="W261" s="35"/>
      <c r="X261" s="35"/>
      <c r="Y261" s="35"/>
      <c r="Z261" s="35"/>
      <c r="AA261" s="35"/>
      <c r="AB261" s="35"/>
      <c r="AC261" s="35"/>
    </row>
    <row r="262">
      <c r="A262" s="26" t="s">
        <v>37</v>
      </c>
      <c r="B262" s="52">
        <v>2002.0</v>
      </c>
      <c r="C262" s="30" t="s">
        <v>39</v>
      </c>
      <c r="D262" s="32" t="s">
        <v>98</v>
      </c>
      <c r="E262" s="33">
        <v>53.0</v>
      </c>
      <c r="F262" s="35">
        <v>1360.0</v>
      </c>
      <c r="G262" s="31">
        <v>1959082.0</v>
      </c>
      <c r="H262" s="31">
        <f t="shared" si="1"/>
        <v>0.6942026929</v>
      </c>
      <c r="I262" s="42">
        <v>54.94</v>
      </c>
      <c r="J262" s="44">
        <v>3.38</v>
      </c>
      <c r="K262" s="61">
        <v>3968.15</v>
      </c>
      <c r="L262" s="46">
        <v>0.0</v>
      </c>
      <c r="M262" s="47">
        <v>3.088</v>
      </c>
      <c r="N262" s="48">
        <v>0.02</v>
      </c>
      <c r="O262" s="49">
        <v>6769.0</v>
      </c>
      <c r="P262" s="49">
        <v>2192166.0</v>
      </c>
      <c r="Q262" s="50">
        <v>1.0</v>
      </c>
      <c r="R262" s="51">
        <v>0.0</v>
      </c>
      <c r="S262" s="51">
        <v>0.0</v>
      </c>
      <c r="T262" s="51">
        <v>0.0</v>
      </c>
      <c r="U262" s="51">
        <v>0.0</v>
      </c>
      <c r="V262" s="35"/>
      <c r="W262" s="35"/>
      <c r="X262" s="35"/>
      <c r="Y262" s="35"/>
      <c r="Z262" s="35"/>
      <c r="AA262" s="35"/>
      <c r="AB262" s="35"/>
      <c r="AC262" s="35"/>
    </row>
    <row r="263">
      <c r="A263" s="30" t="s">
        <v>39</v>
      </c>
      <c r="B263" s="52">
        <v>2007.0</v>
      </c>
      <c r="C263" s="30" t="s">
        <v>41</v>
      </c>
      <c r="D263" s="32" t="s">
        <v>98</v>
      </c>
      <c r="E263" s="33">
        <v>53.0</v>
      </c>
      <c r="F263" s="35">
        <v>1601.5</v>
      </c>
      <c r="G263" s="31">
        <v>2003735.75</v>
      </c>
      <c r="H263" s="31">
        <f t="shared" si="1"/>
        <v>0.7992570877</v>
      </c>
      <c r="I263" s="42">
        <v>65.31</v>
      </c>
      <c r="J263" s="53">
        <v>5.96</v>
      </c>
      <c r="K263" s="61">
        <v>5323.15</v>
      </c>
      <c r="L263" s="46">
        <v>0.0</v>
      </c>
      <c r="M263" s="47">
        <v>19.792</v>
      </c>
      <c r="N263" s="48">
        <v>-2.84</v>
      </c>
      <c r="O263" s="49">
        <v>8277.75</v>
      </c>
      <c r="P263" s="49">
        <v>1959082.0</v>
      </c>
      <c r="Q263" s="51">
        <v>0.0</v>
      </c>
      <c r="R263" s="51">
        <v>1.0</v>
      </c>
      <c r="S263" s="51">
        <v>0.0</v>
      </c>
      <c r="T263" s="51">
        <v>0.0</v>
      </c>
      <c r="U263" s="51">
        <v>0.0</v>
      </c>
      <c r="V263" s="35"/>
      <c r="W263" s="35"/>
      <c r="X263" s="35"/>
      <c r="Y263" s="35"/>
      <c r="Z263" s="35"/>
      <c r="AA263" s="35"/>
      <c r="AB263" s="35"/>
      <c r="AC263" s="35"/>
    </row>
    <row r="264">
      <c r="A264" s="30" t="s">
        <v>41</v>
      </c>
      <c r="B264" s="52">
        <v>2011.0</v>
      </c>
      <c r="C264" s="30" t="s">
        <v>43</v>
      </c>
      <c r="D264" s="32" t="s">
        <v>98</v>
      </c>
      <c r="E264" s="33">
        <v>53.0</v>
      </c>
      <c r="F264" s="35">
        <v>974.0</v>
      </c>
      <c r="G264" s="31">
        <v>2092714.5</v>
      </c>
      <c r="H264" s="31">
        <f t="shared" si="1"/>
        <v>0.4654242134</v>
      </c>
      <c r="I264" s="54">
        <v>69.6</v>
      </c>
      <c r="J264" s="53">
        <v>8.7</v>
      </c>
      <c r="K264" s="61">
        <v>7714.0</v>
      </c>
      <c r="L264" s="46">
        <v>0.0</v>
      </c>
      <c r="M264" s="47">
        <v>42.503</v>
      </c>
      <c r="N264" s="48">
        <v>-4.19</v>
      </c>
      <c r="O264" s="49">
        <v>16037.6666666667</v>
      </c>
      <c r="P264" s="49">
        <v>2003735.75</v>
      </c>
      <c r="Q264" s="51">
        <v>0.0</v>
      </c>
      <c r="R264" s="51">
        <v>0.0</v>
      </c>
      <c r="S264" s="51">
        <v>1.0</v>
      </c>
      <c r="T264" s="51">
        <v>0.0</v>
      </c>
      <c r="U264" s="51">
        <v>0.0</v>
      </c>
      <c r="V264" s="35"/>
      <c r="W264" s="35"/>
      <c r="X264" s="35"/>
      <c r="Y264" s="35"/>
      <c r="Z264" s="35"/>
      <c r="AA264" s="35"/>
      <c r="AB264" s="35"/>
      <c r="AC264" s="35"/>
    </row>
    <row r="265">
      <c r="A265" s="30" t="s">
        <v>43</v>
      </c>
      <c r="B265" s="52">
        <v>2015.0</v>
      </c>
      <c r="C265" s="30">
        <v>2016.0</v>
      </c>
      <c r="D265" s="55" t="s">
        <v>98</v>
      </c>
      <c r="E265" s="33">
        <v>53.0</v>
      </c>
      <c r="F265" s="35">
        <v>2531.0</v>
      </c>
      <c r="G265" s="31">
        <v>2161303.0</v>
      </c>
      <c r="H265" s="31">
        <f t="shared" si="1"/>
        <v>1.171052832</v>
      </c>
      <c r="I265" s="54">
        <v>65.4</v>
      </c>
      <c r="J265" s="56">
        <v>12.06</v>
      </c>
      <c r="K265" s="61">
        <v>9099.5</v>
      </c>
      <c r="L265" s="46">
        <v>0.0</v>
      </c>
      <c r="M265" s="47">
        <v>78.469</v>
      </c>
      <c r="N265" s="48">
        <v>-0.28</v>
      </c>
      <c r="O265" s="49">
        <v>20430.25</v>
      </c>
      <c r="P265" s="49">
        <v>2092714.5</v>
      </c>
      <c r="Q265" s="51">
        <v>0.0</v>
      </c>
      <c r="R265" s="51">
        <v>0.0</v>
      </c>
      <c r="S265" s="51">
        <v>0.0</v>
      </c>
      <c r="T265" s="51">
        <v>1.0</v>
      </c>
      <c r="U265" s="51">
        <v>0.0</v>
      </c>
      <c r="V265" s="35"/>
      <c r="W265" s="35"/>
      <c r="X265" s="35"/>
      <c r="Y265" s="35"/>
      <c r="Z265" s="35"/>
      <c r="AA265" s="35"/>
      <c r="AB265" s="35"/>
      <c r="AC265" s="35"/>
    </row>
    <row r="266">
      <c r="A266" s="30">
        <v>2016.0</v>
      </c>
      <c r="B266" s="52">
        <v>2016.0</v>
      </c>
      <c r="C266" s="30" t="s">
        <v>45</v>
      </c>
      <c r="D266" s="55" t="s">
        <v>98</v>
      </c>
      <c r="E266" s="33">
        <v>53.0</v>
      </c>
      <c r="F266" s="35">
        <v>909.5</v>
      </c>
      <c r="G266" s="31">
        <v>2192879.0</v>
      </c>
      <c r="H266" s="31">
        <f t="shared" si="1"/>
        <v>0.4147515663</v>
      </c>
      <c r="I266" s="54">
        <v>74.5</v>
      </c>
      <c r="J266" s="56">
        <v>12.74</v>
      </c>
      <c r="K266" s="62">
        <v>8585.0</v>
      </c>
      <c r="L266" s="46">
        <v>0.0</v>
      </c>
      <c r="M266" s="47">
        <v>89.652</v>
      </c>
      <c r="N266" s="48">
        <v>0.36</v>
      </c>
      <c r="O266" s="49">
        <v>24326.0</v>
      </c>
      <c r="P266" s="49">
        <v>2161303.0</v>
      </c>
      <c r="Q266" s="51">
        <v>0.0</v>
      </c>
      <c r="R266" s="51">
        <v>0.0</v>
      </c>
      <c r="S266" s="51">
        <v>0.0</v>
      </c>
      <c r="T266" s="51">
        <v>0.0</v>
      </c>
      <c r="U266" s="51">
        <v>1.0</v>
      </c>
      <c r="V266" s="35"/>
      <c r="W266" s="35"/>
      <c r="X266" s="35"/>
      <c r="Y266" s="35"/>
      <c r="Z266" s="35"/>
      <c r="AA266" s="35"/>
      <c r="AB266" s="35"/>
      <c r="AC266" s="35"/>
    </row>
    <row r="267">
      <c r="A267" s="26" t="s">
        <v>37</v>
      </c>
      <c r="B267" s="52">
        <v>2002.0</v>
      </c>
      <c r="C267" s="30" t="s">
        <v>39</v>
      </c>
      <c r="D267" s="32" t="s">
        <v>99</v>
      </c>
      <c r="E267" s="33">
        <v>54.0</v>
      </c>
      <c r="F267" s="35">
        <v>520.0</v>
      </c>
      <c r="G267" s="31">
        <v>583910.0</v>
      </c>
      <c r="H267" s="31">
        <f t="shared" si="1"/>
        <v>0.8905482009</v>
      </c>
      <c r="I267" s="42">
        <v>48.97</v>
      </c>
      <c r="J267" s="44">
        <v>3.02</v>
      </c>
      <c r="K267" s="61">
        <v>3700.4</v>
      </c>
      <c r="L267" s="46">
        <v>0.0</v>
      </c>
      <c r="M267" s="47">
        <v>3.247</v>
      </c>
      <c r="N267" s="48">
        <v>0.14</v>
      </c>
      <c r="O267" s="49">
        <v>2133.0</v>
      </c>
      <c r="P267" s="49">
        <v>656903.0</v>
      </c>
      <c r="Q267" s="50">
        <v>1.0</v>
      </c>
      <c r="R267" s="51">
        <v>0.0</v>
      </c>
      <c r="S267" s="51">
        <v>0.0</v>
      </c>
      <c r="T267" s="51">
        <v>0.0</v>
      </c>
      <c r="U267" s="51">
        <v>0.0</v>
      </c>
      <c r="V267" s="35"/>
      <c r="W267" s="35"/>
      <c r="X267" s="35"/>
      <c r="Y267" s="35"/>
      <c r="Z267" s="35"/>
      <c r="AA267" s="35"/>
      <c r="AB267" s="35"/>
      <c r="AC267" s="35"/>
    </row>
    <row r="268">
      <c r="A268" s="30" t="s">
        <v>39</v>
      </c>
      <c r="B268" s="52">
        <v>2007.0</v>
      </c>
      <c r="C268" s="30" t="s">
        <v>41</v>
      </c>
      <c r="D268" s="32" t="s">
        <v>99</v>
      </c>
      <c r="E268" s="33">
        <v>54.0</v>
      </c>
      <c r="F268" s="35">
        <v>838.5</v>
      </c>
      <c r="G268" s="31">
        <v>573112.0</v>
      </c>
      <c r="H268" s="31">
        <f t="shared" si="1"/>
        <v>1.463064811</v>
      </c>
      <c r="I268" s="42">
        <v>62.35</v>
      </c>
      <c r="J268" s="53">
        <v>4.89</v>
      </c>
      <c r="K268" s="61">
        <v>5086.09</v>
      </c>
      <c r="L268" s="46">
        <v>0.0</v>
      </c>
      <c r="M268" s="47">
        <v>16.922</v>
      </c>
      <c r="N268" s="48">
        <v>-6.6</v>
      </c>
      <c r="O268" s="49">
        <v>2365.75</v>
      </c>
      <c r="P268" s="49">
        <v>583910.0</v>
      </c>
      <c r="Q268" s="51">
        <v>0.0</v>
      </c>
      <c r="R268" s="51">
        <v>1.0</v>
      </c>
      <c r="S268" s="51">
        <v>0.0</v>
      </c>
      <c r="T268" s="51">
        <v>0.0</v>
      </c>
      <c r="U268" s="51">
        <v>0.0</v>
      </c>
      <c r="V268" s="35"/>
      <c r="W268" s="35"/>
      <c r="X268" s="35"/>
      <c r="Y268" s="35"/>
      <c r="Z268" s="35"/>
      <c r="AA268" s="35"/>
      <c r="AB268" s="35"/>
      <c r="AC268" s="35"/>
    </row>
    <row r="269">
      <c r="A269" s="30" t="s">
        <v>41</v>
      </c>
      <c r="B269" s="52">
        <v>2011.0</v>
      </c>
      <c r="C269" s="30" t="s">
        <v>43</v>
      </c>
      <c r="D269" s="32" t="s">
        <v>99</v>
      </c>
      <c r="E269" s="33">
        <v>54.0</v>
      </c>
      <c r="F269" s="35">
        <v>775.0</v>
      </c>
      <c r="G269" s="31">
        <v>572124.25</v>
      </c>
      <c r="H269" s="31">
        <f t="shared" si="1"/>
        <v>1.354600858</v>
      </c>
      <c r="I269" s="54">
        <v>64.6</v>
      </c>
      <c r="J269" s="53">
        <v>7.5</v>
      </c>
      <c r="K269" s="61">
        <v>7960.25</v>
      </c>
      <c r="L269" s="46">
        <v>1.0</v>
      </c>
      <c r="M269" s="47">
        <v>37.425</v>
      </c>
      <c r="N269" s="48">
        <v>-8.74</v>
      </c>
      <c r="O269" s="49">
        <v>3341.33333333333</v>
      </c>
      <c r="P269" s="49">
        <v>573112.0</v>
      </c>
      <c r="Q269" s="51">
        <v>0.0</v>
      </c>
      <c r="R269" s="51">
        <v>0.0</v>
      </c>
      <c r="S269" s="51">
        <v>1.0</v>
      </c>
      <c r="T269" s="51">
        <v>0.0</v>
      </c>
      <c r="U269" s="51">
        <v>0.0</v>
      </c>
      <c r="V269" s="35"/>
      <c r="W269" s="35"/>
      <c r="X269" s="35"/>
      <c r="Y269" s="35"/>
      <c r="Z269" s="35"/>
      <c r="AA269" s="35"/>
      <c r="AB269" s="35"/>
      <c r="AC269" s="35"/>
    </row>
    <row r="270">
      <c r="A270" s="30" t="s">
        <v>43</v>
      </c>
      <c r="B270" s="52">
        <v>2015.0</v>
      </c>
      <c r="C270" s="30">
        <v>2016.0</v>
      </c>
      <c r="D270" s="55" t="s">
        <v>99</v>
      </c>
      <c r="E270" s="33">
        <v>54.0</v>
      </c>
      <c r="F270" s="35">
        <v>848.0</v>
      </c>
      <c r="G270" s="31">
        <v>573642.0</v>
      </c>
      <c r="H270" s="31">
        <f t="shared" si="1"/>
        <v>1.478273906</v>
      </c>
      <c r="I270" s="54">
        <v>54.6</v>
      </c>
      <c r="J270" s="56">
        <v>11.37</v>
      </c>
      <c r="K270" s="61">
        <v>8782.75</v>
      </c>
      <c r="L270" s="46">
        <v>0.0</v>
      </c>
      <c r="M270" s="47">
        <v>76.972</v>
      </c>
      <c r="N270" s="48">
        <v>-2.38</v>
      </c>
      <c r="O270" s="49">
        <v>6332.5</v>
      </c>
      <c r="P270" s="49">
        <v>572124.25</v>
      </c>
      <c r="Q270" s="51">
        <v>0.0</v>
      </c>
      <c r="R270" s="51">
        <v>0.0</v>
      </c>
      <c r="S270" s="51">
        <v>0.0</v>
      </c>
      <c r="T270" s="51">
        <v>1.0</v>
      </c>
      <c r="U270" s="51">
        <v>0.0</v>
      </c>
      <c r="V270" s="35"/>
      <c r="W270" s="35"/>
      <c r="X270" s="35"/>
      <c r="Y270" s="35"/>
      <c r="Z270" s="35"/>
      <c r="AA270" s="35"/>
      <c r="AB270" s="35"/>
      <c r="AC270" s="35"/>
    </row>
    <row r="271">
      <c r="A271" s="30">
        <v>2016.0</v>
      </c>
      <c r="B271" s="52">
        <v>2016.0</v>
      </c>
      <c r="C271" s="30" t="s">
        <v>45</v>
      </c>
      <c r="D271" s="55" t="s">
        <v>99</v>
      </c>
      <c r="E271" s="33">
        <v>54.0</v>
      </c>
      <c r="F271" s="35">
        <v>109.5</v>
      </c>
      <c r="G271" s="31">
        <v>575098.5</v>
      </c>
      <c r="H271" s="31">
        <f t="shared" si="1"/>
        <v>0.1904021659</v>
      </c>
      <c r="I271" s="54">
        <v>67.6</v>
      </c>
      <c r="J271" s="56">
        <v>12.11</v>
      </c>
      <c r="K271" s="62">
        <v>8058.0</v>
      </c>
      <c r="L271" s="46">
        <v>0.0</v>
      </c>
      <c r="M271" s="47">
        <v>87.776</v>
      </c>
      <c r="N271" s="48">
        <v>-4.53</v>
      </c>
      <c r="O271" s="49">
        <v>6112.0</v>
      </c>
      <c r="P271" s="49">
        <v>573642.0</v>
      </c>
      <c r="Q271" s="51">
        <v>0.0</v>
      </c>
      <c r="R271" s="51">
        <v>0.0</v>
      </c>
      <c r="S271" s="51">
        <v>0.0</v>
      </c>
      <c r="T271" s="51">
        <v>0.0</v>
      </c>
      <c r="U271" s="51">
        <v>1.0</v>
      </c>
      <c r="V271" s="35"/>
      <c r="W271" s="35"/>
      <c r="X271" s="35"/>
      <c r="Y271" s="35"/>
      <c r="Z271" s="35"/>
      <c r="AA271" s="35"/>
      <c r="AB271" s="35"/>
      <c r="AC271" s="35"/>
    </row>
    <row r="272">
      <c r="A272" s="26" t="s">
        <v>37</v>
      </c>
      <c r="B272" s="52">
        <v>2002.0</v>
      </c>
      <c r="C272" s="30" t="s">
        <v>39</v>
      </c>
      <c r="D272" s="32" t="s">
        <v>100</v>
      </c>
      <c r="E272" s="33">
        <v>55.0</v>
      </c>
      <c r="F272" s="35">
        <v>405.6</v>
      </c>
      <c r="G272" s="31">
        <v>722065.0</v>
      </c>
      <c r="H272" s="31">
        <f t="shared" si="1"/>
        <v>0.5617222826</v>
      </c>
      <c r="I272" s="42">
        <v>50.65</v>
      </c>
      <c r="J272" s="44">
        <v>4.17</v>
      </c>
      <c r="K272" s="61">
        <v>3111.35</v>
      </c>
      <c r="L272" s="46">
        <v>0.0</v>
      </c>
      <c r="M272" s="47">
        <v>1.084</v>
      </c>
      <c r="N272" s="48">
        <v>-0.18</v>
      </c>
      <c r="O272" s="49">
        <v>925.0</v>
      </c>
      <c r="P272" s="49">
        <v>853658.0</v>
      </c>
      <c r="Q272" s="50">
        <v>1.0</v>
      </c>
      <c r="R272" s="51">
        <v>0.0</v>
      </c>
      <c r="S272" s="51">
        <v>0.0</v>
      </c>
      <c r="T272" s="51">
        <v>0.0</v>
      </c>
      <c r="U272" s="51">
        <v>0.0</v>
      </c>
      <c r="V272" s="35"/>
      <c r="W272" s="35"/>
      <c r="X272" s="35"/>
      <c r="Y272" s="35"/>
      <c r="Z272" s="35"/>
      <c r="AA272" s="35"/>
      <c r="AB272" s="35"/>
      <c r="AC272" s="35"/>
    </row>
    <row r="273">
      <c r="A273" s="30" t="s">
        <v>39</v>
      </c>
      <c r="B273" s="52">
        <v>2007.0</v>
      </c>
      <c r="C273" s="30" t="s">
        <v>41</v>
      </c>
      <c r="D273" s="32" t="s">
        <v>100</v>
      </c>
      <c r="E273" s="33">
        <v>55.0</v>
      </c>
      <c r="F273" s="35">
        <v>1089.5</v>
      </c>
      <c r="G273" s="31">
        <v>742311.5</v>
      </c>
      <c r="H273" s="31">
        <f t="shared" si="1"/>
        <v>1.467712679</v>
      </c>
      <c r="I273" s="42">
        <v>66.72</v>
      </c>
      <c r="J273" s="53">
        <v>6.48</v>
      </c>
      <c r="K273" s="61">
        <v>4250.98</v>
      </c>
      <c r="L273" s="46">
        <v>0.0</v>
      </c>
      <c r="M273" s="47">
        <v>7.883</v>
      </c>
      <c r="N273" s="48">
        <v>-1.68</v>
      </c>
      <c r="O273" s="49">
        <v>1420.75</v>
      </c>
      <c r="P273" s="49">
        <v>722065.0</v>
      </c>
      <c r="Q273" s="51">
        <v>0.0</v>
      </c>
      <c r="R273" s="51">
        <v>1.0</v>
      </c>
      <c r="S273" s="51">
        <v>0.0</v>
      </c>
      <c r="T273" s="51">
        <v>0.0</v>
      </c>
      <c r="U273" s="51">
        <v>0.0</v>
      </c>
      <c r="V273" s="35"/>
      <c r="W273" s="35"/>
      <c r="X273" s="35"/>
      <c r="Y273" s="35"/>
      <c r="Z273" s="35"/>
      <c r="AA273" s="35"/>
      <c r="AB273" s="35"/>
      <c r="AC273" s="35"/>
    </row>
    <row r="274">
      <c r="A274" s="30" t="s">
        <v>41</v>
      </c>
      <c r="B274" s="52">
        <v>2011.0</v>
      </c>
      <c r="C274" s="30" t="s">
        <v>43</v>
      </c>
      <c r="D274" s="32" t="s">
        <v>100</v>
      </c>
      <c r="E274" s="33">
        <v>55.0</v>
      </c>
      <c r="F274" s="35">
        <v>1190.0</v>
      </c>
      <c r="G274" s="31">
        <v>766838.0</v>
      </c>
      <c r="H274" s="31">
        <f t="shared" si="1"/>
        <v>1.551827113</v>
      </c>
      <c r="I274" s="54">
        <v>68.0</v>
      </c>
      <c r="J274" s="53">
        <v>9.87</v>
      </c>
      <c r="K274" s="61">
        <v>6123.5</v>
      </c>
      <c r="L274" s="46">
        <v>0.0</v>
      </c>
      <c r="M274" s="47">
        <v>19.762</v>
      </c>
      <c r="N274" s="48">
        <v>-4.66</v>
      </c>
      <c r="O274" s="49">
        <v>3135.33333333333</v>
      </c>
      <c r="P274" s="49">
        <v>742311.5</v>
      </c>
      <c r="Q274" s="51">
        <v>0.0</v>
      </c>
      <c r="R274" s="51">
        <v>0.0</v>
      </c>
      <c r="S274" s="51">
        <v>1.0</v>
      </c>
      <c r="T274" s="51">
        <v>0.0</v>
      </c>
      <c r="U274" s="51">
        <v>0.0</v>
      </c>
      <c r="V274" s="35"/>
      <c r="W274" s="35"/>
      <c r="X274" s="35"/>
      <c r="Y274" s="35"/>
      <c r="Z274" s="35"/>
      <c r="AA274" s="35"/>
      <c r="AB274" s="35"/>
      <c r="AC274" s="35"/>
    </row>
    <row r="275">
      <c r="A275" s="30" t="s">
        <v>43</v>
      </c>
      <c r="B275" s="52">
        <v>2015.0</v>
      </c>
      <c r="C275" s="30">
        <v>2016.0</v>
      </c>
      <c r="D275" s="55" t="s">
        <v>100</v>
      </c>
      <c r="E275" s="33">
        <v>55.0</v>
      </c>
      <c r="F275" s="35">
        <v>652.0</v>
      </c>
      <c r="G275" s="31">
        <v>781305.0</v>
      </c>
      <c r="H275" s="31">
        <f t="shared" si="1"/>
        <v>0.8345012511</v>
      </c>
      <c r="I275" s="54">
        <v>58.6</v>
      </c>
      <c r="J275" s="56">
        <v>14.31</v>
      </c>
      <c r="K275" s="61">
        <v>6918.25</v>
      </c>
      <c r="L275" s="46">
        <v>0.0</v>
      </c>
      <c r="M275" s="47">
        <v>48.165</v>
      </c>
      <c r="N275" s="48">
        <v>-3.37</v>
      </c>
      <c r="O275" s="49">
        <v>6370.5</v>
      </c>
      <c r="P275" s="49">
        <v>766838.0</v>
      </c>
      <c r="Q275" s="51">
        <v>0.0</v>
      </c>
      <c r="R275" s="51">
        <v>0.0</v>
      </c>
      <c r="S275" s="51">
        <v>0.0</v>
      </c>
      <c r="T275" s="51">
        <v>1.0</v>
      </c>
      <c r="U275" s="51">
        <v>0.0</v>
      </c>
      <c r="V275" s="35"/>
      <c r="W275" s="35"/>
      <c r="X275" s="35"/>
      <c r="Y275" s="35"/>
      <c r="Z275" s="35"/>
      <c r="AA275" s="35"/>
      <c r="AB275" s="35"/>
      <c r="AC275" s="35"/>
    </row>
    <row r="276">
      <c r="A276" s="30">
        <v>2016.0</v>
      </c>
      <c r="B276" s="52">
        <v>2016.0</v>
      </c>
      <c r="C276" s="30" t="s">
        <v>45</v>
      </c>
      <c r="D276" s="55" t="s">
        <v>100</v>
      </c>
      <c r="E276" s="33">
        <v>55.0</v>
      </c>
      <c r="F276" s="35">
        <v>227.5</v>
      </c>
      <c r="G276" s="31">
        <v>791856.0</v>
      </c>
      <c r="H276" s="31">
        <f t="shared" si="1"/>
        <v>0.2872997111</v>
      </c>
      <c r="I276" s="54">
        <v>67.9</v>
      </c>
      <c r="J276" s="56">
        <v>15.03</v>
      </c>
      <c r="K276" s="62">
        <v>6496.0</v>
      </c>
      <c r="L276" s="46">
        <v>0.0</v>
      </c>
      <c r="M276" s="47">
        <v>57.363</v>
      </c>
      <c r="N276" s="48">
        <v>-2.76</v>
      </c>
      <c r="O276" s="49">
        <v>8404.0</v>
      </c>
      <c r="P276" s="49">
        <v>781305.0</v>
      </c>
      <c r="Q276" s="51">
        <v>0.0</v>
      </c>
      <c r="R276" s="51">
        <v>0.0</v>
      </c>
      <c r="S276" s="51">
        <v>0.0</v>
      </c>
      <c r="T276" s="51">
        <v>0.0</v>
      </c>
      <c r="U276" s="51">
        <v>1.0</v>
      </c>
      <c r="V276" s="35"/>
      <c r="W276" s="35"/>
      <c r="X276" s="35"/>
      <c r="Y276" s="35"/>
      <c r="Z276" s="35"/>
      <c r="AA276" s="35"/>
      <c r="AB276" s="35"/>
      <c r="AC276" s="35"/>
    </row>
    <row r="277">
      <c r="A277" s="26" t="s">
        <v>37</v>
      </c>
      <c r="B277" s="52">
        <v>2002.0</v>
      </c>
      <c r="C277" s="30" t="s">
        <v>39</v>
      </c>
      <c r="D277" s="32" t="s">
        <v>101</v>
      </c>
      <c r="E277" s="33">
        <v>56.0</v>
      </c>
      <c r="F277" s="35">
        <v>351.2</v>
      </c>
      <c r="G277" s="31">
        <v>1319920.0</v>
      </c>
      <c r="H277" s="31">
        <f t="shared" si="1"/>
        <v>0.2660767319</v>
      </c>
      <c r="I277" s="42">
        <v>30.14</v>
      </c>
      <c r="J277" s="44">
        <v>2.98</v>
      </c>
      <c r="K277" s="61">
        <v>4816.78</v>
      </c>
      <c r="L277" s="46">
        <v>0.0</v>
      </c>
      <c r="M277" s="47">
        <v>3.246</v>
      </c>
      <c r="N277" s="48">
        <v>-2.15</v>
      </c>
      <c r="O277" s="49">
        <v>4091.0</v>
      </c>
      <c r="P277" s="49">
        <v>1260169.0</v>
      </c>
      <c r="Q277" s="50">
        <v>1.0</v>
      </c>
      <c r="R277" s="51">
        <v>0.0</v>
      </c>
      <c r="S277" s="51">
        <v>0.0</v>
      </c>
      <c r="T277" s="51">
        <v>0.0</v>
      </c>
      <c r="U277" s="51">
        <v>0.0</v>
      </c>
      <c r="V277" s="35"/>
      <c r="W277" s="35"/>
      <c r="X277" s="35"/>
      <c r="Y277" s="35"/>
      <c r="Z277" s="35"/>
      <c r="AA277" s="35"/>
      <c r="AB277" s="35"/>
      <c r="AC277" s="35"/>
    </row>
    <row r="278">
      <c r="A278" s="30" t="s">
        <v>39</v>
      </c>
      <c r="B278" s="52">
        <v>2007.0</v>
      </c>
      <c r="C278" s="30" t="s">
        <v>41</v>
      </c>
      <c r="D278" s="32" t="s">
        <v>101</v>
      </c>
      <c r="E278" s="33">
        <v>56.0</v>
      </c>
      <c r="F278" s="35">
        <v>162.0</v>
      </c>
      <c r="G278" s="31">
        <v>1342066.25</v>
      </c>
      <c r="H278" s="31">
        <f t="shared" si="1"/>
        <v>0.1207093912</v>
      </c>
      <c r="I278" s="42">
        <v>40.94</v>
      </c>
      <c r="J278" s="53">
        <v>5.12</v>
      </c>
      <c r="K278" s="61">
        <v>6583.02</v>
      </c>
      <c r="L278" s="46">
        <v>0.0</v>
      </c>
      <c r="M278" s="47">
        <v>18.224</v>
      </c>
      <c r="N278" s="48">
        <v>0.01</v>
      </c>
      <c r="O278" s="49">
        <v>5665.25</v>
      </c>
      <c r="P278" s="49">
        <v>1319920.0</v>
      </c>
      <c r="Q278" s="51">
        <v>0.0</v>
      </c>
      <c r="R278" s="51">
        <v>1.0</v>
      </c>
      <c r="S278" s="51">
        <v>0.0</v>
      </c>
      <c r="T278" s="51">
        <v>0.0</v>
      </c>
      <c r="U278" s="51">
        <v>0.0</v>
      </c>
      <c r="V278" s="35"/>
      <c r="W278" s="35"/>
      <c r="X278" s="35"/>
      <c r="Y278" s="35"/>
      <c r="Z278" s="35"/>
      <c r="AA278" s="35"/>
      <c r="AB278" s="35"/>
      <c r="AC278" s="35"/>
    </row>
    <row r="279">
      <c r="A279" s="30" t="s">
        <v>41</v>
      </c>
      <c r="B279" s="52">
        <v>2011.0</v>
      </c>
      <c r="C279" s="30" t="s">
        <v>43</v>
      </c>
      <c r="D279" s="32" t="s">
        <v>101</v>
      </c>
      <c r="E279" s="33">
        <v>56.0</v>
      </c>
      <c r="F279" s="35">
        <v>561.5</v>
      </c>
      <c r="G279" s="31">
        <v>1363474.0</v>
      </c>
      <c r="H279" s="31">
        <f t="shared" si="1"/>
        <v>0.4118157002</v>
      </c>
      <c r="I279" s="54">
        <v>47.0</v>
      </c>
      <c r="J279" s="53">
        <v>7.62</v>
      </c>
      <c r="K279" s="61">
        <v>9112.25</v>
      </c>
      <c r="L279" s="46">
        <v>0.0</v>
      </c>
      <c r="M279" s="47">
        <v>40.689</v>
      </c>
      <c r="N279" s="48">
        <v>-1.47</v>
      </c>
      <c r="O279" s="49">
        <v>8999.33333333333</v>
      </c>
      <c r="P279" s="49">
        <v>1342066.25</v>
      </c>
      <c r="Q279" s="51">
        <v>0.0</v>
      </c>
      <c r="R279" s="51">
        <v>0.0</v>
      </c>
      <c r="S279" s="51">
        <v>1.0</v>
      </c>
      <c r="T279" s="51">
        <v>0.0</v>
      </c>
      <c r="U279" s="51">
        <v>0.0</v>
      </c>
      <c r="V279" s="35"/>
      <c r="W279" s="35"/>
      <c r="X279" s="35"/>
      <c r="Y279" s="35"/>
      <c r="Z279" s="35"/>
      <c r="AA279" s="35"/>
      <c r="AB279" s="35"/>
      <c r="AC279" s="35"/>
    </row>
    <row r="280">
      <c r="A280" s="30" t="s">
        <v>43</v>
      </c>
      <c r="B280" s="52">
        <v>2015.0</v>
      </c>
      <c r="C280" s="30">
        <v>2016.0</v>
      </c>
      <c r="D280" s="55" t="s">
        <v>101</v>
      </c>
      <c r="E280" s="33">
        <v>56.0</v>
      </c>
      <c r="F280" s="35">
        <v>0.0</v>
      </c>
      <c r="G280" s="31">
        <v>1396945.0</v>
      </c>
      <c r="H280" s="31">
        <f t="shared" si="1"/>
        <v>0</v>
      </c>
      <c r="I280" s="54">
        <v>36.8</v>
      </c>
      <c r="J280" s="56">
        <v>10.94</v>
      </c>
      <c r="K280" s="61">
        <v>10827.5</v>
      </c>
      <c r="L280" s="46">
        <v>0.0</v>
      </c>
      <c r="M280" s="47">
        <v>73.65</v>
      </c>
      <c r="N280" s="48">
        <v>-1.51</v>
      </c>
      <c r="O280" s="49">
        <v>11884.0</v>
      </c>
      <c r="P280" s="49">
        <v>1363474.0</v>
      </c>
      <c r="Q280" s="51">
        <v>0.0</v>
      </c>
      <c r="R280" s="51">
        <v>0.0</v>
      </c>
      <c r="S280" s="51">
        <v>0.0</v>
      </c>
      <c r="T280" s="51">
        <v>1.0</v>
      </c>
      <c r="U280" s="51">
        <v>0.0</v>
      </c>
      <c r="V280" s="35"/>
      <c r="W280" s="35"/>
      <c r="X280" s="35"/>
      <c r="Y280" s="35"/>
      <c r="Z280" s="35"/>
      <c r="AA280" s="35"/>
      <c r="AB280" s="35"/>
      <c r="AC280" s="35"/>
    </row>
    <row r="281">
      <c r="A281" s="30">
        <v>2016.0</v>
      </c>
      <c r="B281" s="52">
        <v>2016.0</v>
      </c>
      <c r="C281" s="30" t="s">
        <v>45</v>
      </c>
      <c r="D281" s="55" t="s">
        <v>101</v>
      </c>
      <c r="E281" s="33">
        <v>56.0</v>
      </c>
      <c r="F281" s="35">
        <v>1106.0</v>
      </c>
      <c r="G281" s="31">
        <v>1421342.0</v>
      </c>
      <c r="H281" s="31">
        <f t="shared" si="1"/>
        <v>0.7781378444</v>
      </c>
      <c r="I281" s="54">
        <v>44.0</v>
      </c>
      <c r="J281" s="56">
        <v>11.68</v>
      </c>
      <c r="K281" s="62">
        <v>10035.0</v>
      </c>
      <c r="L281" s="46">
        <v>0.0</v>
      </c>
      <c r="M281" s="47">
        <v>83.091</v>
      </c>
      <c r="N281" s="48">
        <v>2.57</v>
      </c>
      <c r="O281" s="49">
        <v>14076.0</v>
      </c>
      <c r="P281" s="49">
        <v>1396945.0</v>
      </c>
      <c r="Q281" s="51">
        <v>0.0</v>
      </c>
      <c r="R281" s="51">
        <v>0.0</v>
      </c>
      <c r="S281" s="51">
        <v>0.0</v>
      </c>
      <c r="T281" s="51">
        <v>0.0</v>
      </c>
      <c r="U281" s="51">
        <v>1.0</v>
      </c>
      <c r="V281" s="35"/>
      <c r="W281" s="35"/>
      <c r="X281" s="35"/>
      <c r="Y281" s="35"/>
      <c r="Z281" s="35"/>
      <c r="AA281" s="35"/>
      <c r="AB281" s="35"/>
      <c r="AC281" s="35"/>
    </row>
    <row r="282">
      <c r="A282" s="26" t="s">
        <v>37</v>
      </c>
      <c r="B282" s="52">
        <v>2002.0</v>
      </c>
      <c r="C282" s="30" t="s">
        <v>39</v>
      </c>
      <c r="D282" s="32" t="s">
        <v>102</v>
      </c>
      <c r="E282" s="33">
        <v>57.0</v>
      </c>
      <c r="F282" s="35">
        <v>217.6</v>
      </c>
      <c r="G282" s="31">
        <v>745778.0</v>
      </c>
      <c r="H282" s="31">
        <f t="shared" si="1"/>
        <v>0.2917758368</v>
      </c>
      <c r="I282" s="42">
        <v>15.43</v>
      </c>
      <c r="J282" s="44">
        <v>1.7</v>
      </c>
      <c r="K282" s="61">
        <v>2132.93</v>
      </c>
      <c r="L282" s="46">
        <v>0.0</v>
      </c>
      <c r="M282" s="47">
        <v>0.16</v>
      </c>
      <c r="N282" s="48">
        <v>0.32</v>
      </c>
      <c r="O282" s="49">
        <v>113.0</v>
      </c>
      <c r="P282" s="49">
        <v>705098.0</v>
      </c>
      <c r="Q282" s="50">
        <v>1.0</v>
      </c>
      <c r="R282" s="51">
        <v>0.0</v>
      </c>
      <c r="S282" s="51">
        <v>0.0</v>
      </c>
      <c r="T282" s="51">
        <v>0.0</v>
      </c>
      <c r="U282" s="51">
        <v>0.0</v>
      </c>
      <c r="V282" s="35"/>
      <c r="W282" s="35"/>
      <c r="X282" s="35"/>
      <c r="Y282" s="35"/>
      <c r="Z282" s="35"/>
      <c r="AA282" s="35"/>
      <c r="AB282" s="35"/>
      <c r="AC282" s="35"/>
    </row>
    <row r="283">
      <c r="A283" s="30" t="s">
        <v>39</v>
      </c>
      <c r="B283" s="52">
        <v>2007.0</v>
      </c>
      <c r="C283" s="30" t="s">
        <v>41</v>
      </c>
      <c r="D283" s="32" t="s">
        <v>102</v>
      </c>
      <c r="E283" s="33">
        <v>57.0</v>
      </c>
      <c r="F283" s="35">
        <v>94.0</v>
      </c>
      <c r="G283" s="31">
        <v>749297.0</v>
      </c>
      <c r="H283" s="31">
        <f t="shared" si="1"/>
        <v>0.1254509227</v>
      </c>
      <c r="I283" s="42">
        <v>44.06</v>
      </c>
      <c r="J283" s="53">
        <v>2.86</v>
      </c>
      <c r="K283" s="61">
        <v>2913.83</v>
      </c>
      <c r="L283" s="46">
        <v>0.0</v>
      </c>
      <c r="M283" s="47">
        <v>2.333</v>
      </c>
      <c r="N283" s="48">
        <v>-8.97</v>
      </c>
      <c r="O283" s="49">
        <v>630.5</v>
      </c>
      <c r="P283" s="49">
        <v>745778.0</v>
      </c>
      <c r="Q283" s="51">
        <v>0.0</v>
      </c>
      <c r="R283" s="51">
        <v>1.0</v>
      </c>
      <c r="S283" s="51">
        <v>0.0</v>
      </c>
      <c r="T283" s="51">
        <v>0.0</v>
      </c>
      <c r="U283" s="51">
        <v>0.0</v>
      </c>
      <c r="V283" s="35"/>
      <c r="W283" s="35"/>
      <c r="X283" s="35"/>
      <c r="Y283" s="35"/>
      <c r="Z283" s="35"/>
      <c r="AA283" s="35"/>
      <c r="AB283" s="35"/>
      <c r="AC283" s="35"/>
    </row>
    <row r="284">
      <c r="A284" s="30" t="s">
        <v>41</v>
      </c>
      <c r="B284" s="52">
        <v>2011.0</v>
      </c>
      <c r="C284" s="30" t="s">
        <v>43</v>
      </c>
      <c r="D284" s="32" t="s">
        <v>102</v>
      </c>
      <c r="E284" s="33">
        <v>57.0</v>
      </c>
      <c r="F284" s="35">
        <v>513.0</v>
      </c>
      <c r="G284" s="31">
        <v>784587.75</v>
      </c>
      <c r="H284" s="31">
        <f t="shared" si="1"/>
        <v>0.6538465583</v>
      </c>
      <c r="I284" s="54">
        <v>32.2</v>
      </c>
      <c r="J284" s="53">
        <v>5.37</v>
      </c>
      <c r="K284" s="61">
        <v>4647.75</v>
      </c>
      <c r="L284" s="46">
        <v>0.0</v>
      </c>
      <c r="M284" s="47">
        <v>10.325</v>
      </c>
      <c r="N284" s="48">
        <v>-18.12</v>
      </c>
      <c r="O284" s="49">
        <v>2138.0</v>
      </c>
      <c r="P284" s="49">
        <v>749297.0</v>
      </c>
      <c r="Q284" s="51">
        <v>0.0</v>
      </c>
      <c r="R284" s="51">
        <v>0.0</v>
      </c>
      <c r="S284" s="51">
        <v>1.0</v>
      </c>
      <c r="T284" s="51">
        <v>0.0</v>
      </c>
      <c r="U284" s="51">
        <v>0.0</v>
      </c>
      <c r="V284" s="35"/>
      <c r="W284" s="35"/>
      <c r="X284" s="35"/>
      <c r="Y284" s="35"/>
      <c r="Z284" s="35"/>
      <c r="AA284" s="35"/>
      <c r="AB284" s="35"/>
      <c r="AC284" s="35"/>
    </row>
    <row r="285">
      <c r="A285" s="30" t="s">
        <v>43</v>
      </c>
      <c r="B285" s="52">
        <v>2015.0</v>
      </c>
      <c r="C285" s="30">
        <v>2016.0</v>
      </c>
      <c r="D285" s="55" t="s">
        <v>102</v>
      </c>
      <c r="E285" s="33">
        <v>57.0</v>
      </c>
      <c r="F285" s="35">
        <v>0.0</v>
      </c>
      <c r="G285" s="31">
        <v>796237.0</v>
      </c>
      <c r="H285" s="31">
        <f t="shared" si="1"/>
        <v>0</v>
      </c>
      <c r="I285" s="54">
        <v>19.2</v>
      </c>
      <c r="J285" s="56">
        <v>9.1</v>
      </c>
      <c r="K285" s="61">
        <v>5908.25</v>
      </c>
      <c r="L285" s="46">
        <v>0.0</v>
      </c>
      <c r="M285" s="47">
        <v>24.598</v>
      </c>
      <c r="N285" s="48">
        <v>-9.6</v>
      </c>
      <c r="O285" s="49">
        <v>2852.0</v>
      </c>
      <c r="P285" s="49">
        <v>784587.75</v>
      </c>
      <c r="Q285" s="51">
        <v>0.0</v>
      </c>
      <c r="R285" s="51">
        <v>0.0</v>
      </c>
      <c r="S285" s="51">
        <v>0.0</v>
      </c>
      <c r="T285" s="51">
        <v>1.0</v>
      </c>
      <c r="U285" s="51">
        <v>0.0</v>
      </c>
      <c r="V285" s="35"/>
      <c r="W285" s="35"/>
      <c r="X285" s="35"/>
      <c r="Y285" s="35"/>
      <c r="Z285" s="35"/>
      <c r="AA285" s="35"/>
      <c r="AB285" s="35"/>
      <c r="AC285" s="35"/>
    </row>
    <row r="286">
      <c r="A286" s="30">
        <v>2016.0</v>
      </c>
      <c r="B286" s="52">
        <v>2016.0</v>
      </c>
      <c r="C286" s="30" t="s">
        <v>45</v>
      </c>
      <c r="D286" s="55" t="s">
        <v>102</v>
      </c>
      <c r="E286" s="33">
        <v>57.0</v>
      </c>
      <c r="F286" s="35">
        <v>0.0</v>
      </c>
      <c r="G286" s="31">
        <v>819457.0</v>
      </c>
      <c r="H286" s="31">
        <f t="shared" si="1"/>
        <v>0</v>
      </c>
      <c r="I286" s="54">
        <v>28.5</v>
      </c>
      <c r="J286" s="56">
        <v>9.79</v>
      </c>
      <c r="K286" s="62">
        <v>5515.0</v>
      </c>
      <c r="L286" s="46">
        <v>0.0</v>
      </c>
      <c r="M286" s="47">
        <v>28.398</v>
      </c>
      <c r="N286" s="48">
        <v>-17.25</v>
      </c>
      <c r="O286" s="49">
        <v>5356.0</v>
      </c>
      <c r="P286" s="49">
        <v>796237.0</v>
      </c>
      <c r="Q286" s="51">
        <v>0.0</v>
      </c>
      <c r="R286" s="51">
        <v>0.0</v>
      </c>
      <c r="S286" s="51">
        <v>0.0</v>
      </c>
      <c r="T286" s="51">
        <v>0.0</v>
      </c>
      <c r="U286" s="51">
        <v>1.0</v>
      </c>
      <c r="V286" s="35"/>
      <c r="W286" s="35"/>
      <c r="X286" s="35"/>
      <c r="Y286" s="35"/>
      <c r="Z286" s="35"/>
      <c r="AA286" s="35"/>
      <c r="AB286" s="35"/>
      <c r="AC286" s="35"/>
    </row>
    <row r="287">
      <c r="A287" s="26" t="s">
        <v>37</v>
      </c>
      <c r="B287" s="52">
        <v>2002.0</v>
      </c>
      <c r="C287" s="30" t="s">
        <v>39</v>
      </c>
      <c r="D287" s="32" t="s">
        <v>103</v>
      </c>
      <c r="E287" s="33">
        <v>58.0</v>
      </c>
      <c r="F287" s="35">
        <v>587.0</v>
      </c>
      <c r="G287" s="31">
        <v>1595938.0</v>
      </c>
      <c r="H287" s="31">
        <f t="shared" si="1"/>
        <v>0.3678087745</v>
      </c>
      <c r="I287" s="42">
        <v>18.07</v>
      </c>
      <c r="J287" s="44">
        <v>4.49</v>
      </c>
      <c r="K287" s="61">
        <v>4257.69</v>
      </c>
      <c r="L287" s="46">
        <v>0.0</v>
      </c>
      <c r="M287" s="47">
        <v>1.951</v>
      </c>
      <c r="N287" s="48">
        <v>-6.76</v>
      </c>
      <c r="O287" s="49">
        <v>3222.0</v>
      </c>
      <c r="P287" s="49">
        <v>1651400.0</v>
      </c>
      <c r="Q287" s="50">
        <v>1.0</v>
      </c>
      <c r="R287" s="51">
        <v>0.0</v>
      </c>
      <c r="S287" s="51">
        <v>0.0</v>
      </c>
      <c r="T287" s="51">
        <v>0.0</v>
      </c>
      <c r="U287" s="51">
        <v>0.0</v>
      </c>
      <c r="V287" s="35"/>
      <c r="W287" s="35"/>
      <c r="X287" s="35"/>
      <c r="Y287" s="35"/>
      <c r="Z287" s="35"/>
      <c r="AA287" s="35"/>
      <c r="AB287" s="35"/>
      <c r="AC287" s="35"/>
    </row>
    <row r="288">
      <c r="A288" s="30" t="s">
        <v>39</v>
      </c>
      <c r="B288" s="52">
        <v>2007.0</v>
      </c>
      <c r="C288" s="30" t="s">
        <v>41</v>
      </c>
      <c r="D288" s="32" t="s">
        <v>103</v>
      </c>
      <c r="E288" s="33">
        <v>58.0</v>
      </c>
      <c r="F288" s="35">
        <v>195.75</v>
      </c>
      <c r="G288" s="31">
        <v>1639908.5</v>
      </c>
      <c r="H288" s="31">
        <f t="shared" si="1"/>
        <v>0.1193664159</v>
      </c>
      <c r="I288" s="42">
        <v>27.16</v>
      </c>
      <c r="J288" s="53">
        <v>7.07</v>
      </c>
      <c r="K288" s="61">
        <v>5786.96</v>
      </c>
      <c r="L288" s="46">
        <v>1.0</v>
      </c>
      <c r="M288" s="47">
        <v>14.215</v>
      </c>
      <c r="N288" s="48">
        <v>-4.42</v>
      </c>
      <c r="O288" s="49">
        <v>6816.0</v>
      </c>
      <c r="P288" s="49">
        <v>1595938.0</v>
      </c>
      <c r="Q288" s="51">
        <v>0.0</v>
      </c>
      <c r="R288" s="51">
        <v>1.0</v>
      </c>
      <c r="S288" s="51">
        <v>0.0</v>
      </c>
      <c r="T288" s="51">
        <v>0.0</v>
      </c>
      <c r="U288" s="51">
        <v>0.0</v>
      </c>
      <c r="V288" s="35"/>
      <c r="W288" s="35"/>
      <c r="X288" s="35"/>
      <c r="Y288" s="35"/>
      <c r="Z288" s="35"/>
      <c r="AA288" s="35"/>
      <c r="AB288" s="35"/>
      <c r="AC288" s="35"/>
    </row>
    <row r="289">
      <c r="A289" s="30" t="s">
        <v>41</v>
      </c>
      <c r="B289" s="52">
        <v>2011.0</v>
      </c>
      <c r="C289" s="30" t="s">
        <v>43</v>
      </c>
      <c r="D289" s="32" t="s">
        <v>103</v>
      </c>
      <c r="E289" s="33">
        <v>58.0</v>
      </c>
      <c r="F289" s="35">
        <v>0.0</v>
      </c>
      <c r="G289" s="31">
        <v>1715274.5</v>
      </c>
      <c r="H289" s="31">
        <f t="shared" si="1"/>
        <v>0</v>
      </c>
      <c r="I289" s="54">
        <v>32.0</v>
      </c>
      <c r="J289" s="53">
        <v>9.91</v>
      </c>
      <c r="K289" s="61">
        <v>8366.0</v>
      </c>
      <c r="L289" s="46">
        <v>0.0</v>
      </c>
      <c r="M289" s="47">
        <v>42.955</v>
      </c>
      <c r="N289" s="48">
        <v>-1.13</v>
      </c>
      <c r="O289" s="49">
        <v>11814.3333333333</v>
      </c>
      <c r="P289" s="49">
        <v>1639908.5</v>
      </c>
      <c r="Q289" s="51">
        <v>0.0</v>
      </c>
      <c r="R289" s="51">
        <v>0.0</v>
      </c>
      <c r="S289" s="51">
        <v>1.0</v>
      </c>
      <c r="T289" s="51">
        <v>0.0</v>
      </c>
      <c r="U289" s="51">
        <v>0.0</v>
      </c>
      <c r="V289" s="35"/>
      <c r="W289" s="35"/>
      <c r="X289" s="35"/>
      <c r="Y289" s="35"/>
      <c r="Z289" s="35"/>
      <c r="AA289" s="35"/>
      <c r="AB289" s="35"/>
      <c r="AC289" s="35"/>
    </row>
    <row r="290">
      <c r="A290" s="30" t="s">
        <v>43</v>
      </c>
      <c r="B290" s="52">
        <v>2015.0</v>
      </c>
      <c r="C290" s="30">
        <v>2016.0</v>
      </c>
      <c r="D290" s="55" t="s">
        <v>103</v>
      </c>
      <c r="E290" s="33">
        <v>58.0</v>
      </c>
      <c r="F290" s="35">
        <v>0.0</v>
      </c>
      <c r="G290" s="31">
        <v>1773852.0</v>
      </c>
      <c r="H290" s="31">
        <f t="shared" si="1"/>
        <v>0</v>
      </c>
      <c r="I290" s="54">
        <v>25.9</v>
      </c>
      <c r="J290" s="56">
        <v>13.69</v>
      </c>
      <c r="K290" s="61">
        <v>9433.5</v>
      </c>
      <c r="L290" s="46">
        <v>0.0</v>
      </c>
      <c r="M290" s="47">
        <v>75.075</v>
      </c>
      <c r="N290" s="48">
        <v>-1.98</v>
      </c>
      <c r="O290" s="49">
        <v>15335.0</v>
      </c>
      <c r="P290" s="49">
        <v>1715274.5</v>
      </c>
      <c r="Q290" s="51">
        <v>0.0</v>
      </c>
      <c r="R290" s="51">
        <v>0.0</v>
      </c>
      <c r="S290" s="51">
        <v>0.0</v>
      </c>
      <c r="T290" s="51">
        <v>1.0</v>
      </c>
      <c r="U290" s="51">
        <v>0.0</v>
      </c>
      <c r="V290" s="35"/>
      <c r="W290" s="35"/>
      <c r="X290" s="35"/>
      <c r="Y290" s="35"/>
      <c r="Z290" s="35"/>
      <c r="AA290" s="35"/>
      <c r="AB290" s="35"/>
      <c r="AC290" s="35"/>
    </row>
    <row r="291">
      <c r="A291" s="30">
        <v>2016.0</v>
      </c>
      <c r="B291" s="52">
        <v>2016.0</v>
      </c>
      <c r="C291" s="30" t="s">
        <v>45</v>
      </c>
      <c r="D291" s="55" t="s">
        <v>103</v>
      </c>
      <c r="E291" s="33">
        <v>58.0</v>
      </c>
      <c r="F291" s="35">
        <v>102.5</v>
      </c>
      <c r="G291" s="31">
        <v>1804199.5</v>
      </c>
      <c r="H291" s="31">
        <f t="shared" si="1"/>
        <v>0.05681189913</v>
      </c>
      <c r="I291" s="54">
        <v>31.1</v>
      </c>
      <c r="J291" s="56">
        <v>14.41</v>
      </c>
      <c r="K291" s="62">
        <v>8888.0</v>
      </c>
      <c r="L291" s="46">
        <v>0.0</v>
      </c>
      <c r="M291" s="47">
        <v>84.733</v>
      </c>
      <c r="N291" s="48">
        <v>-0.02</v>
      </c>
      <c r="O291" s="49">
        <v>16283.0</v>
      </c>
      <c r="P291" s="49">
        <v>1773852.0</v>
      </c>
      <c r="Q291" s="51">
        <v>0.0</v>
      </c>
      <c r="R291" s="51">
        <v>0.0</v>
      </c>
      <c r="S291" s="51">
        <v>0.0</v>
      </c>
      <c r="T291" s="51">
        <v>0.0</v>
      </c>
      <c r="U291" s="51">
        <v>1.0</v>
      </c>
      <c r="V291" s="35"/>
      <c r="W291" s="35"/>
      <c r="X291" s="35"/>
      <c r="Y291" s="35"/>
      <c r="Z291" s="35"/>
      <c r="AA291" s="35"/>
      <c r="AB291" s="35"/>
      <c r="AC291" s="35"/>
    </row>
    <row r="292">
      <c r="A292" s="26" t="s">
        <v>37</v>
      </c>
      <c r="B292" s="52">
        <v>2002.0</v>
      </c>
      <c r="C292" s="30" t="s">
        <v>39</v>
      </c>
      <c r="D292" s="32" t="s">
        <v>104</v>
      </c>
      <c r="E292" s="33">
        <v>59.0</v>
      </c>
      <c r="F292" s="35">
        <v>199.2</v>
      </c>
      <c r="G292" s="31">
        <v>766156.0</v>
      </c>
      <c r="H292" s="31">
        <f t="shared" si="1"/>
        <v>0.2599992691</v>
      </c>
      <c r="I292" s="42">
        <v>13.17</v>
      </c>
      <c r="J292" s="44">
        <v>6.56</v>
      </c>
      <c r="K292" s="61">
        <v>6026.65</v>
      </c>
      <c r="L292" s="46">
        <v>0.0</v>
      </c>
      <c r="M292" s="47">
        <v>6.639</v>
      </c>
      <c r="N292" s="48">
        <v>7.02</v>
      </c>
      <c r="O292" s="49">
        <v>4749.0</v>
      </c>
      <c r="P292" s="49">
        <v>715328.0</v>
      </c>
      <c r="Q292" s="50">
        <v>1.0</v>
      </c>
      <c r="R292" s="51">
        <v>0.0</v>
      </c>
      <c r="S292" s="51">
        <v>0.0</v>
      </c>
      <c r="T292" s="51">
        <v>0.0</v>
      </c>
      <c r="U292" s="51">
        <v>0.0</v>
      </c>
      <c r="V292" s="35"/>
      <c r="W292" s="35"/>
      <c r="X292" s="35"/>
      <c r="Y292" s="35"/>
      <c r="Z292" s="35"/>
      <c r="AA292" s="35"/>
      <c r="AB292" s="35"/>
      <c r="AC292" s="35"/>
    </row>
    <row r="293">
      <c r="A293" s="30" t="s">
        <v>39</v>
      </c>
      <c r="B293" s="52">
        <v>2007.0</v>
      </c>
      <c r="C293" s="30" t="s">
        <v>41</v>
      </c>
      <c r="D293" s="32" t="s">
        <v>104</v>
      </c>
      <c r="E293" s="33">
        <v>59.0</v>
      </c>
      <c r="F293" s="35">
        <v>106.75</v>
      </c>
      <c r="G293" s="31">
        <v>812408.0</v>
      </c>
      <c r="H293" s="31">
        <f t="shared" si="1"/>
        <v>0.1313994939</v>
      </c>
      <c r="I293" s="42">
        <v>26.33</v>
      </c>
      <c r="J293" s="53">
        <v>8.29</v>
      </c>
      <c r="K293" s="61">
        <v>8104.06</v>
      </c>
      <c r="L293" s="46">
        <v>0.0</v>
      </c>
      <c r="M293" s="47">
        <v>42.756</v>
      </c>
      <c r="N293" s="48">
        <v>10.48</v>
      </c>
      <c r="O293" s="49">
        <v>7426.25</v>
      </c>
      <c r="P293" s="49">
        <v>766156.0</v>
      </c>
      <c r="Q293" s="51">
        <v>0.0</v>
      </c>
      <c r="R293" s="51">
        <v>1.0</v>
      </c>
      <c r="S293" s="51">
        <v>0.0</v>
      </c>
      <c r="T293" s="51">
        <v>0.0</v>
      </c>
      <c r="U293" s="51">
        <v>0.0</v>
      </c>
      <c r="V293" s="35"/>
      <c r="W293" s="35"/>
      <c r="X293" s="35"/>
      <c r="Y293" s="35"/>
      <c r="Z293" s="35"/>
      <c r="AA293" s="35"/>
      <c r="AB293" s="35"/>
      <c r="AC293" s="35"/>
    </row>
    <row r="294">
      <c r="A294" s="30" t="s">
        <v>41</v>
      </c>
      <c r="B294" s="52">
        <v>2011.0</v>
      </c>
      <c r="C294" s="30" t="s">
        <v>43</v>
      </c>
      <c r="D294" s="32" t="s">
        <v>104</v>
      </c>
      <c r="E294" s="33">
        <v>59.0</v>
      </c>
      <c r="F294" s="35">
        <v>91.5</v>
      </c>
      <c r="G294" s="31">
        <v>880299.0</v>
      </c>
      <c r="H294" s="31">
        <f t="shared" si="1"/>
        <v>0.1039419561</v>
      </c>
      <c r="I294" s="54">
        <v>32.7</v>
      </c>
      <c r="J294" s="53">
        <v>11.5</v>
      </c>
      <c r="K294" s="61">
        <v>11213.25</v>
      </c>
      <c r="L294" s="46">
        <v>0.0</v>
      </c>
      <c r="M294" s="47">
        <v>88.72</v>
      </c>
      <c r="N294" s="48">
        <v>7.95</v>
      </c>
      <c r="O294" s="49">
        <v>9200.0</v>
      </c>
      <c r="P294" s="49">
        <v>812408.0</v>
      </c>
      <c r="Q294" s="51">
        <v>0.0</v>
      </c>
      <c r="R294" s="51">
        <v>0.0</v>
      </c>
      <c r="S294" s="51">
        <v>1.0</v>
      </c>
      <c r="T294" s="51">
        <v>0.0</v>
      </c>
      <c r="U294" s="51">
        <v>0.0</v>
      </c>
      <c r="V294" s="35"/>
      <c r="W294" s="35"/>
      <c r="X294" s="35"/>
      <c r="Y294" s="35"/>
      <c r="Z294" s="35"/>
      <c r="AA294" s="35"/>
      <c r="AB294" s="35"/>
      <c r="AC294" s="35"/>
    </row>
    <row r="295">
      <c r="A295" s="30" t="s">
        <v>43</v>
      </c>
      <c r="B295" s="52">
        <v>2015.0</v>
      </c>
      <c r="C295" s="30">
        <v>2016.0</v>
      </c>
      <c r="D295" s="55" t="s">
        <v>104</v>
      </c>
      <c r="E295" s="33">
        <v>59.0</v>
      </c>
      <c r="F295" s="35">
        <v>1515.0</v>
      </c>
      <c r="G295" s="31">
        <v>923773.0</v>
      </c>
      <c r="H295" s="31">
        <f t="shared" si="1"/>
        <v>1.640013293</v>
      </c>
      <c r="I295" s="54">
        <v>26.4</v>
      </c>
      <c r="J295" s="56">
        <v>15.96</v>
      </c>
      <c r="K295" s="61">
        <v>12111.0</v>
      </c>
      <c r="L295" s="46">
        <v>0.0</v>
      </c>
      <c r="M295" s="47">
        <v>132.047</v>
      </c>
      <c r="N295" s="48">
        <v>9.74</v>
      </c>
      <c r="O295" s="49">
        <v>4821.5</v>
      </c>
      <c r="P295" s="49">
        <v>880299.0</v>
      </c>
      <c r="Q295" s="51">
        <v>0.0</v>
      </c>
      <c r="R295" s="51">
        <v>0.0</v>
      </c>
      <c r="S295" s="51">
        <v>0.0</v>
      </c>
      <c r="T295" s="51">
        <v>1.0</v>
      </c>
      <c r="U295" s="51">
        <v>0.0</v>
      </c>
      <c r="V295" s="35"/>
      <c r="W295" s="35"/>
      <c r="X295" s="35"/>
      <c r="Y295" s="35"/>
      <c r="Z295" s="35"/>
      <c r="AA295" s="35"/>
      <c r="AB295" s="35"/>
      <c r="AC295" s="35"/>
    </row>
    <row r="296">
      <c r="A296" s="30">
        <v>2016.0</v>
      </c>
      <c r="B296" s="52">
        <v>2016.0</v>
      </c>
      <c r="C296" s="30" t="s">
        <v>45</v>
      </c>
      <c r="D296" s="55" t="s">
        <v>104</v>
      </c>
      <c r="E296" s="33">
        <v>59.0</v>
      </c>
      <c r="F296" s="35">
        <v>0.0</v>
      </c>
      <c r="G296" s="31">
        <v>953119.0</v>
      </c>
      <c r="H296" s="31">
        <f t="shared" si="1"/>
        <v>0</v>
      </c>
      <c r="I296" s="54">
        <v>29.9</v>
      </c>
      <c r="J296" s="56">
        <v>16.78</v>
      </c>
      <c r="K296" s="62">
        <v>10589.0</v>
      </c>
      <c r="L296" s="46">
        <v>0.0</v>
      </c>
      <c r="M296" s="47">
        <v>140.748</v>
      </c>
      <c r="N296" s="48">
        <v>6.56</v>
      </c>
      <c r="O296" s="49">
        <v>9367.0</v>
      </c>
      <c r="P296" s="49">
        <v>923773.0</v>
      </c>
      <c r="Q296" s="51">
        <v>0.0</v>
      </c>
      <c r="R296" s="51">
        <v>0.0</v>
      </c>
      <c r="S296" s="51">
        <v>0.0</v>
      </c>
      <c r="T296" s="51">
        <v>0.0</v>
      </c>
      <c r="U296" s="51">
        <v>1.0</v>
      </c>
      <c r="V296" s="35"/>
      <c r="W296" s="35"/>
      <c r="X296" s="35"/>
      <c r="Y296" s="35"/>
      <c r="Z296" s="35"/>
      <c r="AA296" s="35"/>
      <c r="AB296" s="35"/>
      <c r="AC296" s="35"/>
    </row>
    <row r="297">
      <c r="A297" s="26" t="s">
        <v>37</v>
      </c>
      <c r="B297" s="52">
        <v>2002.0</v>
      </c>
      <c r="C297" s="30" t="s">
        <v>39</v>
      </c>
      <c r="D297" s="32" t="s">
        <v>105</v>
      </c>
      <c r="E297" s="33">
        <v>60.0</v>
      </c>
      <c r="F297" s="35">
        <v>28.8</v>
      </c>
      <c r="G297" s="31">
        <v>405509.0</v>
      </c>
      <c r="H297" s="31">
        <f t="shared" si="1"/>
        <v>0.07102185155</v>
      </c>
      <c r="I297" s="42">
        <v>16.9</v>
      </c>
      <c r="J297" s="44">
        <v>1.36</v>
      </c>
      <c r="K297" s="61">
        <v>2112.05</v>
      </c>
      <c r="L297" s="46">
        <v>0.0</v>
      </c>
      <c r="M297" s="47">
        <v>0.846</v>
      </c>
      <c r="N297" s="48">
        <v>-5.98</v>
      </c>
      <c r="O297" s="49">
        <v>384.0</v>
      </c>
      <c r="P297" s="49">
        <v>453654.0</v>
      </c>
      <c r="Q297" s="50">
        <v>1.0</v>
      </c>
      <c r="R297" s="51">
        <v>0.0</v>
      </c>
      <c r="S297" s="51">
        <v>0.0</v>
      </c>
      <c r="T297" s="51">
        <v>0.0</v>
      </c>
      <c r="U297" s="51">
        <v>0.0</v>
      </c>
      <c r="V297" s="35"/>
      <c r="W297" s="35"/>
      <c r="X297" s="35"/>
      <c r="Y297" s="35"/>
      <c r="Z297" s="35"/>
      <c r="AA297" s="35"/>
      <c r="AB297" s="35"/>
      <c r="AC297" s="35"/>
    </row>
    <row r="298">
      <c r="A298" s="30" t="s">
        <v>39</v>
      </c>
      <c r="B298" s="52">
        <v>2007.0</v>
      </c>
      <c r="C298" s="30" t="s">
        <v>41</v>
      </c>
      <c r="D298" s="32" t="s">
        <v>105</v>
      </c>
      <c r="E298" s="33">
        <v>60.0</v>
      </c>
      <c r="F298" s="35">
        <v>40.0</v>
      </c>
      <c r="G298" s="31">
        <v>407596.25</v>
      </c>
      <c r="H298" s="31">
        <f t="shared" si="1"/>
        <v>0.09813632976</v>
      </c>
      <c r="I298" s="42">
        <v>38.6</v>
      </c>
      <c r="J298" s="53">
        <v>2.31</v>
      </c>
      <c r="K298" s="61">
        <v>2843.88</v>
      </c>
      <c r="L298" s="46">
        <v>0.0</v>
      </c>
      <c r="M298" s="47">
        <v>2.362</v>
      </c>
      <c r="N298" s="48">
        <v>-22.2</v>
      </c>
      <c r="O298" s="49">
        <v>226.75</v>
      </c>
      <c r="P298" s="49">
        <v>405509.0</v>
      </c>
      <c r="Q298" s="51">
        <v>0.0</v>
      </c>
      <c r="R298" s="51">
        <v>1.0</v>
      </c>
      <c r="S298" s="51">
        <v>0.0</v>
      </c>
      <c r="T298" s="51">
        <v>0.0</v>
      </c>
      <c r="U298" s="51">
        <v>0.0</v>
      </c>
      <c r="V298" s="35"/>
      <c r="W298" s="35"/>
      <c r="X298" s="35"/>
      <c r="Y298" s="35"/>
      <c r="Z298" s="35"/>
      <c r="AA298" s="35"/>
      <c r="AB298" s="35"/>
      <c r="AC298" s="35"/>
    </row>
    <row r="299">
      <c r="A299" s="30" t="s">
        <v>41</v>
      </c>
      <c r="B299" s="52">
        <v>2011.0</v>
      </c>
      <c r="C299" s="30" t="s">
        <v>43</v>
      </c>
      <c r="D299" s="32" t="s">
        <v>105</v>
      </c>
      <c r="E299" s="33">
        <v>60.0</v>
      </c>
      <c r="F299" s="35">
        <v>178.75</v>
      </c>
      <c r="G299" s="31">
        <v>411439.25</v>
      </c>
      <c r="H299" s="31">
        <f t="shared" si="1"/>
        <v>0.4344505295</v>
      </c>
      <c r="I299" s="54">
        <v>42.8</v>
      </c>
      <c r="J299" s="53">
        <v>4.92</v>
      </c>
      <c r="K299" s="61">
        <v>4466.25</v>
      </c>
      <c r="L299" s="46">
        <v>0.0</v>
      </c>
      <c r="M299" s="47">
        <v>5.599</v>
      </c>
      <c r="N299" s="48">
        <v>-25.89</v>
      </c>
      <c r="O299" s="49">
        <v>829.0</v>
      </c>
      <c r="P299" s="49">
        <v>407596.25</v>
      </c>
      <c r="Q299" s="51">
        <v>0.0</v>
      </c>
      <c r="R299" s="51">
        <v>0.0</v>
      </c>
      <c r="S299" s="51">
        <v>1.0</v>
      </c>
      <c r="T299" s="51">
        <v>0.0</v>
      </c>
      <c r="U299" s="51">
        <v>0.0</v>
      </c>
      <c r="V299" s="35"/>
      <c r="W299" s="35"/>
      <c r="X299" s="35"/>
      <c r="Y299" s="35"/>
      <c r="Z299" s="35"/>
      <c r="AA299" s="35"/>
      <c r="AB299" s="35"/>
      <c r="AC299" s="35"/>
    </row>
    <row r="300">
      <c r="A300" s="30" t="s">
        <v>43</v>
      </c>
      <c r="B300" s="52">
        <v>2015.0</v>
      </c>
      <c r="C300" s="30">
        <v>2016.0</v>
      </c>
      <c r="D300" s="55" t="s">
        <v>105</v>
      </c>
      <c r="E300" s="33">
        <v>60.0</v>
      </c>
      <c r="F300" s="35">
        <v>0.0</v>
      </c>
      <c r="G300" s="31">
        <v>406501.0</v>
      </c>
      <c r="H300" s="31">
        <f t="shared" si="1"/>
        <v>0</v>
      </c>
      <c r="I300" s="54">
        <v>24.3</v>
      </c>
      <c r="J300" s="56">
        <v>7.9</v>
      </c>
      <c r="K300" s="61">
        <v>5342.5</v>
      </c>
      <c r="L300" s="46">
        <v>0.0</v>
      </c>
      <c r="M300" s="47">
        <v>11.295</v>
      </c>
      <c r="N300" s="48">
        <v>-21.7</v>
      </c>
      <c r="O300" s="49">
        <v>1705.5</v>
      </c>
      <c r="P300" s="49">
        <v>411439.25</v>
      </c>
      <c r="Q300" s="51">
        <v>0.0</v>
      </c>
      <c r="R300" s="51">
        <v>0.0</v>
      </c>
      <c r="S300" s="51">
        <v>0.0</v>
      </c>
      <c r="T300" s="51">
        <v>1.0</v>
      </c>
      <c r="U300" s="51">
        <v>0.0</v>
      </c>
      <c r="V300" s="35"/>
      <c r="W300" s="35"/>
      <c r="X300" s="35"/>
      <c r="Y300" s="35"/>
      <c r="Z300" s="35"/>
      <c r="AA300" s="35"/>
      <c r="AB300" s="35"/>
      <c r="AC300" s="35"/>
    </row>
    <row r="301">
      <c r="A301" s="30">
        <v>2016.0</v>
      </c>
      <c r="B301" s="52">
        <v>2016.0</v>
      </c>
      <c r="C301" s="30" t="s">
        <v>45</v>
      </c>
      <c r="D301" s="55" t="s">
        <v>105</v>
      </c>
      <c r="E301" s="33">
        <v>60.0</v>
      </c>
      <c r="F301" s="35">
        <v>127.0</v>
      </c>
      <c r="G301" s="58">
        <v>406268.0</v>
      </c>
      <c r="H301" s="31">
        <f t="shared" si="1"/>
        <v>0.312601534</v>
      </c>
      <c r="I301" s="54">
        <v>33.9</v>
      </c>
      <c r="J301" s="56">
        <v>8.39</v>
      </c>
      <c r="K301" s="62">
        <v>4712.0</v>
      </c>
      <c r="L301" s="46">
        <v>0.0</v>
      </c>
      <c r="M301" s="47">
        <v>12.251</v>
      </c>
      <c r="N301" s="48">
        <v>-26.0</v>
      </c>
      <c r="O301" s="49">
        <v>894.0</v>
      </c>
      <c r="P301" s="49">
        <v>406501.0</v>
      </c>
      <c r="Q301" s="51">
        <v>0.0</v>
      </c>
      <c r="R301" s="51">
        <v>0.0</v>
      </c>
      <c r="S301" s="51">
        <v>0.0</v>
      </c>
      <c r="T301" s="51">
        <v>0.0</v>
      </c>
      <c r="U301" s="51">
        <v>1.0</v>
      </c>
      <c r="V301" s="35"/>
      <c r="W301" s="35"/>
      <c r="X301" s="35"/>
      <c r="Y301" s="35"/>
      <c r="Z301" s="35"/>
      <c r="AA301" s="35"/>
      <c r="AB301" s="35"/>
      <c r="AC301" s="35"/>
    </row>
    <row r="302">
      <c r="A302" s="26" t="s">
        <v>37</v>
      </c>
      <c r="B302" s="52">
        <v>2002.0</v>
      </c>
      <c r="C302" s="30" t="s">
        <v>39</v>
      </c>
      <c r="D302" s="32" t="s">
        <v>106</v>
      </c>
      <c r="E302" s="33">
        <v>61.0</v>
      </c>
      <c r="F302" s="35">
        <v>337.6</v>
      </c>
      <c r="G302" s="31">
        <v>280058.0</v>
      </c>
      <c r="H302" s="31">
        <f t="shared" si="1"/>
        <v>1.205464582</v>
      </c>
      <c r="I302" s="42">
        <v>43.63</v>
      </c>
      <c r="J302" s="44">
        <v>3.44</v>
      </c>
      <c r="K302" s="61">
        <v>4121.54</v>
      </c>
      <c r="L302" s="46">
        <v>0.0</v>
      </c>
      <c r="M302" s="47">
        <v>1.788</v>
      </c>
      <c r="N302" s="48">
        <v>-0.71</v>
      </c>
      <c r="O302" s="49">
        <v>554.0</v>
      </c>
      <c r="P302" s="49">
        <v>309914.0</v>
      </c>
      <c r="Q302" s="50">
        <v>1.0</v>
      </c>
      <c r="R302" s="51">
        <v>0.0</v>
      </c>
      <c r="S302" s="51">
        <v>0.0</v>
      </c>
      <c r="T302" s="51">
        <v>0.0</v>
      </c>
      <c r="U302" s="51">
        <v>0.0</v>
      </c>
      <c r="V302" s="35"/>
      <c r="W302" s="35"/>
      <c r="X302" s="35"/>
      <c r="Y302" s="35"/>
      <c r="Z302" s="35"/>
      <c r="AA302" s="35"/>
      <c r="AB302" s="35"/>
      <c r="AC302" s="35"/>
    </row>
    <row r="303">
      <c r="A303" s="30" t="s">
        <v>39</v>
      </c>
      <c r="B303" s="52">
        <v>2007.0</v>
      </c>
      <c r="C303" s="30" t="s">
        <v>41</v>
      </c>
      <c r="D303" s="32" t="s">
        <v>106</v>
      </c>
      <c r="E303" s="33">
        <v>61.0</v>
      </c>
      <c r="F303" s="35">
        <v>722.0</v>
      </c>
      <c r="G303" s="31">
        <v>282827.0</v>
      </c>
      <c r="H303" s="31">
        <f t="shared" si="1"/>
        <v>2.552797293</v>
      </c>
      <c r="I303" s="42">
        <v>55.72</v>
      </c>
      <c r="J303" s="53">
        <v>5.27</v>
      </c>
      <c r="K303" s="61">
        <v>5117.56</v>
      </c>
      <c r="L303" s="46">
        <v>0.0</v>
      </c>
      <c r="M303" s="47">
        <v>19.108</v>
      </c>
      <c r="N303" s="48">
        <v>-2.75</v>
      </c>
      <c r="O303" s="49">
        <v>1291.0</v>
      </c>
      <c r="P303" s="49">
        <v>280058.0</v>
      </c>
      <c r="Q303" s="51">
        <v>0.0</v>
      </c>
      <c r="R303" s="51">
        <v>1.0</v>
      </c>
      <c r="S303" s="51">
        <v>0.0</v>
      </c>
      <c r="T303" s="51">
        <v>0.0</v>
      </c>
      <c r="U303" s="51">
        <v>0.0</v>
      </c>
      <c r="V303" s="35"/>
      <c r="W303" s="35"/>
      <c r="X303" s="35"/>
      <c r="Y303" s="35"/>
      <c r="Z303" s="35"/>
      <c r="AA303" s="35"/>
      <c r="AB303" s="35"/>
      <c r="AC303" s="35"/>
    </row>
    <row r="304">
      <c r="A304" s="30" t="s">
        <v>41</v>
      </c>
      <c r="B304" s="52">
        <v>2011.0</v>
      </c>
      <c r="C304" s="30" t="s">
        <v>43</v>
      </c>
      <c r="D304" s="32" t="s">
        <v>106</v>
      </c>
      <c r="E304" s="33">
        <v>61.0</v>
      </c>
      <c r="F304" s="35">
        <v>630.5</v>
      </c>
      <c r="G304" s="31">
        <v>285916.75</v>
      </c>
      <c r="H304" s="31">
        <f t="shared" si="1"/>
        <v>2.205187349</v>
      </c>
      <c r="I304" s="54">
        <v>60.2</v>
      </c>
      <c r="J304" s="53">
        <v>7.77</v>
      </c>
      <c r="K304" s="61">
        <v>7410.75</v>
      </c>
      <c r="L304" s="46">
        <v>0.0</v>
      </c>
      <c r="M304" s="47">
        <v>38.293</v>
      </c>
      <c r="N304" s="48">
        <v>-7.26</v>
      </c>
      <c r="O304" s="49">
        <v>2470.66666666667</v>
      </c>
      <c r="P304" s="49">
        <v>282827.0</v>
      </c>
      <c r="Q304" s="51">
        <v>0.0</v>
      </c>
      <c r="R304" s="51">
        <v>0.0</v>
      </c>
      <c r="S304" s="51">
        <v>1.0</v>
      </c>
      <c r="T304" s="51">
        <v>0.0</v>
      </c>
      <c r="U304" s="51">
        <v>0.0</v>
      </c>
      <c r="V304" s="35"/>
      <c r="W304" s="35"/>
      <c r="X304" s="35"/>
      <c r="Y304" s="35"/>
      <c r="Z304" s="35"/>
      <c r="AA304" s="35"/>
      <c r="AB304" s="35"/>
      <c r="AC304" s="35"/>
    </row>
    <row r="305">
      <c r="A305" s="30" t="s">
        <v>43</v>
      </c>
      <c r="B305" s="52">
        <v>2015.0</v>
      </c>
      <c r="C305" s="30">
        <v>2016.0</v>
      </c>
      <c r="D305" s="55" t="s">
        <v>106</v>
      </c>
      <c r="E305" s="33">
        <v>61.0</v>
      </c>
      <c r="F305" s="35">
        <v>0.0</v>
      </c>
      <c r="G305" s="31">
        <v>290895.0</v>
      </c>
      <c r="H305" s="31">
        <f t="shared" si="1"/>
        <v>0</v>
      </c>
      <c r="I305" s="54">
        <v>52.5</v>
      </c>
      <c r="J305" s="56">
        <v>11.31</v>
      </c>
      <c r="K305" s="61">
        <v>8403.5</v>
      </c>
      <c r="L305" s="46">
        <v>0.0</v>
      </c>
      <c r="M305" s="47">
        <v>78.25</v>
      </c>
      <c r="N305" s="48">
        <v>-6.85</v>
      </c>
      <c r="O305" s="49">
        <v>2734.0</v>
      </c>
      <c r="P305" s="49">
        <v>285916.75</v>
      </c>
      <c r="Q305" s="51">
        <v>0.0</v>
      </c>
      <c r="R305" s="51">
        <v>0.0</v>
      </c>
      <c r="S305" s="51">
        <v>0.0</v>
      </c>
      <c r="T305" s="51">
        <v>1.0</v>
      </c>
      <c r="U305" s="51">
        <v>0.0</v>
      </c>
      <c r="V305" s="35"/>
      <c r="W305" s="35"/>
      <c r="X305" s="35"/>
      <c r="Y305" s="35"/>
      <c r="Z305" s="35"/>
      <c r="AA305" s="35"/>
      <c r="AB305" s="35"/>
      <c r="AC305" s="35"/>
    </row>
    <row r="306">
      <c r="A306" s="30">
        <v>2016.0</v>
      </c>
      <c r="B306" s="52">
        <v>2016.0</v>
      </c>
      <c r="C306" s="30" t="s">
        <v>45</v>
      </c>
      <c r="D306" s="55" t="s">
        <v>106</v>
      </c>
      <c r="E306" s="33">
        <v>61.0</v>
      </c>
      <c r="F306" s="35">
        <v>653.0</v>
      </c>
      <c r="G306" s="31">
        <v>295352.0</v>
      </c>
      <c r="H306" s="31">
        <f t="shared" si="1"/>
        <v>2.210921206</v>
      </c>
      <c r="I306" s="54">
        <v>62.8</v>
      </c>
      <c r="J306" s="56">
        <v>11.86</v>
      </c>
      <c r="K306" s="62">
        <v>7580.0</v>
      </c>
      <c r="L306" s="46">
        <v>0.0</v>
      </c>
      <c r="M306" s="47">
        <v>90.713</v>
      </c>
      <c r="N306" s="48">
        <v>-0.36</v>
      </c>
      <c r="O306" s="49">
        <v>3344.0</v>
      </c>
      <c r="P306" s="49">
        <v>290895.0</v>
      </c>
      <c r="Q306" s="51">
        <v>0.0</v>
      </c>
      <c r="R306" s="51">
        <v>0.0</v>
      </c>
      <c r="S306" s="51">
        <v>0.0</v>
      </c>
      <c r="T306" s="51">
        <v>0.0</v>
      </c>
      <c r="U306" s="51">
        <v>1.0</v>
      </c>
      <c r="V306" s="35"/>
      <c r="W306" s="35"/>
      <c r="X306" s="35"/>
      <c r="Y306" s="35"/>
      <c r="Z306" s="35"/>
      <c r="AA306" s="35"/>
      <c r="AB306" s="35"/>
      <c r="AC306" s="35"/>
    </row>
    <row r="307">
      <c r="A307" s="26" t="s">
        <v>37</v>
      </c>
      <c r="B307" s="52">
        <v>2002.0</v>
      </c>
      <c r="C307" s="30" t="s">
        <v>39</v>
      </c>
      <c r="D307" s="32" t="s">
        <v>107</v>
      </c>
      <c r="E307" s="33">
        <v>62.0</v>
      </c>
      <c r="F307" s="35">
        <v>332.8</v>
      </c>
      <c r="G307" s="31">
        <v>331677.0</v>
      </c>
      <c r="H307" s="31">
        <f t="shared" si="1"/>
        <v>1.003385824</v>
      </c>
      <c r="I307" s="42">
        <v>42.17</v>
      </c>
      <c r="J307" s="44">
        <v>0.31</v>
      </c>
      <c r="K307" s="61">
        <v>3498.91</v>
      </c>
      <c r="L307" s="46">
        <v>0.0</v>
      </c>
      <c r="M307" s="47">
        <v>2.683</v>
      </c>
      <c r="N307" s="48">
        <v>-0.22</v>
      </c>
      <c r="O307" s="49">
        <v>934.0</v>
      </c>
      <c r="P307" s="49">
        <v>348081.0</v>
      </c>
      <c r="Q307" s="50">
        <v>1.0</v>
      </c>
      <c r="R307" s="51">
        <v>0.0</v>
      </c>
      <c r="S307" s="51">
        <v>0.0</v>
      </c>
      <c r="T307" s="51">
        <v>0.0</v>
      </c>
      <c r="U307" s="51">
        <v>0.0</v>
      </c>
      <c r="V307" s="35"/>
      <c r="W307" s="35"/>
      <c r="X307" s="35"/>
      <c r="Y307" s="35"/>
      <c r="Z307" s="35"/>
      <c r="AA307" s="35"/>
      <c r="AB307" s="35"/>
      <c r="AC307" s="35"/>
    </row>
    <row r="308">
      <c r="A308" s="30" t="s">
        <v>39</v>
      </c>
      <c r="B308" s="52">
        <v>2007.0</v>
      </c>
      <c r="C308" s="30" t="s">
        <v>41</v>
      </c>
      <c r="D308" s="32" t="s">
        <v>107</v>
      </c>
      <c r="E308" s="33">
        <v>62.0</v>
      </c>
      <c r="F308" s="35">
        <v>320.0</v>
      </c>
      <c r="G308" s="31">
        <v>338463.0</v>
      </c>
      <c r="H308" s="31">
        <f t="shared" si="1"/>
        <v>0.9454504628</v>
      </c>
      <c r="I308" s="42">
        <v>48.6</v>
      </c>
      <c r="J308" s="53">
        <v>5.37</v>
      </c>
      <c r="K308" s="61">
        <v>4555.04</v>
      </c>
      <c r="L308" s="46">
        <v>0.0</v>
      </c>
      <c r="M308" s="47">
        <v>22.194</v>
      </c>
      <c r="N308" s="48">
        <v>1.61</v>
      </c>
      <c r="O308" s="49">
        <v>1742.0</v>
      </c>
      <c r="P308" s="49">
        <v>331677.0</v>
      </c>
      <c r="Q308" s="51">
        <v>0.0</v>
      </c>
      <c r="R308" s="51">
        <v>1.0</v>
      </c>
      <c r="S308" s="51">
        <v>0.0</v>
      </c>
      <c r="T308" s="51">
        <v>0.0</v>
      </c>
      <c r="U308" s="51">
        <v>0.0</v>
      </c>
      <c r="V308" s="35"/>
      <c r="W308" s="35"/>
      <c r="X308" s="35"/>
      <c r="Y308" s="35"/>
      <c r="Z308" s="35"/>
      <c r="AA308" s="35"/>
      <c r="AB308" s="35"/>
      <c r="AC308" s="35"/>
    </row>
    <row r="309">
      <c r="A309" s="30" t="s">
        <v>41</v>
      </c>
      <c r="B309" s="52">
        <v>2011.0</v>
      </c>
      <c r="C309" s="30" t="s">
        <v>43</v>
      </c>
      <c r="D309" s="32" t="s">
        <v>107</v>
      </c>
      <c r="E309" s="33">
        <v>62.0</v>
      </c>
      <c r="F309" s="35">
        <v>980.75</v>
      </c>
      <c r="G309" s="31">
        <v>343485.0</v>
      </c>
      <c r="H309" s="31">
        <f t="shared" si="1"/>
        <v>2.85529208</v>
      </c>
      <c r="I309" s="54">
        <v>54.2</v>
      </c>
      <c r="J309" s="53">
        <v>7.61</v>
      </c>
      <c r="K309" s="61">
        <v>6593.75</v>
      </c>
      <c r="L309" s="46">
        <v>0.0</v>
      </c>
      <c r="M309" s="47">
        <v>45.864</v>
      </c>
      <c r="N309" s="48">
        <v>-6.93</v>
      </c>
      <c r="O309" s="49">
        <v>2153.0</v>
      </c>
      <c r="P309" s="49">
        <v>338463.0</v>
      </c>
      <c r="Q309" s="51">
        <v>0.0</v>
      </c>
      <c r="R309" s="51">
        <v>0.0</v>
      </c>
      <c r="S309" s="51">
        <v>1.0</v>
      </c>
      <c r="T309" s="51">
        <v>0.0</v>
      </c>
      <c r="U309" s="51">
        <v>0.0</v>
      </c>
      <c r="V309" s="35"/>
      <c r="W309" s="35"/>
      <c r="X309" s="35"/>
      <c r="Y309" s="35"/>
      <c r="Z309" s="35"/>
      <c r="AA309" s="35"/>
      <c r="AB309" s="35"/>
      <c r="AC309" s="35"/>
    </row>
    <row r="310">
      <c r="A310" s="30" t="s">
        <v>43</v>
      </c>
      <c r="B310" s="52">
        <v>2015.0</v>
      </c>
      <c r="C310" s="30">
        <v>2016.0</v>
      </c>
      <c r="D310" s="55" t="s">
        <v>107</v>
      </c>
      <c r="E310" s="33">
        <v>62.0</v>
      </c>
      <c r="F310" s="35">
        <v>531.0</v>
      </c>
      <c r="G310" s="31">
        <v>351468.0</v>
      </c>
      <c r="H310" s="31">
        <f t="shared" si="1"/>
        <v>1.510806105</v>
      </c>
      <c r="I310" s="54">
        <v>47.8</v>
      </c>
      <c r="J310" s="56">
        <v>10.68</v>
      </c>
      <c r="K310" s="61">
        <v>7786.5</v>
      </c>
      <c r="L310" s="46">
        <v>0.0</v>
      </c>
      <c r="M310" s="47">
        <v>73.663</v>
      </c>
      <c r="N310" s="48">
        <v>-8.27</v>
      </c>
      <c r="O310" s="49">
        <v>3742.25</v>
      </c>
      <c r="P310" s="49">
        <v>343485.0</v>
      </c>
      <c r="Q310" s="51">
        <v>0.0</v>
      </c>
      <c r="R310" s="51">
        <v>0.0</v>
      </c>
      <c r="S310" s="51">
        <v>0.0</v>
      </c>
      <c r="T310" s="51">
        <v>1.0</v>
      </c>
      <c r="U310" s="51">
        <v>0.0</v>
      </c>
      <c r="V310" s="35"/>
      <c r="W310" s="35"/>
      <c r="X310" s="35"/>
      <c r="Y310" s="35"/>
      <c r="Z310" s="35"/>
      <c r="AA310" s="35"/>
      <c r="AB310" s="35"/>
      <c r="AC310" s="35"/>
    </row>
    <row r="311">
      <c r="A311" s="30">
        <v>2016.0</v>
      </c>
      <c r="B311" s="52">
        <v>2016.0</v>
      </c>
      <c r="C311" s="30" t="s">
        <v>45</v>
      </c>
      <c r="D311" s="55" t="s">
        <v>107</v>
      </c>
      <c r="E311" s="33">
        <v>62.0</v>
      </c>
      <c r="F311" s="35">
        <v>659.3333333333334</v>
      </c>
      <c r="G311" s="31">
        <v>358717.0</v>
      </c>
      <c r="H311" s="31">
        <f t="shared" si="1"/>
        <v>1.838032023</v>
      </c>
      <c r="I311" s="54">
        <v>57.1</v>
      </c>
      <c r="J311" s="56">
        <v>11.33</v>
      </c>
      <c r="K311" s="62">
        <v>7154.0</v>
      </c>
      <c r="L311" s="46">
        <v>0.0</v>
      </c>
      <c r="M311" s="47">
        <v>83.428</v>
      </c>
      <c r="N311" s="48">
        <v>-1.24</v>
      </c>
      <c r="O311" s="49">
        <v>3330.0</v>
      </c>
      <c r="P311" s="49">
        <v>351468.0</v>
      </c>
      <c r="Q311" s="51">
        <v>0.0</v>
      </c>
      <c r="R311" s="51">
        <v>0.0</v>
      </c>
      <c r="S311" s="51">
        <v>0.0</v>
      </c>
      <c r="T311" s="51">
        <v>0.0</v>
      </c>
      <c r="U311" s="51">
        <v>1.0</v>
      </c>
      <c r="V311" s="35"/>
      <c r="W311" s="35"/>
      <c r="X311" s="35"/>
      <c r="Y311" s="35"/>
      <c r="Z311" s="35"/>
      <c r="AA311" s="35"/>
      <c r="AB311" s="35"/>
      <c r="AC311" s="35"/>
    </row>
    <row r="312">
      <c r="A312" s="26" t="s">
        <v>37</v>
      </c>
      <c r="B312" s="52">
        <v>2002.0</v>
      </c>
      <c r="C312" s="30" t="s">
        <v>39</v>
      </c>
      <c r="D312" s="32" t="s">
        <v>108</v>
      </c>
      <c r="E312" s="33">
        <v>63.0</v>
      </c>
      <c r="F312" s="35">
        <v>212.4</v>
      </c>
      <c r="G312" s="31">
        <v>715409.0</v>
      </c>
      <c r="H312" s="31">
        <f t="shared" si="1"/>
        <v>0.2968931059</v>
      </c>
      <c r="I312" s="42">
        <v>41.5</v>
      </c>
      <c r="J312" s="44">
        <v>2.58</v>
      </c>
      <c r="K312" s="61">
        <v>2788.23</v>
      </c>
      <c r="L312" s="46">
        <v>0.0</v>
      </c>
      <c r="M312" s="47">
        <v>1.743</v>
      </c>
      <c r="N312" s="48">
        <v>-4.47</v>
      </c>
      <c r="O312" s="49">
        <v>1547.0</v>
      </c>
      <c r="P312" s="49">
        <v>887765.0</v>
      </c>
      <c r="Q312" s="50">
        <v>1.0</v>
      </c>
      <c r="R312" s="51">
        <v>0.0</v>
      </c>
      <c r="S312" s="51">
        <v>0.0</v>
      </c>
      <c r="T312" s="51">
        <v>0.0</v>
      </c>
      <c r="U312" s="51">
        <v>0.0</v>
      </c>
      <c r="V312" s="35"/>
      <c r="W312" s="35"/>
      <c r="X312" s="35"/>
      <c r="Y312" s="35"/>
      <c r="Z312" s="35"/>
      <c r="AA312" s="35"/>
      <c r="AB312" s="35"/>
      <c r="AC312" s="35"/>
    </row>
    <row r="313">
      <c r="A313" s="30" t="s">
        <v>39</v>
      </c>
      <c r="B313" s="52">
        <v>2007.0</v>
      </c>
      <c r="C313" s="30" t="s">
        <v>41</v>
      </c>
      <c r="D313" s="32" t="s">
        <v>108</v>
      </c>
      <c r="E313" s="33">
        <v>63.0</v>
      </c>
      <c r="F313" s="35">
        <v>555.0</v>
      </c>
      <c r="G313" s="31">
        <v>719089.5</v>
      </c>
      <c r="H313" s="31">
        <f t="shared" si="1"/>
        <v>0.7718093506</v>
      </c>
      <c r="I313" s="42">
        <v>55.79</v>
      </c>
      <c r="J313" s="53">
        <v>4.84</v>
      </c>
      <c r="K313" s="61">
        <v>4019.16</v>
      </c>
      <c r="L313" s="46">
        <v>0.0</v>
      </c>
      <c r="M313" s="47">
        <v>9.194</v>
      </c>
      <c r="N313" s="48">
        <v>-4.83</v>
      </c>
      <c r="O313" s="49">
        <v>1712.0</v>
      </c>
      <c r="P313" s="49">
        <v>715409.0</v>
      </c>
      <c r="Q313" s="51">
        <v>0.0</v>
      </c>
      <c r="R313" s="51">
        <v>1.0</v>
      </c>
      <c r="S313" s="51">
        <v>0.0</v>
      </c>
      <c r="T313" s="51">
        <v>0.0</v>
      </c>
      <c r="U313" s="51">
        <v>0.0</v>
      </c>
      <c r="V313" s="35"/>
      <c r="W313" s="35"/>
      <c r="X313" s="35"/>
      <c r="Y313" s="35"/>
      <c r="Z313" s="35"/>
      <c r="AA313" s="35"/>
      <c r="AB313" s="35"/>
      <c r="AC313" s="35"/>
    </row>
    <row r="314">
      <c r="A314" s="30" t="s">
        <v>41</v>
      </c>
      <c r="B314" s="52">
        <v>2011.0</v>
      </c>
      <c r="C314" s="30" t="s">
        <v>43</v>
      </c>
      <c r="D314" s="32" t="s">
        <v>108</v>
      </c>
      <c r="E314" s="33">
        <v>63.0</v>
      </c>
      <c r="F314" s="35">
        <v>191.0</v>
      </c>
      <c r="G314" s="31">
        <v>731510.0</v>
      </c>
      <c r="H314" s="31">
        <f t="shared" si="1"/>
        <v>0.2611037443</v>
      </c>
      <c r="I314" s="54">
        <v>60.2</v>
      </c>
      <c r="J314" s="53">
        <v>7.18</v>
      </c>
      <c r="K314" s="61">
        <v>5724.5</v>
      </c>
      <c r="L314" s="46">
        <v>1.0</v>
      </c>
      <c r="M314" s="47">
        <v>24.827</v>
      </c>
      <c r="N314" s="48">
        <v>-6.02</v>
      </c>
      <c r="O314" s="49">
        <v>3928.33333333333</v>
      </c>
      <c r="P314" s="49">
        <v>719089.5</v>
      </c>
      <c r="Q314" s="51">
        <v>0.0</v>
      </c>
      <c r="R314" s="51">
        <v>0.0</v>
      </c>
      <c r="S314" s="51">
        <v>1.0</v>
      </c>
      <c r="T314" s="51">
        <v>0.0</v>
      </c>
      <c r="U314" s="51">
        <v>0.0</v>
      </c>
      <c r="V314" s="35"/>
      <c r="W314" s="35"/>
      <c r="X314" s="35"/>
      <c r="Y314" s="35"/>
      <c r="Z314" s="35"/>
      <c r="AA314" s="35"/>
      <c r="AB314" s="35"/>
      <c r="AC314" s="35"/>
    </row>
    <row r="315">
      <c r="A315" s="30" t="s">
        <v>43</v>
      </c>
      <c r="B315" s="52">
        <v>2015.0</v>
      </c>
      <c r="C315" s="30">
        <v>2016.0</v>
      </c>
      <c r="D315" s="55" t="s">
        <v>108</v>
      </c>
      <c r="E315" s="33">
        <v>63.0</v>
      </c>
      <c r="F315" s="35">
        <v>311.0</v>
      </c>
      <c r="G315" s="31">
        <v>750588.0</v>
      </c>
      <c r="H315" s="31">
        <f t="shared" si="1"/>
        <v>0.4143418227</v>
      </c>
      <c r="I315" s="54">
        <v>53.0</v>
      </c>
      <c r="J315" s="56">
        <v>10.59</v>
      </c>
      <c r="K315" s="61">
        <v>6713.25</v>
      </c>
      <c r="L315" s="46">
        <v>0.0</v>
      </c>
      <c r="M315" s="47">
        <v>53.976</v>
      </c>
      <c r="N315" s="48">
        <v>-5.4</v>
      </c>
      <c r="O315" s="49">
        <v>5710.5</v>
      </c>
      <c r="P315" s="49">
        <v>731510.0</v>
      </c>
      <c r="Q315" s="51">
        <v>0.0</v>
      </c>
      <c r="R315" s="51">
        <v>0.0</v>
      </c>
      <c r="S315" s="51">
        <v>0.0</v>
      </c>
      <c r="T315" s="51">
        <v>1.0</v>
      </c>
      <c r="U315" s="51">
        <v>0.0</v>
      </c>
      <c r="V315" s="35"/>
      <c r="W315" s="35"/>
      <c r="X315" s="35"/>
      <c r="Y315" s="35"/>
      <c r="Z315" s="35"/>
      <c r="AA315" s="35"/>
      <c r="AB315" s="35"/>
      <c r="AC315" s="35"/>
    </row>
    <row r="316">
      <c r="A316" s="30">
        <v>2016.0</v>
      </c>
      <c r="B316" s="52">
        <v>2016.0</v>
      </c>
      <c r="C316" s="30" t="s">
        <v>45</v>
      </c>
      <c r="D316" s="55" t="s">
        <v>108</v>
      </c>
      <c r="E316" s="33">
        <v>63.0</v>
      </c>
      <c r="F316" s="35">
        <v>0.0</v>
      </c>
      <c r="G316" s="31">
        <v>757136.5</v>
      </c>
      <c r="H316" s="31">
        <f t="shared" si="1"/>
        <v>0</v>
      </c>
      <c r="I316" s="54">
        <v>63.3</v>
      </c>
      <c r="J316" s="56">
        <v>11.23</v>
      </c>
      <c r="K316" s="62">
        <v>6096.0</v>
      </c>
      <c r="L316" s="46">
        <v>0.0</v>
      </c>
      <c r="M316" s="47">
        <v>62.319</v>
      </c>
      <c r="N316" s="48">
        <v>8.72</v>
      </c>
      <c r="O316" s="49">
        <v>5142.0</v>
      </c>
      <c r="P316" s="49">
        <v>750588.0</v>
      </c>
      <c r="Q316" s="51">
        <v>0.0</v>
      </c>
      <c r="R316" s="51">
        <v>0.0</v>
      </c>
      <c r="S316" s="51">
        <v>0.0</v>
      </c>
      <c r="T316" s="51">
        <v>0.0</v>
      </c>
      <c r="U316" s="51">
        <v>1.0</v>
      </c>
      <c r="V316" s="35"/>
      <c r="W316" s="35"/>
      <c r="X316" s="35"/>
      <c r="Y316" s="35"/>
      <c r="Z316" s="35"/>
      <c r="AA316" s="35"/>
      <c r="AB316" s="35"/>
      <c r="AC316" s="35"/>
    </row>
    <row r="317">
      <c r="A317" s="26" t="s">
        <v>37</v>
      </c>
      <c r="B317" s="52">
        <v>2002.0</v>
      </c>
      <c r="C317" s="30" t="s">
        <v>39</v>
      </c>
      <c r="D317" s="32" t="s">
        <v>109</v>
      </c>
      <c r="E317" s="33">
        <v>64.0</v>
      </c>
      <c r="F317" s="35">
        <v>108.0</v>
      </c>
      <c r="G317" s="31">
        <v>452880.0</v>
      </c>
      <c r="H317" s="31">
        <f t="shared" si="1"/>
        <v>0.2384737679</v>
      </c>
      <c r="I317" s="42">
        <v>31.18</v>
      </c>
      <c r="J317" s="44">
        <v>3.41</v>
      </c>
      <c r="K317" s="61">
        <v>2589.46</v>
      </c>
      <c r="L317" s="46">
        <v>0.0</v>
      </c>
      <c r="M317" s="47">
        <v>0.41</v>
      </c>
      <c r="N317" s="48">
        <v>-2.47</v>
      </c>
      <c r="O317" s="49">
        <v>188.0</v>
      </c>
      <c r="P317" s="49">
        <v>458782.0</v>
      </c>
      <c r="Q317" s="50">
        <v>1.0</v>
      </c>
      <c r="R317" s="51">
        <v>0.0</v>
      </c>
      <c r="S317" s="51">
        <v>0.0</v>
      </c>
      <c r="T317" s="51">
        <v>0.0</v>
      </c>
      <c r="U317" s="51">
        <v>0.0</v>
      </c>
      <c r="V317" s="35"/>
      <c r="W317" s="35"/>
      <c r="X317" s="35"/>
      <c r="Y317" s="35"/>
      <c r="Z317" s="35"/>
      <c r="AA317" s="35"/>
      <c r="AB317" s="35"/>
      <c r="AC317" s="35"/>
    </row>
    <row r="318">
      <c r="A318" s="30" t="s">
        <v>39</v>
      </c>
      <c r="B318" s="52">
        <v>2007.0</v>
      </c>
      <c r="C318" s="30" t="s">
        <v>41</v>
      </c>
      <c r="D318" s="32" t="s">
        <v>109</v>
      </c>
      <c r="E318" s="33">
        <v>64.0</v>
      </c>
      <c r="F318" s="35">
        <v>154.0</v>
      </c>
      <c r="G318" s="31">
        <v>475271.5</v>
      </c>
      <c r="H318" s="31">
        <f t="shared" si="1"/>
        <v>0.3240253203</v>
      </c>
      <c r="I318" s="42">
        <v>38.71</v>
      </c>
      <c r="J318" s="53">
        <v>5.7</v>
      </c>
      <c r="K318" s="61">
        <v>3541.49</v>
      </c>
      <c r="L318" s="46">
        <v>0.0</v>
      </c>
      <c r="M318" s="47">
        <v>4.53</v>
      </c>
      <c r="N318" s="48">
        <v>-0.02</v>
      </c>
      <c r="O318" s="49">
        <v>820.25</v>
      </c>
      <c r="P318" s="49">
        <v>452880.0</v>
      </c>
      <c r="Q318" s="51">
        <v>0.0</v>
      </c>
      <c r="R318" s="51">
        <v>1.0</v>
      </c>
      <c r="S318" s="51">
        <v>0.0</v>
      </c>
      <c r="T318" s="51">
        <v>0.0</v>
      </c>
      <c r="U318" s="51">
        <v>0.0</v>
      </c>
      <c r="V318" s="35"/>
      <c r="W318" s="35"/>
      <c r="X318" s="35"/>
      <c r="Y318" s="35"/>
      <c r="Z318" s="35"/>
      <c r="AA318" s="35"/>
      <c r="AB318" s="35"/>
      <c r="AC318" s="35"/>
    </row>
    <row r="319">
      <c r="A319" s="30" t="s">
        <v>41</v>
      </c>
      <c r="B319" s="52">
        <v>2011.0</v>
      </c>
      <c r="C319" s="30" t="s">
        <v>43</v>
      </c>
      <c r="D319" s="32" t="s">
        <v>109</v>
      </c>
      <c r="E319" s="33">
        <v>64.0</v>
      </c>
      <c r="F319" s="35">
        <v>64.0</v>
      </c>
      <c r="G319" s="31">
        <v>502699.0</v>
      </c>
      <c r="H319" s="31">
        <f t="shared" si="1"/>
        <v>0.1273127657</v>
      </c>
      <c r="I319" s="54">
        <v>43.1</v>
      </c>
      <c r="J319" s="53">
        <v>8.31</v>
      </c>
      <c r="K319" s="61">
        <v>5917.25</v>
      </c>
      <c r="L319" s="46">
        <v>0.0</v>
      </c>
      <c r="M319" s="47">
        <v>14.806</v>
      </c>
      <c r="N319" s="48">
        <v>-0.05</v>
      </c>
      <c r="O319" s="49">
        <v>1482.66666666667</v>
      </c>
      <c r="P319" s="49">
        <v>475271.5</v>
      </c>
      <c r="Q319" s="51">
        <v>0.0</v>
      </c>
      <c r="R319" s="51">
        <v>0.0</v>
      </c>
      <c r="S319" s="51">
        <v>1.0</v>
      </c>
      <c r="T319" s="51">
        <v>0.0</v>
      </c>
      <c r="U319" s="51">
        <v>0.0</v>
      </c>
      <c r="V319" s="35"/>
      <c r="W319" s="35"/>
      <c r="X319" s="35"/>
      <c r="Y319" s="35"/>
      <c r="Z319" s="35"/>
      <c r="AA319" s="35"/>
      <c r="AB319" s="35"/>
      <c r="AC319" s="35"/>
    </row>
    <row r="320">
      <c r="A320" s="30" t="s">
        <v>43</v>
      </c>
      <c r="B320" s="52">
        <v>2015.0</v>
      </c>
      <c r="C320" s="30">
        <v>2016.0</v>
      </c>
      <c r="D320" s="55" t="s">
        <v>109</v>
      </c>
      <c r="E320" s="33">
        <v>64.0</v>
      </c>
      <c r="F320" s="35">
        <v>0.0</v>
      </c>
      <c r="G320" s="31">
        <v>522175.0</v>
      </c>
      <c r="H320" s="31">
        <f t="shared" si="1"/>
        <v>0</v>
      </c>
      <c r="I320" s="54">
        <v>38.9</v>
      </c>
      <c r="J320" s="56">
        <v>12.78</v>
      </c>
      <c r="K320" s="61">
        <v>6950.0</v>
      </c>
      <c r="L320" s="46">
        <v>0.0</v>
      </c>
      <c r="M320" s="47">
        <v>42.787</v>
      </c>
      <c r="N320" s="48">
        <v>-2.72</v>
      </c>
      <c r="O320" s="49">
        <v>3982.25</v>
      </c>
      <c r="P320" s="49">
        <v>502699.0</v>
      </c>
      <c r="Q320" s="51">
        <v>0.0</v>
      </c>
      <c r="R320" s="51">
        <v>0.0</v>
      </c>
      <c r="S320" s="51">
        <v>0.0</v>
      </c>
      <c r="T320" s="51">
        <v>1.0</v>
      </c>
      <c r="U320" s="51">
        <v>0.0</v>
      </c>
      <c r="V320" s="35"/>
      <c r="W320" s="35"/>
      <c r="X320" s="35"/>
      <c r="Y320" s="35"/>
      <c r="Z320" s="35"/>
      <c r="AA320" s="35"/>
      <c r="AB320" s="35"/>
      <c r="AC320" s="35"/>
    </row>
    <row r="321">
      <c r="A321" s="30">
        <v>2016.0</v>
      </c>
      <c r="B321" s="52">
        <v>2016.0</v>
      </c>
      <c r="C321" s="30" t="s">
        <v>45</v>
      </c>
      <c r="D321" s="55" t="s">
        <v>109</v>
      </c>
      <c r="E321" s="33">
        <v>64.0</v>
      </c>
      <c r="F321" s="35">
        <v>63.0</v>
      </c>
      <c r="G321" s="31">
        <v>531069.5</v>
      </c>
      <c r="H321" s="31">
        <f t="shared" si="1"/>
        <v>0.1186285411</v>
      </c>
      <c r="I321" s="54">
        <v>46.7</v>
      </c>
      <c r="J321" s="56">
        <v>13.76</v>
      </c>
      <c r="K321" s="62">
        <v>6535.0</v>
      </c>
      <c r="L321" s="46">
        <v>0.0</v>
      </c>
      <c r="M321" s="47">
        <v>50.99</v>
      </c>
      <c r="N321" s="48">
        <v>1.09</v>
      </c>
      <c r="O321" s="49">
        <v>2965.0</v>
      </c>
      <c r="P321" s="49">
        <v>522175.0</v>
      </c>
      <c r="Q321" s="51">
        <v>0.0</v>
      </c>
      <c r="R321" s="51">
        <v>0.0</v>
      </c>
      <c r="S321" s="51">
        <v>0.0</v>
      </c>
      <c r="T321" s="51">
        <v>0.0</v>
      </c>
      <c r="U321" s="51">
        <v>1.0</v>
      </c>
      <c r="V321" s="35"/>
      <c r="W321" s="35"/>
      <c r="X321" s="35"/>
      <c r="Y321" s="35"/>
      <c r="Z321" s="35"/>
      <c r="AA321" s="35"/>
      <c r="AB321" s="35"/>
      <c r="AC321" s="35"/>
    </row>
    <row r="322">
      <c r="A322" s="26" t="s">
        <v>37</v>
      </c>
      <c r="B322" s="52">
        <v>2002.0</v>
      </c>
      <c r="C322" s="30" t="s">
        <v>39</v>
      </c>
      <c r="D322" s="32" t="s">
        <v>110</v>
      </c>
      <c r="E322" s="33">
        <v>65.0</v>
      </c>
      <c r="F322" s="35">
        <v>136.0</v>
      </c>
      <c r="G322" s="31">
        <v>316252.0</v>
      </c>
      <c r="H322" s="31">
        <f t="shared" si="1"/>
        <v>0.4300368061</v>
      </c>
      <c r="I322" s="42">
        <v>44.19</v>
      </c>
      <c r="J322" s="44">
        <v>3.47</v>
      </c>
      <c r="K322" s="61">
        <v>4064.36</v>
      </c>
      <c r="L322" s="46">
        <v>1.0</v>
      </c>
      <c r="M322" s="47">
        <v>2.06</v>
      </c>
      <c r="N322" s="48">
        <v>-2.19</v>
      </c>
      <c r="O322" s="49">
        <v>754.0</v>
      </c>
      <c r="P322" s="49">
        <v>365938.0</v>
      </c>
      <c r="Q322" s="50">
        <v>1.0</v>
      </c>
      <c r="R322" s="51">
        <v>0.0</v>
      </c>
      <c r="S322" s="51">
        <v>0.0</v>
      </c>
      <c r="T322" s="51">
        <v>0.0</v>
      </c>
      <c r="U322" s="51">
        <v>0.0</v>
      </c>
      <c r="V322" s="35"/>
      <c r="W322" s="35"/>
      <c r="X322" s="35"/>
      <c r="Y322" s="35"/>
      <c r="Z322" s="35"/>
      <c r="AA322" s="35"/>
      <c r="AB322" s="35"/>
      <c r="AC322" s="35"/>
    </row>
    <row r="323">
      <c r="A323" s="30" t="s">
        <v>39</v>
      </c>
      <c r="B323" s="52">
        <v>2007.0</v>
      </c>
      <c r="C323" s="30" t="s">
        <v>41</v>
      </c>
      <c r="D323" s="32" t="s">
        <v>110</v>
      </c>
      <c r="E323" s="33">
        <v>65.0</v>
      </c>
      <c r="F323" s="35">
        <v>67.0</v>
      </c>
      <c r="G323" s="31">
        <v>320407.0</v>
      </c>
      <c r="H323" s="31">
        <f t="shared" si="1"/>
        <v>0.2091090394</v>
      </c>
      <c r="I323" s="42">
        <v>53.66</v>
      </c>
      <c r="J323" s="53">
        <v>5.9</v>
      </c>
      <c r="K323" s="61">
        <v>5564.63</v>
      </c>
      <c r="L323" s="46">
        <v>0.0</v>
      </c>
      <c r="M323" s="47">
        <v>15.387</v>
      </c>
      <c r="N323" s="48">
        <v>-1.99</v>
      </c>
      <c r="O323" s="49">
        <v>993.75</v>
      </c>
      <c r="P323" s="49">
        <v>316252.0</v>
      </c>
      <c r="Q323" s="51">
        <v>0.0</v>
      </c>
      <c r="R323" s="51">
        <v>1.0</v>
      </c>
      <c r="S323" s="51">
        <v>0.0</v>
      </c>
      <c r="T323" s="51">
        <v>0.0</v>
      </c>
      <c r="U323" s="51">
        <v>0.0</v>
      </c>
      <c r="V323" s="35"/>
      <c r="W323" s="35"/>
      <c r="X323" s="35"/>
      <c r="Y323" s="35"/>
      <c r="Z323" s="35"/>
      <c r="AA323" s="35"/>
      <c r="AB323" s="35"/>
      <c r="AC323" s="35"/>
    </row>
    <row r="324">
      <c r="A324" s="30" t="s">
        <v>41</v>
      </c>
      <c r="B324" s="52">
        <v>2011.0</v>
      </c>
      <c r="C324" s="30" t="s">
        <v>43</v>
      </c>
      <c r="D324" s="32" t="s">
        <v>110</v>
      </c>
      <c r="E324" s="33">
        <v>65.0</v>
      </c>
      <c r="F324" s="35">
        <v>199.5</v>
      </c>
      <c r="G324" s="31">
        <v>327778.75</v>
      </c>
      <c r="H324" s="31">
        <f t="shared" si="1"/>
        <v>0.6086422625</v>
      </c>
      <c r="I324" s="54">
        <v>68.9</v>
      </c>
      <c r="J324" s="53">
        <v>9.01</v>
      </c>
      <c r="K324" s="61">
        <v>8269.25</v>
      </c>
      <c r="L324" s="46">
        <v>0.0</v>
      </c>
      <c r="M324" s="47">
        <v>25.458</v>
      </c>
      <c r="N324" s="48">
        <v>-4.65</v>
      </c>
      <c r="O324" s="49">
        <v>1144.33333333333</v>
      </c>
      <c r="P324" s="49">
        <v>320407.0</v>
      </c>
      <c r="Q324" s="51">
        <v>0.0</v>
      </c>
      <c r="R324" s="51">
        <v>0.0</v>
      </c>
      <c r="S324" s="51">
        <v>1.0</v>
      </c>
      <c r="T324" s="51">
        <v>0.0</v>
      </c>
      <c r="U324" s="51">
        <v>0.0</v>
      </c>
      <c r="V324" s="35"/>
      <c r="W324" s="35"/>
      <c r="X324" s="35"/>
      <c r="Y324" s="35"/>
      <c r="Z324" s="35"/>
      <c r="AA324" s="35"/>
      <c r="AB324" s="35"/>
      <c r="AC324" s="35"/>
    </row>
    <row r="325">
      <c r="A325" s="30" t="s">
        <v>43</v>
      </c>
      <c r="B325" s="52">
        <v>2015.0</v>
      </c>
      <c r="C325" s="30">
        <v>2016.0</v>
      </c>
      <c r="D325" s="55" t="s">
        <v>110</v>
      </c>
      <c r="E325" s="33">
        <v>65.0</v>
      </c>
      <c r="F325" s="35">
        <v>0.0</v>
      </c>
      <c r="G325" s="31">
        <v>331048.0</v>
      </c>
      <c r="H325" s="31">
        <f t="shared" si="1"/>
        <v>0</v>
      </c>
      <c r="I325" s="54">
        <v>66.8</v>
      </c>
      <c r="J325" s="56">
        <v>12.94</v>
      </c>
      <c r="K325" s="61">
        <v>9861.25</v>
      </c>
      <c r="L325" s="46">
        <v>0.0</v>
      </c>
      <c r="M325" s="47">
        <v>43.034</v>
      </c>
      <c r="N325" s="48">
        <v>-0.91</v>
      </c>
      <c r="O325" s="49">
        <v>1447.5</v>
      </c>
      <c r="P325" s="49">
        <v>327778.75</v>
      </c>
      <c r="Q325" s="51">
        <v>0.0</v>
      </c>
      <c r="R325" s="51">
        <v>0.0</v>
      </c>
      <c r="S325" s="51">
        <v>0.0</v>
      </c>
      <c r="T325" s="51">
        <v>1.0</v>
      </c>
      <c r="U325" s="51">
        <v>0.0</v>
      </c>
      <c r="V325" s="35"/>
      <c r="W325" s="35"/>
      <c r="X325" s="35"/>
      <c r="Y325" s="35"/>
      <c r="Z325" s="35"/>
      <c r="AA325" s="35"/>
      <c r="AB325" s="35"/>
      <c r="AC325" s="35"/>
    </row>
    <row r="326">
      <c r="A326" s="30">
        <v>2016.0</v>
      </c>
      <c r="B326" s="52">
        <v>2016.0</v>
      </c>
      <c r="C326" s="30" t="s">
        <v>45</v>
      </c>
      <c r="D326" s="55" t="s">
        <v>110</v>
      </c>
      <c r="E326" s="33">
        <v>65.0</v>
      </c>
      <c r="F326" s="35">
        <v>178.0</v>
      </c>
      <c r="G326" s="31">
        <v>339824.5</v>
      </c>
      <c r="H326" s="31">
        <f t="shared" si="1"/>
        <v>0.5237997849</v>
      </c>
      <c r="I326" s="54">
        <v>75.9</v>
      </c>
      <c r="J326" s="56">
        <v>13.72</v>
      </c>
      <c r="K326" s="62">
        <v>9101.0</v>
      </c>
      <c r="L326" s="46">
        <v>0.0</v>
      </c>
      <c r="M326" s="47">
        <v>47.919</v>
      </c>
      <c r="N326" s="48">
        <v>-6.08</v>
      </c>
      <c r="O326" s="49">
        <v>1455.0</v>
      </c>
      <c r="P326" s="49">
        <v>331048.0</v>
      </c>
      <c r="Q326" s="51">
        <v>0.0</v>
      </c>
      <c r="R326" s="51">
        <v>0.0</v>
      </c>
      <c r="S326" s="51">
        <v>0.0</v>
      </c>
      <c r="T326" s="51">
        <v>0.0</v>
      </c>
      <c r="U326" s="51">
        <v>1.0</v>
      </c>
      <c r="V326" s="35"/>
      <c r="W326" s="35"/>
      <c r="X326" s="35"/>
      <c r="Y326" s="35"/>
      <c r="Z326" s="35"/>
      <c r="AA326" s="35"/>
      <c r="AB326" s="35"/>
      <c r="AC326" s="35"/>
    </row>
    <row r="327">
      <c r="A327" s="26" t="s">
        <v>37</v>
      </c>
      <c r="B327" s="52">
        <v>2002.0</v>
      </c>
      <c r="C327" s="30" t="s">
        <v>39</v>
      </c>
      <c r="D327" s="32" t="s">
        <v>111</v>
      </c>
      <c r="E327" s="33">
        <v>66.0</v>
      </c>
      <c r="F327" s="35">
        <v>302.4</v>
      </c>
      <c r="G327" s="31">
        <v>835222.0</v>
      </c>
      <c r="H327" s="31">
        <f t="shared" si="1"/>
        <v>0.3620594285</v>
      </c>
      <c r="I327" s="42">
        <v>43.84</v>
      </c>
      <c r="J327" s="44">
        <v>0.34</v>
      </c>
      <c r="K327" s="61">
        <v>4883.95</v>
      </c>
      <c r="L327" s="46">
        <v>0.0</v>
      </c>
      <c r="M327" s="47">
        <v>3.61</v>
      </c>
      <c r="N327" s="48">
        <v>-2.31</v>
      </c>
      <c r="O327" s="49">
        <v>2730.0</v>
      </c>
      <c r="P327" s="49">
        <v>756168.0</v>
      </c>
      <c r="Q327" s="50">
        <v>1.0</v>
      </c>
      <c r="R327" s="51">
        <v>0.0</v>
      </c>
      <c r="S327" s="51">
        <v>0.0</v>
      </c>
      <c r="T327" s="51">
        <v>0.0</v>
      </c>
      <c r="U327" s="51">
        <v>0.0</v>
      </c>
      <c r="V327" s="35"/>
      <c r="W327" s="35"/>
      <c r="X327" s="35"/>
      <c r="Y327" s="35"/>
      <c r="Z327" s="35"/>
      <c r="AA327" s="35"/>
      <c r="AB327" s="35"/>
      <c r="AC327" s="35"/>
    </row>
    <row r="328">
      <c r="A328" s="30" t="s">
        <v>39</v>
      </c>
      <c r="B328" s="52">
        <v>2007.0</v>
      </c>
      <c r="C328" s="30" t="s">
        <v>41</v>
      </c>
      <c r="D328" s="32" t="s">
        <v>111</v>
      </c>
      <c r="E328" s="33">
        <v>66.0</v>
      </c>
      <c r="F328" s="35">
        <v>280.0</v>
      </c>
      <c r="G328" s="31">
        <v>868572.5</v>
      </c>
      <c r="H328" s="31">
        <f t="shared" si="1"/>
        <v>0.3223680234</v>
      </c>
      <c r="I328" s="42">
        <v>53.14</v>
      </c>
      <c r="J328" s="53">
        <v>5.47</v>
      </c>
      <c r="K328" s="61">
        <v>6625.83</v>
      </c>
      <c r="L328" s="46">
        <v>0.0</v>
      </c>
      <c r="M328" s="47">
        <v>18.987</v>
      </c>
      <c r="N328" s="48">
        <v>0.87</v>
      </c>
      <c r="O328" s="49">
        <v>3323.75</v>
      </c>
      <c r="P328" s="49">
        <v>835222.0</v>
      </c>
      <c r="Q328" s="51">
        <v>0.0</v>
      </c>
      <c r="R328" s="51">
        <v>1.0</v>
      </c>
      <c r="S328" s="51">
        <v>0.0</v>
      </c>
      <c r="T328" s="51">
        <v>0.0</v>
      </c>
      <c r="U328" s="51">
        <v>0.0</v>
      </c>
      <c r="V328" s="35"/>
      <c r="W328" s="35"/>
      <c r="X328" s="35"/>
      <c r="Y328" s="35"/>
      <c r="Z328" s="35"/>
      <c r="AA328" s="35"/>
      <c r="AB328" s="35"/>
      <c r="AC328" s="35"/>
    </row>
    <row r="329">
      <c r="A329" s="30" t="s">
        <v>41</v>
      </c>
      <c r="B329" s="52">
        <v>2011.0</v>
      </c>
      <c r="C329" s="30" t="s">
        <v>43</v>
      </c>
      <c r="D329" s="32" t="s">
        <v>111</v>
      </c>
      <c r="E329" s="33">
        <v>66.0</v>
      </c>
      <c r="F329" s="35">
        <v>433.5</v>
      </c>
      <c r="G329" s="31">
        <v>926381.75</v>
      </c>
      <c r="H329" s="31">
        <f t="shared" si="1"/>
        <v>0.4679496331</v>
      </c>
      <c r="I329" s="54">
        <v>61.6</v>
      </c>
      <c r="J329" s="53">
        <v>8.41</v>
      </c>
      <c r="K329" s="61">
        <v>9308.75</v>
      </c>
      <c r="L329" s="46">
        <v>1.0</v>
      </c>
      <c r="M329" s="47">
        <v>44.42</v>
      </c>
      <c r="N329" s="48">
        <v>3.41</v>
      </c>
      <c r="O329" s="49">
        <v>6359.0</v>
      </c>
      <c r="P329" s="49">
        <v>868572.5</v>
      </c>
      <c r="Q329" s="51">
        <v>0.0</v>
      </c>
      <c r="R329" s="51">
        <v>0.0</v>
      </c>
      <c r="S329" s="51">
        <v>1.0</v>
      </c>
      <c r="T329" s="51">
        <v>0.0</v>
      </c>
      <c r="U329" s="51">
        <v>0.0</v>
      </c>
      <c r="V329" s="35"/>
      <c r="W329" s="35"/>
      <c r="X329" s="35"/>
      <c r="Y329" s="35"/>
      <c r="Z329" s="35"/>
      <c r="AA329" s="35"/>
      <c r="AB329" s="35"/>
      <c r="AC329" s="35"/>
    </row>
    <row r="330">
      <c r="A330" s="30" t="s">
        <v>43</v>
      </c>
      <c r="B330" s="52">
        <v>2015.0</v>
      </c>
      <c r="C330" s="30">
        <v>2016.0</v>
      </c>
      <c r="D330" s="55" t="s">
        <v>111</v>
      </c>
      <c r="E330" s="33">
        <v>66.0</v>
      </c>
      <c r="F330" s="35">
        <v>448.0</v>
      </c>
      <c r="G330" s="31">
        <v>976948.0</v>
      </c>
      <c r="H330" s="31">
        <f t="shared" si="1"/>
        <v>0.4585709782</v>
      </c>
      <c r="I330" s="54">
        <v>56.6</v>
      </c>
      <c r="J330" s="56">
        <v>11.95</v>
      </c>
      <c r="K330" s="61">
        <v>10838.75</v>
      </c>
      <c r="L330" s="46">
        <v>0.0</v>
      </c>
      <c r="M330" s="47">
        <v>88.957</v>
      </c>
      <c r="N330" s="48">
        <v>4.56</v>
      </c>
      <c r="O330" s="49">
        <v>11388.25</v>
      </c>
      <c r="P330" s="49">
        <v>926381.75</v>
      </c>
      <c r="Q330" s="51">
        <v>0.0</v>
      </c>
      <c r="R330" s="51">
        <v>0.0</v>
      </c>
      <c r="S330" s="51">
        <v>0.0</v>
      </c>
      <c r="T330" s="51">
        <v>1.0</v>
      </c>
      <c r="U330" s="51">
        <v>0.0</v>
      </c>
      <c r="V330" s="35"/>
      <c r="W330" s="35"/>
      <c r="X330" s="35"/>
      <c r="Y330" s="35"/>
      <c r="Z330" s="35"/>
      <c r="AA330" s="35"/>
      <c r="AB330" s="35"/>
      <c r="AC330" s="35"/>
    </row>
    <row r="331">
      <c r="A331" s="30">
        <v>2016.0</v>
      </c>
      <c r="B331" s="52">
        <v>2016.0</v>
      </c>
      <c r="C331" s="30" t="s">
        <v>45</v>
      </c>
      <c r="D331" s="55" t="s">
        <v>111</v>
      </c>
      <c r="E331" s="33">
        <v>66.0</v>
      </c>
      <c r="F331" s="35">
        <v>0.0</v>
      </c>
      <c r="G331" s="31">
        <v>1000457.0</v>
      </c>
      <c r="H331" s="31">
        <f t="shared" si="1"/>
        <v>0</v>
      </c>
      <c r="I331" s="54">
        <v>67.6</v>
      </c>
      <c r="J331" s="56">
        <v>12.63</v>
      </c>
      <c r="K331" s="62">
        <v>10085.0</v>
      </c>
      <c r="L331" s="46">
        <v>0.0</v>
      </c>
      <c r="M331" s="47">
        <v>101.155</v>
      </c>
      <c r="N331" s="48">
        <v>7.14</v>
      </c>
      <c r="O331" s="49">
        <v>14899.0</v>
      </c>
      <c r="P331" s="49">
        <v>976948.0</v>
      </c>
      <c r="Q331" s="51">
        <v>0.0</v>
      </c>
      <c r="R331" s="51">
        <v>0.0</v>
      </c>
      <c r="S331" s="51">
        <v>0.0</v>
      </c>
      <c r="T331" s="51">
        <v>0.0</v>
      </c>
      <c r="U331" s="51">
        <v>1.0</v>
      </c>
      <c r="V331" s="35"/>
      <c r="W331" s="35"/>
      <c r="X331" s="35"/>
      <c r="Y331" s="35"/>
      <c r="Z331" s="35"/>
      <c r="AA331" s="35"/>
      <c r="AB331" s="35"/>
      <c r="AC331" s="35"/>
    </row>
    <row r="332">
      <c r="A332" s="26" t="s">
        <v>37</v>
      </c>
      <c r="B332" s="52">
        <v>2002.0</v>
      </c>
      <c r="C332" s="30" t="s">
        <v>39</v>
      </c>
      <c r="D332" s="32" t="s">
        <v>112</v>
      </c>
      <c r="E332" s="33">
        <v>67.0</v>
      </c>
      <c r="F332" s="35">
        <v>431.6</v>
      </c>
      <c r="G332" s="31">
        <v>1228959.0</v>
      </c>
      <c r="H332" s="31">
        <f t="shared" si="1"/>
        <v>0.3511915369</v>
      </c>
      <c r="I332" s="42">
        <v>44.84</v>
      </c>
      <c r="J332" s="44">
        <v>3.63</v>
      </c>
      <c r="K332" s="61">
        <v>3685.88</v>
      </c>
      <c r="L332" s="46">
        <v>0.0</v>
      </c>
      <c r="M332" s="47">
        <v>1.456</v>
      </c>
      <c r="N332" s="48">
        <v>-4.55</v>
      </c>
      <c r="O332" s="49">
        <v>1760.0</v>
      </c>
      <c r="P332" s="49">
        <v>1209137.0</v>
      </c>
      <c r="Q332" s="50">
        <v>1.0</v>
      </c>
      <c r="R332" s="51">
        <v>0.0</v>
      </c>
      <c r="S332" s="51">
        <v>0.0</v>
      </c>
      <c r="T332" s="51">
        <v>0.0</v>
      </c>
      <c r="U332" s="51">
        <v>0.0</v>
      </c>
      <c r="V332" s="35"/>
      <c r="W332" s="35"/>
      <c r="X332" s="35"/>
      <c r="Y332" s="35"/>
      <c r="Z332" s="35"/>
      <c r="AA332" s="35"/>
      <c r="AB332" s="35"/>
      <c r="AC332" s="35"/>
    </row>
    <row r="333">
      <c r="A333" s="30" t="s">
        <v>39</v>
      </c>
      <c r="B333" s="52">
        <v>2007.0</v>
      </c>
      <c r="C333" s="30" t="s">
        <v>41</v>
      </c>
      <c r="D333" s="32" t="s">
        <v>112</v>
      </c>
      <c r="E333" s="33">
        <v>67.0</v>
      </c>
      <c r="F333" s="35">
        <v>1037.0</v>
      </c>
      <c r="G333" s="31">
        <v>1247043.75</v>
      </c>
      <c r="H333" s="31">
        <f t="shared" si="1"/>
        <v>0.8315666551</v>
      </c>
      <c r="I333" s="42">
        <v>57.9</v>
      </c>
      <c r="J333" s="53">
        <v>6.01</v>
      </c>
      <c r="K333" s="61">
        <v>5008.26</v>
      </c>
      <c r="L333" s="46">
        <v>1.0</v>
      </c>
      <c r="M333" s="47">
        <v>11.683</v>
      </c>
      <c r="N333" s="48">
        <v>-4.39</v>
      </c>
      <c r="O333" s="49">
        <v>4729.75</v>
      </c>
      <c r="P333" s="49">
        <v>1228959.0</v>
      </c>
      <c r="Q333" s="51">
        <v>0.0</v>
      </c>
      <c r="R333" s="51">
        <v>1.0</v>
      </c>
      <c r="S333" s="51">
        <v>0.0</v>
      </c>
      <c r="T333" s="51">
        <v>0.0</v>
      </c>
      <c r="U333" s="51">
        <v>0.0</v>
      </c>
      <c r="V333" s="35"/>
      <c r="W333" s="35"/>
      <c r="X333" s="35"/>
      <c r="Y333" s="35"/>
      <c r="Z333" s="35"/>
      <c r="AA333" s="35"/>
      <c r="AB333" s="35"/>
      <c r="AC333" s="35"/>
    </row>
    <row r="334">
      <c r="A334" s="30" t="s">
        <v>41</v>
      </c>
      <c r="B334" s="52">
        <v>2011.0</v>
      </c>
      <c r="C334" s="30" t="s">
        <v>43</v>
      </c>
      <c r="D334" s="32" t="s">
        <v>112</v>
      </c>
      <c r="E334" s="33">
        <v>67.0</v>
      </c>
      <c r="F334" s="35">
        <v>286.0</v>
      </c>
      <c r="G334" s="31">
        <v>1265851.25</v>
      </c>
      <c r="H334" s="31">
        <f t="shared" si="1"/>
        <v>0.2259349193</v>
      </c>
      <c r="I334" s="54">
        <v>61.5</v>
      </c>
      <c r="J334" s="53">
        <v>8.76</v>
      </c>
      <c r="K334" s="61">
        <v>7386.0</v>
      </c>
      <c r="L334" s="46">
        <v>0.0</v>
      </c>
      <c r="M334" s="47">
        <v>34.883</v>
      </c>
      <c r="N334" s="48">
        <v>-4.09</v>
      </c>
      <c r="O334" s="49">
        <v>8462.33333333333</v>
      </c>
      <c r="P334" s="49">
        <v>1247043.75</v>
      </c>
      <c r="Q334" s="51">
        <v>0.0</v>
      </c>
      <c r="R334" s="51">
        <v>0.0</v>
      </c>
      <c r="S334" s="51">
        <v>1.0</v>
      </c>
      <c r="T334" s="51">
        <v>0.0</v>
      </c>
      <c r="U334" s="51">
        <v>0.0</v>
      </c>
      <c r="V334" s="35"/>
      <c r="W334" s="35"/>
      <c r="X334" s="35"/>
      <c r="Y334" s="35"/>
      <c r="Z334" s="35"/>
      <c r="AA334" s="35"/>
      <c r="AB334" s="35"/>
      <c r="AC334" s="35"/>
    </row>
    <row r="335">
      <c r="A335" s="30" t="s">
        <v>43</v>
      </c>
      <c r="B335" s="52">
        <v>2015.0</v>
      </c>
      <c r="C335" s="30">
        <v>2016.0</v>
      </c>
      <c r="D335" s="55" t="s">
        <v>112</v>
      </c>
      <c r="E335" s="33">
        <v>67.0</v>
      </c>
      <c r="F335" s="35">
        <v>403.0</v>
      </c>
      <c r="G335" s="31">
        <v>1295927.0</v>
      </c>
      <c r="H335" s="31">
        <f t="shared" si="1"/>
        <v>0.3109743064</v>
      </c>
      <c r="I335" s="54">
        <v>52.9</v>
      </c>
      <c r="J335" s="56">
        <v>12.82</v>
      </c>
      <c r="K335" s="61">
        <v>8587.5</v>
      </c>
      <c r="L335" s="46">
        <v>0.0</v>
      </c>
      <c r="M335" s="47">
        <v>74.132</v>
      </c>
      <c r="N335" s="48">
        <v>-4.95</v>
      </c>
      <c r="O335" s="49">
        <v>12757.75</v>
      </c>
      <c r="P335" s="49">
        <v>1265851.25</v>
      </c>
      <c r="Q335" s="51">
        <v>0.0</v>
      </c>
      <c r="R335" s="51">
        <v>0.0</v>
      </c>
      <c r="S335" s="51">
        <v>0.0</v>
      </c>
      <c r="T335" s="51">
        <v>1.0</v>
      </c>
      <c r="U335" s="51">
        <v>0.0</v>
      </c>
      <c r="V335" s="35"/>
      <c r="W335" s="35"/>
      <c r="X335" s="35"/>
      <c r="Y335" s="35"/>
      <c r="Z335" s="35"/>
      <c r="AA335" s="35"/>
      <c r="AB335" s="35"/>
      <c r="AC335" s="35"/>
    </row>
    <row r="336">
      <c r="A336" s="30">
        <v>2016.0</v>
      </c>
      <c r="B336" s="52">
        <v>2016.0</v>
      </c>
      <c r="C336" s="30" t="s">
        <v>45</v>
      </c>
      <c r="D336" s="55" t="s">
        <v>112</v>
      </c>
      <c r="E336" s="33">
        <v>67.0</v>
      </c>
      <c r="F336" s="35">
        <v>308.6666666666667</v>
      </c>
      <c r="G336" s="31">
        <v>1324353.0</v>
      </c>
      <c r="H336" s="31">
        <f t="shared" si="1"/>
        <v>0.2330697833</v>
      </c>
      <c r="I336" s="54">
        <v>63.7</v>
      </c>
      <c r="J336" s="56">
        <v>13.69</v>
      </c>
      <c r="K336" s="62">
        <v>7879.0</v>
      </c>
      <c r="L336" s="46">
        <v>0.0</v>
      </c>
      <c r="M336" s="47">
        <v>83.298</v>
      </c>
      <c r="N336" s="48">
        <v>-0.94</v>
      </c>
      <c r="O336" s="49">
        <v>13667.0</v>
      </c>
      <c r="P336" s="49">
        <v>1295927.0</v>
      </c>
      <c r="Q336" s="51">
        <v>0.0</v>
      </c>
      <c r="R336" s="51">
        <v>0.0</v>
      </c>
      <c r="S336" s="51">
        <v>0.0</v>
      </c>
      <c r="T336" s="51">
        <v>0.0</v>
      </c>
      <c r="U336" s="51">
        <v>1.0</v>
      </c>
      <c r="V336" s="35"/>
      <c r="W336" s="35"/>
      <c r="X336" s="35"/>
      <c r="Y336" s="35"/>
      <c r="Z336" s="35"/>
      <c r="AA336" s="35"/>
      <c r="AB336" s="35"/>
      <c r="AC336" s="35"/>
    </row>
    <row r="337">
      <c r="A337" s="26" t="s">
        <v>37</v>
      </c>
      <c r="B337" s="52">
        <v>2002.0</v>
      </c>
      <c r="C337" s="30" t="s">
        <v>39</v>
      </c>
      <c r="D337" s="32" t="s">
        <v>113</v>
      </c>
      <c r="E337" s="33">
        <v>68.0</v>
      </c>
      <c r="F337" s="35">
        <v>424.0</v>
      </c>
      <c r="G337" s="31">
        <v>1523099.0</v>
      </c>
      <c r="H337" s="31">
        <f t="shared" si="1"/>
        <v>0.2783798033</v>
      </c>
      <c r="I337" s="42">
        <v>22.9</v>
      </c>
      <c r="J337" s="44">
        <v>1.72</v>
      </c>
      <c r="K337" s="61">
        <v>2249.1</v>
      </c>
      <c r="L337" s="46">
        <v>0.0</v>
      </c>
      <c r="M337" s="47">
        <v>0.139</v>
      </c>
      <c r="N337" s="48">
        <v>-3.89</v>
      </c>
      <c r="O337" s="49">
        <v>201.0</v>
      </c>
      <c r="P337" s="49">
        <v>1443422.0</v>
      </c>
      <c r="Q337" s="50">
        <v>1.0</v>
      </c>
      <c r="R337" s="51">
        <v>0.0</v>
      </c>
      <c r="S337" s="51">
        <v>0.0</v>
      </c>
      <c r="T337" s="51">
        <v>0.0</v>
      </c>
      <c r="U337" s="51">
        <v>0.0</v>
      </c>
      <c r="V337" s="35"/>
      <c r="W337" s="35"/>
      <c r="X337" s="35"/>
      <c r="Y337" s="35"/>
      <c r="Z337" s="35"/>
      <c r="AA337" s="35"/>
      <c r="AB337" s="35"/>
      <c r="AC337" s="35"/>
    </row>
    <row r="338">
      <c r="A338" s="30" t="s">
        <v>39</v>
      </c>
      <c r="B338" s="52">
        <v>2007.0</v>
      </c>
      <c r="C338" s="30" t="s">
        <v>41</v>
      </c>
      <c r="D338" s="32" t="s">
        <v>113</v>
      </c>
      <c r="E338" s="33">
        <v>68.0</v>
      </c>
      <c r="F338" s="35">
        <v>340.75</v>
      </c>
      <c r="G338" s="31">
        <v>1641896.5</v>
      </c>
      <c r="H338" s="31">
        <f t="shared" si="1"/>
        <v>0.207534397</v>
      </c>
      <c r="I338" s="42">
        <v>59.78</v>
      </c>
      <c r="J338" s="53">
        <v>2.47</v>
      </c>
      <c r="K338" s="61">
        <v>2887.47</v>
      </c>
      <c r="L338" s="46">
        <v>0.0</v>
      </c>
      <c r="M338" s="47">
        <v>1.701</v>
      </c>
      <c r="N338" s="48">
        <v>-5.67</v>
      </c>
      <c r="O338" s="49">
        <v>655.5</v>
      </c>
      <c r="P338" s="49">
        <v>1523099.0</v>
      </c>
      <c r="Q338" s="51">
        <v>0.0</v>
      </c>
      <c r="R338" s="51">
        <v>1.0</v>
      </c>
      <c r="S338" s="51">
        <v>0.0</v>
      </c>
      <c r="T338" s="51">
        <v>0.0</v>
      </c>
      <c r="U338" s="51">
        <v>0.0</v>
      </c>
      <c r="V338" s="35"/>
      <c r="W338" s="35"/>
      <c r="X338" s="35"/>
      <c r="Y338" s="35"/>
      <c r="Z338" s="35"/>
      <c r="AA338" s="35"/>
      <c r="AB338" s="35"/>
      <c r="AC338" s="35"/>
    </row>
    <row r="339">
      <c r="A339" s="30" t="s">
        <v>41</v>
      </c>
      <c r="B339" s="52">
        <v>2011.0</v>
      </c>
      <c r="C339" s="30" t="s">
        <v>43</v>
      </c>
      <c r="D339" s="32" t="s">
        <v>113</v>
      </c>
      <c r="E339" s="33">
        <v>68.0</v>
      </c>
      <c r="F339" s="35">
        <v>1497.75</v>
      </c>
      <c r="G339" s="31">
        <v>1825510.5</v>
      </c>
      <c r="H339" s="31">
        <f t="shared" si="1"/>
        <v>0.8204554288</v>
      </c>
      <c r="I339" s="54">
        <v>63.5</v>
      </c>
      <c r="J339" s="53">
        <v>4.78</v>
      </c>
      <c r="K339" s="61">
        <v>3988.0</v>
      </c>
      <c r="L339" s="46">
        <v>0.0</v>
      </c>
      <c r="M339" s="47">
        <v>7.328</v>
      </c>
      <c r="N339" s="48">
        <v>-5.12</v>
      </c>
      <c r="O339" s="49">
        <v>3242.0</v>
      </c>
      <c r="P339" s="49">
        <v>1641896.5</v>
      </c>
      <c r="Q339" s="51">
        <v>0.0</v>
      </c>
      <c r="R339" s="51">
        <v>0.0</v>
      </c>
      <c r="S339" s="51">
        <v>1.0</v>
      </c>
      <c r="T339" s="51">
        <v>0.0</v>
      </c>
      <c r="U339" s="51">
        <v>0.0</v>
      </c>
      <c r="V339" s="35"/>
      <c r="W339" s="35"/>
      <c r="X339" s="35"/>
      <c r="Y339" s="35"/>
      <c r="Z339" s="35"/>
      <c r="AA339" s="35"/>
      <c r="AB339" s="35"/>
      <c r="AC339" s="35"/>
    </row>
    <row r="340">
      <c r="A340" s="30" t="s">
        <v>43</v>
      </c>
      <c r="B340" s="52">
        <v>2015.0</v>
      </c>
      <c r="C340" s="30">
        <v>2016.0</v>
      </c>
      <c r="D340" s="55" t="s">
        <v>113</v>
      </c>
      <c r="E340" s="33">
        <v>68.0</v>
      </c>
      <c r="F340" s="35">
        <v>1939.0</v>
      </c>
      <c r="G340" s="31">
        <v>1940627.0</v>
      </c>
      <c r="H340" s="31">
        <f t="shared" si="1"/>
        <v>0.9991616112</v>
      </c>
      <c r="I340" s="54">
        <v>64.6</v>
      </c>
      <c r="J340" s="56">
        <v>7.44</v>
      </c>
      <c r="K340" s="61">
        <v>4420.25</v>
      </c>
      <c r="L340" s="46">
        <v>0.0</v>
      </c>
      <c r="M340" s="47">
        <v>19.654</v>
      </c>
      <c r="N340" s="48">
        <v>-6.41</v>
      </c>
      <c r="O340" s="49">
        <v>3024.75</v>
      </c>
      <c r="P340" s="49">
        <v>1825510.5</v>
      </c>
      <c r="Q340" s="51">
        <v>0.0</v>
      </c>
      <c r="R340" s="51">
        <v>0.0</v>
      </c>
      <c r="S340" s="51">
        <v>0.0</v>
      </c>
      <c r="T340" s="51">
        <v>1.0</v>
      </c>
      <c r="U340" s="51">
        <v>0.0</v>
      </c>
      <c r="V340" s="35"/>
      <c r="W340" s="35"/>
      <c r="X340" s="35"/>
      <c r="Y340" s="35"/>
      <c r="Z340" s="35"/>
      <c r="AA340" s="35"/>
      <c r="AB340" s="35"/>
      <c r="AC340" s="35"/>
    </row>
    <row r="341">
      <c r="A341" s="30">
        <v>2016.0</v>
      </c>
      <c r="B341" s="52">
        <v>2016.0</v>
      </c>
      <c r="C341" s="30" t="s">
        <v>45</v>
      </c>
      <c r="D341" s="55" t="s">
        <v>113</v>
      </c>
      <c r="E341" s="33">
        <v>68.0</v>
      </c>
      <c r="F341" s="35">
        <v>32.666666666666664</v>
      </c>
      <c r="G341" s="31">
        <v>2010781.0</v>
      </c>
      <c r="H341" s="31">
        <f t="shared" si="1"/>
        <v>0.01624576056</v>
      </c>
      <c r="I341" s="54">
        <v>64.6</v>
      </c>
      <c r="J341" s="56">
        <v>8.06</v>
      </c>
      <c r="K341" s="62">
        <v>4022.0</v>
      </c>
      <c r="L341" s="46">
        <v>0.0</v>
      </c>
      <c r="M341" s="47">
        <v>25.13</v>
      </c>
      <c r="N341" s="48">
        <v>-5.61</v>
      </c>
      <c r="O341" s="49">
        <v>7357.0</v>
      </c>
      <c r="P341" s="49">
        <v>1940627.0</v>
      </c>
      <c r="Q341" s="51">
        <v>0.0</v>
      </c>
      <c r="R341" s="51">
        <v>0.0</v>
      </c>
      <c r="S341" s="51">
        <v>0.0</v>
      </c>
      <c r="T341" s="51">
        <v>0.0</v>
      </c>
      <c r="U341" s="51">
        <v>1.0</v>
      </c>
      <c r="V341" s="35"/>
      <c r="W341" s="35"/>
      <c r="X341" s="35"/>
      <c r="Y341" s="35"/>
      <c r="Z341" s="35"/>
      <c r="AA341" s="35"/>
      <c r="AB341" s="35"/>
      <c r="AC341" s="35"/>
    </row>
    <row r="342">
      <c r="A342" s="26" t="s">
        <v>37</v>
      </c>
      <c r="B342" s="52">
        <v>2002.0</v>
      </c>
      <c r="C342" s="30" t="s">
        <v>39</v>
      </c>
      <c r="D342" s="32" t="s">
        <v>114</v>
      </c>
      <c r="E342" s="33">
        <v>69.0</v>
      </c>
      <c r="F342" s="35">
        <v>77.2</v>
      </c>
      <c r="G342" s="31">
        <v>291528.0</v>
      </c>
      <c r="H342" s="31">
        <f t="shared" si="1"/>
        <v>0.2648116133</v>
      </c>
      <c r="I342" s="42">
        <v>84.82</v>
      </c>
      <c r="J342" s="44">
        <v>0.19</v>
      </c>
      <c r="K342" s="61">
        <v>1897.85</v>
      </c>
      <c r="L342" s="46">
        <v>0.0</v>
      </c>
      <c r="M342" s="47">
        <v>0.356</v>
      </c>
      <c r="N342" s="48">
        <v>-7.51</v>
      </c>
      <c r="O342" s="49">
        <v>94.0</v>
      </c>
      <c r="P342" s="49">
        <v>263676.0</v>
      </c>
      <c r="Q342" s="50">
        <v>1.0</v>
      </c>
      <c r="R342" s="51">
        <v>0.0</v>
      </c>
      <c r="S342" s="51">
        <v>0.0</v>
      </c>
      <c r="T342" s="51">
        <v>0.0</v>
      </c>
      <c r="U342" s="51">
        <v>0.0</v>
      </c>
      <c r="V342" s="35"/>
      <c r="W342" s="35"/>
      <c r="X342" s="35"/>
      <c r="Y342" s="35"/>
      <c r="Z342" s="35"/>
      <c r="AA342" s="35"/>
      <c r="AB342" s="35"/>
      <c r="AC342" s="35"/>
    </row>
    <row r="343">
      <c r="A343" s="30" t="s">
        <v>39</v>
      </c>
      <c r="B343" s="52">
        <v>2007.0</v>
      </c>
      <c r="C343" s="30" t="s">
        <v>41</v>
      </c>
      <c r="D343" s="32" t="s">
        <v>114</v>
      </c>
      <c r="E343" s="33">
        <v>69.0</v>
      </c>
      <c r="F343" s="35">
        <v>120.75</v>
      </c>
      <c r="G343" s="31">
        <v>303651.0</v>
      </c>
      <c r="H343" s="31">
        <f t="shared" si="1"/>
        <v>0.3976604721</v>
      </c>
      <c r="I343" s="42">
        <v>48.78</v>
      </c>
      <c r="J343" s="53">
        <v>3.74</v>
      </c>
      <c r="K343" s="61">
        <v>2639.59</v>
      </c>
      <c r="L343" s="46">
        <v>0.0</v>
      </c>
      <c r="M343" s="47">
        <v>7.157</v>
      </c>
      <c r="N343" s="48">
        <v>-5.02</v>
      </c>
      <c r="O343" s="49">
        <v>540.5</v>
      </c>
      <c r="P343" s="49">
        <v>291528.0</v>
      </c>
      <c r="Q343" s="51">
        <v>0.0</v>
      </c>
      <c r="R343" s="51">
        <v>1.0</v>
      </c>
      <c r="S343" s="51">
        <v>0.0</v>
      </c>
      <c r="T343" s="51">
        <v>0.0</v>
      </c>
      <c r="U343" s="51">
        <v>0.0</v>
      </c>
      <c r="V343" s="35"/>
      <c r="W343" s="35"/>
      <c r="X343" s="35"/>
      <c r="Y343" s="35"/>
      <c r="Z343" s="35"/>
      <c r="AA343" s="35"/>
      <c r="AB343" s="35"/>
      <c r="AC343" s="35"/>
    </row>
    <row r="344">
      <c r="A344" s="30" t="s">
        <v>41</v>
      </c>
      <c r="B344" s="52">
        <v>2011.0</v>
      </c>
      <c r="C344" s="30" t="s">
        <v>43</v>
      </c>
      <c r="D344" s="32" t="s">
        <v>114</v>
      </c>
      <c r="E344" s="33">
        <v>69.0</v>
      </c>
      <c r="F344" s="35">
        <v>88.75</v>
      </c>
      <c r="G344" s="31">
        <v>315937.25</v>
      </c>
      <c r="H344" s="31">
        <f t="shared" si="1"/>
        <v>0.2809102124</v>
      </c>
      <c r="I344" s="54">
        <v>48.0</v>
      </c>
      <c r="J344" s="53">
        <v>6.23</v>
      </c>
      <c r="K344" s="61">
        <v>4455.0</v>
      </c>
      <c r="L344" s="46">
        <v>0.0</v>
      </c>
      <c r="M344" s="47">
        <v>18.49</v>
      </c>
      <c r="N344" s="48">
        <v>-10.03</v>
      </c>
      <c r="O344" s="49">
        <v>1182.0</v>
      </c>
      <c r="P344" s="49">
        <v>303651.0</v>
      </c>
      <c r="Q344" s="51">
        <v>0.0</v>
      </c>
      <c r="R344" s="51">
        <v>0.0</v>
      </c>
      <c r="S344" s="51">
        <v>1.0</v>
      </c>
      <c r="T344" s="51">
        <v>0.0</v>
      </c>
      <c r="U344" s="51">
        <v>0.0</v>
      </c>
      <c r="V344" s="35"/>
      <c r="W344" s="35"/>
      <c r="X344" s="35"/>
      <c r="Y344" s="35"/>
      <c r="Z344" s="35"/>
      <c r="AA344" s="35"/>
      <c r="AB344" s="35"/>
      <c r="AC344" s="35"/>
    </row>
    <row r="345">
      <c r="A345" s="30" t="s">
        <v>43</v>
      </c>
      <c r="B345" s="52">
        <v>2015.0</v>
      </c>
      <c r="C345" s="30">
        <v>2016.0</v>
      </c>
      <c r="D345" s="55" t="s">
        <v>114</v>
      </c>
      <c r="E345" s="33">
        <v>69.0</v>
      </c>
      <c r="F345" s="35">
        <v>55.0</v>
      </c>
      <c r="G345" s="31">
        <v>322664.0</v>
      </c>
      <c r="H345" s="31">
        <f t="shared" si="1"/>
        <v>0.1704559542</v>
      </c>
      <c r="I345" s="54">
        <v>28.2</v>
      </c>
      <c r="J345" s="56">
        <v>10.35</v>
      </c>
      <c r="K345" s="61">
        <v>5438.0</v>
      </c>
      <c r="L345" s="46">
        <v>0.0</v>
      </c>
      <c r="M345" s="47">
        <v>33.904</v>
      </c>
      <c r="N345" s="48">
        <v>-12.73</v>
      </c>
      <c r="O345" s="49">
        <v>1344.75</v>
      </c>
      <c r="P345" s="49">
        <v>315937.25</v>
      </c>
      <c r="Q345" s="51">
        <v>0.0</v>
      </c>
      <c r="R345" s="51">
        <v>0.0</v>
      </c>
      <c r="S345" s="51">
        <v>0.0</v>
      </c>
      <c r="T345" s="51">
        <v>1.0</v>
      </c>
      <c r="U345" s="51">
        <v>0.0</v>
      </c>
      <c r="V345" s="35"/>
      <c r="W345" s="35"/>
      <c r="X345" s="35"/>
      <c r="Y345" s="35"/>
      <c r="Z345" s="35"/>
      <c r="AA345" s="35"/>
      <c r="AB345" s="35"/>
      <c r="AC345" s="35"/>
    </row>
    <row r="346">
      <c r="A346" s="30">
        <v>2016.0</v>
      </c>
      <c r="B346" s="52">
        <v>2016.0</v>
      </c>
      <c r="C346" s="30" t="s">
        <v>45</v>
      </c>
      <c r="D346" s="55" t="s">
        <v>114</v>
      </c>
      <c r="E346" s="33">
        <v>69.0</v>
      </c>
      <c r="F346" s="35">
        <v>0.0</v>
      </c>
      <c r="G346" s="31">
        <v>328032.0</v>
      </c>
      <c r="H346" s="31">
        <f t="shared" si="1"/>
        <v>0</v>
      </c>
      <c r="I346" s="54">
        <v>36.7</v>
      </c>
      <c r="J346" s="56">
        <v>11.1</v>
      </c>
      <c r="K346" s="62">
        <v>4775.0</v>
      </c>
      <c r="L346" s="46">
        <v>0.0</v>
      </c>
      <c r="M346" s="47">
        <v>39.657</v>
      </c>
      <c r="N346" s="48">
        <v>-15.37</v>
      </c>
      <c r="O346" s="49">
        <v>1644.0</v>
      </c>
      <c r="P346" s="49">
        <v>322664.0</v>
      </c>
      <c r="Q346" s="51">
        <v>0.0</v>
      </c>
      <c r="R346" s="51">
        <v>0.0</v>
      </c>
      <c r="S346" s="51">
        <v>0.0</v>
      </c>
      <c r="T346" s="51">
        <v>0.0</v>
      </c>
      <c r="U346" s="51">
        <v>1.0</v>
      </c>
      <c r="V346" s="35"/>
      <c r="W346" s="35"/>
      <c r="X346" s="35"/>
      <c r="Y346" s="35"/>
      <c r="Z346" s="35"/>
      <c r="AA346" s="35"/>
      <c r="AB346" s="35"/>
      <c r="AC346" s="35"/>
    </row>
    <row r="347">
      <c r="A347" s="26" t="s">
        <v>37</v>
      </c>
      <c r="B347" s="52">
        <v>2002.0</v>
      </c>
      <c r="C347" s="30" t="s">
        <v>39</v>
      </c>
      <c r="D347" s="32" t="s">
        <v>115</v>
      </c>
      <c r="E347" s="33">
        <v>70.0</v>
      </c>
      <c r="F347" s="35">
        <v>54.4</v>
      </c>
      <c r="G347" s="31">
        <v>198412.0</v>
      </c>
      <c r="H347" s="31">
        <f t="shared" si="1"/>
        <v>0.2741769651</v>
      </c>
      <c r="I347" s="42">
        <v>32.46</v>
      </c>
      <c r="J347" s="44">
        <v>3.25</v>
      </c>
      <c r="K347" s="61">
        <v>3689.51</v>
      </c>
      <c r="L347" s="46">
        <v>0.0</v>
      </c>
      <c r="M347" s="47">
        <v>1.822</v>
      </c>
      <c r="N347" s="48">
        <v>-7.57</v>
      </c>
      <c r="O347" s="49">
        <v>411.0</v>
      </c>
      <c r="P347" s="49">
        <v>225574.0</v>
      </c>
      <c r="Q347" s="50">
        <v>1.0</v>
      </c>
      <c r="R347" s="51">
        <v>0.0</v>
      </c>
      <c r="S347" s="51">
        <v>0.0</v>
      </c>
      <c r="T347" s="51">
        <v>0.0</v>
      </c>
      <c r="U347" s="51">
        <v>0.0</v>
      </c>
      <c r="V347" s="35"/>
      <c r="W347" s="35"/>
      <c r="X347" s="35"/>
      <c r="Y347" s="35"/>
      <c r="Z347" s="35"/>
      <c r="AA347" s="35"/>
      <c r="AB347" s="35"/>
      <c r="AC347" s="35"/>
    </row>
    <row r="348">
      <c r="A348" s="30" t="s">
        <v>39</v>
      </c>
      <c r="B348" s="52">
        <v>2007.0</v>
      </c>
      <c r="C348" s="30" t="s">
        <v>41</v>
      </c>
      <c r="D348" s="32" t="s">
        <v>115</v>
      </c>
      <c r="E348" s="33">
        <v>70.0</v>
      </c>
      <c r="F348" s="35">
        <v>19.5</v>
      </c>
      <c r="G348" s="31">
        <v>201923.0</v>
      </c>
      <c r="H348" s="31">
        <f t="shared" si="1"/>
        <v>0.09657146536</v>
      </c>
      <c r="I348" s="42">
        <v>44.04</v>
      </c>
      <c r="J348" s="53">
        <v>5.62</v>
      </c>
      <c r="K348" s="61">
        <v>4750.01</v>
      </c>
      <c r="L348" s="46">
        <v>0.0</v>
      </c>
      <c r="M348" s="47">
        <v>22.362</v>
      </c>
      <c r="N348" s="48">
        <v>-1.72</v>
      </c>
      <c r="O348" s="49">
        <v>1215.0</v>
      </c>
      <c r="P348" s="49">
        <v>198412.0</v>
      </c>
      <c r="Q348" s="51">
        <v>0.0</v>
      </c>
      <c r="R348" s="51">
        <v>1.0</v>
      </c>
      <c r="S348" s="51">
        <v>0.0</v>
      </c>
      <c r="T348" s="51">
        <v>0.0</v>
      </c>
      <c r="U348" s="51">
        <v>0.0</v>
      </c>
      <c r="V348" s="35"/>
      <c r="W348" s="35"/>
      <c r="X348" s="35"/>
      <c r="Y348" s="35"/>
      <c r="Z348" s="35"/>
      <c r="AA348" s="35"/>
      <c r="AB348" s="35"/>
      <c r="AC348" s="35"/>
    </row>
    <row r="349">
      <c r="A349" s="30" t="s">
        <v>41</v>
      </c>
      <c r="B349" s="52">
        <v>2011.0</v>
      </c>
      <c r="C349" s="30" t="s">
        <v>43</v>
      </c>
      <c r="D349" s="32" t="s">
        <v>115</v>
      </c>
      <c r="E349" s="33">
        <v>70.0</v>
      </c>
      <c r="F349" s="35">
        <v>0.0</v>
      </c>
      <c r="G349" s="31">
        <v>203634.5</v>
      </c>
      <c r="H349" s="31">
        <f t="shared" si="1"/>
        <v>0</v>
      </c>
      <c r="I349" s="54">
        <v>54.9</v>
      </c>
      <c r="J349" s="53">
        <v>8.03</v>
      </c>
      <c r="K349" s="61">
        <v>6921.25</v>
      </c>
      <c r="L349" s="46">
        <v>0.0</v>
      </c>
      <c r="M349" s="47">
        <v>46.972</v>
      </c>
      <c r="N349" s="48">
        <v>3.13</v>
      </c>
      <c r="O349" s="49">
        <v>1481.66666666667</v>
      </c>
      <c r="P349" s="49">
        <v>201923.0</v>
      </c>
      <c r="Q349" s="51">
        <v>0.0</v>
      </c>
      <c r="R349" s="51">
        <v>0.0</v>
      </c>
      <c r="S349" s="51">
        <v>1.0</v>
      </c>
      <c r="T349" s="51">
        <v>0.0</v>
      </c>
      <c r="U349" s="51">
        <v>0.0</v>
      </c>
      <c r="V349" s="35"/>
      <c r="W349" s="35"/>
      <c r="X349" s="35"/>
      <c r="Y349" s="35"/>
      <c r="Z349" s="35"/>
      <c r="AA349" s="35"/>
      <c r="AB349" s="35"/>
      <c r="AC349" s="35"/>
    </row>
    <row r="350">
      <c r="A350" s="30" t="s">
        <v>43</v>
      </c>
      <c r="B350" s="52">
        <v>2015.0</v>
      </c>
      <c r="C350" s="30">
        <v>2016.0</v>
      </c>
      <c r="D350" s="55" t="s">
        <v>115</v>
      </c>
      <c r="E350" s="33">
        <v>70.0</v>
      </c>
      <c r="F350" s="35">
        <v>0.0</v>
      </c>
      <c r="G350" s="31">
        <v>205478.0</v>
      </c>
      <c r="H350" s="31">
        <f t="shared" si="1"/>
        <v>0</v>
      </c>
      <c r="I350" s="54">
        <v>47.5</v>
      </c>
      <c r="J350" s="56">
        <v>11.71</v>
      </c>
      <c r="K350" s="61">
        <v>7832.0</v>
      </c>
      <c r="L350" s="46">
        <v>0.0</v>
      </c>
      <c r="M350" s="47">
        <v>89.394</v>
      </c>
      <c r="N350" s="48">
        <v>-2.0</v>
      </c>
      <c r="O350" s="49">
        <v>2330.75</v>
      </c>
      <c r="P350" s="49">
        <v>203634.5</v>
      </c>
      <c r="Q350" s="51">
        <v>0.0</v>
      </c>
      <c r="R350" s="51">
        <v>0.0</v>
      </c>
      <c r="S350" s="51">
        <v>0.0</v>
      </c>
      <c r="T350" s="51">
        <v>1.0</v>
      </c>
      <c r="U350" s="51">
        <v>0.0</v>
      </c>
      <c r="V350" s="35"/>
      <c r="W350" s="35"/>
      <c r="X350" s="35"/>
      <c r="Y350" s="35"/>
      <c r="Z350" s="35"/>
      <c r="AA350" s="35"/>
      <c r="AB350" s="35"/>
      <c r="AC350" s="35"/>
    </row>
    <row r="351">
      <c r="A351" s="30">
        <v>2016.0</v>
      </c>
      <c r="B351" s="52">
        <v>2016.0</v>
      </c>
      <c r="C351" s="30" t="s">
        <v>45</v>
      </c>
      <c r="D351" s="55" t="s">
        <v>115</v>
      </c>
      <c r="E351" s="33">
        <v>70.0</v>
      </c>
      <c r="F351" s="35">
        <v>31.333333333333332</v>
      </c>
      <c r="G351" s="31">
        <v>213580.0</v>
      </c>
      <c r="H351" s="31">
        <f t="shared" si="1"/>
        <v>0.1467053719</v>
      </c>
      <c r="I351" s="54">
        <v>56.3</v>
      </c>
      <c r="J351" s="56">
        <v>12.26</v>
      </c>
      <c r="K351" s="62">
        <v>7011.0</v>
      </c>
      <c r="L351" s="46">
        <v>0.0</v>
      </c>
      <c r="M351" s="47">
        <v>101.661</v>
      </c>
      <c r="N351" s="48">
        <v>-1.98</v>
      </c>
      <c r="O351" s="49">
        <v>2666.0</v>
      </c>
      <c r="P351" s="49">
        <v>205478.0</v>
      </c>
      <c r="Q351" s="51">
        <v>0.0</v>
      </c>
      <c r="R351" s="51">
        <v>0.0</v>
      </c>
      <c r="S351" s="51">
        <v>0.0</v>
      </c>
      <c r="T351" s="51">
        <v>0.0</v>
      </c>
      <c r="U351" s="51">
        <v>1.0</v>
      </c>
      <c r="V351" s="35"/>
      <c r="W351" s="35"/>
      <c r="X351" s="35"/>
      <c r="Y351" s="35"/>
      <c r="Z351" s="35"/>
      <c r="AA351" s="35"/>
      <c r="AB351" s="35"/>
      <c r="AC351" s="35"/>
    </row>
    <row r="352">
      <c r="A352" s="26" t="s">
        <v>37</v>
      </c>
      <c r="B352" s="52">
        <v>2002.0</v>
      </c>
      <c r="C352" s="30" t="s">
        <v>39</v>
      </c>
      <c r="D352" s="32" t="s">
        <v>116</v>
      </c>
      <c r="E352" s="33">
        <v>71.0</v>
      </c>
      <c r="F352" s="35">
        <v>329.6</v>
      </c>
      <c r="G352" s="31">
        <v>638464.0</v>
      </c>
      <c r="H352" s="31">
        <f t="shared" si="1"/>
        <v>0.5162389735</v>
      </c>
      <c r="I352" s="42">
        <v>45.06</v>
      </c>
      <c r="J352" s="44">
        <v>3.24</v>
      </c>
      <c r="K352" s="61">
        <v>3394.53</v>
      </c>
      <c r="L352" s="46">
        <v>0.0</v>
      </c>
      <c r="M352" s="47">
        <v>1.93</v>
      </c>
      <c r="N352" s="48">
        <v>-5.1</v>
      </c>
      <c r="O352" s="49">
        <v>1457.0</v>
      </c>
      <c r="P352" s="49">
        <v>755091.0</v>
      </c>
      <c r="Q352" s="50">
        <v>1.0</v>
      </c>
      <c r="R352" s="51">
        <v>0.0</v>
      </c>
      <c r="S352" s="51">
        <v>0.0</v>
      </c>
      <c r="T352" s="51">
        <v>0.0</v>
      </c>
      <c r="U352" s="51">
        <v>0.0</v>
      </c>
      <c r="V352" s="35"/>
      <c r="W352" s="35"/>
      <c r="X352" s="35"/>
      <c r="Y352" s="35"/>
      <c r="Z352" s="35"/>
      <c r="AA352" s="35"/>
      <c r="AB352" s="35"/>
      <c r="AC352" s="35"/>
    </row>
    <row r="353">
      <c r="A353" s="30" t="s">
        <v>39</v>
      </c>
      <c r="B353" s="52">
        <v>2007.0</v>
      </c>
      <c r="C353" s="30" t="s">
        <v>41</v>
      </c>
      <c r="D353" s="32" t="s">
        <v>116</v>
      </c>
      <c r="E353" s="33">
        <v>71.0</v>
      </c>
      <c r="F353" s="35">
        <v>257.0</v>
      </c>
      <c r="G353" s="31">
        <v>633434.75</v>
      </c>
      <c r="H353" s="31">
        <f t="shared" si="1"/>
        <v>0.4057245044</v>
      </c>
      <c r="I353" s="42">
        <v>55.47</v>
      </c>
      <c r="J353" s="53">
        <v>5.61</v>
      </c>
      <c r="K353" s="61">
        <v>4505.07</v>
      </c>
      <c r="L353" s="46">
        <v>0.0</v>
      </c>
      <c r="M353" s="47">
        <v>15.204</v>
      </c>
      <c r="N353" s="48">
        <v>-11.63</v>
      </c>
      <c r="O353" s="49">
        <v>2538.75</v>
      </c>
      <c r="P353" s="49">
        <v>638464.0</v>
      </c>
      <c r="Q353" s="51">
        <v>0.0</v>
      </c>
      <c r="R353" s="51">
        <v>1.0</v>
      </c>
      <c r="S353" s="51">
        <v>0.0</v>
      </c>
      <c r="T353" s="51">
        <v>0.0</v>
      </c>
      <c r="U353" s="51">
        <v>0.0</v>
      </c>
      <c r="V353" s="35"/>
      <c r="W353" s="35"/>
      <c r="X353" s="35"/>
      <c r="Y353" s="35"/>
      <c r="Z353" s="35"/>
      <c r="AA353" s="35"/>
      <c r="AB353" s="35"/>
      <c r="AC353" s="35"/>
    </row>
    <row r="354">
      <c r="A354" s="30" t="s">
        <v>41</v>
      </c>
      <c r="B354" s="52">
        <v>2011.0</v>
      </c>
      <c r="C354" s="30" t="s">
        <v>43</v>
      </c>
      <c r="D354" s="32" t="s">
        <v>116</v>
      </c>
      <c r="E354" s="33">
        <v>71.0</v>
      </c>
      <c r="F354" s="35">
        <v>677.0</v>
      </c>
      <c r="G354" s="31">
        <v>622273.0</v>
      </c>
      <c r="H354" s="31">
        <f t="shared" si="1"/>
        <v>1.08794693</v>
      </c>
      <c r="I354" s="54">
        <v>63.3</v>
      </c>
      <c r="J354" s="53">
        <v>8.86</v>
      </c>
      <c r="K354" s="61">
        <v>7107.25</v>
      </c>
      <c r="L354" s="46">
        <v>0.0</v>
      </c>
      <c r="M354" s="47">
        <v>34.237</v>
      </c>
      <c r="N354" s="48">
        <v>-12.94</v>
      </c>
      <c r="O354" s="49">
        <v>3246.66666666667</v>
      </c>
      <c r="P354" s="49">
        <v>633434.75</v>
      </c>
      <c r="Q354" s="51">
        <v>0.0</v>
      </c>
      <c r="R354" s="51">
        <v>0.0</v>
      </c>
      <c r="S354" s="51">
        <v>1.0</v>
      </c>
      <c r="T354" s="51">
        <v>0.0</v>
      </c>
      <c r="U354" s="51">
        <v>0.0</v>
      </c>
      <c r="V354" s="35"/>
      <c r="W354" s="35"/>
      <c r="X354" s="35"/>
      <c r="Y354" s="35"/>
      <c r="Z354" s="35"/>
      <c r="AA354" s="35"/>
      <c r="AB354" s="35"/>
      <c r="AC354" s="35"/>
    </row>
    <row r="355">
      <c r="A355" s="30" t="s">
        <v>43</v>
      </c>
      <c r="B355" s="52">
        <v>2015.0</v>
      </c>
      <c r="C355" s="30">
        <v>2016.0</v>
      </c>
      <c r="D355" s="55" t="s">
        <v>116</v>
      </c>
      <c r="E355" s="33">
        <v>71.0</v>
      </c>
      <c r="F355" s="35">
        <v>610.0</v>
      </c>
      <c r="G355" s="59">
        <v>621224.0</v>
      </c>
      <c r="H355" s="31">
        <f t="shared" si="1"/>
        <v>0.981932443</v>
      </c>
      <c r="I355" s="54">
        <v>57.7</v>
      </c>
      <c r="J355" s="56">
        <v>12.33</v>
      </c>
      <c r="K355" s="61">
        <v>8362.75</v>
      </c>
      <c r="L355" s="46">
        <v>0.0</v>
      </c>
      <c r="M355" s="47">
        <v>53.464</v>
      </c>
      <c r="N355" s="48">
        <v>-8.85</v>
      </c>
      <c r="O355" s="49">
        <v>3810.25</v>
      </c>
      <c r="P355" s="49">
        <v>622273.0</v>
      </c>
      <c r="Q355" s="51">
        <v>0.0</v>
      </c>
      <c r="R355" s="51">
        <v>0.0</v>
      </c>
      <c r="S355" s="51">
        <v>0.0</v>
      </c>
      <c r="T355" s="51">
        <v>1.0</v>
      </c>
      <c r="U355" s="51">
        <v>0.0</v>
      </c>
      <c r="V355" s="35"/>
      <c r="W355" s="35"/>
      <c r="X355" s="35"/>
      <c r="Y355" s="35"/>
      <c r="Z355" s="35"/>
      <c r="AA355" s="35"/>
      <c r="AB355" s="35"/>
      <c r="AC355" s="35"/>
    </row>
    <row r="356">
      <c r="A356" s="30">
        <v>2016.0</v>
      </c>
      <c r="B356" s="52">
        <v>2016.0</v>
      </c>
      <c r="C356" s="30" t="s">
        <v>45</v>
      </c>
      <c r="D356" s="55" t="s">
        <v>116</v>
      </c>
      <c r="E356" s="33">
        <v>71.0</v>
      </c>
      <c r="F356" s="35">
        <v>438.6666666666667</v>
      </c>
      <c r="G356" s="59">
        <v>633954.5</v>
      </c>
      <c r="H356" s="31">
        <f t="shared" si="1"/>
        <v>0.6919529188</v>
      </c>
      <c r="I356" s="54">
        <v>68.7</v>
      </c>
      <c r="J356" s="56">
        <v>12.99</v>
      </c>
      <c r="K356" s="62">
        <v>7658.0</v>
      </c>
      <c r="L356" s="46">
        <v>0.0</v>
      </c>
      <c r="M356" s="47">
        <v>64.213</v>
      </c>
      <c r="N356" s="48">
        <v>-9.3</v>
      </c>
      <c r="O356" s="49">
        <v>145.0</v>
      </c>
      <c r="P356" s="49">
        <v>483788.0</v>
      </c>
      <c r="Q356" s="51">
        <v>0.0</v>
      </c>
      <c r="R356" s="51">
        <v>0.0</v>
      </c>
      <c r="S356" s="51">
        <v>0.0</v>
      </c>
      <c r="T356" s="51">
        <v>0.0</v>
      </c>
      <c r="U356" s="51">
        <v>1.0</v>
      </c>
      <c r="V356" s="35"/>
      <c r="W356" s="35"/>
      <c r="X356" s="35"/>
      <c r="Y356" s="35"/>
      <c r="Z356" s="35"/>
      <c r="AA356" s="35"/>
      <c r="AB356" s="35"/>
      <c r="AC356" s="35"/>
    </row>
    <row r="357">
      <c r="A357" s="26" t="s">
        <v>37</v>
      </c>
      <c r="B357" s="52">
        <v>2002.0</v>
      </c>
      <c r="C357" s="30" t="s">
        <v>39</v>
      </c>
      <c r="D357" s="32" t="s">
        <v>117</v>
      </c>
      <c r="E357" s="33">
        <v>72.0</v>
      </c>
      <c r="F357" s="35">
        <v>95.2</v>
      </c>
      <c r="G357" s="31">
        <v>416001.0</v>
      </c>
      <c r="H357" s="31">
        <f t="shared" si="1"/>
        <v>0.2288456037</v>
      </c>
      <c r="I357" s="42">
        <v>14.02</v>
      </c>
      <c r="J357" s="44">
        <v>1.58</v>
      </c>
      <c r="K357" s="61">
        <v>2289.04</v>
      </c>
      <c r="L357" s="46">
        <v>0.0</v>
      </c>
      <c r="M357" s="47">
        <v>0.025</v>
      </c>
      <c r="N357" s="48">
        <v>2.18</v>
      </c>
      <c r="O357" s="49">
        <v>9.0</v>
      </c>
      <c r="P357" s="49">
        <v>353197.0</v>
      </c>
      <c r="Q357" s="50">
        <v>1.0</v>
      </c>
      <c r="R357" s="51">
        <v>0.0</v>
      </c>
      <c r="S357" s="51">
        <v>0.0</v>
      </c>
      <c r="T357" s="51">
        <v>0.0</v>
      </c>
      <c r="U357" s="51">
        <v>0.0</v>
      </c>
      <c r="V357" s="35"/>
      <c r="W357" s="35"/>
      <c r="X357" s="35"/>
      <c r="Y357" s="35"/>
      <c r="Z357" s="35"/>
      <c r="AA357" s="35"/>
      <c r="AB357" s="35"/>
      <c r="AC357" s="35"/>
    </row>
    <row r="358">
      <c r="A358" s="30" t="s">
        <v>39</v>
      </c>
      <c r="B358" s="52">
        <v>2007.0</v>
      </c>
      <c r="C358" s="30" t="s">
        <v>41</v>
      </c>
      <c r="D358" s="32" t="s">
        <v>117</v>
      </c>
      <c r="E358" s="33">
        <v>72.0</v>
      </c>
      <c r="F358" s="35">
        <v>205.0</v>
      </c>
      <c r="G358" s="31">
        <v>436954.25</v>
      </c>
      <c r="H358" s="31">
        <f t="shared" si="1"/>
        <v>0.469156668</v>
      </c>
      <c r="I358" s="42">
        <v>26.93</v>
      </c>
      <c r="J358" s="53">
        <v>2.98</v>
      </c>
      <c r="K358" s="61">
        <v>3023.21</v>
      </c>
      <c r="L358" s="46">
        <v>1.0</v>
      </c>
      <c r="M358" s="47">
        <v>1.312</v>
      </c>
      <c r="N358" s="48">
        <v>-1.99</v>
      </c>
      <c r="O358" s="49">
        <v>129.25</v>
      </c>
      <c r="P358" s="49">
        <v>416001.0</v>
      </c>
      <c r="Q358" s="51">
        <v>0.0</v>
      </c>
      <c r="R358" s="51">
        <v>1.0</v>
      </c>
      <c r="S358" s="51">
        <v>0.0</v>
      </c>
      <c r="T358" s="51">
        <v>0.0</v>
      </c>
      <c r="U358" s="51">
        <v>0.0</v>
      </c>
      <c r="V358" s="35"/>
      <c r="W358" s="35"/>
      <c r="X358" s="35"/>
      <c r="Y358" s="35"/>
      <c r="Z358" s="35"/>
      <c r="AA358" s="35"/>
      <c r="AB358" s="35"/>
      <c r="AC358" s="35"/>
    </row>
    <row r="359">
      <c r="A359" s="30" t="s">
        <v>41</v>
      </c>
      <c r="B359" s="52">
        <v>2011.0</v>
      </c>
      <c r="C359" s="30" t="s">
        <v>43</v>
      </c>
      <c r="D359" s="32" t="s">
        <v>117</v>
      </c>
      <c r="E359" s="33">
        <v>72.0</v>
      </c>
      <c r="F359" s="35">
        <v>11.0</v>
      </c>
      <c r="G359" s="31">
        <v>480346.75</v>
      </c>
      <c r="H359" s="31">
        <f t="shared" si="1"/>
        <v>0.02290012371</v>
      </c>
      <c r="I359" s="54">
        <v>20.6</v>
      </c>
      <c r="J359" s="53">
        <v>5.5</v>
      </c>
      <c r="K359" s="61">
        <v>4488.75</v>
      </c>
      <c r="L359" s="46">
        <v>0.0</v>
      </c>
      <c r="M359" s="47">
        <v>2.133</v>
      </c>
      <c r="N359" s="48">
        <v>-7.06</v>
      </c>
      <c r="O359" s="49">
        <v>141.666666666667</v>
      </c>
      <c r="P359" s="49">
        <v>436954.25</v>
      </c>
      <c r="Q359" s="51">
        <v>0.0</v>
      </c>
      <c r="R359" s="51">
        <v>0.0</v>
      </c>
      <c r="S359" s="51">
        <v>1.0</v>
      </c>
      <c r="T359" s="51">
        <v>0.0</v>
      </c>
      <c r="U359" s="51">
        <v>0.0</v>
      </c>
      <c r="V359" s="35"/>
      <c r="W359" s="35"/>
      <c r="X359" s="35"/>
      <c r="Y359" s="35"/>
      <c r="Z359" s="35"/>
      <c r="AA359" s="35"/>
      <c r="AB359" s="35"/>
      <c r="AC359" s="35"/>
    </row>
    <row r="360">
      <c r="A360" s="30" t="s">
        <v>43</v>
      </c>
      <c r="B360" s="52">
        <v>2015.0</v>
      </c>
      <c r="C360" s="30">
        <v>2016.0</v>
      </c>
      <c r="D360" s="55" t="s">
        <v>117</v>
      </c>
      <c r="E360" s="33">
        <v>72.0</v>
      </c>
      <c r="F360" s="35">
        <v>0.0</v>
      </c>
      <c r="G360" s="59">
        <v>483788.0</v>
      </c>
      <c r="H360" s="31">
        <f t="shared" si="1"/>
        <v>0</v>
      </c>
      <c r="I360" s="54">
        <v>8.8</v>
      </c>
      <c r="J360" s="56">
        <v>8.81</v>
      </c>
      <c r="K360" s="61">
        <v>5522.5</v>
      </c>
      <c r="L360" s="46">
        <v>0.0</v>
      </c>
      <c r="M360" s="47">
        <v>5.961</v>
      </c>
      <c r="N360" s="48">
        <v>-4.3</v>
      </c>
      <c r="O360" s="49">
        <v>7631.0</v>
      </c>
      <c r="P360" s="49">
        <v>480346.75</v>
      </c>
      <c r="Q360" s="51">
        <v>0.0</v>
      </c>
      <c r="R360" s="51">
        <v>0.0</v>
      </c>
      <c r="S360" s="51">
        <v>0.0</v>
      </c>
      <c r="T360" s="51">
        <v>1.0</v>
      </c>
      <c r="U360" s="51">
        <v>0.0</v>
      </c>
      <c r="V360" s="35"/>
      <c r="W360" s="35"/>
      <c r="X360" s="35"/>
      <c r="Y360" s="35"/>
      <c r="Z360" s="35"/>
      <c r="AA360" s="35"/>
      <c r="AB360" s="35"/>
      <c r="AC360" s="35"/>
    </row>
    <row r="361">
      <c r="A361" s="30">
        <v>2016.0</v>
      </c>
      <c r="B361" s="52">
        <v>2016.0</v>
      </c>
      <c r="C361" s="30" t="s">
        <v>45</v>
      </c>
      <c r="D361" s="55" t="s">
        <v>117</v>
      </c>
      <c r="E361" s="33">
        <v>72.0</v>
      </c>
      <c r="F361" s="35">
        <v>1892.0</v>
      </c>
      <c r="G361" s="59">
        <v>513713.0</v>
      </c>
      <c r="H361" s="31">
        <f t="shared" si="1"/>
        <v>3.682990308</v>
      </c>
      <c r="I361" s="54">
        <v>11.1</v>
      </c>
      <c r="J361" s="56">
        <v>8.86</v>
      </c>
      <c r="K361" s="62">
        <v>5205.0</v>
      </c>
      <c r="L361" s="46">
        <v>0.0</v>
      </c>
      <c r="M361" s="47">
        <v>6.461</v>
      </c>
      <c r="N361" s="48">
        <v>-25.44</v>
      </c>
      <c r="O361" s="49">
        <v>5692.0</v>
      </c>
      <c r="P361" s="49">
        <v>621224.0</v>
      </c>
      <c r="Q361" s="51">
        <v>0.0</v>
      </c>
      <c r="R361" s="51">
        <v>0.0</v>
      </c>
      <c r="S361" s="51">
        <v>0.0</v>
      </c>
      <c r="T361" s="51">
        <v>0.0</v>
      </c>
      <c r="U361" s="51">
        <v>1.0</v>
      </c>
      <c r="V361" s="35"/>
      <c r="W361" s="35"/>
      <c r="X361" s="35"/>
      <c r="Y361" s="35"/>
      <c r="Z361" s="35"/>
      <c r="AA361" s="35"/>
      <c r="AB361" s="35"/>
      <c r="AC361" s="35"/>
    </row>
    <row r="362">
      <c r="A362" s="26" t="s">
        <v>37</v>
      </c>
      <c r="B362" s="52">
        <v>2002.0</v>
      </c>
      <c r="C362" s="30" t="s">
        <v>39</v>
      </c>
      <c r="D362" s="32" t="s">
        <v>118</v>
      </c>
      <c r="E362" s="33">
        <v>73.0</v>
      </c>
      <c r="F362" s="35">
        <v>142.4</v>
      </c>
      <c r="G362" s="31">
        <v>728396.0</v>
      </c>
      <c r="H362" s="31">
        <f t="shared" si="1"/>
        <v>0.1954980533</v>
      </c>
      <c r="I362" s="42">
        <v>17.01</v>
      </c>
      <c r="J362" s="44">
        <v>4.63</v>
      </c>
      <c r="K362" s="61">
        <v>7521.52</v>
      </c>
      <c r="L362" s="46">
        <v>0.0</v>
      </c>
      <c r="M362" s="47">
        <v>3.291</v>
      </c>
      <c r="N362" s="48">
        <v>9.68</v>
      </c>
      <c r="O362" s="49">
        <v>2052.0</v>
      </c>
      <c r="P362" s="49">
        <v>623591.0</v>
      </c>
      <c r="Q362" s="50">
        <v>1.0</v>
      </c>
      <c r="R362" s="51">
        <v>0.0</v>
      </c>
      <c r="S362" s="51">
        <v>0.0</v>
      </c>
      <c r="T362" s="51">
        <v>0.0</v>
      </c>
      <c r="U362" s="51">
        <v>0.0</v>
      </c>
      <c r="V362" s="35"/>
      <c r="W362" s="35"/>
      <c r="X362" s="35"/>
      <c r="Y362" s="35"/>
      <c r="Z362" s="35"/>
      <c r="AA362" s="35"/>
      <c r="AB362" s="35"/>
      <c r="AC362" s="35"/>
    </row>
    <row r="363">
      <c r="A363" s="30" t="s">
        <v>39</v>
      </c>
      <c r="B363" s="52">
        <v>2007.0</v>
      </c>
      <c r="C363" s="30" t="s">
        <v>41</v>
      </c>
      <c r="D363" s="32" t="s">
        <v>118</v>
      </c>
      <c r="E363" s="33">
        <v>73.0</v>
      </c>
      <c r="F363" s="35">
        <v>261.0</v>
      </c>
      <c r="G363" s="31">
        <v>795516.0</v>
      </c>
      <c r="H363" s="31">
        <f t="shared" si="1"/>
        <v>0.3280889385</v>
      </c>
      <c r="I363" s="42">
        <v>29.34</v>
      </c>
      <c r="J363" s="53">
        <v>6.63</v>
      </c>
      <c r="K363" s="61">
        <v>9732.76</v>
      </c>
      <c r="L363" s="46">
        <v>0.0</v>
      </c>
      <c r="M363" s="47">
        <v>19.893</v>
      </c>
      <c r="N363" s="48">
        <v>21.44</v>
      </c>
      <c r="O363" s="49">
        <v>2960.25</v>
      </c>
      <c r="P363" s="49">
        <v>728396.0</v>
      </c>
      <c r="Q363" s="51">
        <v>0.0</v>
      </c>
      <c r="R363" s="51">
        <v>1.0</v>
      </c>
      <c r="S363" s="51">
        <v>0.0</v>
      </c>
      <c r="T363" s="51">
        <v>0.0</v>
      </c>
      <c r="U363" s="51">
        <v>0.0</v>
      </c>
      <c r="V363" s="35"/>
      <c r="W363" s="35"/>
      <c r="X363" s="35"/>
      <c r="Y363" s="35"/>
      <c r="Z363" s="35"/>
      <c r="AA363" s="35"/>
      <c r="AB363" s="35"/>
      <c r="AC363" s="35"/>
    </row>
    <row r="364">
      <c r="A364" s="30" t="s">
        <v>41</v>
      </c>
      <c r="B364" s="52">
        <v>2011.0</v>
      </c>
      <c r="C364" s="30" t="s">
        <v>43</v>
      </c>
      <c r="D364" s="32" t="s">
        <v>118</v>
      </c>
      <c r="E364" s="33">
        <v>73.0</v>
      </c>
      <c r="F364" s="35">
        <v>162.5</v>
      </c>
      <c r="G364" s="31">
        <v>892859.5</v>
      </c>
      <c r="H364" s="31">
        <f t="shared" si="1"/>
        <v>0.1819995195</v>
      </c>
      <c r="I364" s="54">
        <v>35.9</v>
      </c>
      <c r="J364" s="53">
        <v>9.28</v>
      </c>
      <c r="K364" s="61">
        <v>13123.25</v>
      </c>
      <c r="L364" s="46">
        <v>1.0</v>
      </c>
      <c r="M364" s="47">
        <v>43.451</v>
      </c>
      <c r="N364" s="48">
        <v>19.74</v>
      </c>
      <c r="O364" s="49">
        <v>6652.0</v>
      </c>
      <c r="P364" s="49">
        <v>795516.0</v>
      </c>
      <c r="Q364" s="51">
        <v>0.0</v>
      </c>
      <c r="R364" s="51">
        <v>0.0</v>
      </c>
      <c r="S364" s="51">
        <v>1.0</v>
      </c>
      <c r="T364" s="51">
        <v>0.0</v>
      </c>
      <c r="U364" s="51">
        <v>0.0</v>
      </c>
      <c r="V364" s="35"/>
      <c r="W364" s="35"/>
      <c r="X364" s="35"/>
      <c r="Y364" s="35"/>
      <c r="Z364" s="35"/>
      <c r="AA364" s="35"/>
      <c r="AB364" s="35"/>
      <c r="AC364" s="35"/>
    </row>
    <row r="365">
      <c r="A365" s="30" t="s">
        <v>43</v>
      </c>
      <c r="B365" s="52">
        <v>2015.0</v>
      </c>
      <c r="C365" s="30">
        <v>2016.0</v>
      </c>
      <c r="D365" s="55" t="s">
        <v>118</v>
      </c>
      <c r="E365" s="33">
        <v>73.0</v>
      </c>
      <c r="F365" s="35">
        <v>0.0</v>
      </c>
      <c r="G365" s="31">
        <v>972875.0</v>
      </c>
      <c r="H365" s="31">
        <f t="shared" si="1"/>
        <v>0</v>
      </c>
      <c r="I365" s="54">
        <v>31.2</v>
      </c>
      <c r="J365" s="56">
        <v>12.74</v>
      </c>
      <c r="K365" s="61">
        <v>14726.75</v>
      </c>
      <c r="L365" s="46">
        <v>0.0</v>
      </c>
      <c r="M365" s="47">
        <v>93.123</v>
      </c>
      <c r="N365" s="48">
        <v>18.31</v>
      </c>
      <c r="O365" s="49">
        <v>6580.0</v>
      </c>
      <c r="P365" s="49">
        <v>892859.5</v>
      </c>
      <c r="Q365" s="51">
        <v>0.0</v>
      </c>
      <c r="R365" s="51">
        <v>0.0</v>
      </c>
      <c r="S365" s="51">
        <v>0.0</v>
      </c>
      <c r="T365" s="51">
        <v>1.0</v>
      </c>
      <c r="U365" s="51">
        <v>0.0</v>
      </c>
      <c r="V365" s="35"/>
      <c r="W365" s="35"/>
      <c r="X365" s="35"/>
      <c r="Y365" s="35"/>
      <c r="Z365" s="35"/>
      <c r="AA365" s="35"/>
      <c r="AB365" s="35"/>
      <c r="AC365" s="35"/>
    </row>
    <row r="366">
      <c r="A366" s="30">
        <v>2016.0</v>
      </c>
      <c r="B366" s="52">
        <v>2016.0</v>
      </c>
      <c r="C366" s="30" t="s">
        <v>45</v>
      </c>
      <c r="D366" s="55" t="s">
        <v>118</v>
      </c>
      <c r="E366" s="33">
        <v>73.0</v>
      </c>
      <c r="F366" s="35">
        <v>0.0</v>
      </c>
      <c r="G366" s="31">
        <v>1017695.0</v>
      </c>
      <c r="H366" s="31">
        <f t="shared" si="1"/>
        <v>0</v>
      </c>
      <c r="I366" s="54">
        <v>37.2</v>
      </c>
      <c r="J366" s="56">
        <v>13.23</v>
      </c>
      <c r="K366" s="62">
        <v>13257.0</v>
      </c>
      <c r="L366" s="46">
        <v>0.0</v>
      </c>
      <c r="M366" s="47">
        <v>108.431</v>
      </c>
      <c r="N366" s="48">
        <v>23.7</v>
      </c>
      <c r="O366" s="49">
        <v>17458.0</v>
      </c>
      <c r="P366" s="49">
        <v>972875.0</v>
      </c>
      <c r="Q366" s="51">
        <v>0.0</v>
      </c>
      <c r="R366" s="51">
        <v>0.0</v>
      </c>
      <c r="S366" s="51">
        <v>0.0</v>
      </c>
      <c r="T366" s="51">
        <v>0.0</v>
      </c>
      <c r="U366" s="51">
        <v>1.0</v>
      </c>
      <c r="V366" s="35"/>
      <c r="W366" s="35"/>
      <c r="X366" s="35"/>
      <c r="Y366" s="35"/>
      <c r="Z366" s="35"/>
      <c r="AA366" s="35"/>
      <c r="AB366" s="35"/>
      <c r="AC366" s="35"/>
    </row>
    <row r="367">
      <c r="A367" s="26" t="s">
        <v>37</v>
      </c>
      <c r="B367" s="52">
        <v>2002.0</v>
      </c>
      <c r="C367" s="30" t="s">
        <v>39</v>
      </c>
      <c r="D367" s="32" t="s">
        <v>119</v>
      </c>
      <c r="E367" s="33">
        <v>74.0</v>
      </c>
      <c r="F367" s="35">
        <v>178.8</v>
      </c>
      <c r="G367" s="31">
        <v>620722.0</v>
      </c>
      <c r="H367" s="31">
        <f t="shared" si="1"/>
        <v>0.288051656</v>
      </c>
      <c r="I367" s="42">
        <v>43.97</v>
      </c>
      <c r="J367" s="44">
        <v>2.74</v>
      </c>
      <c r="K367" s="61">
        <v>2852.68</v>
      </c>
      <c r="L367" s="46">
        <v>0.0</v>
      </c>
      <c r="M367" s="47">
        <v>1.741</v>
      </c>
      <c r="N367" s="48">
        <v>-4.84</v>
      </c>
      <c r="O367" s="49">
        <v>1442.0</v>
      </c>
      <c r="P367" s="49">
        <v>828027.0</v>
      </c>
      <c r="Q367" s="50">
        <v>1.0</v>
      </c>
      <c r="R367" s="51">
        <v>0.0</v>
      </c>
      <c r="S367" s="51">
        <v>0.0</v>
      </c>
      <c r="T367" s="51">
        <v>0.0</v>
      </c>
      <c r="U367" s="51">
        <v>0.0</v>
      </c>
      <c r="V367" s="35"/>
      <c r="W367" s="35"/>
      <c r="X367" s="35"/>
      <c r="Y367" s="35"/>
      <c r="Z367" s="35"/>
      <c r="AA367" s="35"/>
      <c r="AB367" s="35"/>
      <c r="AC367" s="35"/>
    </row>
    <row r="368">
      <c r="A368" s="30" t="s">
        <v>39</v>
      </c>
      <c r="B368" s="52">
        <v>2007.0</v>
      </c>
      <c r="C368" s="30" t="s">
        <v>41</v>
      </c>
      <c r="D368" s="32" t="s">
        <v>119</v>
      </c>
      <c r="E368" s="33">
        <v>74.0</v>
      </c>
      <c r="F368" s="35">
        <v>248.0</v>
      </c>
      <c r="G368" s="31">
        <v>616924.5</v>
      </c>
      <c r="H368" s="31">
        <f t="shared" si="1"/>
        <v>0.4019940852</v>
      </c>
      <c r="I368" s="42">
        <v>51.95</v>
      </c>
      <c r="J368" s="53">
        <v>4.99</v>
      </c>
      <c r="K368" s="61">
        <v>3772.41</v>
      </c>
      <c r="L368" s="46">
        <v>0.0</v>
      </c>
      <c r="M368" s="47">
        <v>10.674</v>
      </c>
      <c r="N368" s="48">
        <v>-7.5</v>
      </c>
      <c r="O368" s="49">
        <v>1679.5</v>
      </c>
      <c r="P368" s="49">
        <v>620722.0</v>
      </c>
      <c r="Q368" s="51">
        <v>0.0</v>
      </c>
      <c r="R368" s="51">
        <v>1.0</v>
      </c>
      <c r="S368" s="51">
        <v>0.0</v>
      </c>
      <c r="T368" s="51">
        <v>0.0</v>
      </c>
      <c r="U368" s="51">
        <v>0.0</v>
      </c>
      <c r="V368" s="35"/>
      <c r="W368" s="35"/>
      <c r="X368" s="35"/>
      <c r="Y368" s="35"/>
      <c r="Z368" s="35"/>
      <c r="AA368" s="35"/>
      <c r="AB368" s="35"/>
      <c r="AC368" s="35"/>
    </row>
    <row r="369">
      <c r="A369" s="30" t="s">
        <v>41</v>
      </c>
      <c r="B369" s="52">
        <v>2011.0</v>
      </c>
      <c r="C369" s="30" t="s">
        <v>43</v>
      </c>
      <c r="D369" s="32" t="s">
        <v>119</v>
      </c>
      <c r="E369" s="33">
        <v>74.0</v>
      </c>
      <c r="F369" s="35">
        <v>130.5</v>
      </c>
      <c r="G369" s="31">
        <v>601152.0</v>
      </c>
      <c r="H369" s="31">
        <f t="shared" si="1"/>
        <v>0.2170832003</v>
      </c>
      <c r="I369" s="54">
        <v>55.9</v>
      </c>
      <c r="J369" s="53">
        <v>7.63</v>
      </c>
      <c r="K369" s="61">
        <v>5723.25</v>
      </c>
      <c r="L369" s="46">
        <v>0.0</v>
      </c>
      <c r="M369" s="47">
        <v>25.45</v>
      </c>
      <c r="N369" s="48">
        <v>-12.51</v>
      </c>
      <c r="O369" s="49">
        <v>2308.33333333333</v>
      </c>
      <c r="P369" s="49">
        <v>616924.5</v>
      </c>
      <c r="Q369" s="51">
        <v>0.0</v>
      </c>
      <c r="R369" s="51">
        <v>0.0</v>
      </c>
      <c r="S369" s="51">
        <v>1.0</v>
      </c>
      <c r="T369" s="51">
        <v>0.0</v>
      </c>
      <c r="U369" s="51">
        <v>0.0</v>
      </c>
      <c r="V369" s="35"/>
      <c r="W369" s="35"/>
      <c r="X369" s="35"/>
      <c r="Y369" s="35"/>
      <c r="Z369" s="35"/>
      <c r="AA369" s="35"/>
      <c r="AB369" s="35"/>
      <c r="AC369" s="35"/>
    </row>
    <row r="370">
      <c r="A370" s="30" t="s">
        <v>43</v>
      </c>
      <c r="B370" s="52">
        <v>2015.0</v>
      </c>
      <c r="C370" s="30">
        <v>2016.0</v>
      </c>
      <c r="D370" s="55" t="s">
        <v>119</v>
      </c>
      <c r="E370" s="33">
        <v>74.0</v>
      </c>
      <c r="F370" s="35">
        <v>436.0</v>
      </c>
      <c r="G370" s="31">
        <v>602662.0</v>
      </c>
      <c r="H370" s="31">
        <f t="shared" si="1"/>
        <v>0.7234569294</v>
      </c>
      <c r="I370" s="54">
        <v>51.6</v>
      </c>
      <c r="J370" s="56">
        <v>11.07</v>
      </c>
      <c r="K370" s="61">
        <v>6432.25</v>
      </c>
      <c r="L370" s="46">
        <v>0.0</v>
      </c>
      <c r="M370" s="47">
        <v>44.834</v>
      </c>
      <c r="N370" s="48">
        <v>-11.01</v>
      </c>
      <c r="O370" s="49">
        <v>3120.5</v>
      </c>
      <c r="P370" s="49">
        <v>601152.0</v>
      </c>
      <c r="Q370" s="51">
        <v>0.0</v>
      </c>
      <c r="R370" s="51">
        <v>0.0</v>
      </c>
      <c r="S370" s="51">
        <v>0.0</v>
      </c>
      <c r="T370" s="51">
        <v>1.0</v>
      </c>
      <c r="U370" s="51">
        <v>0.0</v>
      </c>
      <c r="V370" s="35"/>
      <c r="W370" s="35"/>
      <c r="X370" s="35"/>
      <c r="Y370" s="35"/>
      <c r="Z370" s="35"/>
      <c r="AA370" s="35"/>
      <c r="AB370" s="35"/>
      <c r="AC370" s="35"/>
    </row>
    <row r="371">
      <c r="A371" s="30">
        <v>2016.0</v>
      </c>
      <c r="B371" s="52">
        <v>2016.0</v>
      </c>
      <c r="C371" s="30" t="s">
        <v>45</v>
      </c>
      <c r="D371" s="55" t="s">
        <v>119</v>
      </c>
      <c r="E371" s="33">
        <v>74.0</v>
      </c>
      <c r="F371" s="35">
        <v>322.3333333333333</v>
      </c>
      <c r="G371" s="31">
        <v>607366.0</v>
      </c>
      <c r="H371" s="31">
        <f t="shared" si="1"/>
        <v>0.5307069104</v>
      </c>
      <c r="I371" s="54">
        <v>59.6</v>
      </c>
      <c r="J371" s="56">
        <v>11.74</v>
      </c>
      <c r="K371" s="62">
        <v>5916.0</v>
      </c>
      <c r="L371" s="46">
        <v>0.0</v>
      </c>
      <c r="M371" s="47">
        <v>50.511</v>
      </c>
      <c r="N371" s="48">
        <v>-2.56</v>
      </c>
      <c r="O371" s="49">
        <v>3664.0</v>
      </c>
      <c r="P371" s="49">
        <v>602662.0</v>
      </c>
      <c r="Q371" s="51">
        <v>0.0</v>
      </c>
      <c r="R371" s="51">
        <v>0.0</v>
      </c>
      <c r="S371" s="51">
        <v>0.0</v>
      </c>
      <c r="T371" s="51">
        <v>0.0</v>
      </c>
      <c r="U371" s="51">
        <v>1.0</v>
      </c>
      <c r="V371" s="35"/>
      <c r="W371" s="35"/>
      <c r="X371" s="35"/>
      <c r="Y371" s="35"/>
      <c r="Z371" s="35"/>
      <c r="AA371" s="35"/>
      <c r="AB371" s="35"/>
      <c r="AC371" s="35"/>
    </row>
    <row r="372">
      <c r="A372" s="26" t="s">
        <v>37</v>
      </c>
      <c r="B372" s="52">
        <v>2002.0</v>
      </c>
      <c r="C372" s="30" t="s">
        <v>39</v>
      </c>
      <c r="D372" s="32" t="s">
        <v>120</v>
      </c>
      <c r="E372" s="33">
        <v>75.0</v>
      </c>
      <c r="F372" s="35">
        <v>322.0</v>
      </c>
      <c r="G372" s="31">
        <v>740569.0</v>
      </c>
      <c r="H372" s="31">
        <f t="shared" si="1"/>
        <v>0.4348008086</v>
      </c>
      <c r="I372" s="42">
        <v>43.93</v>
      </c>
      <c r="J372" s="44">
        <v>4.67</v>
      </c>
      <c r="K372" s="61">
        <v>4053.47</v>
      </c>
      <c r="L372" s="46">
        <v>0.0</v>
      </c>
      <c r="M372" s="47">
        <v>1.674</v>
      </c>
      <c r="N372" s="48">
        <v>-1.11</v>
      </c>
      <c r="O372" s="49">
        <v>1632.0</v>
      </c>
      <c r="P372" s="49">
        <v>975137.0</v>
      </c>
      <c r="Q372" s="50">
        <v>1.0</v>
      </c>
      <c r="R372" s="51">
        <v>0.0</v>
      </c>
      <c r="S372" s="51">
        <v>0.0</v>
      </c>
      <c r="T372" s="51">
        <v>0.0</v>
      </c>
      <c r="U372" s="51">
        <v>0.0</v>
      </c>
      <c r="V372" s="35"/>
      <c r="W372" s="35"/>
      <c r="X372" s="35"/>
      <c r="Y372" s="35"/>
      <c r="Z372" s="35"/>
      <c r="AA372" s="35"/>
      <c r="AB372" s="35"/>
      <c r="AC372" s="35"/>
    </row>
    <row r="373">
      <c r="A373" s="30" t="s">
        <v>39</v>
      </c>
      <c r="B373" s="52">
        <v>2007.0</v>
      </c>
      <c r="C373" s="30" t="s">
        <v>41</v>
      </c>
      <c r="D373" s="32" t="s">
        <v>120</v>
      </c>
      <c r="E373" s="33">
        <v>75.0</v>
      </c>
      <c r="F373" s="35">
        <v>1741.5</v>
      </c>
      <c r="G373" s="31">
        <v>758794.0</v>
      </c>
      <c r="H373" s="31">
        <f t="shared" si="1"/>
        <v>2.295089313</v>
      </c>
      <c r="I373" s="42">
        <v>56.76</v>
      </c>
      <c r="J373" s="53">
        <v>7.53</v>
      </c>
      <c r="K373" s="61">
        <v>5632.55</v>
      </c>
      <c r="L373" s="46">
        <v>0.0</v>
      </c>
      <c r="M373" s="47">
        <v>12.669</v>
      </c>
      <c r="N373" s="48">
        <v>-1.3</v>
      </c>
      <c r="O373" s="49">
        <v>2678.75</v>
      </c>
      <c r="P373" s="49">
        <v>740569.0</v>
      </c>
      <c r="Q373" s="51">
        <v>0.0</v>
      </c>
      <c r="R373" s="51">
        <v>1.0</v>
      </c>
      <c r="S373" s="51">
        <v>0.0</v>
      </c>
      <c r="T373" s="51">
        <v>0.0</v>
      </c>
      <c r="U373" s="51">
        <v>0.0</v>
      </c>
      <c r="V373" s="35"/>
      <c r="W373" s="35"/>
      <c r="X373" s="35"/>
      <c r="Y373" s="35"/>
      <c r="Z373" s="35"/>
      <c r="AA373" s="35"/>
      <c r="AB373" s="35"/>
      <c r="AC373" s="35"/>
    </row>
    <row r="374">
      <c r="A374" s="30" t="s">
        <v>41</v>
      </c>
      <c r="B374" s="52">
        <v>2011.0</v>
      </c>
      <c r="C374" s="30" t="s">
        <v>43</v>
      </c>
      <c r="D374" s="32" t="s">
        <v>120</v>
      </c>
      <c r="E374" s="33">
        <v>75.0</v>
      </c>
      <c r="F374" s="35">
        <v>539.75</v>
      </c>
      <c r="G374" s="31">
        <v>762833.5</v>
      </c>
      <c r="H374" s="31">
        <f t="shared" si="1"/>
        <v>0.7075593822</v>
      </c>
      <c r="I374" s="54">
        <v>58.7</v>
      </c>
      <c r="J374" s="53">
        <v>11.01</v>
      </c>
      <c r="K374" s="61">
        <v>8319.75</v>
      </c>
      <c r="L374" s="46">
        <v>0.0</v>
      </c>
      <c r="M374" s="47">
        <v>37.343</v>
      </c>
      <c r="N374" s="48">
        <v>0.85</v>
      </c>
      <c r="O374" s="49">
        <v>6077.66666666667</v>
      </c>
      <c r="P374" s="49">
        <v>758794.0</v>
      </c>
      <c r="Q374" s="51">
        <v>0.0</v>
      </c>
      <c r="R374" s="51">
        <v>0.0</v>
      </c>
      <c r="S374" s="51">
        <v>1.0</v>
      </c>
      <c r="T374" s="51">
        <v>0.0</v>
      </c>
      <c r="U374" s="51">
        <v>0.0</v>
      </c>
      <c r="V374" s="35"/>
      <c r="W374" s="35"/>
      <c r="X374" s="35"/>
      <c r="Y374" s="35"/>
      <c r="Z374" s="35"/>
      <c r="AA374" s="35"/>
      <c r="AB374" s="35"/>
      <c r="AC374" s="35"/>
    </row>
    <row r="375">
      <c r="A375" s="30" t="s">
        <v>43</v>
      </c>
      <c r="B375" s="52">
        <v>2015.0</v>
      </c>
      <c r="C375" s="30">
        <v>2016.0</v>
      </c>
      <c r="D375" s="55" t="s">
        <v>120</v>
      </c>
      <c r="E375" s="33">
        <v>75.0</v>
      </c>
      <c r="F375" s="35">
        <v>301.0</v>
      </c>
      <c r="G375" s="31">
        <v>779379.0</v>
      </c>
      <c r="H375" s="31">
        <f t="shared" si="1"/>
        <v>0.3862049144</v>
      </c>
      <c r="I375" s="54">
        <v>55.4</v>
      </c>
      <c r="J375" s="56">
        <v>14.77</v>
      </c>
      <c r="K375" s="61">
        <v>9747.25</v>
      </c>
      <c r="L375" s="46">
        <v>0.0</v>
      </c>
      <c r="M375" s="47">
        <v>82.287</v>
      </c>
      <c r="N375" s="48">
        <v>-6.55</v>
      </c>
      <c r="O375" s="49">
        <v>9016.5</v>
      </c>
      <c r="P375" s="49">
        <v>762833.5</v>
      </c>
      <c r="Q375" s="51">
        <v>0.0</v>
      </c>
      <c r="R375" s="51">
        <v>0.0</v>
      </c>
      <c r="S375" s="51">
        <v>0.0</v>
      </c>
      <c r="T375" s="51">
        <v>1.0</v>
      </c>
      <c r="U375" s="51">
        <v>0.0</v>
      </c>
      <c r="V375" s="35"/>
      <c r="W375" s="35"/>
      <c r="X375" s="35"/>
      <c r="Y375" s="35"/>
      <c r="Z375" s="35"/>
      <c r="AA375" s="35"/>
      <c r="AB375" s="35"/>
      <c r="AC375" s="35"/>
    </row>
    <row r="376">
      <c r="A376" s="30">
        <v>2016.0</v>
      </c>
      <c r="B376" s="52">
        <v>2016.0</v>
      </c>
      <c r="C376" s="30" t="s">
        <v>45</v>
      </c>
      <c r="D376" s="55" t="s">
        <v>120</v>
      </c>
      <c r="E376" s="33">
        <v>75.0</v>
      </c>
      <c r="F376" s="35">
        <v>217.66666666666666</v>
      </c>
      <c r="G376" s="31">
        <v>797114.5</v>
      </c>
      <c r="H376" s="31">
        <f t="shared" si="1"/>
        <v>0.2730682564</v>
      </c>
      <c r="I376" s="54">
        <v>66.8</v>
      </c>
      <c r="J376" s="56">
        <v>15.57</v>
      </c>
      <c r="K376" s="62">
        <v>9005.0</v>
      </c>
      <c r="L376" s="46">
        <v>0.0</v>
      </c>
      <c r="M376" s="47">
        <v>93.046</v>
      </c>
      <c r="N376" s="48">
        <v>-2.11</v>
      </c>
      <c r="O376" s="49">
        <v>7127.0</v>
      </c>
      <c r="P376" s="49">
        <v>779379.0</v>
      </c>
      <c r="Q376" s="51">
        <v>0.0</v>
      </c>
      <c r="R376" s="51">
        <v>0.0</v>
      </c>
      <c r="S376" s="51">
        <v>0.0</v>
      </c>
      <c r="T376" s="51">
        <v>0.0</v>
      </c>
      <c r="U376" s="51">
        <v>1.0</v>
      </c>
      <c r="V376" s="35"/>
      <c r="W376" s="35"/>
      <c r="X376" s="35"/>
      <c r="Y376" s="35"/>
      <c r="Z376" s="35"/>
      <c r="AA376" s="35"/>
      <c r="AB376" s="35"/>
      <c r="AC376" s="35"/>
    </row>
    <row r="377">
      <c r="A377" s="26" t="s">
        <v>37</v>
      </c>
      <c r="B377" s="52">
        <v>2002.0</v>
      </c>
      <c r="C377" s="30" t="s">
        <v>39</v>
      </c>
      <c r="D377" s="32" t="s">
        <v>121</v>
      </c>
      <c r="E377" s="33">
        <v>76.0</v>
      </c>
      <c r="F377" s="35">
        <v>56.8</v>
      </c>
      <c r="G377" s="31">
        <v>84022.0</v>
      </c>
      <c r="H377" s="31">
        <f t="shared" si="1"/>
        <v>0.6760134251</v>
      </c>
      <c r="I377" s="42">
        <v>6.67</v>
      </c>
      <c r="J377" s="44">
        <v>3.95</v>
      </c>
      <c r="K377" s="61">
        <v>4123.36</v>
      </c>
      <c r="L377" s="46">
        <v>0.0</v>
      </c>
      <c r="M377" s="47">
        <v>1.678</v>
      </c>
      <c r="N377" s="48">
        <v>-3.67</v>
      </c>
      <c r="O377" s="49">
        <v>157.0</v>
      </c>
      <c r="P377" s="49">
        <v>93584.0</v>
      </c>
      <c r="Q377" s="50">
        <v>1.0</v>
      </c>
      <c r="R377" s="51">
        <v>0.0</v>
      </c>
      <c r="S377" s="51">
        <v>0.0</v>
      </c>
      <c r="T377" s="51">
        <v>0.0</v>
      </c>
      <c r="U377" s="51">
        <v>0.0</v>
      </c>
      <c r="V377" s="35"/>
      <c r="W377" s="35"/>
      <c r="X377" s="35"/>
      <c r="Y377" s="35"/>
      <c r="Z377" s="35"/>
      <c r="AA377" s="35"/>
      <c r="AB377" s="35"/>
      <c r="AC377" s="35"/>
    </row>
    <row r="378">
      <c r="A378" s="30" t="s">
        <v>39</v>
      </c>
      <c r="B378" s="52">
        <v>2007.0</v>
      </c>
      <c r="C378" s="30" t="s">
        <v>41</v>
      </c>
      <c r="D378" s="32" t="s">
        <v>121</v>
      </c>
      <c r="E378" s="33">
        <v>76.0</v>
      </c>
      <c r="F378" s="35">
        <v>170.0</v>
      </c>
      <c r="G378" s="31">
        <v>82817.75</v>
      </c>
      <c r="H378" s="31">
        <f t="shared" si="1"/>
        <v>2.052700055</v>
      </c>
      <c r="I378" s="42">
        <v>12.27</v>
      </c>
      <c r="J378" s="53">
        <v>5.93</v>
      </c>
      <c r="K378" s="61">
        <v>5487.34</v>
      </c>
      <c r="L378" s="46">
        <v>1.0</v>
      </c>
      <c r="M378" s="47">
        <v>23.177</v>
      </c>
      <c r="N378" s="48">
        <v>2.78</v>
      </c>
      <c r="O378" s="49">
        <v>550.5</v>
      </c>
      <c r="P378" s="49">
        <v>84022.0</v>
      </c>
      <c r="Q378" s="51">
        <v>0.0</v>
      </c>
      <c r="R378" s="51">
        <v>1.0</v>
      </c>
      <c r="S378" s="51">
        <v>0.0</v>
      </c>
      <c r="T378" s="51">
        <v>0.0</v>
      </c>
      <c r="U378" s="51">
        <v>0.0</v>
      </c>
      <c r="V378" s="35"/>
      <c r="W378" s="35"/>
      <c r="X378" s="35"/>
      <c r="Y378" s="35"/>
      <c r="Z378" s="35"/>
      <c r="AA378" s="35"/>
      <c r="AB378" s="35"/>
      <c r="AC378" s="35"/>
    </row>
    <row r="379">
      <c r="A379" s="30" t="s">
        <v>41</v>
      </c>
      <c r="B379" s="52">
        <v>2011.0</v>
      </c>
      <c r="C379" s="30" t="s">
        <v>43</v>
      </c>
      <c r="D379" s="32" t="s">
        <v>121</v>
      </c>
      <c r="E379" s="33">
        <v>76.0</v>
      </c>
      <c r="F379" s="35">
        <v>103.25</v>
      </c>
      <c r="G379" s="31">
        <v>86076.75</v>
      </c>
      <c r="H379" s="31">
        <f t="shared" si="1"/>
        <v>1.199510902</v>
      </c>
      <c r="I379" s="54">
        <v>15.8</v>
      </c>
      <c r="J379" s="53">
        <v>10.19</v>
      </c>
      <c r="K379" s="61">
        <v>8559.25</v>
      </c>
      <c r="L379" s="46">
        <v>0.0</v>
      </c>
      <c r="M379" s="47">
        <v>44.694</v>
      </c>
      <c r="N379" s="48">
        <v>-4.65</v>
      </c>
      <c r="O379" s="49">
        <v>421.666666666667</v>
      </c>
      <c r="P379" s="49">
        <v>82817.75</v>
      </c>
      <c r="Q379" s="51">
        <v>0.0</v>
      </c>
      <c r="R379" s="51">
        <v>0.0</v>
      </c>
      <c r="S379" s="51">
        <v>1.0</v>
      </c>
      <c r="T379" s="51">
        <v>0.0</v>
      </c>
      <c r="U379" s="51">
        <v>0.0</v>
      </c>
      <c r="V379" s="35"/>
      <c r="W379" s="35"/>
      <c r="X379" s="35"/>
      <c r="Y379" s="35"/>
      <c r="Z379" s="35"/>
      <c r="AA379" s="35"/>
      <c r="AB379" s="35"/>
      <c r="AC379" s="35"/>
    </row>
    <row r="380">
      <c r="A380" s="30" t="s">
        <v>43</v>
      </c>
      <c r="B380" s="52">
        <v>2015.0</v>
      </c>
      <c r="C380" s="30">
        <v>2016.0</v>
      </c>
      <c r="D380" s="55" t="s">
        <v>121</v>
      </c>
      <c r="E380" s="33">
        <v>76.0</v>
      </c>
      <c r="F380" s="35">
        <v>0.0</v>
      </c>
      <c r="G380" s="31">
        <v>82193.0</v>
      </c>
      <c r="H380" s="31">
        <f t="shared" si="1"/>
        <v>0</v>
      </c>
      <c r="I380" s="54">
        <v>10.6</v>
      </c>
      <c r="J380" s="56">
        <v>16.66</v>
      </c>
      <c r="K380" s="61">
        <v>9883.0</v>
      </c>
      <c r="L380" s="46">
        <v>0.0</v>
      </c>
      <c r="M380" s="47">
        <v>96.499</v>
      </c>
      <c r="N380" s="48">
        <v>8.5</v>
      </c>
      <c r="O380" s="49">
        <v>1197.5</v>
      </c>
      <c r="P380" s="49">
        <v>86076.75</v>
      </c>
      <c r="Q380" s="51">
        <v>0.0</v>
      </c>
      <c r="R380" s="51">
        <v>0.0</v>
      </c>
      <c r="S380" s="51">
        <v>0.0</v>
      </c>
      <c r="T380" s="51">
        <v>1.0</v>
      </c>
      <c r="U380" s="51">
        <v>0.0</v>
      </c>
      <c r="V380" s="35"/>
      <c r="W380" s="35"/>
      <c r="X380" s="35"/>
      <c r="Y380" s="35"/>
      <c r="Z380" s="35"/>
      <c r="AA380" s="35"/>
      <c r="AB380" s="35"/>
      <c r="AC380" s="35"/>
    </row>
    <row r="381">
      <c r="A381" s="30">
        <v>2016.0</v>
      </c>
      <c r="B381" s="52">
        <v>2016.0</v>
      </c>
      <c r="C381" s="30" t="s">
        <v>45</v>
      </c>
      <c r="D381" s="55" t="s">
        <v>121</v>
      </c>
      <c r="E381" s="33">
        <v>76.0</v>
      </c>
      <c r="F381" s="35">
        <v>194.33333333333334</v>
      </c>
      <c r="G381" s="31">
        <v>85348.0</v>
      </c>
      <c r="H381" s="31">
        <f t="shared" si="1"/>
        <v>2.276952399</v>
      </c>
      <c r="I381" s="54">
        <v>11.7</v>
      </c>
      <c r="J381" s="56">
        <v>17.56</v>
      </c>
      <c r="K381" s="62">
        <v>9463.0</v>
      </c>
      <c r="L381" s="46">
        <v>0.0</v>
      </c>
      <c r="M381" s="47">
        <v>103.807</v>
      </c>
      <c r="N381" s="48">
        <v>-19.82</v>
      </c>
      <c r="O381" s="49">
        <v>856.0</v>
      </c>
      <c r="P381" s="49">
        <v>82193.0</v>
      </c>
      <c r="Q381" s="51">
        <v>0.0</v>
      </c>
      <c r="R381" s="51">
        <v>0.0</v>
      </c>
      <c r="S381" s="51">
        <v>0.0</v>
      </c>
      <c r="T381" s="51">
        <v>0.0</v>
      </c>
      <c r="U381" s="51">
        <v>1.0</v>
      </c>
      <c r="V381" s="35"/>
      <c r="W381" s="35"/>
      <c r="X381" s="35"/>
      <c r="Y381" s="35"/>
      <c r="Z381" s="35"/>
      <c r="AA381" s="35"/>
      <c r="AB381" s="35"/>
      <c r="AC381" s="35"/>
    </row>
    <row r="382">
      <c r="A382" s="26" t="s">
        <v>37</v>
      </c>
      <c r="B382" s="52">
        <v>2002.0</v>
      </c>
      <c r="C382" s="30" t="s">
        <v>39</v>
      </c>
      <c r="D382" s="32" t="s">
        <v>122</v>
      </c>
      <c r="E382" s="33">
        <v>77.0</v>
      </c>
      <c r="F382" s="35">
        <v>216.8</v>
      </c>
      <c r="G382" s="31">
        <v>334115.0</v>
      </c>
      <c r="H382" s="31">
        <f t="shared" si="1"/>
        <v>0.6488783802</v>
      </c>
      <c r="I382" s="42">
        <v>26.95</v>
      </c>
      <c r="J382" s="44">
        <v>3.48</v>
      </c>
      <c r="K382" s="61">
        <v>4052.56</v>
      </c>
      <c r="L382" s="46">
        <v>0.0</v>
      </c>
      <c r="M382" s="47">
        <v>2.628</v>
      </c>
      <c r="N382" s="48">
        <v>-0.69</v>
      </c>
      <c r="O382" s="49">
        <v>847.0</v>
      </c>
      <c r="P382" s="49">
        <v>322313.0</v>
      </c>
      <c r="Q382" s="50">
        <v>1.0</v>
      </c>
      <c r="R382" s="51">
        <v>0.0</v>
      </c>
      <c r="S382" s="51">
        <v>0.0</v>
      </c>
      <c r="T382" s="51">
        <v>0.0</v>
      </c>
      <c r="U382" s="51">
        <v>0.0</v>
      </c>
      <c r="V382" s="35"/>
      <c r="W382" s="35"/>
      <c r="X382" s="35"/>
      <c r="Y382" s="35"/>
      <c r="Z382" s="35"/>
      <c r="AA382" s="35"/>
      <c r="AB382" s="35"/>
      <c r="AC382" s="35"/>
    </row>
    <row r="383">
      <c r="A383" s="30" t="s">
        <v>39</v>
      </c>
      <c r="B383" s="52">
        <v>2007.0</v>
      </c>
      <c r="C383" s="30" t="s">
        <v>41</v>
      </c>
      <c r="D383" s="32" t="s">
        <v>122</v>
      </c>
      <c r="E383" s="33">
        <v>77.0</v>
      </c>
      <c r="F383" s="35">
        <v>272.0</v>
      </c>
      <c r="G383" s="31">
        <v>336930.25</v>
      </c>
      <c r="H383" s="31">
        <f t="shared" si="1"/>
        <v>0.8072887489</v>
      </c>
      <c r="I383" s="42">
        <v>43.28</v>
      </c>
      <c r="J383" s="53">
        <v>5.59</v>
      </c>
      <c r="K383" s="61">
        <v>5272.96</v>
      </c>
      <c r="L383" s="46">
        <v>0.0</v>
      </c>
      <c r="M383" s="47">
        <v>14.668</v>
      </c>
      <c r="N383" s="48">
        <v>-2.67</v>
      </c>
      <c r="O383" s="49">
        <v>1402.0</v>
      </c>
      <c r="P383" s="49">
        <v>334115.0</v>
      </c>
      <c r="Q383" s="51">
        <v>0.0</v>
      </c>
      <c r="R383" s="51">
        <v>1.0</v>
      </c>
      <c r="S383" s="51">
        <v>0.0</v>
      </c>
      <c r="T383" s="51">
        <v>0.0</v>
      </c>
      <c r="U383" s="51">
        <v>0.0</v>
      </c>
      <c r="V383" s="35"/>
      <c r="W383" s="35"/>
      <c r="X383" s="35"/>
      <c r="Y383" s="35"/>
      <c r="Z383" s="35"/>
      <c r="AA383" s="35"/>
      <c r="AB383" s="35"/>
      <c r="AC383" s="35"/>
    </row>
    <row r="384">
      <c r="A384" s="30" t="s">
        <v>41</v>
      </c>
      <c r="B384" s="52">
        <v>2011.0</v>
      </c>
      <c r="C384" s="30" t="s">
        <v>43</v>
      </c>
      <c r="D384" s="32" t="s">
        <v>122</v>
      </c>
      <c r="E384" s="33">
        <v>77.0</v>
      </c>
      <c r="F384" s="35">
        <v>336.25</v>
      </c>
      <c r="G384" s="31">
        <v>347821.0</v>
      </c>
      <c r="H384" s="31">
        <f t="shared" si="1"/>
        <v>0.9667328885</v>
      </c>
      <c r="I384" s="54">
        <v>49.7</v>
      </c>
      <c r="J384" s="53">
        <v>8.49</v>
      </c>
      <c r="K384" s="61">
        <v>8222.75</v>
      </c>
      <c r="L384" s="46">
        <v>0.0</v>
      </c>
      <c r="M384" s="47">
        <v>41.686</v>
      </c>
      <c r="N384" s="48">
        <v>-3.05</v>
      </c>
      <c r="O384" s="49">
        <v>2499.0</v>
      </c>
      <c r="P384" s="49">
        <v>336930.25</v>
      </c>
      <c r="Q384" s="51">
        <v>0.0</v>
      </c>
      <c r="R384" s="51">
        <v>0.0</v>
      </c>
      <c r="S384" s="51">
        <v>1.0</v>
      </c>
      <c r="T384" s="51">
        <v>0.0</v>
      </c>
      <c r="U384" s="51">
        <v>0.0</v>
      </c>
      <c r="V384" s="35"/>
      <c r="W384" s="35"/>
      <c r="X384" s="35"/>
      <c r="Y384" s="35"/>
      <c r="Z384" s="35"/>
      <c r="AA384" s="35"/>
      <c r="AB384" s="35"/>
      <c r="AC384" s="35"/>
    </row>
    <row r="385">
      <c r="A385" s="30" t="s">
        <v>43</v>
      </c>
      <c r="B385" s="52">
        <v>2015.0</v>
      </c>
      <c r="C385" s="30">
        <v>2016.0</v>
      </c>
      <c r="D385" s="55" t="s">
        <v>122</v>
      </c>
      <c r="E385" s="33">
        <v>77.0</v>
      </c>
      <c r="F385" s="35">
        <v>511.0</v>
      </c>
      <c r="G385" s="31">
        <v>358736.0</v>
      </c>
      <c r="H385" s="31">
        <f t="shared" si="1"/>
        <v>1.424445832</v>
      </c>
      <c r="I385" s="54">
        <v>38.0</v>
      </c>
      <c r="J385" s="56">
        <v>11.55</v>
      </c>
      <c r="K385" s="61">
        <v>9701.25</v>
      </c>
      <c r="L385" s="46">
        <v>0.0</v>
      </c>
      <c r="M385" s="47">
        <v>74.032</v>
      </c>
      <c r="N385" s="48">
        <v>-0.81</v>
      </c>
      <c r="O385" s="49">
        <v>5312.5</v>
      </c>
      <c r="P385" s="49">
        <v>347821.0</v>
      </c>
      <c r="Q385" s="51">
        <v>0.0</v>
      </c>
      <c r="R385" s="51">
        <v>0.0</v>
      </c>
      <c r="S385" s="51">
        <v>0.0</v>
      </c>
      <c r="T385" s="51">
        <v>1.0</v>
      </c>
      <c r="U385" s="51">
        <v>0.0</v>
      </c>
      <c r="V385" s="35"/>
      <c r="W385" s="35"/>
      <c r="X385" s="35"/>
      <c r="Y385" s="35"/>
      <c r="Z385" s="35"/>
      <c r="AA385" s="35"/>
      <c r="AB385" s="35"/>
      <c r="AC385" s="35"/>
    </row>
    <row r="386">
      <c r="A386" s="30">
        <v>2016.0</v>
      </c>
      <c r="B386" s="52">
        <v>2016.0</v>
      </c>
      <c r="C386" s="30" t="s">
        <v>45</v>
      </c>
      <c r="D386" s="55" t="s">
        <v>122</v>
      </c>
      <c r="E386" s="33">
        <v>77.0</v>
      </c>
      <c r="F386" s="35">
        <v>87.66666666666667</v>
      </c>
      <c r="G386" s="31">
        <v>366242.5</v>
      </c>
      <c r="H386" s="31">
        <f t="shared" si="1"/>
        <v>0.2393678141</v>
      </c>
      <c r="I386" s="54">
        <v>46.6</v>
      </c>
      <c r="J386" s="56">
        <v>12.16</v>
      </c>
      <c r="K386" s="62">
        <v>8775.0</v>
      </c>
      <c r="L386" s="46">
        <v>0.0</v>
      </c>
      <c r="M386" s="47">
        <v>89.214</v>
      </c>
      <c r="N386" s="48">
        <v>1.51</v>
      </c>
      <c r="O386" s="49">
        <v>4638.0</v>
      </c>
      <c r="P386" s="49">
        <v>358736.0</v>
      </c>
      <c r="Q386" s="51">
        <v>0.0</v>
      </c>
      <c r="R386" s="51">
        <v>0.0</v>
      </c>
      <c r="S386" s="51">
        <v>0.0</v>
      </c>
      <c r="T386" s="51">
        <v>0.0</v>
      </c>
      <c r="U386" s="51">
        <v>1.0</v>
      </c>
      <c r="V386" s="35"/>
      <c r="W386" s="35"/>
      <c r="X386" s="35"/>
      <c r="Y386" s="35"/>
      <c r="Z386" s="35"/>
      <c r="AA386" s="35"/>
      <c r="AB386" s="35"/>
      <c r="AC386" s="35"/>
    </row>
    <row r="387">
      <c r="A387" s="26" t="s">
        <v>37</v>
      </c>
      <c r="B387" s="52">
        <v>2002.0</v>
      </c>
      <c r="C387" s="30" t="s">
        <v>39</v>
      </c>
      <c r="D387" s="32" t="s">
        <v>123</v>
      </c>
      <c r="E387" s="33">
        <v>78.0</v>
      </c>
      <c r="F387" s="35">
        <v>476.8</v>
      </c>
      <c r="G387" s="31">
        <v>979671.0</v>
      </c>
      <c r="H387" s="31">
        <f t="shared" si="1"/>
        <v>0.4866940024</v>
      </c>
      <c r="I387" s="42">
        <v>25.86</v>
      </c>
      <c r="J387" s="44">
        <v>1.78</v>
      </c>
      <c r="K387" s="61">
        <v>1765.34</v>
      </c>
      <c r="L387" s="46">
        <v>0.0</v>
      </c>
      <c r="M387" s="47">
        <v>0.157</v>
      </c>
      <c r="N387" s="48">
        <v>-4.36</v>
      </c>
      <c r="O387" s="49">
        <v>138.0</v>
      </c>
      <c r="P387" s="49">
        <v>877524.0</v>
      </c>
      <c r="Q387" s="50">
        <v>1.0</v>
      </c>
      <c r="R387" s="51">
        <v>0.0</v>
      </c>
      <c r="S387" s="51">
        <v>0.0</v>
      </c>
      <c r="T387" s="51">
        <v>0.0</v>
      </c>
      <c r="U387" s="51">
        <v>0.0</v>
      </c>
      <c r="V387" s="35"/>
      <c r="W387" s="35"/>
      <c r="X387" s="35"/>
      <c r="Y387" s="35"/>
      <c r="Z387" s="35"/>
      <c r="AA387" s="35"/>
      <c r="AB387" s="35"/>
      <c r="AC387" s="35"/>
    </row>
    <row r="388">
      <c r="A388" s="30" t="s">
        <v>39</v>
      </c>
      <c r="B388" s="52">
        <v>2007.0</v>
      </c>
      <c r="C388" s="30" t="s">
        <v>41</v>
      </c>
      <c r="D388" s="32" t="s">
        <v>123</v>
      </c>
      <c r="E388" s="33">
        <v>78.0</v>
      </c>
      <c r="F388" s="35">
        <v>1795.0</v>
      </c>
      <c r="G388" s="31">
        <v>1021157.25</v>
      </c>
      <c r="H388" s="31">
        <f t="shared" si="1"/>
        <v>1.757809583</v>
      </c>
      <c r="I388" s="42">
        <v>53.22</v>
      </c>
      <c r="J388" s="53">
        <v>2.97</v>
      </c>
      <c r="K388" s="61">
        <v>2431.34</v>
      </c>
      <c r="L388" s="46">
        <v>0.0</v>
      </c>
      <c r="M388" s="47">
        <v>1.558</v>
      </c>
      <c r="N388" s="48">
        <v>-6.69</v>
      </c>
      <c r="O388" s="49">
        <v>412.75</v>
      </c>
      <c r="P388" s="49">
        <v>979671.0</v>
      </c>
      <c r="Q388" s="51">
        <v>0.0</v>
      </c>
      <c r="R388" s="51">
        <v>1.0</v>
      </c>
      <c r="S388" s="51">
        <v>0.0</v>
      </c>
      <c r="T388" s="51">
        <v>0.0</v>
      </c>
      <c r="U388" s="51">
        <v>0.0</v>
      </c>
      <c r="V388" s="35"/>
      <c r="W388" s="35"/>
      <c r="X388" s="35"/>
      <c r="Y388" s="35"/>
      <c r="Z388" s="35"/>
      <c r="AA388" s="35"/>
      <c r="AB388" s="35"/>
      <c r="AC388" s="35"/>
    </row>
    <row r="389">
      <c r="A389" s="30" t="s">
        <v>41</v>
      </c>
      <c r="B389" s="52">
        <v>2011.0</v>
      </c>
      <c r="C389" s="30" t="s">
        <v>43</v>
      </c>
      <c r="D389" s="32" t="s">
        <v>123</v>
      </c>
      <c r="E389" s="33">
        <v>78.0</v>
      </c>
      <c r="F389" s="35">
        <v>3843.75</v>
      </c>
      <c r="G389" s="31">
        <v>1076006.75</v>
      </c>
      <c r="H389" s="31">
        <f t="shared" si="1"/>
        <v>3.572235955</v>
      </c>
      <c r="I389" s="54">
        <v>40.2</v>
      </c>
      <c r="J389" s="53">
        <v>5.14</v>
      </c>
      <c r="K389" s="61">
        <v>3677.25</v>
      </c>
      <c r="L389" s="46">
        <v>1.0</v>
      </c>
      <c r="M389" s="47">
        <v>5.163</v>
      </c>
      <c r="N389" s="48">
        <v>-7.0</v>
      </c>
      <c r="O389" s="49">
        <v>955.666666666667</v>
      </c>
      <c r="P389" s="49">
        <v>1021157.25</v>
      </c>
      <c r="Q389" s="51">
        <v>0.0</v>
      </c>
      <c r="R389" s="51">
        <v>0.0</v>
      </c>
      <c r="S389" s="51">
        <v>1.0</v>
      </c>
      <c r="T389" s="51">
        <v>0.0</v>
      </c>
      <c r="U389" s="51">
        <v>0.0</v>
      </c>
      <c r="V389" s="35"/>
      <c r="W389" s="35"/>
      <c r="X389" s="35"/>
      <c r="Y389" s="35"/>
      <c r="Z389" s="35"/>
      <c r="AA389" s="35"/>
      <c r="AB389" s="35"/>
      <c r="AC389" s="35"/>
    </row>
    <row r="390">
      <c r="A390" s="30" t="s">
        <v>43</v>
      </c>
      <c r="B390" s="52">
        <v>2015.0</v>
      </c>
      <c r="C390" s="30">
        <v>2016.0</v>
      </c>
      <c r="D390" s="55" t="s">
        <v>123</v>
      </c>
      <c r="E390" s="33">
        <v>78.0</v>
      </c>
      <c r="F390" s="35">
        <v>0.0</v>
      </c>
      <c r="G390" s="31">
        <v>1100190.0</v>
      </c>
      <c r="H390" s="31">
        <f t="shared" si="1"/>
        <v>0</v>
      </c>
      <c r="I390" s="54">
        <v>19.4</v>
      </c>
      <c r="J390" s="56">
        <v>8.25</v>
      </c>
      <c r="K390" s="61">
        <v>4486.75</v>
      </c>
      <c r="L390" s="46">
        <v>0.0</v>
      </c>
      <c r="M390" s="47">
        <v>26.965</v>
      </c>
      <c r="N390" s="48">
        <v>-16.21</v>
      </c>
      <c r="O390" s="49">
        <v>5969.5</v>
      </c>
      <c r="P390" s="49">
        <v>1076006.75</v>
      </c>
      <c r="Q390" s="51">
        <v>0.0</v>
      </c>
      <c r="R390" s="51">
        <v>0.0</v>
      </c>
      <c r="S390" s="51">
        <v>0.0</v>
      </c>
      <c r="T390" s="51">
        <v>1.0</v>
      </c>
      <c r="U390" s="51">
        <v>0.0</v>
      </c>
      <c r="V390" s="35"/>
      <c r="W390" s="35"/>
      <c r="X390" s="35"/>
      <c r="Y390" s="35"/>
      <c r="Z390" s="35"/>
      <c r="AA390" s="35"/>
      <c r="AB390" s="35"/>
      <c r="AC390" s="35"/>
    </row>
    <row r="391">
      <c r="A391" s="30">
        <v>2016.0</v>
      </c>
      <c r="B391" s="52">
        <v>2016.0</v>
      </c>
      <c r="C391" s="30" t="s">
        <v>45</v>
      </c>
      <c r="D391" s="55" t="s">
        <v>123</v>
      </c>
      <c r="E391" s="33">
        <v>78.0</v>
      </c>
      <c r="F391" s="35">
        <v>0.0</v>
      </c>
      <c r="G391" s="31">
        <v>1115337.5</v>
      </c>
      <c r="H391" s="31">
        <f t="shared" si="1"/>
        <v>0</v>
      </c>
      <c r="I391" s="54">
        <v>30.0</v>
      </c>
      <c r="J391" s="56">
        <v>8.81</v>
      </c>
      <c r="K391" s="62">
        <v>4094.0</v>
      </c>
      <c r="L391" s="46">
        <v>0.0</v>
      </c>
      <c r="M391" s="47">
        <v>27.98</v>
      </c>
      <c r="N391" s="48">
        <v>-17.02</v>
      </c>
      <c r="O391" s="49">
        <v>1235.0</v>
      </c>
      <c r="P391" s="49">
        <v>1100190.0</v>
      </c>
      <c r="Q391" s="51">
        <v>0.0</v>
      </c>
      <c r="R391" s="51">
        <v>0.0</v>
      </c>
      <c r="S391" s="51">
        <v>0.0</v>
      </c>
      <c r="T391" s="51">
        <v>0.0</v>
      </c>
      <c r="U391" s="51">
        <v>1.0</v>
      </c>
      <c r="V391" s="35"/>
      <c r="W391" s="35"/>
      <c r="X391" s="35"/>
      <c r="Y391" s="35"/>
      <c r="Z391" s="35"/>
      <c r="AA391" s="35"/>
      <c r="AB391" s="35"/>
      <c r="AC391" s="35"/>
    </row>
    <row r="392">
      <c r="A392" s="26" t="s">
        <v>37</v>
      </c>
      <c r="B392" s="52">
        <v>2002.0</v>
      </c>
      <c r="C392" s="30" t="s">
        <v>39</v>
      </c>
      <c r="D392" s="32" t="s">
        <v>124</v>
      </c>
      <c r="E392" s="33">
        <v>79.0</v>
      </c>
      <c r="F392" s="35">
        <v>256.0</v>
      </c>
      <c r="G392" s="31">
        <v>181758.0</v>
      </c>
      <c r="H392" s="31">
        <f t="shared" si="1"/>
        <v>1.408466202</v>
      </c>
      <c r="I392" s="42">
        <v>34.57</v>
      </c>
      <c r="J392" s="44">
        <v>5.51</v>
      </c>
      <c r="K392" s="61">
        <v>5404.93</v>
      </c>
      <c r="L392" s="46">
        <v>0.0</v>
      </c>
      <c r="M392" s="47">
        <v>7.913</v>
      </c>
      <c r="N392" s="48">
        <v>0.35</v>
      </c>
      <c r="O392" s="49">
        <v>1334.0</v>
      </c>
      <c r="P392" s="49">
        <v>168593.0</v>
      </c>
      <c r="Q392" s="50">
        <v>1.0</v>
      </c>
      <c r="R392" s="51">
        <v>0.0</v>
      </c>
      <c r="S392" s="51">
        <v>0.0</v>
      </c>
      <c r="T392" s="51">
        <v>0.0</v>
      </c>
      <c r="U392" s="51">
        <v>0.0</v>
      </c>
      <c r="V392" s="35"/>
      <c r="W392" s="35"/>
      <c r="X392" s="35"/>
      <c r="Y392" s="35"/>
      <c r="Z392" s="35"/>
      <c r="AA392" s="35"/>
      <c r="AB392" s="35"/>
      <c r="AC392" s="35"/>
    </row>
    <row r="393">
      <c r="A393" s="30" t="s">
        <v>39</v>
      </c>
      <c r="B393" s="52">
        <v>2007.0</v>
      </c>
      <c r="C393" s="30" t="s">
        <v>41</v>
      </c>
      <c r="D393" s="32" t="s">
        <v>124</v>
      </c>
      <c r="E393" s="33">
        <v>79.0</v>
      </c>
      <c r="F393" s="35">
        <v>0.0</v>
      </c>
      <c r="G393" s="31">
        <v>202554.75</v>
      </c>
      <c r="H393" s="31">
        <f t="shared" si="1"/>
        <v>0</v>
      </c>
      <c r="I393" s="42">
        <v>40.64</v>
      </c>
      <c r="J393" s="53">
        <v>8.18</v>
      </c>
      <c r="K393" s="61">
        <v>7248.33</v>
      </c>
      <c r="L393" s="46">
        <v>0.0</v>
      </c>
      <c r="M393" s="47">
        <v>26.079</v>
      </c>
      <c r="N393" s="48">
        <v>26.47</v>
      </c>
      <c r="O393" s="49">
        <v>1060.25</v>
      </c>
      <c r="P393" s="49">
        <v>181758.0</v>
      </c>
      <c r="Q393" s="51">
        <v>0.0</v>
      </c>
      <c r="R393" s="51">
        <v>1.0</v>
      </c>
      <c r="S393" s="51">
        <v>0.0</v>
      </c>
      <c r="T393" s="51">
        <v>0.0</v>
      </c>
      <c r="U393" s="51">
        <v>0.0</v>
      </c>
      <c r="V393" s="35"/>
      <c r="W393" s="35"/>
      <c r="X393" s="35"/>
      <c r="Y393" s="35"/>
      <c r="Z393" s="35"/>
      <c r="AA393" s="35"/>
      <c r="AB393" s="35"/>
      <c r="AC393" s="35"/>
    </row>
    <row r="394">
      <c r="A394" s="30" t="s">
        <v>41</v>
      </c>
      <c r="B394" s="52">
        <v>2011.0</v>
      </c>
      <c r="C394" s="30" t="s">
        <v>43</v>
      </c>
      <c r="D394" s="32" t="s">
        <v>124</v>
      </c>
      <c r="E394" s="33">
        <v>79.0</v>
      </c>
      <c r="F394" s="35">
        <v>0.0</v>
      </c>
      <c r="G394" s="31">
        <v>222861.0</v>
      </c>
      <c r="H394" s="31">
        <f t="shared" si="1"/>
        <v>0</v>
      </c>
      <c r="I394" s="54">
        <v>47.2</v>
      </c>
      <c r="J394" s="53">
        <v>11.49</v>
      </c>
      <c r="K394" s="61">
        <v>10467.0</v>
      </c>
      <c r="L394" s="46">
        <v>1.0</v>
      </c>
      <c r="M394" s="47">
        <v>67.267</v>
      </c>
      <c r="N394" s="48">
        <v>20.03</v>
      </c>
      <c r="O394" s="49">
        <v>2381.0</v>
      </c>
      <c r="P394" s="49">
        <v>202554.75</v>
      </c>
      <c r="Q394" s="51">
        <v>0.0</v>
      </c>
      <c r="R394" s="51">
        <v>0.0</v>
      </c>
      <c r="S394" s="51">
        <v>1.0</v>
      </c>
      <c r="T394" s="51">
        <v>0.0</v>
      </c>
      <c r="U394" s="51">
        <v>0.0</v>
      </c>
      <c r="V394" s="35"/>
      <c r="W394" s="35"/>
      <c r="X394" s="35"/>
      <c r="Y394" s="35"/>
      <c r="Z394" s="35"/>
      <c r="AA394" s="35"/>
      <c r="AB394" s="35"/>
      <c r="AC394" s="35"/>
    </row>
    <row r="395">
      <c r="A395" s="30" t="s">
        <v>43</v>
      </c>
      <c r="B395" s="52">
        <v>2015.0</v>
      </c>
      <c r="C395" s="30">
        <v>2016.0</v>
      </c>
      <c r="D395" s="55" t="s">
        <v>124</v>
      </c>
      <c r="E395" s="33">
        <v>79.0</v>
      </c>
      <c r="F395" s="35">
        <v>130.0</v>
      </c>
      <c r="G395" s="31">
        <v>241665.0</v>
      </c>
      <c r="H395" s="31">
        <f t="shared" si="1"/>
        <v>0.5379347444</v>
      </c>
      <c r="I395" s="54">
        <v>39.5</v>
      </c>
      <c r="J395" s="56">
        <v>15.77</v>
      </c>
      <c r="K395" s="61">
        <v>12414.0</v>
      </c>
      <c r="L395" s="46">
        <v>0.0</v>
      </c>
      <c r="M395" s="47">
        <v>124.37</v>
      </c>
      <c r="N395" s="48">
        <v>12.75</v>
      </c>
      <c r="O395" s="49">
        <v>3337.75</v>
      </c>
      <c r="P395" s="49">
        <v>222861.0</v>
      </c>
      <c r="Q395" s="51">
        <v>0.0</v>
      </c>
      <c r="R395" s="51">
        <v>0.0</v>
      </c>
      <c r="S395" s="51">
        <v>0.0</v>
      </c>
      <c r="T395" s="51">
        <v>1.0</v>
      </c>
      <c r="U395" s="51">
        <v>0.0</v>
      </c>
      <c r="V395" s="35"/>
      <c r="W395" s="35"/>
      <c r="X395" s="35"/>
      <c r="Y395" s="35"/>
      <c r="Z395" s="35"/>
      <c r="AA395" s="35"/>
      <c r="AB395" s="35"/>
      <c r="AC395" s="35"/>
    </row>
    <row r="396">
      <c r="A396" s="30">
        <v>2016.0</v>
      </c>
      <c r="B396" s="52">
        <v>2016.0</v>
      </c>
      <c r="C396" s="30" t="s">
        <v>45</v>
      </c>
      <c r="D396" s="55" t="s">
        <v>124</v>
      </c>
      <c r="E396" s="33">
        <v>79.0</v>
      </c>
      <c r="F396" s="35">
        <v>43.333333333333336</v>
      </c>
      <c r="G396" s="31">
        <v>256718.5</v>
      </c>
      <c r="H396" s="31">
        <f t="shared" si="1"/>
        <v>0.1687970806</v>
      </c>
      <c r="I396" s="54">
        <v>49.1</v>
      </c>
      <c r="J396" s="56">
        <v>16.44</v>
      </c>
      <c r="K396" s="62">
        <v>11867.0</v>
      </c>
      <c r="L396" s="46">
        <v>0.0</v>
      </c>
      <c r="M396" s="47">
        <v>141.065</v>
      </c>
      <c r="N396" s="48">
        <v>9.89</v>
      </c>
      <c r="O396" s="49">
        <v>4472.0</v>
      </c>
      <c r="P396" s="49">
        <v>241665.0</v>
      </c>
      <c r="Q396" s="51">
        <v>0.0</v>
      </c>
      <c r="R396" s="51">
        <v>0.0</v>
      </c>
      <c r="S396" s="51">
        <v>0.0</v>
      </c>
      <c r="T396" s="51">
        <v>0.0</v>
      </c>
      <c r="U396" s="51">
        <v>1.0</v>
      </c>
      <c r="V396" s="35"/>
      <c r="W396" s="35"/>
      <c r="X396" s="35"/>
      <c r="Y396" s="35"/>
      <c r="Z396" s="35"/>
      <c r="AA396" s="35"/>
      <c r="AB396" s="35"/>
      <c r="AC396" s="35"/>
    </row>
    <row r="397">
      <c r="A397" s="26" t="s">
        <v>37</v>
      </c>
      <c r="B397" s="52">
        <v>2002.0</v>
      </c>
      <c r="C397" s="30" t="s">
        <v>39</v>
      </c>
      <c r="D397" s="32" t="s">
        <v>125</v>
      </c>
      <c r="E397" s="33">
        <v>80.0</v>
      </c>
      <c r="F397" s="35">
        <v>378.4</v>
      </c>
      <c r="G397" s="31">
        <v>492127.0</v>
      </c>
      <c r="H397" s="31">
        <f t="shared" si="1"/>
        <v>0.768907213</v>
      </c>
      <c r="I397" s="42">
        <v>51.13</v>
      </c>
      <c r="J397" s="44">
        <v>2.38</v>
      </c>
      <c r="K397" s="61">
        <v>3048.72</v>
      </c>
      <c r="L397" s="46">
        <v>0.0</v>
      </c>
      <c r="M397" s="47">
        <v>1.475</v>
      </c>
      <c r="N397" s="48">
        <v>-4.19</v>
      </c>
      <c r="O397" s="49">
        <v>1007.0</v>
      </c>
      <c r="P397" s="49">
        <v>682919.0</v>
      </c>
      <c r="Q397" s="50">
        <v>1.0</v>
      </c>
      <c r="R397" s="51">
        <v>0.0</v>
      </c>
      <c r="S397" s="51">
        <v>0.0</v>
      </c>
      <c r="T397" s="51">
        <v>0.0</v>
      </c>
      <c r="U397" s="51">
        <v>0.0</v>
      </c>
      <c r="V397" s="35"/>
      <c r="W397" s="35"/>
      <c r="X397" s="35"/>
      <c r="Y397" s="35"/>
      <c r="Z397" s="35"/>
      <c r="AA397" s="35"/>
      <c r="AB397" s="35"/>
      <c r="AC397" s="35"/>
    </row>
    <row r="398">
      <c r="A398" s="30" t="s">
        <v>39</v>
      </c>
      <c r="B398" s="52">
        <v>2007.0</v>
      </c>
      <c r="C398" s="30" t="s">
        <v>41</v>
      </c>
      <c r="D398" s="32" t="s">
        <v>125</v>
      </c>
      <c r="E398" s="33">
        <v>80.0</v>
      </c>
      <c r="F398" s="35">
        <v>645.5</v>
      </c>
      <c r="G398" s="31">
        <v>478340.75</v>
      </c>
      <c r="H398" s="31">
        <f t="shared" si="1"/>
        <v>1.349456428</v>
      </c>
      <c r="I398" s="42">
        <v>62.43</v>
      </c>
      <c r="J398" s="53">
        <v>3.9</v>
      </c>
      <c r="K398" s="61">
        <v>3983.91</v>
      </c>
      <c r="L398" s="46">
        <v>0.0</v>
      </c>
      <c r="M398" s="47">
        <v>10.468</v>
      </c>
      <c r="N398" s="48">
        <v>-17.12</v>
      </c>
      <c r="O398" s="49">
        <v>1598.75</v>
      </c>
      <c r="P398" s="49">
        <v>492127.0</v>
      </c>
      <c r="Q398" s="51">
        <v>0.0</v>
      </c>
      <c r="R398" s="51">
        <v>1.0</v>
      </c>
      <c r="S398" s="51">
        <v>0.0</v>
      </c>
      <c r="T398" s="51">
        <v>0.0</v>
      </c>
      <c r="U398" s="51">
        <v>0.0</v>
      </c>
      <c r="V398" s="35"/>
      <c r="W398" s="35"/>
      <c r="X398" s="35"/>
      <c r="Y398" s="35"/>
      <c r="Z398" s="35"/>
      <c r="AA398" s="35"/>
      <c r="AB398" s="35"/>
      <c r="AC398" s="35"/>
    </row>
    <row r="399">
      <c r="A399" s="30" t="s">
        <v>41</v>
      </c>
      <c r="B399" s="52">
        <v>2011.0</v>
      </c>
      <c r="C399" s="30" t="s">
        <v>43</v>
      </c>
      <c r="D399" s="32" t="s">
        <v>125</v>
      </c>
      <c r="E399" s="33">
        <v>80.0</v>
      </c>
      <c r="F399" s="35">
        <v>394.0</v>
      </c>
      <c r="G399" s="31">
        <v>437355.5</v>
      </c>
      <c r="H399" s="31">
        <f t="shared" si="1"/>
        <v>0.9008689727</v>
      </c>
      <c r="I399" s="54">
        <v>66.4</v>
      </c>
      <c r="J399" s="53">
        <v>6.2</v>
      </c>
      <c r="K399" s="61">
        <v>6033.25</v>
      </c>
      <c r="L399" s="46">
        <v>0.0</v>
      </c>
      <c r="M399" s="47">
        <v>27.173</v>
      </c>
      <c r="N399" s="48">
        <v>-24.61</v>
      </c>
      <c r="O399" s="49">
        <v>2658.0</v>
      </c>
      <c r="P399" s="49">
        <v>478340.75</v>
      </c>
      <c r="Q399" s="51">
        <v>0.0</v>
      </c>
      <c r="R399" s="51">
        <v>0.0</v>
      </c>
      <c r="S399" s="51">
        <v>1.0</v>
      </c>
      <c r="T399" s="51">
        <v>0.0</v>
      </c>
      <c r="U399" s="51">
        <v>0.0</v>
      </c>
      <c r="V399" s="35"/>
      <c r="W399" s="35"/>
      <c r="X399" s="35"/>
      <c r="Y399" s="35"/>
      <c r="Z399" s="35"/>
      <c r="AA399" s="35"/>
      <c r="AB399" s="35"/>
      <c r="AC399" s="35"/>
    </row>
    <row r="400">
      <c r="A400" s="30" t="s">
        <v>43</v>
      </c>
      <c r="B400" s="52">
        <v>2015.0</v>
      </c>
      <c r="C400" s="30">
        <v>2016.0</v>
      </c>
      <c r="D400" s="55" t="s">
        <v>125</v>
      </c>
      <c r="E400" s="33">
        <v>80.0</v>
      </c>
      <c r="F400" s="35">
        <v>184.0</v>
      </c>
      <c r="G400" s="31">
        <v>421041.0</v>
      </c>
      <c r="H400" s="31">
        <f t="shared" si="1"/>
        <v>0.4370120725</v>
      </c>
      <c r="I400" s="54">
        <v>58.3</v>
      </c>
      <c r="J400" s="56">
        <v>9.44</v>
      </c>
      <c r="K400" s="61">
        <v>6975.25</v>
      </c>
      <c r="L400" s="46">
        <v>0.0</v>
      </c>
      <c r="M400" s="47">
        <v>50.319</v>
      </c>
      <c r="N400" s="48">
        <v>-23.65</v>
      </c>
      <c r="O400" s="49">
        <v>2531.75</v>
      </c>
      <c r="P400" s="49">
        <v>437355.5</v>
      </c>
      <c r="Q400" s="51">
        <v>0.0</v>
      </c>
      <c r="R400" s="51">
        <v>0.0</v>
      </c>
      <c r="S400" s="51">
        <v>0.0</v>
      </c>
      <c r="T400" s="51">
        <v>1.0</v>
      </c>
      <c r="U400" s="51">
        <v>0.0</v>
      </c>
      <c r="V400" s="35"/>
      <c r="W400" s="35"/>
      <c r="X400" s="35"/>
      <c r="Y400" s="35"/>
      <c r="Z400" s="35"/>
      <c r="AA400" s="35"/>
      <c r="AB400" s="35"/>
      <c r="AC400" s="35"/>
    </row>
    <row r="401">
      <c r="A401" s="30">
        <v>2016.0</v>
      </c>
      <c r="B401" s="52">
        <v>2016.0</v>
      </c>
      <c r="C401" s="30" t="s">
        <v>45</v>
      </c>
      <c r="D401" s="55" t="s">
        <v>125</v>
      </c>
      <c r="E401" s="33">
        <v>80.0</v>
      </c>
      <c r="F401" s="35">
        <v>116.0</v>
      </c>
      <c r="G401" s="31">
        <v>421815.5</v>
      </c>
      <c r="H401" s="31">
        <f t="shared" si="1"/>
        <v>0.2750017484</v>
      </c>
      <c r="I401" s="54">
        <v>64.8</v>
      </c>
      <c r="J401" s="56">
        <v>10.4</v>
      </c>
      <c r="K401" s="62">
        <v>6742.0</v>
      </c>
      <c r="L401" s="46">
        <v>0.0</v>
      </c>
      <c r="M401" s="47">
        <v>57.483</v>
      </c>
      <c r="N401" s="48">
        <v>-18.79</v>
      </c>
      <c r="O401" s="49">
        <v>3047.0</v>
      </c>
      <c r="P401" s="49">
        <v>421041.0</v>
      </c>
      <c r="Q401" s="51">
        <v>0.0</v>
      </c>
      <c r="R401" s="51">
        <v>0.0</v>
      </c>
      <c r="S401" s="51">
        <v>0.0</v>
      </c>
      <c r="T401" s="51">
        <v>0.0</v>
      </c>
      <c r="U401" s="51">
        <v>1.0</v>
      </c>
      <c r="V401" s="35"/>
      <c r="W401" s="35"/>
      <c r="X401" s="35"/>
      <c r="Y401" s="35"/>
      <c r="Z401" s="35"/>
      <c r="AA401" s="35"/>
      <c r="AB401" s="35"/>
      <c r="AC401" s="35"/>
    </row>
    <row r="402">
      <c r="A402" s="26" t="s">
        <v>37</v>
      </c>
      <c r="B402" s="52">
        <v>2002.0</v>
      </c>
      <c r="C402" s="30" t="s">
        <v>39</v>
      </c>
      <c r="D402" s="32" t="s">
        <v>126</v>
      </c>
      <c r="E402" s="33">
        <v>81.0</v>
      </c>
      <c r="F402" s="35">
        <v>186.0</v>
      </c>
      <c r="G402" s="31">
        <v>615890.0</v>
      </c>
      <c r="H402" s="31">
        <f t="shared" si="1"/>
        <v>0.3020019809</v>
      </c>
      <c r="I402" s="42">
        <v>30.53</v>
      </c>
      <c r="J402" s="44">
        <v>0.37</v>
      </c>
      <c r="K402" s="61">
        <v>3254.76</v>
      </c>
      <c r="L402" s="46">
        <v>0.0</v>
      </c>
      <c r="M402" s="47">
        <v>1.641</v>
      </c>
      <c r="N402" s="48">
        <v>-7.38</v>
      </c>
      <c r="O402" s="49">
        <v>1010.0</v>
      </c>
      <c r="P402" s="49">
        <v>615599.0</v>
      </c>
      <c r="Q402" s="50">
        <v>1.0</v>
      </c>
      <c r="R402" s="51">
        <v>0.0</v>
      </c>
      <c r="S402" s="51">
        <v>0.0</v>
      </c>
      <c r="T402" s="51">
        <v>0.0</v>
      </c>
      <c r="U402" s="51">
        <v>0.0</v>
      </c>
      <c r="V402" s="35"/>
      <c r="W402" s="35"/>
      <c r="X402" s="35"/>
      <c r="Y402" s="35"/>
      <c r="Z402" s="35"/>
      <c r="AA402" s="35"/>
      <c r="AB402" s="35"/>
      <c r="AC402" s="35"/>
    </row>
    <row r="403">
      <c r="A403" s="30" t="s">
        <v>39</v>
      </c>
      <c r="B403" s="52">
        <v>2007.0</v>
      </c>
      <c r="C403" s="30" t="s">
        <v>41</v>
      </c>
      <c r="D403" s="32" t="s">
        <v>126</v>
      </c>
      <c r="E403" s="33">
        <v>81.0</v>
      </c>
      <c r="F403" s="35">
        <v>78.0</v>
      </c>
      <c r="G403" s="31">
        <v>617768.0</v>
      </c>
      <c r="H403" s="31">
        <f t="shared" si="1"/>
        <v>0.1262609912</v>
      </c>
      <c r="I403" s="42">
        <v>41.02</v>
      </c>
      <c r="J403" s="53">
        <v>5.77</v>
      </c>
      <c r="K403" s="61">
        <v>4526.3</v>
      </c>
      <c r="L403" s="46">
        <v>1.0</v>
      </c>
      <c r="M403" s="47">
        <v>10.259</v>
      </c>
      <c r="N403" s="48">
        <v>-5.22</v>
      </c>
      <c r="O403" s="49">
        <v>1560.5</v>
      </c>
      <c r="P403" s="49">
        <v>615890.0</v>
      </c>
      <c r="Q403" s="51">
        <v>0.0</v>
      </c>
      <c r="R403" s="51">
        <v>1.0</v>
      </c>
      <c r="S403" s="51">
        <v>0.0</v>
      </c>
      <c r="T403" s="51">
        <v>0.0</v>
      </c>
      <c r="U403" s="51">
        <v>0.0</v>
      </c>
      <c r="V403" s="35"/>
      <c r="W403" s="35"/>
      <c r="X403" s="35"/>
      <c r="Y403" s="35"/>
      <c r="Z403" s="35"/>
      <c r="AA403" s="35"/>
      <c r="AB403" s="35"/>
      <c r="AC403" s="35"/>
    </row>
    <row r="404">
      <c r="A404" s="30" t="s">
        <v>41</v>
      </c>
      <c r="B404" s="52">
        <v>2011.0</v>
      </c>
      <c r="C404" s="30" t="s">
        <v>43</v>
      </c>
      <c r="D404" s="32" t="s">
        <v>126</v>
      </c>
      <c r="E404" s="33">
        <v>81.0</v>
      </c>
      <c r="F404" s="35">
        <v>367.75</v>
      </c>
      <c r="G404" s="31">
        <v>600699.25</v>
      </c>
      <c r="H404" s="31">
        <f t="shared" si="1"/>
        <v>0.6122031949</v>
      </c>
      <c r="I404" s="54">
        <v>47.2</v>
      </c>
      <c r="J404" s="53">
        <v>8.23</v>
      </c>
      <c r="K404" s="61">
        <v>6706.75</v>
      </c>
      <c r="L404" s="46">
        <v>0.0</v>
      </c>
      <c r="M404" s="47">
        <v>23.598</v>
      </c>
      <c r="N404" s="48">
        <v>-7.44</v>
      </c>
      <c r="O404" s="49">
        <v>2488.66666666667</v>
      </c>
      <c r="P404" s="49">
        <v>617768.0</v>
      </c>
      <c r="Q404" s="51">
        <v>0.0</v>
      </c>
      <c r="R404" s="51">
        <v>0.0</v>
      </c>
      <c r="S404" s="51">
        <v>1.0</v>
      </c>
      <c r="T404" s="51">
        <v>0.0</v>
      </c>
      <c r="U404" s="51">
        <v>0.0</v>
      </c>
      <c r="V404" s="35"/>
      <c r="W404" s="35"/>
      <c r="X404" s="35"/>
      <c r="Y404" s="35"/>
      <c r="Z404" s="35"/>
      <c r="AA404" s="35"/>
      <c r="AB404" s="35"/>
      <c r="AC404" s="35"/>
    </row>
    <row r="405">
      <c r="A405" s="30" t="s">
        <v>43</v>
      </c>
      <c r="B405" s="52">
        <v>2015.0</v>
      </c>
      <c r="C405" s="30">
        <v>2016.0</v>
      </c>
      <c r="D405" s="55" t="s">
        <v>126</v>
      </c>
      <c r="E405" s="33">
        <v>81.0</v>
      </c>
      <c r="F405" s="35">
        <v>1037.0</v>
      </c>
      <c r="G405" s="31">
        <v>597524.0</v>
      </c>
      <c r="H405" s="31">
        <f t="shared" si="1"/>
        <v>1.735495143</v>
      </c>
      <c r="I405" s="54">
        <v>38.0</v>
      </c>
      <c r="J405" s="56">
        <v>11.38</v>
      </c>
      <c r="K405" s="61">
        <v>8079.0</v>
      </c>
      <c r="L405" s="46">
        <v>0.0</v>
      </c>
      <c r="M405" s="47">
        <v>41.726</v>
      </c>
      <c r="N405" s="48">
        <v>-12.92</v>
      </c>
      <c r="O405" s="49">
        <v>2720.0</v>
      </c>
      <c r="P405" s="49">
        <v>600699.25</v>
      </c>
      <c r="Q405" s="51">
        <v>0.0</v>
      </c>
      <c r="R405" s="51">
        <v>0.0</v>
      </c>
      <c r="S405" s="51">
        <v>0.0</v>
      </c>
      <c r="T405" s="51">
        <v>1.0</v>
      </c>
      <c r="U405" s="51">
        <v>0.0</v>
      </c>
      <c r="V405" s="35"/>
      <c r="W405" s="35"/>
      <c r="X405" s="35"/>
      <c r="Y405" s="35"/>
      <c r="Z405" s="35"/>
      <c r="AA405" s="35"/>
      <c r="AB405" s="35"/>
      <c r="AC405" s="35"/>
    </row>
    <row r="406">
      <c r="A406" s="30">
        <v>2016.0</v>
      </c>
      <c r="B406" s="52">
        <v>2016.0</v>
      </c>
      <c r="C406" s="30" t="s">
        <v>45</v>
      </c>
      <c r="D406" s="55" t="s">
        <v>126</v>
      </c>
      <c r="E406" s="33">
        <v>81.0</v>
      </c>
      <c r="F406" s="35">
        <v>458.5</v>
      </c>
      <c r="G406" s="31">
        <v>598295.0</v>
      </c>
      <c r="H406" s="31">
        <f t="shared" si="1"/>
        <v>0.7663443619</v>
      </c>
      <c r="I406" s="54">
        <v>49.4</v>
      </c>
      <c r="J406" s="56">
        <v>12.01</v>
      </c>
      <c r="K406" s="62">
        <v>7631.0</v>
      </c>
      <c r="L406" s="46">
        <v>0.0</v>
      </c>
      <c r="M406" s="47">
        <v>46.576</v>
      </c>
      <c r="N406" s="48">
        <v>-7.54</v>
      </c>
      <c r="O406" s="49">
        <v>2497.0</v>
      </c>
      <c r="P406" s="49">
        <v>597524.0</v>
      </c>
      <c r="Q406" s="51">
        <v>0.0</v>
      </c>
      <c r="R406" s="51">
        <v>0.0</v>
      </c>
      <c r="S406" s="51">
        <v>0.0</v>
      </c>
      <c r="T406" s="51">
        <v>0.0</v>
      </c>
      <c r="U406" s="51">
        <v>1.0</v>
      </c>
      <c r="V406" s="35"/>
      <c r="W406" s="35"/>
      <c r="X406" s="35"/>
      <c r="Y406" s="35"/>
      <c r="Z406" s="35"/>
      <c r="AA406" s="35"/>
      <c r="AB406" s="35"/>
      <c r="AC406" s="35"/>
    </row>
  </sheetData>
  <autoFilter ref="$A$1:$P$406"/>
  <conditionalFormatting sqref="H1:H406">
    <cfRule type="cellIs" dxfId="0" priority="1" operator="greaterThan">
      <formula>2</formula>
    </cfRule>
  </conditionalFormatting>
  <conditionalFormatting sqref="H1:H406">
    <cfRule type="cellIs" dxfId="1" priority="2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71"/>
    <col customWidth="1" min="2" max="2" width="23.14"/>
  </cols>
  <sheetData>
    <row r="1">
      <c r="A1" s="1"/>
      <c r="B1" s="8"/>
      <c r="C1" s="10"/>
      <c r="D1" s="10"/>
      <c r="F1" s="18"/>
    </row>
    <row r="2">
      <c r="A2" s="1"/>
      <c r="B2" s="8"/>
      <c r="C2" s="10"/>
      <c r="D2" s="10"/>
      <c r="F2" s="18"/>
    </row>
    <row r="3">
      <c r="A3" s="1"/>
      <c r="B3" s="8"/>
      <c r="C3" s="10"/>
      <c r="D3" s="10"/>
      <c r="F3" s="18"/>
    </row>
    <row r="4">
      <c r="A4" s="1"/>
      <c r="B4" s="8"/>
      <c r="C4" s="10"/>
      <c r="D4" s="10"/>
      <c r="F4" s="18"/>
    </row>
    <row r="5">
      <c r="A5" s="1"/>
      <c r="B5" s="8"/>
      <c r="C5" s="10"/>
      <c r="D5" s="10"/>
      <c r="F5" s="18"/>
    </row>
    <row r="6">
      <c r="A6" s="1"/>
      <c r="B6" s="8"/>
      <c r="C6" s="10"/>
      <c r="D6" s="10"/>
      <c r="F6" s="18"/>
    </row>
    <row r="7">
      <c r="A7" s="1"/>
      <c r="B7" s="8"/>
      <c r="C7" s="10"/>
      <c r="D7" s="10"/>
      <c r="F7" s="27"/>
    </row>
    <row r="8">
      <c r="A8" s="1"/>
      <c r="B8" s="8"/>
      <c r="C8" s="10"/>
      <c r="D8" s="10"/>
      <c r="F8" s="18"/>
    </row>
    <row r="9">
      <c r="A9" s="1"/>
      <c r="B9" s="8"/>
      <c r="C9" s="10"/>
      <c r="D9" s="10"/>
      <c r="F9" s="18"/>
    </row>
    <row r="10">
      <c r="A10" s="1"/>
      <c r="B10" s="8"/>
      <c r="C10" s="10"/>
      <c r="D10" s="10"/>
      <c r="F10" s="18"/>
    </row>
    <row r="11">
      <c r="A11" s="1"/>
      <c r="B11" s="8"/>
      <c r="C11" s="10"/>
      <c r="D11" s="10"/>
      <c r="F11" s="18"/>
    </row>
    <row r="12">
      <c r="A12" s="1"/>
      <c r="B12" s="8"/>
      <c r="C12" s="10"/>
      <c r="D12" s="10"/>
      <c r="F12" s="18"/>
    </row>
    <row r="13">
      <c r="A13" s="1"/>
      <c r="B13" s="8"/>
      <c r="C13" s="10"/>
      <c r="D13" s="10"/>
      <c r="F13" s="18"/>
    </row>
    <row r="14">
      <c r="A14" s="12" t="s">
        <v>7</v>
      </c>
      <c r="B14" s="12" t="s">
        <v>10</v>
      </c>
      <c r="C14" s="10"/>
      <c r="D14" s="10"/>
      <c r="F14" s="18"/>
    </row>
    <row r="15">
      <c r="A15" s="31">
        <v>2006650.0</v>
      </c>
      <c r="B15" s="31">
        <v>0.8954227194578028</v>
      </c>
      <c r="C15" s="10"/>
      <c r="D15" s="10"/>
      <c r="F15" s="18"/>
    </row>
    <row r="16">
      <c r="A16" s="31">
        <v>2070643.75</v>
      </c>
      <c r="B16" s="31">
        <v>0.30352879388354465</v>
      </c>
      <c r="C16" s="10"/>
      <c r="D16" s="10"/>
      <c r="F16" s="18"/>
    </row>
    <row r="17">
      <c r="A17" s="31">
        <v>2155914.25</v>
      </c>
      <c r="B17" s="31">
        <v>0.39148124745685037</v>
      </c>
      <c r="C17" s="10"/>
      <c r="D17" s="10"/>
      <c r="F17" s="18"/>
    </row>
    <row r="18">
      <c r="A18" s="31">
        <v>2201670.0</v>
      </c>
      <c r="B18" s="31">
        <v>1.4043884869212915</v>
      </c>
      <c r="C18" s="10"/>
      <c r="D18" s="10"/>
      <c r="F18" s="18"/>
    </row>
    <row r="19">
      <c r="A19" s="31">
        <v>2218300.0</v>
      </c>
      <c r="B19" s="31">
        <v>0.3493666321056665</v>
      </c>
      <c r="C19" s="10"/>
      <c r="D19" s="10"/>
      <c r="F19" s="18"/>
    </row>
    <row r="20">
      <c r="A20" s="31">
        <v>582762.0</v>
      </c>
      <c r="B20" s="31">
        <v>0.4585062169461976</v>
      </c>
      <c r="C20" s="10"/>
      <c r="D20" s="10"/>
      <c r="F20" s="18"/>
    </row>
    <row r="21">
      <c r="A21" s="31">
        <v>589602.0</v>
      </c>
      <c r="B21" s="31">
        <v>0.6122774346084308</v>
      </c>
      <c r="C21" s="10"/>
      <c r="D21" s="10"/>
      <c r="F21" s="18"/>
    </row>
    <row r="22">
      <c r="A22" s="31">
        <v>598263.5</v>
      </c>
      <c r="B22" s="31">
        <v>0.34892651816465486</v>
      </c>
      <c r="C22" s="10"/>
      <c r="D22" s="10"/>
      <c r="F22" s="18"/>
    </row>
    <row r="23">
      <c r="A23" s="31">
        <v>610484.0</v>
      </c>
      <c r="B23" s="31">
        <v>0.41278723111498417</v>
      </c>
      <c r="C23" s="10"/>
      <c r="D23" s="10"/>
      <c r="F23" s="18"/>
    </row>
    <row r="24">
      <c r="A24" s="31">
        <v>619794.5</v>
      </c>
      <c r="B24" s="31">
        <v>0.08873909013390728</v>
      </c>
      <c r="C24" s="10"/>
      <c r="D24" s="10"/>
      <c r="F24" s="18"/>
    </row>
    <row r="25">
      <c r="A25" s="31">
        <v>701572.0</v>
      </c>
      <c r="B25" s="31">
        <v>0.6471181860165457</v>
      </c>
      <c r="C25" s="10"/>
      <c r="D25" s="10"/>
      <c r="F25" s="18"/>
    </row>
    <row r="26">
      <c r="A26" s="31">
        <v>698719.0</v>
      </c>
      <c r="B26" s="31">
        <v>0.6222100730050277</v>
      </c>
      <c r="C26" s="10"/>
      <c r="D26" s="10"/>
      <c r="F26" s="18"/>
    </row>
    <row r="27">
      <c r="A27" s="31">
        <v>706614.25</v>
      </c>
      <c r="B27" s="31">
        <v>0.3502618295625937</v>
      </c>
      <c r="C27" s="10"/>
      <c r="D27" s="10"/>
      <c r="F27" s="18"/>
    </row>
    <row r="28">
      <c r="A28" s="31">
        <v>714523.0</v>
      </c>
      <c r="B28" s="31">
        <v>2.899836674256812</v>
      </c>
      <c r="C28" s="10"/>
      <c r="D28" s="10"/>
      <c r="F28" s="18"/>
    </row>
    <row r="29">
      <c r="A29" s="31">
        <v>720630.5</v>
      </c>
      <c r="B29" s="31">
        <v>1.0941807209103696</v>
      </c>
      <c r="C29" s="10"/>
      <c r="D29" s="10"/>
      <c r="F29" s="18"/>
    </row>
    <row r="30">
      <c r="A30" s="31">
        <v>530879.0</v>
      </c>
      <c r="B30" s="31">
        <v>0.08627201301991602</v>
      </c>
      <c r="C30" s="10"/>
      <c r="D30" s="10"/>
      <c r="F30" s="18"/>
    </row>
    <row r="31">
      <c r="A31" s="31">
        <v>541836.5</v>
      </c>
      <c r="B31" s="31">
        <v>1.160405399045653</v>
      </c>
      <c r="C31" s="10"/>
      <c r="D31" s="10"/>
      <c r="F31" s="18"/>
    </row>
    <row r="32">
      <c r="A32" s="31">
        <v>550056.5</v>
      </c>
      <c r="B32" s="31">
        <v>0.050903861694207776</v>
      </c>
      <c r="C32" s="10"/>
      <c r="D32" s="10"/>
      <c r="F32" s="18"/>
    </row>
    <row r="33">
      <c r="A33" s="31">
        <v>542255.0</v>
      </c>
      <c r="B33" s="31">
        <v>0.0</v>
      </c>
      <c r="C33" s="10"/>
      <c r="D33" s="10"/>
      <c r="F33" s="18"/>
    </row>
    <row r="34">
      <c r="A34" s="31">
        <v>537971.0</v>
      </c>
      <c r="B34" s="31">
        <v>0.0</v>
      </c>
      <c r="C34" s="10"/>
      <c r="D34" s="10"/>
      <c r="F34" s="18"/>
    </row>
    <row r="35">
      <c r="A35" s="31">
        <v>366109.0</v>
      </c>
      <c r="B35" s="31">
        <v>0.5167859845018833</v>
      </c>
      <c r="C35" s="10"/>
      <c r="D35" s="10"/>
      <c r="F35" s="18"/>
    </row>
    <row r="36">
      <c r="A36" s="31">
        <v>375958.25</v>
      </c>
      <c r="B36" s="31">
        <v>0.9056856712148224</v>
      </c>
      <c r="C36" s="10"/>
      <c r="D36" s="10"/>
      <c r="F36" s="18"/>
    </row>
    <row r="37">
      <c r="A37" s="31">
        <v>383371.75</v>
      </c>
      <c r="B37" s="31">
        <v>0.612982046799223</v>
      </c>
      <c r="C37" s="10"/>
      <c r="D37" s="10"/>
      <c r="F37" s="18"/>
    </row>
    <row r="38">
      <c r="A38" s="31">
        <v>396673.0</v>
      </c>
      <c r="B38" s="31">
        <v>2.742813350038949</v>
      </c>
      <c r="C38" s="10"/>
      <c r="D38" s="10"/>
      <c r="F38" s="18"/>
    </row>
    <row r="39">
      <c r="A39" s="31">
        <v>407288.0</v>
      </c>
      <c r="B39" s="31">
        <v>0.0</v>
      </c>
      <c r="C39" s="10"/>
      <c r="D39" s="10"/>
      <c r="F39" s="18"/>
    </row>
    <row r="40">
      <c r="A40" s="31">
        <v>328674.0</v>
      </c>
      <c r="B40" s="31">
        <v>0.6450160341249992</v>
      </c>
      <c r="C40" s="10"/>
      <c r="D40" s="10"/>
      <c r="F40" s="37"/>
    </row>
    <row r="41">
      <c r="A41" s="31">
        <v>326452.0</v>
      </c>
      <c r="B41" s="31">
        <v>0.6218372073076593</v>
      </c>
      <c r="C41" s="10"/>
      <c r="D41" s="10"/>
      <c r="F41" s="27"/>
    </row>
    <row r="42">
      <c r="A42" s="31">
        <v>322085.0</v>
      </c>
      <c r="B42" s="31">
        <v>1.2395796140770294</v>
      </c>
      <c r="C42" s="10"/>
      <c r="D42" s="10"/>
      <c r="F42" s="18"/>
    </row>
    <row r="43">
      <c r="A43" s="31">
        <v>326351.0</v>
      </c>
      <c r="B43" s="31">
        <v>3.1285333888972304</v>
      </c>
      <c r="C43" s="10"/>
      <c r="D43" s="10"/>
      <c r="F43" s="18"/>
    </row>
    <row r="44">
      <c r="A44" s="31">
        <v>333698.0</v>
      </c>
      <c r="B44" s="31">
        <v>0.3551115080102368</v>
      </c>
      <c r="C44" s="10"/>
      <c r="D44" s="10"/>
      <c r="F44" s="18"/>
    </row>
    <row r="45">
      <c r="A45" s="31">
        <v>4466756.0</v>
      </c>
      <c r="B45" s="31">
        <v>1.3483163172557444</v>
      </c>
      <c r="C45" s="10"/>
      <c r="D45" s="10"/>
      <c r="F45" s="18"/>
    </row>
    <row r="46">
      <c r="A46" s="31">
        <v>4715587.5</v>
      </c>
      <c r="B46" s="31">
        <v>1.6325113254711103</v>
      </c>
      <c r="C46" s="10"/>
      <c r="D46" s="10"/>
      <c r="F46" s="18"/>
    </row>
    <row r="47">
      <c r="A47" s="31">
        <v>5107818.0</v>
      </c>
      <c r="B47" s="31">
        <v>0.6063743853050363</v>
      </c>
      <c r="C47" s="10"/>
      <c r="D47" s="10"/>
      <c r="F47" s="18"/>
    </row>
    <row r="48">
      <c r="A48" s="31">
        <v>5346518.0</v>
      </c>
      <c r="B48" s="31">
        <v>1.9238689554584871</v>
      </c>
      <c r="C48" s="10"/>
      <c r="D48" s="10"/>
      <c r="F48" s="18"/>
    </row>
    <row r="49">
      <c r="A49" s="31">
        <v>5474505.5</v>
      </c>
      <c r="B49" s="31">
        <v>0.2701613871791708</v>
      </c>
      <c r="C49" s="10"/>
      <c r="D49" s="10"/>
      <c r="F49" s="18"/>
    </row>
    <row r="50">
      <c r="A50" s="31">
        <v>1789295.0</v>
      </c>
      <c r="B50" s="31">
        <v>0.1497796618221143</v>
      </c>
      <c r="C50" s="10"/>
      <c r="D50" s="10"/>
      <c r="F50" s="18"/>
    </row>
    <row r="51">
      <c r="A51" s="31">
        <v>1950204.75</v>
      </c>
      <c r="B51" s="31">
        <v>0.2692025029679576</v>
      </c>
      <c r="C51" s="10"/>
      <c r="D51" s="10"/>
      <c r="F51" s="18"/>
    </row>
    <row r="52">
      <c r="A52" s="31">
        <v>2190455.0</v>
      </c>
      <c r="B52" s="31">
        <v>0.0</v>
      </c>
      <c r="C52" s="10"/>
      <c r="D52" s="10"/>
      <c r="F52" s="18"/>
    </row>
    <row r="53">
      <c r="A53" s="31">
        <v>2328555.0</v>
      </c>
      <c r="B53" s="31">
        <v>0.17564541099523096</v>
      </c>
      <c r="C53" s="10"/>
      <c r="D53" s="10"/>
      <c r="F53" s="18"/>
    </row>
    <row r="54">
      <c r="A54" s="31">
        <v>2395376.0</v>
      </c>
      <c r="B54" s="31">
        <v>0.0</v>
      </c>
      <c r="C54" s="10"/>
      <c r="D54" s="10"/>
      <c r="F54" s="18"/>
    </row>
    <row r="55">
      <c r="A55" s="31">
        <v>112721.0</v>
      </c>
      <c r="B55" s="31">
        <v>0.0</v>
      </c>
      <c r="C55" s="10"/>
      <c r="D55" s="10"/>
      <c r="F55" s="18"/>
    </row>
    <row r="56">
      <c r="A56" s="31">
        <v>108330.0</v>
      </c>
      <c r="B56" s="31">
        <v>1.966214345056771</v>
      </c>
      <c r="C56" s="10"/>
      <c r="D56" s="10"/>
      <c r="F56" s="18"/>
    </row>
    <row r="57">
      <c r="A57" s="31">
        <v>102374.75</v>
      </c>
      <c r="B57" s="31">
        <v>0.7667906392933804</v>
      </c>
      <c r="C57" s="10"/>
      <c r="D57" s="10"/>
      <c r="F57" s="18"/>
    </row>
    <row r="58">
      <c r="A58" s="31">
        <v>98335.0</v>
      </c>
      <c r="B58" s="31">
        <v>0.9355773630955407</v>
      </c>
      <c r="C58" s="10"/>
      <c r="D58" s="10"/>
      <c r="F58" s="18"/>
    </row>
    <row r="59">
      <c r="A59" s="31">
        <v>98001.5</v>
      </c>
      <c r="B59" s="31">
        <v>0.0</v>
      </c>
      <c r="C59" s="10"/>
      <c r="D59" s="10"/>
      <c r="F59" s="18"/>
    </row>
    <row r="60">
      <c r="A60" s="31">
        <v>168092.0</v>
      </c>
      <c r="B60" s="31">
        <v>0.0</v>
      </c>
      <c r="C60" s="10"/>
      <c r="D60" s="10"/>
      <c r="F60" s="18"/>
    </row>
    <row r="61">
      <c r="A61" s="31">
        <v>165829.25</v>
      </c>
      <c r="B61" s="31">
        <v>0.04824239390819171</v>
      </c>
      <c r="C61" s="10"/>
      <c r="D61" s="10"/>
      <c r="F61" s="18"/>
    </row>
    <row r="62">
      <c r="A62" s="31">
        <v>168615.0</v>
      </c>
      <c r="B62" s="31">
        <v>0.0</v>
      </c>
      <c r="C62" s="10"/>
      <c r="D62" s="10"/>
      <c r="F62" s="18"/>
    </row>
    <row r="63">
      <c r="A63" s="31">
        <v>168068.0</v>
      </c>
      <c r="B63" s="31">
        <v>0.0</v>
      </c>
      <c r="C63" s="10"/>
      <c r="D63" s="10"/>
      <c r="F63" s="18"/>
    </row>
    <row r="64">
      <c r="A64" s="31">
        <v>170076.5</v>
      </c>
      <c r="B64" s="31">
        <v>0.2263687223102545</v>
      </c>
      <c r="C64" s="10"/>
      <c r="D64" s="10"/>
      <c r="F64" s="18"/>
    </row>
    <row r="65">
      <c r="A65" s="31">
        <v>946971.0</v>
      </c>
      <c r="B65" s="31">
        <v>0.22471649079010866</v>
      </c>
      <c r="C65" s="10"/>
      <c r="D65" s="10"/>
      <c r="F65" s="18"/>
    </row>
    <row r="66">
      <c r="A66" s="31">
        <v>983420.0</v>
      </c>
      <c r="B66" s="31">
        <v>0.03559008358585345</v>
      </c>
      <c r="C66" s="10"/>
      <c r="D66" s="10"/>
      <c r="F66" s="18"/>
    </row>
    <row r="67">
      <c r="A67" s="31">
        <v>1030745.75</v>
      </c>
      <c r="B67" s="31">
        <v>0.0</v>
      </c>
      <c r="C67" s="10"/>
      <c r="D67" s="10"/>
      <c r="F67" s="18"/>
    </row>
    <row r="68">
      <c r="A68" s="31">
        <v>1068260.0</v>
      </c>
      <c r="B68" s="31">
        <v>0.16569000056166103</v>
      </c>
      <c r="C68" s="10"/>
      <c r="D68" s="10"/>
      <c r="F68" s="18"/>
    </row>
    <row r="69">
      <c r="A69" s="31">
        <v>1089292.5</v>
      </c>
      <c r="B69" s="31">
        <v>0.0</v>
      </c>
      <c r="C69" s="10"/>
      <c r="D69" s="10"/>
      <c r="F69" s="18"/>
    </row>
    <row r="70">
      <c r="A70" s="31">
        <v>1118313.0</v>
      </c>
      <c r="B70" s="31">
        <v>0.7933378222376025</v>
      </c>
      <c r="C70" s="10"/>
      <c r="D70" s="10"/>
      <c r="F70" s="18"/>
    </row>
    <row r="71">
      <c r="A71" s="31">
        <v>1144249.5</v>
      </c>
      <c r="B71" s="31">
        <v>0.18352640748368254</v>
      </c>
      <c r="C71" s="10"/>
      <c r="D71" s="10"/>
      <c r="F71" s="18"/>
    </row>
    <row r="72">
      <c r="A72" s="31">
        <v>1174809.25</v>
      </c>
      <c r="B72" s="31">
        <v>0.17449641292831156</v>
      </c>
      <c r="C72" s="10"/>
      <c r="D72" s="10"/>
      <c r="F72" s="18"/>
    </row>
    <row r="73">
      <c r="A73" s="31">
        <v>1196176.0</v>
      </c>
      <c r="B73" s="31">
        <v>0.6520779550835328</v>
      </c>
      <c r="C73" s="10"/>
      <c r="D73" s="10"/>
      <c r="F73" s="18"/>
    </row>
    <row r="74">
      <c r="A74" s="31">
        <v>1215699.5</v>
      </c>
      <c r="B74" s="31">
        <v>0.045241443300749896</v>
      </c>
      <c r="C74" s="10"/>
      <c r="D74" s="10"/>
      <c r="F74" s="18"/>
    </row>
    <row r="75">
      <c r="A75" s="31">
        <v>182131.0</v>
      </c>
      <c r="B75" s="31">
        <v>0.7664812689767255</v>
      </c>
      <c r="C75" s="10"/>
      <c r="D75" s="10"/>
      <c r="F75" s="18"/>
    </row>
    <row r="76">
      <c r="A76" s="31">
        <v>187216.5</v>
      </c>
      <c r="B76" s="31">
        <v>0.25638765813910636</v>
      </c>
      <c r="C76" s="10"/>
      <c r="D76" s="10"/>
      <c r="F76" s="18"/>
    </row>
    <row r="77">
      <c r="A77" s="31">
        <v>189422.0</v>
      </c>
      <c r="B77" s="31">
        <v>0.0</v>
      </c>
      <c r="C77" s="10"/>
      <c r="D77" s="10"/>
      <c r="F77" s="18"/>
    </row>
    <row r="78">
      <c r="A78" s="31">
        <v>192389.0</v>
      </c>
      <c r="B78" s="31">
        <v>0.0</v>
      </c>
      <c r="C78" s="10"/>
      <c r="D78" s="10"/>
      <c r="F78" s="18"/>
    </row>
    <row r="79">
      <c r="A79" s="31">
        <v>196288.0</v>
      </c>
      <c r="B79" s="31">
        <v>0.8151287903488751</v>
      </c>
      <c r="C79" s="10"/>
      <c r="D79" s="10"/>
      <c r="F79" s="18"/>
    </row>
    <row r="80">
      <c r="A80" s="31">
        <v>472487.0</v>
      </c>
      <c r="B80" s="31">
        <v>0.5917623130371841</v>
      </c>
      <c r="C80" s="10"/>
      <c r="D80" s="10"/>
      <c r="F80" s="18"/>
    </row>
    <row r="81">
      <c r="A81" s="31">
        <v>504578.25</v>
      </c>
      <c r="B81" s="31">
        <v>0.36961561462468906</v>
      </c>
      <c r="C81" s="10"/>
      <c r="D81" s="10"/>
      <c r="F81" s="18"/>
    </row>
    <row r="82">
      <c r="A82" s="31">
        <v>551503.0</v>
      </c>
      <c r="B82" s="31">
        <v>0.7683548412247985</v>
      </c>
    </row>
    <row r="83">
      <c r="A83" s="31">
        <v>576899.0</v>
      </c>
      <c r="B83" s="31">
        <v>0.5546898157216428</v>
      </c>
    </row>
    <row r="84">
      <c r="A84" s="31">
        <v>592177.5</v>
      </c>
      <c r="B84" s="31">
        <v>0.32929315956786603</v>
      </c>
    </row>
    <row r="85">
      <c r="A85" s="31">
        <v>76609.0</v>
      </c>
      <c r="B85" s="31">
        <v>0.428148128809931</v>
      </c>
    </row>
    <row r="86">
      <c r="A86" s="31">
        <v>75380.25</v>
      </c>
      <c r="B86" s="31">
        <v>1.392937805326992</v>
      </c>
    </row>
    <row r="87">
      <c r="A87" s="31">
        <v>77643.5</v>
      </c>
      <c r="B87" s="31">
        <v>0.19319067275431942</v>
      </c>
    </row>
    <row r="88">
      <c r="A88" s="31">
        <v>90154.0</v>
      </c>
      <c r="B88" s="31">
        <v>0.0</v>
      </c>
    </row>
    <row r="89">
      <c r="A89" s="31">
        <v>81345.5</v>
      </c>
      <c r="B89" s="31">
        <v>0.0</v>
      </c>
    </row>
    <row r="90">
      <c r="A90" s="31">
        <v>203777.0</v>
      </c>
      <c r="B90" s="31">
        <v>1.3073114237622498</v>
      </c>
    </row>
    <row r="91">
      <c r="A91" s="31">
        <v>206115.0</v>
      </c>
      <c r="B91" s="31">
        <v>0.2183247216359799</v>
      </c>
    </row>
    <row r="92">
      <c r="A92" s="31">
        <v>208822.5</v>
      </c>
      <c r="B92" s="31">
        <v>0.8667648361646854</v>
      </c>
    </row>
    <row r="93">
      <c r="A93" s="31">
        <v>218297.0</v>
      </c>
      <c r="B93" s="31">
        <v>0.0</v>
      </c>
    </row>
    <row r="94">
      <c r="A94" s="31">
        <v>222570.5</v>
      </c>
      <c r="B94" s="31">
        <v>0.22464792054652347</v>
      </c>
    </row>
    <row r="95">
      <c r="A95" s="31">
        <v>251552.0</v>
      </c>
      <c r="B95" s="31">
        <v>0.9922401730059789</v>
      </c>
    </row>
    <row r="96">
      <c r="A96" s="31">
        <v>257317.25</v>
      </c>
      <c r="B96" s="31">
        <v>0.9521320471130482</v>
      </c>
    </row>
    <row r="97">
      <c r="A97" s="31">
        <v>265306.0</v>
      </c>
      <c r="B97" s="31">
        <v>1.9251355039086941</v>
      </c>
    </row>
    <row r="98">
      <c r="A98" s="31">
        <v>269560.0</v>
      </c>
      <c r="B98" s="31">
        <v>0.0</v>
      </c>
    </row>
    <row r="99">
      <c r="A99" s="31">
        <v>277279.5</v>
      </c>
      <c r="B99" s="31">
        <v>0.0</v>
      </c>
    </row>
    <row r="100">
      <c r="A100" s="31">
        <v>327886.0</v>
      </c>
      <c r="B100" s="31">
        <v>0.7100028668500638</v>
      </c>
    </row>
    <row r="101">
      <c r="A101" s="31">
        <v>330194.25</v>
      </c>
      <c r="B101" s="31">
        <v>0.7631871239429517</v>
      </c>
    </row>
    <row r="102">
      <c r="A102" s="31">
        <v>338220.25</v>
      </c>
      <c r="B102" s="31">
        <v>0.9239541393515025</v>
      </c>
    </row>
    <row r="103">
      <c r="A103" s="31">
        <v>341225.0</v>
      </c>
      <c r="B103" s="31">
        <v>0.0</v>
      </c>
    </row>
    <row r="104">
      <c r="A104" s="31">
        <v>345435.0</v>
      </c>
      <c r="B104" s="31">
        <v>0.0</v>
      </c>
    </row>
    <row r="105">
      <c r="A105" s="31">
        <v>270417.0</v>
      </c>
      <c r="B105" s="31">
        <v>1.6330334261529416</v>
      </c>
    </row>
    <row r="106">
      <c r="A106" s="31">
        <v>272035.25</v>
      </c>
      <c r="B106" s="31">
        <v>0.9906804357155921</v>
      </c>
    </row>
    <row r="107">
      <c r="A107" s="31">
        <v>285115.0</v>
      </c>
      <c r="B107" s="31">
        <v>0.933833716219771</v>
      </c>
    </row>
    <row r="108">
      <c r="A108" s="31">
        <v>299896.0</v>
      </c>
      <c r="B108" s="31">
        <v>1.2004161442633445</v>
      </c>
    </row>
    <row r="109">
      <c r="A109" s="31">
        <v>307497.0</v>
      </c>
      <c r="B109" s="31">
        <v>0.0</v>
      </c>
    </row>
    <row r="110">
      <c r="A110" s="31">
        <v>251181.0</v>
      </c>
      <c r="B110" s="31">
        <v>1.0892543623920599</v>
      </c>
    </row>
    <row r="111">
      <c r="A111" s="31">
        <v>252095.5</v>
      </c>
      <c r="B111" s="31">
        <v>0.19040403339210735</v>
      </c>
    </row>
    <row r="112">
      <c r="A112" s="31">
        <v>256711.25</v>
      </c>
      <c r="B112" s="31">
        <v>0.521987252214307</v>
      </c>
    </row>
    <row r="113">
      <c r="A113" s="31">
        <v>261401.0</v>
      </c>
      <c r="B113" s="31">
        <v>2.199685540606195</v>
      </c>
    </row>
    <row r="114">
      <c r="A114" s="31">
        <v>267352.5</v>
      </c>
      <c r="B114" s="31">
        <v>0.0</v>
      </c>
    </row>
    <row r="115">
      <c r="A115" s="31">
        <v>2439876.0</v>
      </c>
      <c r="B115" s="31">
        <v>0.5987189512909672</v>
      </c>
    </row>
    <row r="116">
      <c r="A116" s="31">
        <v>2579057.25</v>
      </c>
      <c r="B116" s="31">
        <v>0.9351285241923187</v>
      </c>
    </row>
    <row r="117">
      <c r="A117" s="31">
        <v>2764806.75</v>
      </c>
      <c r="B117" s="31">
        <v>0.15335610707692318</v>
      </c>
    </row>
    <row r="118">
      <c r="A118" s="31">
        <v>2901396.0</v>
      </c>
      <c r="B118" s="31">
        <v>0.4976914561128505</v>
      </c>
    </row>
    <row r="119">
      <c r="A119" s="31">
        <v>2965662.0</v>
      </c>
      <c r="B119" s="31">
        <v>0.0</v>
      </c>
    </row>
    <row r="120">
      <c r="A120" s="31">
        <v>476128.0</v>
      </c>
      <c r="B120" s="31">
        <v>0.24027152362389945</v>
      </c>
    </row>
    <row r="121">
      <c r="A121" s="31">
        <v>482342.0</v>
      </c>
      <c r="B121" s="31">
        <v>0.9500520377657347</v>
      </c>
    </row>
    <row r="122">
      <c r="A122" s="31">
        <v>505287.5</v>
      </c>
      <c r="B122" s="31">
        <v>0.12666056453009425</v>
      </c>
    </row>
    <row r="123">
      <c r="A123" s="31">
        <v>519793.0</v>
      </c>
      <c r="B123" s="31">
        <v>0.0</v>
      </c>
    </row>
    <row r="124">
      <c r="A124" s="31">
        <v>535539.5</v>
      </c>
      <c r="B124" s="31">
        <v>0.0</v>
      </c>
    </row>
    <row r="125">
      <c r="A125" s="31">
        <v>174012.0</v>
      </c>
      <c r="B125" s="31">
        <v>0.21952509022366273</v>
      </c>
    </row>
    <row r="126">
      <c r="A126" s="31">
        <v>179347.5</v>
      </c>
      <c r="B126" s="31">
        <v>1.8316396938903525</v>
      </c>
    </row>
    <row r="127">
      <c r="A127" s="31">
        <v>184952.5</v>
      </c>
      <c r="B127" s="31">
        <v>2.261391438342277</v>
      </c>
    </row>
    <row r="128">
      <c r="A128" s="31">
        <v>183880.0</v>
      </c>
      <c r="B128" s="31">
        <v>3.659995649336524</v>
      </c>
    </row>
    <row r="129">
      <c r="A129" s="31">
        <v>201218.0</v>
      </c>
      <c r="B129" s="31">
        <v>0.0</v>
      </c>
    </row>
    <row r="130">
      <c r="A130" s="31">
        <v>549828.0</v>
      </c>
      <c r="B130" s="31">
        <v>0.842445273794714</v>
      </c>
    </row>
    <row r="131">
      <c r="A131" s="31">
        <v>539032.75</v>
      </c>
      <c r="B131" s="31">
        <v>0.2745658774907462</v>
      </c>
    </row>
    <row r="132">
      <c r="A132" s="31">
        <v>528613.75</v>
      </c>
      <c r="B132" s="31">
        <v>0.4838126136522177</v>
      </c>
    </row>
    <row r="133">
      <c r="A133" s="31">
        <v>527863.0</v>
      </c>
      <c r="B133" s="31">
        <v>1.0192038464525834</v>
      </c>
    </row>
    <row r="134">
      <c r="A134" s="31">
        <v>532452.5</v>
      </c>
      <c r="B134" s="31">
        <v>0.0</v>
      </c>
    </row>
    <row r="135">
      <c r="A135" s="31">
        <v>907325.0</v>
      </c>
      <c r="B135" s="31">
        <v>0.6343923070564572</v>
      </c>
    </row>
    <row r="136">
      <c r="A136" s="31">
        <v>929574.75</v>
      </c>
      <c r="B136" s="31">
        <v>0.4620392281524428</v>
      </c>
    </row>
    <row r="137">
      <c r="A137" s="31">
        <v>971540.75</v>
      </c>
      <c r="B137" s="31">
        <v>0.2673588318348973</v>
      </c>
    </row>
    <row r="138">
      <c r="A138" s="31">
        <v>1005687.0</v>
      </c>
      <c r="B138" s="31">
        <v>0.0</v>
      </c>
    </row>
    <row r="139">
      <c r="A139" s="31">
        <v>1023258.5</v>
      </c>
      <c r="B139" s="31">
        <v>0.0</v>
      </c>
    </row>
    <row r="140">
      <c r="A140" s="31">
        <v>1460714.0</v>
      </c>
      <c r="B140" s="31">
        <v>0.7136236114667212</v>
      </c>
    </row>
    <row r="141">
      <c r="A141" s="31">
        <v>1526935.0</v>
      </c>
      <c r="B141" s="31">
        <v>0.7289111848245013</v>
      </c>
    </row>
    <row r="142">
      <c r="A142" s="31">
        <v>1622212.0</v>
      </c>
      <c r="B142" s="31">
        <v>0.061644224059494074</v>
      </c>
    </row>
    <row r="143">
      <c r="A143" s="31">
        <v>1673119.0</v>
      </c>
      <c r="B143" s="31">
        <v>1.3818503047302673</v>
      </c>
    </row>
    <row r="144">
      <c r="A144" s="31">
        <v>1716148.5</v>
      </c>
      <c r="B144" s="31">
        <v>0.0</v>
      </c>
    </row>
    <row r="145">
      <c r="A145" s="31">
        <v>323328.0</v>
      </c>
      <c r="B145" s="31">
        <v>2.218180918448139</v>
      </c>
    </row>
    <row r="146">
      <c r="A146" s="31">
        <v>336025.25</v>
      </c>
      <c r="B146" s="31">
        <v>0.33182030219455233</v>
      </c>
    </row>
    <row r="147">
      <c r="A147" s="31">
        <v>353484.75</v>
      </c>
      <c r="B147" s="31">
        <v>1.0057010946016767</v>
      </c>
    </row>
    <row r="148">
      <c r="A148" s="31">
        <v>370371.0</v>
      </c>
      <c r="B148" s="31">
        <v>0.0</v>
      </c>
    </row>
    <row r="149">
      <c r="A149" s="31">
        <v>382727.0</v>
      </c>
      <c r="B149" s="31">
        <v>0.12802859479472314</v>
      </c>
    </row>
    <row r="150">
      <c r="A150" s="31">
        <v>396462.0</v>
      </c>
      <c r="B150" s="31">
        <v>0.7466037098132986</v>
      </c>
    </row>
    <row r="151">
      <c r="A151" s="31">
        <v>394962.75</v>
      </c>
      <c r="B151" s="31">
        <v>1.862200929074957</v>
      </c>
    </row>
    <row r="152">
      <c r="A152" s="31">
        <v>400276.75</v>
      </c>
      <c r="B152" s="31">
        <v>0.32290159246071626</v>
      </c>
    </row>
    <row r="153">
      <c r="A153" s="31">
        <v>401701.0</v>
      </c>
      <c r="B153" s="31">
        <v>0.0</v>
      </c>
    </row>
    <row r="154">
      <c r="A154" s="31">
        <v>409191.5</v>
      </c>
      <c r="B154" s="31">
        <v>0.0</v>
      </c>
    </row>
    <row r="155">
      <c r="A155" s="31">
        <v>541258.0</v>
      </c>
      <c r="B155" s="31">
        <v>0.3650754353746273</v>
      </c>
    </row>
    <row r="156">
      <c r="A156" s="31">
        <v>552357.75</v>
      </c>
      <c r="B156" s="31">
        <v>2.4504046516953912</v>
      </c>
    </row>
    <row r="157">
      <c r="A157" s="31">
        <v>568499.75</v>
      </c>
      <c r="B157" s="31">
        <v>0.4001760774740886</v>
      </c>
    </row>
    <row r="158">
      <c r="A158" s="31">
        <v>578789.0</v>
      </c>
      <c r="B158" s="31">
        <v>0.66518195750092</v>
      </c>
    </row>
    <row r="159">
      <c r="A159" s="31">
        <v>589654.5</v>
      </c>
      <c r="B159" s="31">
        <v>1.1574574602585073</v>
      </c>
    </row>
    <row r="160">
      <c r="A160" s="31">
        <v>213538.0</v>
      </c>
      <c r="B160" s="31">
        <v>1.9359551929867285</v>
      </c>
    </row>
    <row r="161">
      <c r="A161" s="31">
        <v>216039.75</v>
      </c>
      <c r="B161" s="31">
        <v>2.2993453750987953</v>
      </c>
    </row>
    <row r="162">
      <c r="A162" s="31">
        <v>221108.25</v>
      </c>
      <c r="B162" s="31">
        <v>7.013532964057198</v>
      </c>
    </row>
    <row r="163">
      <c r="A163" s="31">
        <v>226032.0</v>
      </c>
      <c r="B163" s="31">
        <v>1.5573016210094146</v>
      </c>
    </row>
    <row r="164">
      <c r="A164" s="31">
        <v>233772.5</v>
      </c>
      <c r="B164" s="31">
        <v>0.6715931086847255</v>
      </c>
    </row>
    <row r="165">
      <c r="A165" s="31">
        <v>784941.0</v>
      </c>
      <c r="B165" s="31">
        <v>0.6848922403085073</v>
      </c>
    </row>
    <row r="166">
      <c r="A166" s="31">
        <v>774776.5</v>
      </c>
      <c r="B166" s="31">
        <v>0.7298879096100618</v>
      </c>
    </row>
    <row r="167">
      <c r="A167" s="31">
        <v>767641.25</v>
      </c>
      <c r="B167" s="31">
        <v>0.8744319042260952</v>
      </c>
    </row>
    <row r="168">
      <c r="A168" s="31">
        <v>762021.0</v>
      </c>
      <c r="B168" s="31">
        <v>2.9251162369540995</v>
      </c>
    </row>
    <row r="169">
      <c r="A169" s="31">
        <v>764162.0</v>
      </c>
      <c r="B169" s="31">
        <v>0.0</v>
      </c>
    </row>
    <row r="170">
      <c r="A170" s="31">
        <v>724849.0</v>
      </c>
      <c r="B170" s="31">
        <v>1.5305256681046673</v>
      </c>
    </row>
    <row r="171">
      <c r="A171" s="31">
        <v>760749.25</v>
      </c>
      <c r="B171" s="31">
        <v>1.1238920051515002</v>
      </c>
    </row>
    <row r="172">
      <c r="A172" s="31">
        <v>807127.5</v>
      </c>
      <c r="B172" s="31">
        <v>0.035620146755004634</v>
      </c>
    </row>
    <row r="173">
      <c r="A173" s="31">
        <v>844842.0</v>
      </c>
      <c r="B173" s="31">
        <v>0.5728881850097415</v>
      </c>
    </row>
    <row r="174">
      <c r="A174" s="31">
        <v>865903.5</v>
      </c>
      <c r="B174" s="31">
        <v>0.0</v>
      </c>
    </row>
    <row r="175">
      <c r="A175" s="31">
        <v>1560023.0</v>
      </c>
      <c r="B175" s="31">
        <v>0.8335774536657472</v>
      </c>
    </row>
    <row r="176">
      <c r="A176" s="31">
        <v>1680063.0</v>
      </c>
      <c r="B176" s="31">
        <v>0.4196271211258149</v>
      </c>
    </row>
    <row r="177">
      <c r="A177" s="31">
        <v>1866324.5</v>
      </c>
      <c r="B177" s="31">
        <v>0.8283661281840323</v>
      </c>
    </row>
    <row r="178">
      <c r="A178" s="31">
        <v>1974244.0</v>
      </c>
      <c r="B178" s="31">
        <v>2.3862298682432366</v>
      </c>
    </row>
    <row r="179">
      <c r="A179" s="31">
        <v>2017039.0</v>
      </c>
      <c r="B179" s="31">
        <v>0.12394405859281848</v>
      </c>
    </row>
    <row r="180">
      <c r="A180" s="31">
        <v>417505.0</v>
      </c>
      <c r="B180" s="31">
        <v>0.2759248392234824</v>
      </c>
    </row>
    <row r="181">
      <c r="A181" s="31">
        <v>420595.0</v>
      </c>
      <c r="B181" s="31">
        <v>0.2805549281375195</v>
      </c>
    </row>
    <row r="182">
      <c r="A182" s="31">
        <v>425308.0</v>
      </c>
      <c r="B182" s="31">
        <v>0.5760531191512974</v>
      </c>
    </row>
    <row r="183">
      <c r="A183" s="31">
        <v>444467.0</v>
      </c>
      <c r="B183" s="31">
        <v>0.7694609498567948</v>
      </c>
    </row>
    <row r="184">
      <c r="A184" s="31">
        <v>445652.5</v>
      </c>
      <c r="B184" s="31">
        <v>0.09199993268297608</v>
      </c>
    </row>
    <row r="185">
      <c r="A185" s="31">
        <v>130825.0</v>
      </c>
      <c r="B185" s="31">
        <v>1.3422510987961016</v>
      </c>
    </row>
    <row r="186">
      <c r="A186" s="31">
        <v>131083.75</v>
      </c>
      <c r="B186" s="31">
        <v>0.5988537862244557</v>
      </c>
    </row>
    <row r="187">
      <c r="A187" s="31">
        <v>143607.5</v>
      </c>
      <c r="B187" s="31">
        <v>0.14623191685671014</v>
      </c>
    </row>
    <row r="188">
      <c r="A188" s="31">
        <v>172034.0</v>
      </c>
      <c r="B188" s="31">
        <v>3.0691607472941396</v>
      </c>
    </row>
    <row r="189">
      <c r="A189" s="31">
        <v>166460.5</v>
      </c>
      <c r="B189" s="31">
        <v>0.0</v>
      </c>
    </row>
    <row r="190">
      <c r="A190" s="31">
        <v>246469.0</v>
      </c>
      <c r="B190" s="31">
        <v>0.12983377219853207</v>
      </c>
    </row>
    <row r="191">
      <c r="A191" s="31">
        <v>259704.5</v>
      </c>
      <c r="B191" s="31">
        <v>0.09818851810423</v>
      </c>
    </row>
    <row r="192">
      <c r="A192" s="31">
        <v>277021.25</v>
      </c>
      <c r="B192" s="31">
        <v>0.0</v>
      </c>
    </row>
    <row r="193">
      <c r="A193" s="31">
        <v>267813.0</v>
      </c>
      <c r="B193" s="31">
        <v>0.0</v>
      </c>
    </row>
    <row r="194">
      <c r="A194" s="31">
        <v>281115.5</v>
      </c>
      <c r="B194" s="31">
        <v>0.0</v>
      </c>
    </row>
    <row r="195">
      <c r="A195" s="31">
        <v>1386224.0</v>
      </c>
      <c r="B195" s="31">
        <v>0.1369187086646891</v>
      </c>
    </row>
    <row r="196">
      <c r="A196" s="31">
        <v>1454124.75</v>
      </c>
      <c r="B196" s="31">
        <v>0.4947993629845032</v>
      </c>
    </row>
    <row r="197">
      <c r="A197" s="31">
        <v>1510020.75</v>
      </c>
      <c r="B197" s="31">
        <v>0.06672093744407155</v>
      </c>
    </row>
    <row r="198">
      <c r="A198" s="31">
        <v>1555165.0</v>
      </c>
      <c r="B198" s="31">
        <v>1.5458166818311883</v>
      </c>
    </row>
    <row r="199">
      <c r="A199" s="31">
        <v>1592541.0</v>
      </c>
      <c r="B199" s="31">
        <v>0.12056204518439399</v>
      </c>
    </row>
    <row r="200">
      <c r="A200" s="31">
        <v>181866.0</v>
      </c>
      <c r="B200" s="31">
        <v>0.31671670350697767</v>
      </c>
    </row>
    <row r="201">
      <c r="A201" s="31">
        <v>185196.5</v>
      </c>
      <c r="B201" s="31">
        <v>0.4373732764928063</v>
      </c>
    </row>
    <row r="202">
      <c r="A202" s="31">
        <v>191331.0</v>
      </c>
      <c r="B202" s="31">
        <v>0.11237070835358619</v>
      </c>
    </row>
    <row r="203">
      <c r="A203" s="31">
        <v>192785.0</v>
      </c>
      <c r="B203" s="31">
        <v>0.0</v>
      </c>
    </row>
    <row r="204">
      <c r="A204" s="31">
        <v>196115.5</v>
      </c>
      <c r="B204" s="31">
        <v>0.0</v>
      </c>
    </row>
    <row r="205">
      <c r="A205" s="31">
        <v>419845.0</v>
      </c>
      <c r="B205" s="31">
        <v>0.737891364670295</v>
      </c>
    </row>
    <row r="206">
      <c r="A206" s="31">
        <v>421950.5</v>
      </c>
      <c r="B206" s="31">
        <v>0.962198172534456</v>
      </c>
    </row>
    <row r="207">
      <c r="A207" s="31">
        <v>418745.75</v>
      </c>
      <c r="B207" s="31">
        <v>0.2937343244677707</v>
      </c>
    </row>
    <row r="208">
      <c r="A208" s="31">
        <v>427324.0</v>
      </c>
      <c r="B208" s="31">
        <v>0.8073499265194559</v>
      </c>
    </row>
    <row r="209">
      <c r="A209" s="31">
        <v>437621.0</v>
      </c>
      <c r="B209" s="31">
        <v>0.43073801302953924</v>
      </c>
    </row>
    <row r="210">
      <c r="A210" s="31">
        <v>1.2573836E7</v>
      </c>
      <c r="B210" s="31">
        <v>0.39451763169171283</v>
      </c>
    </row>
    <row r="211">
      <c r="A211" s="31">
        <v>1.312306175E7</v>
      </c>
      <c r="B211" s="31">
        <v>0.4897104138064427</v>
      </c>
    </row>
    <row r="212">
      <c r="A212" s="31">
        <v>1.426241475E7</v>
      </c>
      <c r="B212" s="31">
        <v>0.10271752895140004</v>
      </c>
    </row>
    <row r="213">
      <c r="A213" s="31">
        <v>1.4804116E7</v>
      </c>
      <c r="B213" s="31">
        <v>0.051134427749687995</v>
      </c>
    </row>
    <row r="214">
      <c r="A214" s="31">
        <v>1.50484775E7</v>
      </c>
      <c r="B214" s="31">
        <v>0.1689871948840007</v>
      </c>
    </row>
    <row r="215">
      <c r="A215" s="31">
        <v>3739353.0</v>
      </c>
      <c r="B215" s="31">
        <v>0.37321964521669926</v>
      </c>
    </row>
    <row r="216">
      <c r="A216" s="31">
        <v>3894591.5</v>
      </c>
      <c r="B216" s="31">
        <v>0.15585716756173273</v>
      </c>
    </row>
    <row r="217">
      <c r="A217" s="31">
        <v>4087005.0</v>
      </c>
      <c r="B217" s="31">
        <v>0.09077551899251408</v>
      </c>
    </row>
    <row r="218">
      <c r="A218" s="31">
        <v>4223545.0</v>
      </c>
      <c r="B218" s="31">
        <v>0.2817538347525598</v>
      </c>
    </row>
    <row r="219">
      <c r="A219" s="58">
        <v>4300098.0</v>
      </c>
      <c r="B219" s="31">
        <v>0.16999612566969405</v>
      </c>
    </row>
    <row r="220">
      <c r="A220" s="31">
        <v>1004414.0</v>
      </c>
      <c r="B220" s="31">
        <v>0.15451795773455965</v>
      </c>
    </row>
    <row r="221">
      <c r="A221" s="31">
        <v>1041453.75</v>
      </c>
      <c r="B221" s="31">
        <v>0.31902520875266904</v>
      </c>
    </row>
    <row r="222">
      <c r="A222" s="31">
        <v>1081132.0</v>
      </c>
      <c r="B222" s="31">
        <v>0.0</v>
      </c>
    </row>
    <row r="223">
      <c r="A223" s="31">
        <v>1112634.0</v>
      </c>
      <c r="B223" s="31">
        <v>0.17076594819140886</v>
      </c>
    </row>
    <row r="224">
      <c r="A224" s="59">
        <v>1136237.0</v>
      </c>
      <c r="B224" s="31">
        <v>0.33663751488465876</v>
      </c>
    </row>
    <row r="225">
      <c r="A225" s="31">
        <v>218463.0</v>
      </c>
      <c r="B225" s="31">
        <v>1.1828089882497264</v>
      </c>
    </row>
    <row r="226">
      <c r="A226" s="31">
        <v>220537.5</v>
      </c>
      <c r="B226" s="31">
        <v>1.1199909312475202</v>
      </c>
    </row>
    <row r="227">
      <c r="A227" s="31">
        <v>230926.75</v>
      </c>
      <c r="B227" s="31">
        <v>1.778702553948384</v>
      </c>
    </row>
    <row r="228">
      <c r="A228" s="31">
        <v>242347.0</v>
      </c>
      <c r="B228" s="31">
        <v>3.428967554787144</v>
      </c>
    </row>
    <row r="229">
      <c r="A229" s="31">
        <v>246233.5</v>
      </c>
      <c r="B229" s="31">
        <v>2.32299829227136</v>
      </c>
    </row>
    <row r="230">
      <c r="A230" s="31">
        <v>226049.0</v>
      </c>
      <c r="B230" s="31">
        <v>0.6370300244637225</v>
      </c>
    </row>
    <row r="231">
      <c r="A231" s="31">
        <v>232163.75</v>
      </c>
      <c r="B231" s="31">
        <v>1.540938238635446</v>
      </c>
    </row>
    <row r="232">
      <c r="A232" s="31">
        <v>238980.25</v>
      </c>
      <c r="B232" s="31">
        <v>0.7667997669263464</v>
      </c>
    </row>
    <row r="233">
      <c r="A233" s="31">
        <v>245610.0</v>
      </c>
      <c r="B233" s="31">
        <v>7.902772688408453</v>
      </c>
    </row>
    <row r="234">
      <c r="A234" s="31">
        <v>249292.5</v>
      </c>
      <c r="B234" s="31">
        <v>0.0</v>
      </c>
    </row>
    <row r="235">
      <c r="A235" s="31">
        <v>312205.0</v>
      </c>
      <c r="B235" s="31">
        <v>0.6457295687128649</v>
      </c>
    </row>
    <row r="236">
      <c r="A236" s="31">
        <v>306546.25</v>
      </c>
      <c r="B236" s="31">
        <v>0.5480412825144656</v>
      </c>
    </row>
    <row r="237">
      <c r="A237" s="31">
        <v>298705.25</v>
      </c>
      <c r="B237" s="31">
        <v>0.8670754866210085</v>
      </c>
    </row>
    <row r="238">
      <c r="A238" s="31">
        <v>289786.0</v>
      </c>
      <c r="B238" s="31">
        <v>1.090459856583824</v>
      </c>
    </row>
    <row r="239">
      <c r="A239" s="31">
        <v>288266.0</v>
      </c>
      <c r="B239" s="31">
        <v>0.0</v>
      </c>
    </row>
    <row r="240">
      <c r="A240" s="31">
        <v>360366.0</v>
      </c>
      <c r="B240" s="31">
        <v>0.6793093688083781</v>
      </c>
    </row>
    <row r="241">
      <c r="A241" s="31">
        <v>360307.0</v>
      </c>
      <c r="B241" s="31">
        <v>0.3274984943395493</v>
      </c>
    </row>
    <row r="242">
      <c r="A242" s="31">
        <v>367360.25</v>
      </c>
      <c r="B242" s="31">
        <v>0.2878645689074961</v>
      </c>
    </row>
    <row r="243">
      <c r="A243" s="31">
        <v>376945.0</v>
      </c>
      <c r="B243" s="31">
        <v>0.6950616137632811</v>
      </c>
    </row>
    <row r="244">
      <c r="A244" s="31">
        <v>377873.0</v>
      </c>
      <c r="B244" s="31">
        <v>1.1577964024950183</v>
      </c>
    </row>
    <row r="245">
      <c r="A245" s="31">
        <v>1165088.0</v>
      </c>
      <c r="B245" s="31">
        <v>1.1566508280919552</v>
      </c>
    </row>
    <row r="246">
      <c r="A246" s="31">
        <v>1220064.5</v>
      </c>
      <c r="B246" s="31">
        <v>0.831513415889078</v>
      </c>
    </row>
    <row r="247">
      <c r="A247" s="31">
        <v>1308438.75</v>
      </c>
      <c r="B247" s="31">
        <v>0.5319316628309885</v>
      </c>
    </row>
    <row r="248">
      <c r="A248" s="31">
        <v>1358980.0</v>
      </c>
      <c r="B248" s="31">
        <v>2.3694241269187186</v>
      </c>
    </row>
    <row r="249">
      <c r="A249" s="31">
        <v>1383201.0</v>
      </c>
      <c r="B249" s="31">
        <v>0.3578655596692021</v>
      </c>
    </row>
    <row r="250">
      <c r="A250" s="58">
        <v>118457.0</v>
      </c>
      <c r="B250" s="31">
        <v>1.0805608786310645</v>
      </c>
    </row>
    <row r="251">
      <c r="A251" s="58">
        <v>122670.5</v>
      </c>
      <c r="B251" s="31">
        <v>0.5869381799210079</v>
      </c>
    </row>
    <row r="252">
      <c r="A252" s="58">
        <v>128085.5</v>
      </c>
      <c r="B252" s="31">
        <v>0.0</v>
      </c>
    </row>
    <row r="253">
      <c r="A253" s="58">
        <v>130825.0</v>
      </c>
      <c r="B253" s="31">
        <v>0.0</v>
      </c>
    </row>
    <row r="254">
      <c r="A254" s="58">
        <v>139430.0</v>
      </c>
      <c r="B254" s="31">
        <v>0.0</v>
      </c>
    </row>
    <row r="255">
      <c r="A255" s="58">
        <v>280234.0</v>
      </c>
      <c r="B255" s="31">
        <v>1.2889228287788064</v>
      </c>
    </row>
    <row r="256">
      <c r="A256" s="58">
        <v>277949.5</v>
      </c>
      <c r="B256" s="31">
        <v>0.9120361792339975</v>
      </c>
    </row>
    <row r="257">
      <c r="A257" s="58">
        <v>272687.0</v>
      </c>
      <c r="B257" s="31">
        <v>0.22003249146457293</v>
      </c>
    </row>
    <row r="258">
      <c r="A258" s="58">
        <v>277984.0</v>
      </c>
      <c r="B258" s="31">
        <v>2.9030447795556578</v>
      </c>
    </row>
    <row r="259">
      <c r="A259" s="58">
        <v>282675.5</v>
      </c>
      <c r="B259" s="31">
        <v>1.6396893257463063</v>
      </c>
    </row>
    <row r="260">
      <c r="A260" s="58">
        <v>333256.0</v>
      </c>
      <c r="B260" s="31">
        <v>0.27366348992966366</v>
      </c>
    </row>
    <row r="261">
      <c r="A261" s="58">
        <v>335777.75</v>
      </c>
      <c r="B261" s="31">
        <v>0.0</v>
      </c>
    </row>
    <row r="262">
      <c r="A262" s="58">
        <v>343118.25</v>
      </c>
      <c r="B262" s="31">
        <v>0.0</v>
      </c>
    </row>
    <row r="263">
      <c r="A263" s="58">
        <v>351684.0</v>
      </c>
      <c r="B263" s="31">
        <v>0.0</v>
      </c>
    </row>
    <row r="264">
      <c r="A264" s="58">
        <v>358455.0</v>
      </c>
      <c r="B264" s="31">
        <v>1.114505307500244</v>
      </c>
    </row>
    <row r="265">
      <c r="A265" s="31">
        <v>223170.0</v>
      </c>
      <c r="B265" s="31">
        <v>0.6309091723798002</v>
      </c>
    </row>
    <row r="266">
      <c r="A266" s="31">
        <v>222182.0</v>
      </c>
      <c r="B266" s="31">
        <v>1.5392786094283066</v>
      </c>
    </row>
    <row r="267">
      <c r="A267" s="31">
        <v>223244.0</v>
      </c>
      <c r="B267" s="31">
        <v>1.1960007883750514</v>
      </c>
    </row>
    <row r="268">
      <c r="A268" s="31">
        <v>229975.0</v>
      </c>
      <c r="B268" s="31">
        <v>0.0</v>
      </c>
    </row>
    <row r="269">
      <c r="A269" s="31">
        <v>238198.5</v>
      </c>
      <c r="B269" s="31">
        <v>3.1297426306210996</v>
      </c>
    </row>
    <row r="270">
      <c r="A270" s="31">
        <v>1437926.0</v>
      </c>
      <c r="B270" s="31">
        <v>0.7994848135439515</v>
      </c>
    </row>
    <row r="271">
      <c r="A271" s="31">
        <v>1543656.0</v>
      </c>
      <c r="B271" s="31">
        <v>0.34884715247438547</v>
      </c>
    </row>
    <row r="272">
      <c r="A272" s="31">
        <v>1703435.75</v>
      </c>
      <c r="B272" s="31">
        <v>0.23496630266213445</v>
      </c>
    </row>
    <row r="273">
      <c r="A273" s="31">
        <v>1830772.0</v>
      </c>
      <c r="B273" s="31">
        <v>0.07537803724330501</v>
      </c>
    </row>
    <row r="274">
      <c r="A274" s="31">
        <v>1894830.5</v>
      </c>
      <c r="B274" s="31">
        <v>0.21400331058635588</v>
      </c>
    </row>
    <row r="275">
      <c r="A275" s="31">
        <v>1959082.0</v>
      </c>
      <c r="B275" s="31">
        <v>0.6942026928939167</v>
      </c>
    </row>
    <row r="276">
      <c r="A276" s="31">
        <v>2003735.75</v>
      </c>
      <c r="B276" s="31">
        <v>0.7992570876673734</v>
      </c>
    </row>
    <row r="277">
      <c r="A277" s="31">
        <v>2092714.5</v>
      </c>
      <c r="B277" s="31">
        <v>0.46542421338409995</v>
      </c>
    </row>
    <row r="278">
      <c r="A278" s="31">
        <v>2161303.0</v>
      </c>
      <c r="B278" s="31">
        <v>1.1710528324811469</v>
      </c>
    </row>
    <row r="279">
      <c r="A279" s="31">
        <v>2192879.0</v>
      </c>
      <c r="B279" s="31">
        <v>0.4147515663198927</v>
      </c>
    </row>
    <row r="280">
      <c r="A280" s="31">
        <v>583910.0</v>
      </c>
      <c r="B280" s="31">
        <v>0.8905482009213749</v>
      </c>
    </row>
    <row r="281">
      <c r="A281" s="31">
        <v>573112.0</v>
      </c>
      <c r="B281" s="31">
        <v>1.4630648110665978</v>
      </c>
    </row>
    <row r="282">
      <c r="A282" s="31">
        <v>572124.25</v>
      </c>
      <c r="B282" s="31">
        <v>1.3546008581177953</v>
      </c>
    </row>
    <row r="283">
      <c r="A283" s="31">
        <v>573642.0</v>
      </c>
      <c r="B283" s="31">
        <v>1.478273906025012</v>
      </c>
    </row>
    <row r="284">
      <c r="A284" s="31">
        <v>575098.5</v>
      </c>
      <c r="B284" s="31">
        <v>0.1904021658898432</v>
      </c>
    </row>
    <row r="285">
      <c r="A285" s="31">
        <v>722065.0</v>
      </c>
      <c r="B285" s="31">
        <v>0.5617222826199857</v>
      </c>
    </row>
    <row r="286">
      <c r="A286" s="31">
        <v>742311.5</v>
      </c>
      <c r="B286" s="31">
        <v>1.4677126785722705</v>
      </c>
    </row>
    <row r="287">
      <c r="A287" s="31">
        <v>766838.0</v>
      </c>
      <c r="B287" s="31">
        <v>1.5518271134190011</v>
      </c>
    </row>
    <row r="288">
      <c r="A288" s="31">
        <v>781305.0</v>
      </c>
      <c r="B288" s="31">
        <v>0.8345012511119217</v>
      </c>
    </row>
    <row r="289">
      <c r="A289" s="31">
        <v>791856.0</v>
      </c>
      <c r="B289" s="31">
        <v>0.2872997110585763</v>
      </c>
    </row>
    <row r="290">
      <c r="A290" s="31">
        <v>1319920.0</v>
      </c>
      <c r="B290" s="31">
        <v>0.26607673192314685</v>
      </c>
    </row>
    <row r="291">
      <c r="A291" s="31">
        <v>1342066.25</v>
      </c>
      <c r="B291" s="31">
        <v>0.12070939120926408</v>
      </c>
    </row>
    <row r="292">
      <c r="A292" s="31">
        <v>1363474.0</v>
      </c>
      <c r="B292" s="31">
        <v>0.4118157001893692</v>
      </c>
    </row>
    <row r="293">
      <c r="A293" s="31">
        <v>1396945.0</v>
      </c>
      <c r="B293" s="31">
        <v>0.0</v>
      </c>
    </row>
    <row r="294">
      <c r="A294" s="31">
        <v>1421342.0</v>
      </c>
      <c r="B294" s="31">
        <v>0.7781378443752454</v>
      </c>
    </row>
    <row r="295">
      <c r="A295" s="31">
        <v>745778.0</v>
      </c>
      <c r="B295" s="31">
        <v>0.29177583677716423</v>
      </c>
    </row>
    <row r="296">
      <c r="A296" s="31">
        <v>749297.0</v>
      </c>
      <c r="B296" s="31">
        <v>0.1254509226648445</v>
      </c>
    </row>
    <row r="297">
      <c r="A297" s="31">
        <v>784587.75</v>
      </c>
      <c r="B297" s="31">
        <v>0.6538465582721626</v>
      </c>
    </row>
    <row r="298">
      <c r="A298" s="31">
        <v>796237.0</v>
      </c>
      <c r="B298" s="31">
        <v>0.0</v>
      </c>
    </row>
    <row r="299">
      <c r="A299" s="31">
        <v>819457.0</v>
      </c>
      <c r="B299" s="31">
        <v>0.0</v>
      </c>
    </row>
    <row r="300">
      <c r="A300" s="31">
        <v>1595938.0</v>
      </c>
      <c r="B300" s="31">
        <v>0.3678087745263287</v>
      </c>
    </row>
    <row r="301">
      <c r="A301" s="31">
        <v>1639908.5</v>
      </c>
      <c r="B301" s="31">
        <v>0.11936641587015373</v>
      </c>
    </row>
    <row r="302">
      <c r="A302" s="31">
        <v>1715274.5</v>
      </c>
      <c r="B302" s="31">
        <v>0.0</v>
      </c>
    </row>
    <row r="303">
      <c r="A303" s="31">
        <v>1773852.0</v>
      </c>
      <c r="B303" s="31">
        <v>0.0</v>
      </c>
    </row>
    <row r="304">
      <c r="A304" s="31">
        <v>1804199.5</v>
      </c>
      <c r="B304" s="31">
        <v>0.05681189912756322</v>
      </c>
    </row>
    <row r="305">
      <c r="A305" s="31">
        <v>766156.0</v>
      </c>
      <c r="B305" s="31">
        <v>0.25999926907836</v>
      </c>
    </row>
    <row r="306">
      <c r="A306" s="31">
        <v>812408.0</v>
      </c>
      <c r="B306" s="31">
        <v>0.1313994938503806</v>
      </c>
    </row>
    <row r="307">
      <c r="A307" s="31">
        <v>880299.0</v>
      </c>
      <c r="B307" s="31">
        <v>0.10394195608537554</v>
      </c>
    </row>
    <row r="308">
      <c r="A308" s="31">
        <v>923773.0</v>
      </c>
      <c r="B308" s="31">
        <v>1.6400132933090705</v>
      </c>
    </row>
    <row r="309">
      <c r="A309" s="31">
        <v>953119.0</v>
      </c>
      <c r="B309" s="31">
        <v>0.0</v>
      </c>
    </row>
    <row r="310">
      <c r="A310" s="31">
        <v>405509.0</v>
      </c>
      <c r="B310" s="31">
        <v>0.07102185154953404</v>
      </c>
    </row>
    <row r="311">
      <c r="A311" s="31">
        <v>407596.25</v>
      </c>
      <c r="B311" s="31">
        <v>0.09813632976260209</v>
      </c>
    </row>
    <row r="312">
      <c r="A312" s="31">
        <v>411439.25</v>
      </c>
      <c r="B312" s="31">
        <v>0.434450529452404</v>
      </c>
    </row>
    <row r="313">
      <c r="A313" s="31">
        <v>406501.0</v>
      </c>
      <c r="B313" s="31">
        <v>0.0</v>
      </c>
    </row>
    <row r="314">
      <c r="A314" s="58">
        <v>406268.0</v>
      </c>
      <c r="B314" s="31">
        <v>0.3126015339628029</v>
      </c>
    </row>
    <row r="315">
      <c r="A315" s="31">
        <v>280058.0</v>
      </c>
      <c r="B315" s="31">
        <v>1.205464582336516</v>
      </c>
    </row>
    <row r="316">
      <c r="A316" s="31">
        <v>282827.0</v>
      </c>
      <c r="B316" s="31">
        <v>2.552797293044865</v>
      </c>
    </row>
    <row r="317">
      <c r="A317" s="31">
        <v>285916.75</v>
      </c>
      <c r="B317" s="31">
        <v>2.2051873491147336</v>
      </c>
    </row>
    <row r="318">
      <c r="A318" s="31">
        <v>290895.0</v>
      </c>
      <c r="B318" s="31">
        <v>0.0</v>
      </c>
    </row>
    <row r="319">
      <c r="A319" s="31">
        <v>295352.0</v>
      </c>
      <c r="B319" s="31">
        <v>2.2109212058831496</v>
      </c>
    </row>
    <row r="320">
      <c r="A320" s="31">
        <v>331677.0</v>
      </c>
      <c r="B320" s="31">
        <v>1.0033858241602522</v>
      </c>
    </row>
    <row r="321">
      <c r="A321" s="31">
        <v>338463.0</v>
      </c>
      <c r="B321" s="31">
        <v>0.9454504628275469</v>
      </c>
    </row>
    <row r="322">
      <c r="A322" s="31">
        <v>343485.0</v>
      </c>
      <c r="B322" s="31">
        <v>2.85529207971236</v>
      </c>
    </row>
    <row r="323">
      <c r="A323" s="31">
        <v>351468.0</v>
      </c>
      <c r="B323" s="31">
        <v>1.5108061046809382</v>
      </c>
    </row>
    <row r="324">
      <c r="A324" s="31">
        <v>358717.0</v>
      </c>
      <c r="B324" s="31">
        <v>1.8380320233870526</v>
      </c>
    </row>
    <row r="325">
      <c r="A325" s="31">
        <v>715409.0</v>
      </c>
      <c r="B325" s="31">
        <v>0.29689310590165907</v>
      </c>
    </row>
    <row r="326">
      <c r="A326" s="31">
        <v>719089.5</v>
      </c>
      <c r="B326" s="31">
        <v>0.7718093505745808</v>
      </c>
    </row>
    <row r="327">
      <c r="A327" s="31">
        <v>731510.0</v>
      </c>
      <c r="B327" s="31">
        <v>0.2611037443097155</v>
      </c>
    </row>
    <row r="328">
      <c r="A328" s="31">
        <v>750588.0</v>
      </c>
      <c r="B328" s="31">
        <v>0.4143418226776874</v>
      </c>
    </row>
    <row r="329">
      <c r="A329" s="31">
        <v>757136.5</v>
      </c>
      <c r="B329" s="31">
        <v>0.0</v>
      </c>
    </row>
    <row r="330">
      <c r="A330" s="31">
        <v>452880.0</v>
      </c>
      <c r="B330" s="31">
        <v>0.2384737678855326</v>
      </c>
    </row>
    <row r="331">
      <c r="A331" s="31">
        <v>475271.5</v>
      </c>
      <c r="B331" s="31">
        <v>0.3240253202643121</v>
      </c>
    </row>
    <row r="332">
      <c r="A332" s="31">
        <v>502699.0</v>
      </c>
      <c r="B332" s="31">
        <v>0.12731276569080105</v>
      </c>
    </row>
    <row r="333">
      <c r="A333" s="31">
        <v>522175.0</v>
      </c>
      <c r="B333" s="31">
        <v>0.0</v>
      </c>
    </row>
    <row r="334">
      <c r="A334" s="31">
        <v>531069.5</v>
      </c>
      <c r="B334" s="31">
        <v>0.11862854108548881</v>
      </c>
    </row>
    <row r="335">
      <c r="A335" s="31">
        <v>316252.0</v>
      </c>
      <c r="B335" s="31">
        <v>0.43003680609134487</v>
      </c>
    </row>
    <row r="336">
      <c r="A336" s="31">
        <v>320407.0</v>
      </c>
      <c r="B336" s="31">
        <v>0.20910903944046166</v>
      </c>
    </row>
    <row r="337">
      <c r="A337" s="31">
        <v>327778.75</v>
      </c>
      <c r="B337" s="31">
        <v>0.6086422625017638</v>
      </c>
    </row>
    <row r="338">
      <c r="A338" s="31">
        <v>331048.0</v>
      </c>
      <c r="B338" s="31">
        <v>0.0</v>
      </c>
    </row>
    <row r="339">
      <c r="A339" s="31">
        <v>339824.5</v>
      </c>
      <c r="B339" s="31">
        <v>0.5237997848889647</v>
      </c>
    </row>
    <row r="340">
      <c r="A340" s="31">
        <v>835222.0</v>
      </c>
      <c r="B340" s="31">
        <v>0.3620594285112222</v>
      </c>
    </row>
    <row r="341">
      <c r="A341" s="31">
        <v>868572.5</v>
      </c>
      <c r="B341" s="31">
        <v>0.322368023394708</v>
      </c>
    </row>
    <row r="342">
      <c r="A342" s="31">
        <v>926381.75</v>
      </c>
      <c r="B342" s="31">
        <v>0.46794963307513343</v>
      </c>
    </row>
    <row r="343">
      <c r="A343" s="31">
        <v>976948.0</v>
      </c>
      <c r="B343" s="31">
        <v>0.4585709781892178</v>
      </c>
    </row>
    <row r="344">
      <c r="A344" s="31">
        <v>1000457.0</v>
      </c>
      <c r="B344" s="31">
        <v>0.0</v>
      </c>
    </row>
    <row r="345">
      <c r="A345" s="31">
        <v>1228959.0</v>
      </c>
      <c r="B345" s="31">
        <v>0.3511915369023702</v>
      </c>
    </row>
    <row r="346">
      <c r="A346" s="31">
        <v>1247043.75</v>
      </c>
      <c r="B346" s="31">
        <v>0.8315666551394046</v>
      </c>
    </row>
    <row r="347">
      <c r="A347" s="31">
        <v>1265851.25</v>
      </c>
      <c r="B347" s="31">
        <v>0.2259349192885025</v>
      </c>
    </row>
    <row r="348">
      <c r="A348" s="31">
        <v>1295927.0</v>
      </c>
      <c r="B348" s="31">
        <v>0.3109743064231241</v>
      </c>
    </row>
    <row r="349">
      <c r="A349" s="31">
        <v>1324353.0</v>
      </c>
      <c r="B349" s="31">
        <v>0.23306978325768635</v>
      </c>
    </row>
    <row r="350">
      <c r="A350" s="31">
        <v>1523099.0</v>
      </c>
      <c r="B350" s="31">
        <v>0.2783798032826494</v>
      </c>
    </row>
    <row r="351">
      <c r="A351" s="31">
        <v>1641896.5</v>
      </c>
      <c r="B351" s="31">
        <v>0.2075343969610752</v>
      </c>
    </row>
    <row r="352">
      <c r="A352" s="31">
        <v>1825510.5</v>
      </c>
      <c r="B352" s="31">
        <v>0.8204554287691033</v>
      </c>
    </row>
    <row r="353">
      <c r="A353" s="31">
        <v>1940627.0</v>
      </c>
      <c r="B353" s="31">
        <v>0.9991616111699981</v>
      </c>
    </row>
    <row r="354">
      <c r="A354" s="31">
        <v>2010781.0</v>
      </c>
      <c r="B354" s="31">
        <v>0.016245760561029103</v>
      </c>
    </row>
    <row r="355">
      <c r="A355" s="31">
        <v>291528.0</v>
      </c>
      <c r="B355" s="31">
        <v>0.26481161329271974</v>
      </c>
    </row>
    <row r="356">
      <c r="A356" s="31">
        <v>303651.0</v>
      </c>
      <c r="B356" s="31">
        <v>0.3976604720550896</v>
      </c>
    </row>
    <row r="357">
      <c r="A357" s="31">
        <v>315937.25</v>
      </c>
      <c r="B357" s="31">
        <v>0.2809102123918595</v>
      </c>
    </row>
    <row r="358">
      <c r="A358" s="31">
        <v>322664.0</v>
      </c>
      <c r="B358" s="31">
        <v>0.17045595418143952</v>
      </c>
    </row>
    <row r="359">
      <c r="A359" s="31">
        <v>328032.0</v>
      </c>
      <c r="B359" s="31">
        <v>0.0</v>
      </c>
    </row>
    <row r="360">
      <c r="A360" s="31">
        <v>198412.0</v>
      </c>
      <c r="B360" s="31">
        <v>0.27417696510291717</v>
      </c>
    </row>
    <row r="361">
      <c r="A361" s="31">
        <v>201923.0</v>
      </c>
      <c r="B361" s="31">
        <v>0.09657146536055823</v>
      </c>
    </row>
    <row r="362">
      <c r="A362" s="31">
        <v>203634.5</v>
      </c>
      <c r="B362" s="31">
        <v>0.0</v>
      </c>
    </row>
    <row r="363">
      <c r="A363" s="31">
        <v>205478.0</v>
      </c>
      <c r="B363" s="31">
        <v>0.0</v>
      </c>
    </row>
    <row r="364">
      <c r="A364" s="31">
        <v>213580.0</v>
      </c>
      <c r="B364" s="31">
        <v>0.14670537191372476</v>
      </c>
    </row>
    <row r="365">
      <c r="A365" s="31">
        <v>638464.0</v>
      </c>
      <c r="B365" s="31">
        <v>0.5162389735364876</v>
      </c>
    </row>
    <row r="366">
      <c r="A366" s="31">
        <v>633434.75</v>
      </c>
      <c r="B366" s="31">
        <v>0.4057245043787067</v>
      </c>
    </row>
    <row r="367">
      <c r="A367" s="31">
        <v>622273.0</v>
      </c>
      <c r="B367" s="31">
        <v>1.0879469300451732</v>
      </c>
    </row>
    <row r="368">
      <c r="A368" s="59">
        <v>621224.0</v>
      </c>
      <c r="B368" s="31">
        <v>0.9819324430479183</v>
      </c>
    </row>
    <row r="369">
      <c r="A369" s="59">
        <v>633954.5</v>
      </c>
      <c r="B369" s="31">
        <v>0.6919529188083162</v>
      </c>
    </row>
    <row r="370">
      <c r="A370" s="31">
        <v>416001.0</v>
      </c>
      <c r="B370" s="31">
        <v>0.22884560373652948</v>
      </c>
    </row>
    <row r="371">
      <c r="A371" s="31">
        <v>436954.25</v>
      </c>
      <c r="B371" s="31">
        <v>0.4691566680035725</v>
      </c>
    </row>
    <row r="372">
      <c r="A372" s="31">
        <v>480346.75</v>
      </c>
      <c r="B372" s="31">
        <v>0.022900123712713785</v>
      </c>
    </row>
    <row r="373">
      <c r="A373" s="59">
        <v>483788.0</v>
      </c>
      <c r="B373" s="31">
        <v>0.0</v>
      </c>
    </row>
    <row r="374">
      <c r="A374" s="59">
        <v>513713.0</v>
      </c>
      <c r="B374" s="31">
        <v>3.6829903078177892</v>
      </c>
    </row>
    <row r="375">
      <c r="A375" s="31">
        <v>728396.0</v>
      </c>
      <c r="B375" s="31">
        <v>0.19549805325674496</v>
      </c>
    </row>
    <row r="376">
      <c r="A376" s="31">
        <v>795516.0</v>
      </c>
      <c r="B376" s="31">
        <v>0.32808893850029414</v>
      </c>
    </row>
    <row r="377">
      <c r="A377" s="31">
        <v>892859.5</v>
      </c>
      <c r="B377" s="31">
        <v>0.18199951952126847</v>
      </c>
    </row>
    <row r="378">
      <c r="A378" s="31">
        <v>972875.0</v>
      </c>
      <c r="B378" s="31">
        <v>0.0</v>
      </c>
    </row>
    <row r="379">
      <c r="A379" s="31">
        <v>1017695.0</v>
      </c>
      <c r="B379" s="31">
        <v>0.0</v>
      </c>
    </row>
    <row r="380">
      <c r="A380" s="31">
        <v>620722.0</v>
      </c>
      <c r="B380" s="31">
        <v>0.2880516559748164</v>
      </c>
    </row>
    <row r="381">
      <c r="A381" s="31">
        <v>616924.5</v>
      </c>
      <c r="B381" s="31">
        <v>0.4019940851757387</v>
      </c>
    </row>
    <row r="382">
      <c r="A382" s="31">
        <v>601152.0</v>
      </c>
      <c r="B382" s="31">
        <v>0.21708320025550942</v>
      </c>
    </row>
    <row r="383">
      <c r="A383" s="31">
        <v>602662.0</v>
      </c>
      <c r="B383" s="31">
        <v>0.7234569294231261</v>
      </c>
    </row>
    <row r="384">
      <c r="A384" s="31">
        <v>607366.0</v>
      </c>
      <c r="B384" s="31">
        <v>0.5307069103857202</v>
      </c>
    </row>
    <row r="385">
      <c r="A385" s="31">
        <v>740569.0</v>
      </c>
      <c r="B385" s="31">
        <v>0.4348008085674664</v>
      </c>
    </row>
    <row r="386">
      <c r="A386" s="31">
        <v>758794.0</v>
      </c>
      <c r="B386" s="31">
        <v>2.295089312777908</v>
      </c>
    </row>
    <row r="387">
      <c r="A387" s="31">
        <v>762833.5</v>
      </c>
      <c r="B387" s="31">
        <v>0.7075593822242993</v>
      </c>
    </row>
    <row r="388">
      <c r="A388" s="31">
        <v>779379.0</v>
      </c>
      <c r="B388" s="31">
        <v>0.38620491442545923</v>
      </c>
    </row>
    <row r="389">
      <c r="A389" s="31">
        <v>797114.5</v>
      </c>
      <c r="B389" s="31">
        <v>0.27306825640063837</v>
      </c>
    </row>
    <row r="390">
      <c r="A390" s="31">
        <v>84022.0</v>
      </c>
      <c r="B390" s="31">
        <v>0.6760134250553427</v>
      </c>
    </row>
    <row r="391">
      <c r="A391" s="31">
        <v>82817.75</v>
      </c>
      <c r="B391" s="31">
        <v>2.052700055241781</v>
      </c>
    </row>
    <row r="392">
      <c r="A392" s="31">
        <v>86076.75</v>
      </c>
      <c r="B392" s="31">
        <v>1.1995109016081578</v>
      </c>
    </row>
    <row r="393">
      <c r="A393" s="31">
        <v>82193.0</v>
      </c>
      <c r="B393" s="31">
        <v>0.0</v>
      </c>
    </row>
    <row r="394">
      <c r="A394" s="31">
        <v>85348.0</v>
      </c>
      <c r="B394" s="31">
        <v>2.276952398806455</v>
      </c>
    </row>
    <row r="395">
      <c r="A395" s="31">
        <v>334115.0</v>
      </c>
      <c r="B395" s="31">
        <v>0.6488783801984347</v>
      </c>
    </row>
    <row r="396">
      <c r="A396" s="31">
        <v>336930.25</v>
      </c>
      <c r="B396" s="31">
        <v>0.8072887489324571</v>
      </c>
    </row>
    <row r="397">
      <c r="A397" s="31">
        <v>347821.0</v>
      </c>
      <c r="B397" s="31">
        <v>0.9667328884684938</v>
      </c>
    </row>
    <row r="398">
      <c r="A398" s="31">
        <v>358736.0</v>
      </c>
      <c r="B398" s="31">
        <v>1.4244458320324695</v>
      </c>
    </row>
    <row r="399">
      <c r="A399" s="31">
        <v>366242.5</v>
      </c>
      <c r="B399" s="31">
        <v>0.23936781413043726</v>
      </c>
    </row>
    <row r="400">
      <c r="A400" s="31">
        <v>979671.0</v>
      </c>
      <c r="B400" s="31">
        <v>0.48669400237426647</v>
      </c>
    </row>
    <row r="401">
      <c r="A401" s="31">
        <v>1021157.25</v>
      </c>
      <c r="B401" s="31">
        <v>1.757809583195928</v>
      </c>
    </row>
    <row r="402">
      <c r="A402" s="31">
        <v>1076006.75</v>
      </c>
      <c r="B402" s="31">
        <v>3.5722359548395026</v>
      </c>
    </row>
    <row r="403">
      <c r="A403" s="31">
        <v>1100190.0</v>
      </c>
      <c r="B403" s="31">
        <v>0.0</v>
      </c>
    </row>
    <row r="404">
      <c r="A404" s="31">
        <v>1115337.5</v>
      </c>
      <c r="B404" s="31">
        <v>0.0</v>
      </c>
    </row>
    <row r="405">
      <c r="A405" s="31">
        <v>181758.0</v>
      </c>
      <c r="B405" s="31">
        <v>1.4084662023129655</v>
      </c>
    </row>
    <row r="406">
      <c r="A406" s="31">
        <v>202554.75</v>
      </c>
      <c r="B406" s="31">
        <v>0.0</v>
      </c>
    </row>
    <row r="407">
      <c r="A407" s="31">
        <v>222861.0</v>
      </c>
      <c r="B407" s="31">
        <v>0.0</v>
      </c>
    </row>
    <row r="408">
      <c r="A408" s="31">
        <v>241665.0</v>
      </c>
      <c r="B408" s="31">
        <v>0.5379347443775474</v>
      </c>
    </row>
    <row r="409">
      <c r="A409" s="31">
        <v>256718.5</v>
      </c>
      <c r="B409" s="31">
        <v>0.16879708058956927</v>
      </c>
    </row>
    <row r="410">
      <c r="A410" s="31">
        <v>492127.0</v>
      </c>
      <c r="B410" s="31">
        <v>0.7689072129755125</v>
      </c>
    </row>
    <row r="411">
      <c r="A411" s="31">
        <v>478340.75</v>
      </c>
      <c r="B411" s="31">
        <v>1.3494564282888297</v>
      </c>
    </row>
    <row r="412">
      <c r="A412" s="31">
        <v>437355.5</v>
      </c>
      <c r="B412" s="31">
        <v>0.9008689727235624</v>
      </c>
    </row>
    <row r="413">
      <c r="A413" s="31">
        <v>421041.0</v>
      </c>
      <c r="B413" s="31">
        <v>0.43701207245850165</v>
      </c>
    </row>
    <row r="414">
      <c r="A414" s="31">
        <v>421815.5</v>
      </c>
      <c r="B414" s="31">
        <v>0.27500174839473657</v>
      </c>
    </row>
    <row r="415">
      <c r="A415" s="31">
        <v>615890.0</v>
      </c>
      <c r="B415" s="31">
        <v>0.3020019808732079</v>
      </c>
    </row>
    <row r="416">
      <c r="A416" s="31">
        <v>617768.0</v>
      </c>
      <c r="B416" s="31">
        <v>0.12626099118115539</v>
      </c>
    </row>
    <row r="417">
      <c r="A417" s="31">
        <v>600699.25</v>
      </c>
      <c r="B417" s="31">
        <v>0.6122031948599903</v>
      </c>
    </row>
    <row r="418">
      <c r="A418" s="31">
        <v>597524.0</v>
      </c>
      <c r="B418" s="31">
        <v>1.7354951432913155</v>
      </c>
    </row>
    <row r="419">
      <c r="A419" s="31">
        <v>598295.0</v>
      </c>
      <c r="B419" s="31">
        <v>0.7663443618950517</v>
      </c>
    </row>
  </sheetData>
  <conditionalFormatting sqref="B14:B419">
    <cfRule type="cellIs" dxfId="0" priority="1" operator="greaterThan">
      <formula>2</formula>
    </cfRule>
  </conditionalFormatting>
  <conditionalFormatting sqref="B14:B419">
    <cfRule type="cellIs" dxfId="1" priority="2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5" width="14.43"/>
  </cols>
  <sheetData>
    <row r="1">
      <c r="A1" s="65" t="s">
        <v>2</v>
      </c>
      <c r="B1" s="65" t="s">
        <v>4</v>
      </c>
      <c r="C1" s="66" t="s">
        <v>72</v>
      </c>
      <c r="D1" s="66" t="s">
        <v>73</v>
      </c>
      <c r="E1" s="67" t="s">
        <v>74</v>
      </c>
      <c r="F1" s="68" t="s">
        <v>76</v>
      </c>
    </row>
    <row r="2" hidden="1">
      <c r="A2" s="69">
        <v>2002.0</v>
      </c>
      <c r="B2" s="70" t="s">
        <v>38</v>
      </c>
      <c r="C2" s="71">
        <v>26.82</v>
      </c>
      <c r="D2" s="69">
        <v>0.0</v>
      </c>
      <c r="E2" s="72">
        <v>0.0</v>
      </c>
      <c r="F2" s="72">
        <v>0.0</v>
      </c>
    </row>
    <row r="3">
      <c r="A3" s="73">
        <v>2003.0</v>
      </c>
      <c r="B3" s="74" t="s">
        <v>38</v>
      </c>
      <c r="C3" s="75">
        <v>26.82</v>
      </c>
      <c r="D3" s="73">
        <v>0.0</v>
      </c>
      <c r="E3" s="76">
        <v>0.0</v>
      </c>
      <c r="F3" s="76">
        <v>0.0</v>
      </c>
      <c r="G3">
        <f>AVERAGE(F3:F7)</f>
        <v>1796.8</v>
      </c>
    </row>
    <row r="4">
      <c r="A4" s="73">
        <v>2004.0</v>
      </c>
      <c r="B4" s="74" t="s">
        <v>38</v>
      </c>
      <c r="C4" s="75">
        <v>26.82</v>
      </c>
      <c r="D4" s="73">
        <v>0.0</v>
      </c>
      <c r="E4" s="77">
        <v>1.0</v>
      </c>
      <c r="F4" s="76">
        <v>0.0</v>
      </c>
    </row>
    <row r="5">
      <c r="A5" s="73">
        <v>2005.0</v>
      </c>
      <c r="B5" s="74" t="s">
        <v>38</v>
      </c>
      <c r="C5" s="75">
        <v>26.82</v>
      </c>
      <c r="D5" s="73">
        <v>0.0</v>
      </c>
      <c r="E5" s="78">
        <v>1.0</v>
      </c>
      <c r="F5" s="76">
        <f>212+
908+
308+
588+
580+
784+
336+
888</f>
        <v>4604</v>
      </c>
    </row>
    <row r="6">
      <c r="A6" s="73">
        <v>2006.0</v>
      </c>
      <c r="B6" s="74" t="s">
        <v>38</v>
      </c>
      <c r="C6" s="75">
        <v>26.82</v>
      </c>
      <c r="D6" s="73">
        <v>0.0</v>
      </c>
      <c r="E6" s="78">
        <v>1.0</v>
      </c>
      <c r="F6" s="76">
        <f>864+
988+
168+
96+
1084</f>
        <v>3200</v>
      </c>
    </row>
    <row r="7">
      <c r="A7" s="73">
        <v>2007.0</v>
      </c>
      <c r="B7" s="74" t="s">
        <v>38</v>
      </c>
      <c r="C7" s="75">
        <v>36.89</v>
      </c>
      <c r="D7" s="73">
        <v>0.0</v>
      </c>
      <c r="E7" s="78">
        <v>1.0</v>
      </c>
      <c r="F7" s="76">
        <f>224+
860+
96</f>
        <v>1180</v>
      </c>
    </row>
    <row r="8">
      <c r="A8" s="73">
        <v>2008.0</v>
      </c>
      <c r="B8" s="74" t="s">
        <v>38</v>
      </c>
      <c r="C8" s="75">
        <v>36.89</v>
      </c>
      <c r="D8" s="73">
        <v>0.0</v>
      </c>
      <c r="E8" s="78">
        <v>1.0</v>
      </c>
      <c r="F8" s="76">
        <f>113+
97</f>
        <v>210</v>
      </c>
      <c r="G8">
        <f>AVERAGE(F8:F11)</f>
        <v>628.5</v>
      </c>
    </row>
    <row r="9">
      <c r="A9" s="73">
        <v>2009.0</v>
      </c>
      <c r="B9" s="74" t="s">
        <v>38</v>
      </c>
      <c r="C9" s="75">
        <v>36.89</v>
      </c>
      <c r="D9" s="73">
        <v>0.0</v>
      </c>
      <c r="E9" s="79">
        <v>0.0</v>
      </c>
      <c r="F9" s="76">
        <f>752</f>
        <v>752</v>
      </c>
    </row>
    <row r="10">
      <c r="A10" s="73">
        <v>2010.0</v>
      </c>
      <c r="B10" s="74" t="s">
        <v>38</v>
      </c>
      <c r="C10" s="75">
        <v>36.89</v>
      </c>
      <c r="D10" s="73">
        <v>0.0</v>
      </c>
      <c r="E10" s="80">
        <v>0.0</v>
      </c>
      <c r="F10" s="76">
        <v>328.0</v>
      </c>
    </row>
    <row r="11">
      <c r="A11" s="73">
        <v>2011.0</v>
      </c>
      <c r="B11" s="74" t="s">
        <v>38</v>
      </c>
      <c r="C11" s="81">
        <v>37.4</v>
      </c>
      <c r="D11" s="73">
        <v>0.0</v>
      </c>
      <c r="E11" s="82">
        <v>0.0</v>
      </c>
      <c r="F11" s="76">
        <v>1224.0</v>
      </c>
    </row>
    <row r="12">
      <c r="A12" s="73">
        <v>2012.0</v>
      </c>
      <c r="B12" s="74" t="s">
        <v>38</v>
      </c>
      <c r="C12" s="81">
        <v>37.4</v>
      </c>
      <c r="D12" s="73">
        <v>0.0</v>
      </c>
      <c r="E12" s="82">
        <v>0.0</v>
      </c>
      <c r="F12" s="76">
        <f>1398</f>
        <v>1398</v>
      </c>
      <c r="G12">
        <f>AVERAGE(F12:F15)</f>
        <v>844</v>
      </c>
    </row>
    <row r="13">
      <c r="A13" s="73">
        <v>2013.0</v>
      </c>
      <c r="B13" s="74" t="s">
        <v>38</v>
      </c>
      <c r="C13" s="81">
        <v>37.4</v>
      </c>
      <c r="D13" s="73">
        <v>0.0</v>
      </c>
      <c r="E13" s="82">
        <v>0.0</v>
      </c>
      <c r="F13" s="76">
        <f>230+
772+
88</f>
        <v>1090</v>
      </c>
    </row>
    <row r="14">
      <c r="A14" s="73">
        <v>2014.0</v>
      </c>
      <c r="B14" s="74" t="s">
        <v>38</v>
      </c>
      <c r="C14" s="81">
        <v>37.4</v>
      </c>
      <c r="D14" s="73">
        <v>0.0</v>
      </c>
      <c r="E14" s="83">
        <v>0.0</v>
      </c>
      <c r="F14" s="76">
        <v>0.0</v>
      </c>
    </row>
    <row r="15">
      <c r="A15" s="84">
        <v>2015.0</v>
      </c>
      <c r="B15" s="85" t="s">
        <v>38</v>
      </c>
      <c r="C15" s="81">
        <v>29.9</v>
      </c>
      <c r="D15" s="73">
        <v>0.0</v>
      </c>
      <c r="E15" s="83">
        <v>0.0</v>
      </c>
      <c r="F15" s="76">
        <f>888</f>
        <v>888</v>
      </c>
    </row>
    <row r="16">
      <c r="A16" s="73">
        <v>2016.0</v>
      </c>
      <c r="B16" s="85" t="s">
        <v>38</v>
      </c>
      <c r="C16" s="81">
        <v>36.8</v>
      </c>
      <c r="D16" s="73">
        <v>0.0</v>
      </c>
      <c r="E16" s="83">
        <v>0.0</v>
      </c>
      <c r="F16" s="76">
        <f>499+
1202+
283+
825+
283</f>
        <v>3092</v>
      </c>
      <c r="G16">
        <f>AVERAGE(F16)</f>
        <v>3092</v>
      </c>
    </row>
    <row r="17">
      <c r="A17" s="73">
        <v>2017.0</v>
      </c>
      <c r="B17" s="85" t="s">
        <v>38</v>
      </c>
      <c r="C17" s="81">
        <v>36.8</v>
      </c>
      <c r="D17" s="73">
        <v>0.0</v>
      </c>
      <c r="E17" s="83">
        <v>0.0</v>
      </c>
      <c r="F17" s="76">
        <v>0.0</v>
      </c>
      <c r="G17">
        <f>AVERAGE(F17:F18)</f>
        <v>775</v>
      </c>
    </row>
    <row r="18">
      <c r="A18" s="73">
        <v>2018.0</v>
      </c>
      <c r="B18" s="85" t="s">
        <v>38</v>
      </c>
      <c r="C18" s="81">
        <v>33.5</v>
      </c>
      <c r="D18" s="73">
        <v>0.0</v>
      </c>
      <c r="E18" s="83">
        <v>0.0</v>
      </c>
      <c r="F18" s="76">
        <f>627+
923</f>
        <v>1550</v>
      </c>
    </row>
    <row r="19" hidden="1">
      <c r="A19" s="69">
        <v>2002.0</v>
      </c>
      <c r="B19" s="70" t="s">
        <v>40</v>
      </c>
      <c r="C19" s="71">
        <v>41.42</v>
      </c>
      <c r="D19" s="69">
        <v>1.0</v>
      </c>
      <c r="E19" s="72">
        <v>0.0</v>
      </c>
      <c r="F19" s="72">
        <v>0.0</v>
      </c>
    </row>
    <row r="20">
      <c r="A20" s="73">
        <v>2003.0</v>
      </c>
      <c r="B20" s="74" t="s">
        <v>40</v>
      </c>
      <c r="C20" s="75">
        <v>41.42</v>
      </c>
      <c r="D20" s="73">
        <v>1.0</v>
      </c>
      <c r="E20" s="76">
        <v>0.0</v>
      </c>
      <c r="F20" s="76">
        <v>0.0</v>
      </c>
      <c r="G20">
        <f>AVERAGE(F20:F24)</f>
        <v>267.2</v>
      </c>
    </row>
    <row r="21">
      <c r="A21" s="73">
        <v>2004.0</v>
      </c>
      <c r="B21" s="74" t="s">
        <v>40</v>
      </c>
      <c r="C21" s="75">
        <v>41.42</v>
      </c>
      <c r="D21" s="73">
        <v>1.0</v>
      </c>
      <c r="E21" s="77">
        <v>1.0</v>
      </c>
      <c r="F21" s="76">
        <f>240</f>
        <v>240</v>
      </c>
    </row>
    <row r="22">
      <c r="A22" s="86">
        <v>2005.0</v>
      </c>
      <c r="B22" s="74" t="s">
        <v>40</v>
      </c>
      <c r="C22" s="75">
        <v>41.42</v>
      </c>
      <c r="D22" s="73">
        <v>1.0</v>
      </c>
      <c r="E22" s="78">
        <v>1.0</v>
      </c>
      <c r="F22" s="76">
        <f>260+
200+
468</f>
        <v>928</v>
      </c>
    </row>
    <row r="23">
      <c r="A23" s="73">
        <v>2006.0</v>
      </c>
      <c r="B23" s="74" t="s">
        <v>40</v>
      </c>
      <c r="C23" s="75">
        <v>41.42</v>
      </c>
      <c r="D23" s="73">
        <v>1.0</v>
      </c>
      <c r="E23" s="78">
        <v>1.0</v>
      </c>
      <c r="F23" s="76">
        <v>0.0</v>
      </c>
    </row>
    <row r="24">
      <c r="A24" s="73">
        <v>2007.0</v>
      </c>
      <c r="B24" s="74" t="s">
        <v>40</v>
      </c>
      <c r="C24" s="75">
        <v>65.31</v>
      </c>
      <c r="D24" s="73">
        <v>1.0</v>
      </c>
      <c r="E24" s="78">
        <v>1.0</v>
      </c>
      <c r="F24" s="87">
        <v>168.0</v>
      </c>
    </row>
    <row r="25">
      <c r="A25" s="73">
        <v>2008.0</v>
      </c>
      <c r="B25" s="74" t="s">
        <v>40</v>
      </c>
      <c r="C25" s="75">
        <v>65.31</v>
      </c>
      <c r="D25" s="73">
        <v>1.0</v>
      </c>
      <c r="E25" s="78">
        <v>1.0</v>
      </c>
      <c r="F25" s="76">
        <v>0.0</v>
      </c>
      <c r="G25">
        <f>AVERAGE(F25:F28)</f>
        <v>361</v>
      </c>
    </row>
    <row r="26">
      <c r="A26" s="73">
        <v>2009.0</v>
      </c>
      <c r="B26" s="74" t="s">
        <v>40</v>
      </c>
      <c r="C26" s="75">
        <v>65.31</v>
      </c>
      <c r="D26" s="73">
        <v>1.0</v>
      </c>
      <c r="E26" s="79">
        <v>1.0</v>
      </c>
      <c r="F26" s="87">
        <v>392.0</v>
      </c>
    </row>
    <row r="27">
      <c r="A27" s="73">
        <v>2010.0</v>
      </c>
      <c r="B27" s="74" t="s">
        <v>40</v>
      </c>
      <c r="C27" s="75">
        <v>65.31</v>
      </c>
      <c r="D27" s="73">
        <v>1.0</v>
      </c>
      <c r="E27" s="82">
        <v>1.0</v>
      </c>
      <c r="F27" s="87">
        <v>700.0</v>
      </c>
    </row>
    <row r="28">
      <c r="A28" s="73">
        <v>2011.0</v>
      </c>
      <c r="B28" s="74" t="s">
        <v>40</v>
      </c>
      <c r="C28" s="81">
        <v>67.3</v>
      </c>
      <c r="D28" s="73">
        <v>1.0</v>
      </c>
      <c r="E28" s="82">
        <v>1.0</v>
      </c>
      <c r="F28" s="76">
        <f>192+
160</f>
        <v>352</v>
      </c>
    </row>
    <row r="29">
      <c r="A29" s="73">
        <v>2012.0</v>
      </c>
      <c r="B29" s="74" t="s">
        <v>40</v>
      </c>
      <c r="C29" s="81">
        <v>67.3</v>
      </c>
      <c r="D29" s="73">
        <v>1.0</v>
      </c>
      <c r="E29" s="82">
        <v>1.0</v>
      </c>
      <c r="F29" s="76">
        <f>363</f>
        <v>363</v>
      </c>
      <c r="G29">
        <f>AVERAGE(F29:F32)</f>
        <v>208.75</v>
      </c>
    </row>
    <row r="30">
      <c r="A30" s="73">
        <v>2013.0</v>
      </c>
      <c r="B30" s="74" t="s">
        <v>40</v>
      </c>
      <c r="C30" s="81">
        <v>67.3</v>
      </c>
      <c r="D30" s="73">
        <v>1.0</v>
      </c>
      <c r="E30" s="82">
        <v>1.0</v>
      </c>
      <c r="F30" s="76">
        <v>0.0</v>
      </c>
    </row>
    <row r="31">
      <c r="A31" s="73">
        <v>2014.0</v>
      </c>
      <c r="B31" s="74" t="s">
        <v>40</v>
      </c>
      <c r="C31" s="81">
        <v>67.3</v>
      </c>
      <c r="D31" s="73">
        <v>1.0</v>
      </c>
      <c r="E31" s="83">
        <v>1.0</v>
      </c>
      <c r="F31" s="76">
        <v>0.0</v>
      </c>
    </row>
    <row r="32">
      <c r="A32" s="84">
        <v>2015.0</v>
      </c>
      <c r="B32" s="85" t="s">
        <v>40</v>
      </c>
      <c r="C32" s="81">
        <v>58.2</v>
      </c>
      <c r="D32" s="73">
        <v>1.0</v>
      </c>
      <c r="E32" s="83">
        <v>1.0</v>
      </c>
      <c r="F32" s="76">
        <f>472</f>
        <v>472</v>
      </c>
    </row>
    <row r="33">
      <c r="A33" s="73">
        <v>2016.0</v>
      </c>
      <c r="B33" s="85" t="s">
        <v>40</v>
      </c>
      <c r="C33" s="81">
        <v>69.5</v>
      </c>
      <c r="D33" s="73">
        <v>1.0</v>
      </c>
      <c r="E33" s="83">
        <v>1.0</v>
      </c>
      <c r="F33" s="76">
        <f>252</f>
        <v>252</v>
      </c>
      <c r="G33">
        <f>AVERAGE(F33)</f>
        <v>252</v>
      </c>
    </row>
    <row r="34">
      <c r="A34" s="73">
        <v>2017.0</v>
      </c>
      <c r="B34" s="85" t="s">
        <v>40</v>
      </c>
      <c r="C34" s="81">
        <v>69.5</v>
      </c>
      <c r="D34" s="73">
        <v>1.0</v>
      </c>
      <c r="E34" s="83">
        <v>1.0</v>
      </c>
      <c r="F34" s="76">
        <f>110</f>
        <v>110</v>
      </c>
      <c r="G34">
        <f>AVERAGE(F34:F35)</f>
        <v>55</v>
      </c>
    </row>
    <row r="35">
      <c r="A35" s="73">
        <v>2018.0</v>
      </c>
      <c r="B35" s="85" t="s">
        <v>40</v>
      </c>
      <c r="C35" s="81">
        <v>54.6</v>
      </c>
      <c r="D35" s="73">
        <v>1.0</v>
      </c>
      <c r="E35" s="88">
        <v>0.0</v>
      </c>
      <c r="F35" s="76">
        <v>0.0</v>
      </c>
    </row>
    <row r="36" hidden="1">
      <c r="A36" s="69">
        <v>2002.0</v>
      </c>
      <c r="B36" s="70" t="s">
        <v>42</v>
      </c>
      <c r="C36" s="71">
        <v>42.63</v>
      </c>
      <c r="D36" s="69">
        <v>1.0</v>
      </c>
      <c r="E36" s="72">
        <v>0.0</v>
      </c>
      <c r="F36" s="72">
        <v>0.0</v>
      </c>
    </row>
    <row r="37">
      <c r="A37" s="73">
        <v>2003.0</v>
      </c>
      <c r="B37" s="74" t="s">
        <v>42</v>
      </c>
      <c r="C37" s="75">
        <v>42.63</v>
      </c>
      <c r="D37" s="73">
        <v>1.0</v>
      </c>
      <c r="E37" s="76">
        <v>0.0</v>
      </c>
      <c r="F37" s="76">
        <v>0.0</v>
      </c>
      <c r="G37">
        <f>AVERAGE(F37:F41)</f>
        <v>454</v>
      </c>
    </row>
    <row r="38">
      <c r="A38" s="73">
        <v>2004.0</v>
      </c>
      <c r="B38" s="74" t="s">
        <v>42</v>
      </c>
      <c r="C38" s="75">
        <v>42.63</v>
      </c>
      <c r="D38" s="73">
        <v>1.0</v>
      </c>
      <c r="E38" s="77">
        <v>1.0</v>
      </c>
      <c r="F38" s="76">
        <f>192</f>
        <v>192</v>
      </c>
    </row>
    <row r="39">
      <c r="A39" s="73">
        <v>2005.0</v>
      </c>
      <c r="B39" s="74" t="s">
        <v>42</v>
      </c>
      <c r="C39" s="75">
        <v>42.63</v>
      </c>
      <c r="D39" s="73">
        <v>1.0</v>
      </c>
      <c r="E39" s="78">
        <v>1.0</v>
      </c>
      <c r="F39" s="76">
        <f>352</f>
        <v>352</v>
      </c>
    </row>
    <row r="40">
      <c r="A40" s="73">
        <v>2006.0</v>
      </c>
      <c r="B40" s="74" t="s">
        <v>42</v>
      </c>
      <c r="C40" s="75">
        <v>42.63</v>
      </c>
      <c r="D40" s="73">
        <v>1.0</v>
      </c>
      <c r="E40" s="78">
        <v>1.0</v>
      </c>
      <c r="F40" s="76">
        <f>452+
516</f>
        <v>968</v>
      </c>
    </row>
    <row r="41">
      <c r="A41" s="73">
        <v>2007.0</v>
      </c>
      <c r="B41" s="74" t="s">
        <v>42</v>
      </c>
      <c r="C41" s="75">
        <v>53.72</v>
      </c>
      <c r="D41" s="73">
        <v>1.0</v>
      </c>
      <c r="E41" s="78">
        <v>1.0</v>
      </c>
      <c r="F41" s="76">
        <f>230+
176+
352</f>
        <v>758</v>
      </c>
    </row>
    <row r="42">
      <c r="A42" s="73">
        <v>2008.0</v>
      </c>
      <c r="B42" s="74" t="s">
        <v>42</v>
      </c>
      <c r="C42" s="75">
        <v>53.72</v>
      </c>
      <c r="D42" s="73">
        <v>1.0</v>
      </c>
      <c r="E42" s="78">
        <v>1.0</v>
      </c>
      <c r="F42" s="76">
        <f>160+
288+
480</f>
        <v>928</v>
      </c>
      <c r="G42">
        <f>AVERAGE(F42:F45)</f>
        <v>434.75</v>
      </c>
    </row>
    <row r="43">
      <c r="A43" s="86">
        <v>2009.0</v>
      </c>
      <c r="B43" s="74" t="s">
        <v>42</v>
      </c>
      <c r="C43" s="75">
        <v>53.72</v>
      </c>
      <c r="D43" s="73">
        <v>1.0</v>
      </c>
      <c r="E43" s="79">
        <v>1.0</v>
      </c>
      <c r="F43" s="76">
        <f>240+
139</f>
        <v>379</v>
      </c>
    </row>
    <row r="44">
      <c r="A44" s="73">
        <v>2010.0</v>
      </c>
      <c r="B44" s="74" t="s">
        <v>42</v>
      </c>
      <c r="C44" s="75">
        <v>53.72</v>
      </c>
      <c r="D44" s="73">
        <v>1.0</v>
      </c>
      <c r="E44" s="82">
        <v>1.0</v>
      </c>
      <c r="F44" s="76">
        <v>0.0</v>
      </c>
    </row>
    <row r="45">
      <c r="A45" s="73">
        <v>2011.0</v>
      </c>
      <c r="B45" s="74" t="s">
        <v>42</v>
      </c>
      <c r="C45" s="81">
        <v>60.4</v>
      </c>
      <c r="D45" s="73">
        <v>1.0</v>
      </c>
      <c r="E45" s="82">
        <v>1.0</v>
      </c>
      <c r="F45" s="76">
        <f>112+
110+
100+
110</f>
        <v>432</v>
      </c>
    </row>
    <row r="46">
      <c r="A46" s="73">
        <v>2012.0</v>
      </c>
      <c r="B46" s="74" t="s">
        <v>42</v>
      </c>
      <c r="C46" s="81">
        <v>60.4</v>
      </c>
      <c r="D46" s="73">
        <v>1.0</v>
      </c>
      <c r="E46" s="82">
        <v>1.0</v>
      </c>
      <c r="F46" s="76">
        <f>160</f>
        <v>160</v>
      </c>
      <c r="G46">
        <f>AVERAGE(F46:F49)</f>
        <v>247.5</v>
      </c>
    </row>
    <row r="47">
      <c r="A47" s="73">
        <v>2013.0</v>
      </c>
      <c r="B47" s="74" t="s">
        <v>42</v>
      </c>
      <c r="C47" s="81">
        <v>60.4</v>
      </c>
      <c r="D47" s="73">
        <v>1.0</v>
      </c>
      <c r="E47" s="82">
        <v>1.0</v>
      </c>
      <c r="F47" s="76">
        <f>217</f>
        <v>217</v>
      </c>
    </row>
    <row r="48">
      <c r="A48" s="73">
        <v>2014.0</v>
      </c>
      <c r="B48" s="74" t="s">
        <v>42</v>
      </c>
      <c r="C48" s="81">
        <v>60.4</v>
      </c>
      <c r="D48" s="73">
        <v>1.0</v>
      </c>
      <c r="E48" s="83">
        <v>1.0</v>
      </c>
      <c r="F48" s="76">
        <v>0.0</v>
      </c>
    </row>
    <row r="49">
      <c r="A49" s="84">
        <v>2015.0</v>
      </c>
      <c r="B49" s="85" t="s">
        <v>42</v>
      </c>
      <c r="C49" s="81">
        <v>52.4</v>
      </c>
      <c r="D49" s="73">
        <v>1.0</v>
      </c>
      <c r="E49" s="83">
        <v>1.0</v>
      </c>
      <c r="F49" s="76">
        <f>179+
434</f>
        <v>613</v>
      </c>
    </row>
    <row r="50">
      <c r="A50" s="73">
        <v>2016.0</v>
      </c>
      <c r="B50" s="85" t="s">
        <v>42</v>
      </c>
      <c r="C50" s="81">
        <v>63.4</v>
      </c>
      <c r="D50" s="73">
        <v>1.0</v>
      </c>
      <c r="E50" s="83">
        <v>1.0</v>
      </c>
      <c r="F50" s="76">
        <f>407+
86+
412+
94+
1073</f>
        <v>2072</v>
      </c>
      <c r="G50">
        <f>AVERAGE(F50)</f>
        <v>2072</v>
      </c>
    </row>
    <row r="51">
      <c r="A51" s="73">
        <v>2017.0</v>
      </c>
      <c r="B51" s="85" t="s">
        <v>42</v>
      </c>
      <c r="C51" s="81">
        <v>63.4</v>
      </c>
      <c r="D51" s="73">
        <v>1.0</v>
      </c>
      <c r="E51" s="83">
        <v>1.0</v>
      </c>
      <c r="F51" s="76">
        <f>800+
142+
100+
215</f>
        <v>1257</v>
      </c>
      <c r="G51">
        <f>AVERAGE(F51:F52)</f>
        <v>788.5</v>
      </c>
    </row>
    <row r="52">
      <c r="A52" s="73">
        <v>2018.0</v>
      </c>
      <c r="B52" s="85" t="s">
        <v>42</v>
      </c>
      <c r="C52" s="81">
        <v>54.5</v>
      </c>
      <c r="D52" s="73">
        <v>1.0</v>
      </c>
      <c r="E52" s="88">
        <v>1.0</v>
      </c>
      <c r="F52" s="76">
        <f>84+
236</f>
        <v>320</v>
      </c>
    </row>
    <row r="53" hidden="1">
      <c r="A53" s="69">
        <v>2002.0</v>
      </c>
      <c r="B53" s="70" t="s">
        <v>44</v>
      </c>
      <c r="C53" s="71">
        <v>17.7</v>
      </c>
      <c r="D53" s="69">
        <v>0.0</v>
      </c>
      <c r="E53" s="72">
        <v>0.0</v>
      </c>
      <c r="F53" s="72">
        <v>0.0</v>
      </c>
    </row>
    <row r="54">
      <c r="A54" s="73">
        <v>2003.0</v>
      </c>
      <c r="B54" s="74" t="s">
        <v>44</v>
      </c>
      <c r="C54" s="75">
        <v>17.7</v>
      </c>
      <c r="D54" s="73">
        <v>0.0</v>
      </c>
      <c r="E54" s="76">
        <v>0.0</v>
      </c>
      <c r="F54" s="76">
        <v>0.0</v>
      </c>
      <c r="G54">
        <f>AVERAGE(F54:F58)</f>
        <v>45.8</v>
      </c>
    </row>
    <row r="55">
      <c r="A55" s="73">
        <v>2004.0</v>
      </c>
      <c r="B55" s="74" t="s">
        <v>44</v>
      </c>
      <c r="C55" s="75">
        <v>17.7</v>
      </c>
      <c r="D55" s="73">
        <v>0.0</v>
      </c>
      <c r="E55" s="77">
        <v>1.0</v>
      </c>
      <c r="F55" s="76">
        <v>0.0</v>
      </c>
    </row>
    <row r="56">
      <c r="A56" s="73">
        <v>2005.0</v>
      </c>
      <c r="B56" s="74" t="s">
        <v>44</v>
      </c>
      <c r="C56" s="75">
        <v>17.7</v>
      </c>
      <c r="D56" s="73">
        <v>0.0</v>
      </c>
      <c r="E56" s="78">
        <v>1.0</v>
      </c>
      <c r="F56" s="76">
        <v>0.0</v>
      </c>
    </row>
    <row r="57">
      <c r="A57" s="73">
        <v>2006.0</v>
      </c>
      <c r="B57" s="74" t="s">
        <v>44</v>
      </c>
      <c r="C57" s="75">
        <v>17.7</v>
      </c>
      <c r="D57" s="73">
        <v>0.0</v>
      </c>
      <c r="E57" s="78">
        <v>1.0</v>
      </c>
      <c r="F57" s="76">
        <f>224</f>
        <v>224</v>
      </c>
    </row>
    <row r="58">
      <c r="A58" s="73">
        <v>2007.0</v>
      </c>
      <c r="B58" s="74" t="s">
        <v>44</v>
      </c>
      <c r="C58" s="75">
        <v>63.02</v>
      </c>
      <c r="D58" s="73">
        <v>1.0</v>
      </c>
      <c r="E58" s="78">
        <v>1.0</v>
      </c>
      <c r="F58" s="87">
        <v>5.0</v>
      </c>
    </row>
    <row r="59">
      <c r="A59" s="73">
        <v>2008.0</v>
      </c>
      <c r="B59" s="74" t="s">
        <v>44</v>
      </c>
      <c r="C59" s="75">
        <v>63.02</v>
      </c>
      <c r="D59" s="73">
        <v>1.0</v>
      </c>
      <c r="E59" s="78">
        <v>1.0</v>
      </c>
      <c r="F59" s="76">
        <v>0.0</v>
      </c>
      <c r="G59">
        <f>AVERAGE(F59:F62)</f>
        <v>628.75</v>
      </c>
    </row>
    <row r="60">
      <c r="A60" s="73">
        <v>2009.0</v>
      </c>
      <c r="B60" s="74" t="s">
        <v>44</v>
      </c>
      <c r="C60" s="75">
        <v>63.02</v>
      </c>
      <c r="D60" s="73">
        <v>1.0</v>
      </c>
      <c r="E60" s="79">
        <v>1.0</v>
      </c>
      <c r="F60" s="76">
        <f>10+
112+
504</f>
        <v>626</v>
      </c>
    </row>
    <row r="61">
      <c r="A61" s="73">
        <v>2010.0</v>
      </c>
      <c r="B61" s="74" t="s">
        <v>44</v>
      </c>
      <c r="C61" s="75">
        <v>63.02</v>
      </c>
      <c r="D61" s="73">
        <v>1.0</v>
      </c>
      <c r="E61" s="82">
        <v>1.0</v>
      </c>
      <c r="F61" s="76">
        <f>9+
388+
896+
200+
216+
30</f>
        <v>1739</v>
      </c>
    </row>
    <row r="62">
      <c r="A62" s="73">
        <v>2011.0</v>
      </c>
      <c r="B62" s="74" t="s">
        <v>44</v>
      </c>
      <c r="C62" s="81">
        <v>47.6</v>
      </c>
      <c r="D62" s="73">
        <v>1.0</v>
      </c>
      <c r="E62" s="82">
        <v>1.0</v>
      </c>
      <c r="F62" s="76">
        <f>30+
120</f>
        <v>150</v>
      </c>
    </row>
    <row r="63">
      <c r="A63" s="73">
        <v>2012.0</v>
      </c>
      <c r="B63" s="74" t="s">
        <v>44</v>
      </c>
      <c r="C63" s="81">
        <v>47.6</v>
      </c>
      <c r="D63" s="73">
        <v>1.0</v>
      </c>
      <c r="E63" s="82">
        <v>1.0</v>
      </c>
      <c r="F63" s="76">
        <f>12</f>
        <v>12</v>
      </c>
      <c r="G63">
        <f>AVERAGE(F63:F66)</f>
        <v>28</v>
      </c>
    </row>
    <row r="64">
      <c r="A64" s="86">
        <v>2013.0</v>
      </c>
      <c r="B64" s="74" t="s">
        <v>44</v>
      </c>
      <c r="C64" s="81">
        <v>47.6</v>
      </c>
      <c r="D64" s="73">
        <v>1.0</v>
      </c>
      <c r="E64" s="82">
        <v>1.0</v>
      </c>
      <c r="F64" s="87">
        <v>100.0</v>
      </c>
    </row>
    <row r="65">
      <c r="A65" s="73">
        <v>2014.0</v>
      </c>
      <c r="B65" s="74" t="s">
        <v>44</v>
      </c>
      <c r="C65" s="81">
        <v>47.6</v>
      </c>
      <c r="D65" s="73">
        <v>1.0</v>
      </c>
      <c r="E65" s="83">
        <v>0.0</v>
      </c>
      <c r="F65" s="76">
        <v>0.0</v>
      </c>
    </row>
    <row r="66">
      <c r="A66" s="84">
        <v>2015.0</v>
      </c>
      <c r="B66" s="85" t="s">
        <v>44</v>
      </c>
      <c r="C66" s="81">
        <v>15.9</v>
      </c>
      <c r="D66" s="73">
        <v>0.0</v>
      </c>
      <c r="E66" s="89">
        <v>0.0</v>
      </c>
      <c r="F66" s="76">
        <v>0.0</v>
      </c>
    </row>
    <row r="67">
      <c r="A67" s="73">
        <v>2016.0</v>
      </c>
      <c r="B67" s="85" t="s">
        <v>44</v>
      </c>
      <c r="C67" s="81">
        <v>27.0</v>
      </c>
      <c r="D67" s="73">
        <v>0.0</v>
      </c>
      <c r="E67" s="83">
        <v>0.0</v>
      </c>
      <c r="F67" s="76">
        <v>0.0</v>
      </c>
      <c r="G67">
        <f>AVERAGE(F67)</f>
        <v>0</v>
      </c>
    </row>
    <row r="68">
      <c r="A68" s="73">
        <v>2017.0</v>
      </c>
      <c r="B68" s="85" t="s">
        <v>44</v>
      </c>
      <c r="C68" s="81">
        <v>27.0</v>
      </c>
      <c r="D68" s="73">
        <v>0.0</v>
      </c>
      <c r="E68" s="83">
        <v>0.0</v>
      </c>
      <c r="F68" s="76">
        <v>0.0</v>
      </c>
      <c r="G68">
        <f>AVERAGE(F68:F69)</f>
        <v>0</v>
      </c>
    </row>
    <row r="69">
      <c r="A69" s="73">
        <v>2018.0</v>
      </c>
      <c r="B69" s="85" t="s">
        <v>44</v>
      </c>
      <c r="C69" s="81">
        <v>27.8</v>
      </c>
      <c r="D69" s="73">
        <v>0.0</v>
      </c>
      <c r="E69" s="88">
        <v>1.0</v>
      </c>
      <c r="F69" s="76">
        <v>0.0</v>
      </c>
    </row>
    <row r="70" hidden="1">
      <c r="A70" s="69">
        <v>2002.0</v>
      </c>
      <c r="B70" s="70" t="s">
        <v>46</v>
      </c>
      <c r="C70" s="71">
        <v>48.09</v>
      </c>
      <c r="D70" s="69">
        <v>1.0</v>
      </c>
      <c r="E70" s="72">
        <v>0.0</v>
      </c>
      <c r="F70" s="72">
        <v>0.0</v>
      </c>
    </row>
    <row r="71">
      <c r="A71" s="73">
        <v>2003.0</v>
      </c>
      <c r="B71" s="74" t="s">
        <v>46</v>
      </c>
      <c r="C71" s="75">
        <v>48.09</v>
      </c>
      <c r="D71" s="73">
        <v>1.0</v>
      </c>
      <c r="E71" s="76">
        <v>0.0</v>
      </c>
      <c r="F71" s="76">
        <v>0.0</v>
      </c>
      <c r="G71">
        <f>AVERAGE(F71:F75)</f>
        <v>189.2</v>
      </c>
    </row>
    <row r="72">
      <c r="A72" s="73">
        <v>2004.0</v>
      </c>
      <c r="B72" s="74" t="s">
        <v>46</v>
      </c>
      <c r="C72" s="75">
        <v>48.09</v>
      </c>
      <c r="D72" s="73">
        <v>1.0</v>
      </c>
      <c r="E72" s="77">
        <v>1.0</v>
      </c>
      <c r="F72" s="76">
        <v>0.0</v>
      </c>
    </row>
    <row r="73">
      <c r="A73" s="73">
        <v>2005.0</v>
      </c>
      <c r="B73" s="74" t="s">
        <v>46</v>
      </c>
      <c r="C73" s="75">
        <v>48.09</v>
      </c>
      <c r="D73" s="73">
        <v>1.0</v>
      </c>
      <c r="E73" s="78">
        <v>1.0</v>
      </c>
      <c r="F73" s="76">
        <f>504+
112</f>
        <v>616</v>
      </c>
    </row>
    <row r="74">
      <c r="A74" s="73">
        <v>2006.0</v>
      </c>
      <c r="B74" s="74" t="s">
        <v>46</v>
      </c>
      <c r="C74" s="75">
        <v>48.09</v>
      </c>
      <c r="D74" s="73">
        <v>1.0</v>
      </c>
      <c r="E74" s="78">
        <v>1.0</v>
      </c>
      <c r="F74" s="76">
        <v>0.0</v>
      </c>
    </row>
    <row r="75">
      <c r="A75" s="73">
        <v>2007.0</v>
      </c>
      <c r="B75" s="74" t="s">
        <v>46</v>
      </c>
      <c r="C75" s="75">
        <v>63.43</v>
      </c>
      <c r="D75" s="73">
        <v>1.0</v>
      </c>
      <c r="E75" s="78">
        <v>1.0</v>
      </c>
      <c r="F75" s="76">
        <f>330</f>
        <v>330</v>
      </c>
    </row>
    <row r="76">
      <c r="A76" s="73">
        <v>2008.0</v>
      </c>
      <c r="B76" s="74" t="s">
        <v>46</v>
      </c>
      <c r="C76" s="75">
        <v>63.43</v>
      </c>
      <c r="D76" s="73">
        <v>1.0</v>
      </c>
      <c r="E76" s="78">
        <v>1.0</v>
      </c>
      <c r="F76" s="76">
        <v>0.0</v>
      </c>
      <c r="G76">
        <f>AVERAGE(F76:F79)</f>
        <v>340.5</v>
      </c>
    </row>
    <row r="77">
      <c r="A77" s="73">
        <v>2009.0</v>
      </c>
      <c r="B77" s="74" t="s">
        <v>46</v>
      </c>
      <c r="C77" s="75">
        <v>63.43</v>
      </c>
      <c r="D77" s="73">
        <v>1.0</v>
      </c>
      <c r="E77" s="79">
        <v>1.0</v>
      </c>
      <c r="F77" s="76">
        <f>352+
522</f>
        <v>874</v>
      </c>
    </row>
    <row r="78">
      <c r="A78" s="73">
        <v>2010.0</v>
      </c>
      <c r="B78" s="74" t="s">
        <v>46</v>
      </c>
      <c r="C78" s="75">
        <v>63.43</v>
      </c>
      <c r="D78" s="73">
        <v>1.0</v>
      </c>
      <c r="E78" s="82">
        <v>1.0</v>
      </c>
      <c r="F78" s="76">
        <v>0.0</v>
      </c>
    </row>
    <row r="79">
      <c r="A79" s="73">
        <v>2011.0</v>
      </c>
      <c r="B79" s="74" t="s">
        <v>46</v>
      </c>
      <c r="C79" s="81">
        <v>66.1</v>
      </c>
      <c r="D79" s="73">
        <v>1.0</v>
      </c>
      <c r="E79" s="82">
        <v>1.0</v>
      </c>
      <c r="F79" s="76">
        <f>488</f>
        <v>488</v>
      </c>
    </row>
    <row r="80">
      <c r="A80" s="73">
        <v>2012.0</v>
      </c>
      <c r="B80" s="74" t="s">
        <v>46</v>
      </c>
      <c r="C80" s="81">
        <v>66.1</v>
      </c>
      <c r="D80" s="73">
        <v>1.0</v>
      </c>
      <c r="E80" s="82">
        <v>1.0</v>
      </c>
      <c r="F80" s="76">
        <f>652</f>
        <v>652</v>
      </c>
      <c r="G80">
        <f>AVERAGE(F80:F83)</f>
        <v>235</v>
      </c>
    </row>
    <row r="81">
      <c r="A81" s="73">
        <v>2013.0</v>
      </c>
      <c r="B81" s="74" t="s">
        <v>46</v>
      </c>
      <c r="C81" s="81">
        <v>66.1</v>
      </c>
      <c r="D81" s="73">
        <v>1.0</v>
      </c>
      <c r="E81" s="82">
        <v>1.0</v>
      </c>
      <c r="F81" s="76">
        <v>0.0</v>
      </c>
    </row>
    <row r="82">
      <c r="A82" s="73">
        <v>2014.0</v>
      </c>
      <c r="B82" s="74" t="s">
        <v>46</v>
      </c>
      <c r="C82" s="81">
        <v>66.1</v>
      </c>
      <c r="D82" s="73">
        <v>1.0</v>
      </c>
      <c r="E82" s="83">
        <v>1.0</v>
      </c>
      <c r="F82" s="76">
        <f>163+
125</f>
        <v>288</v>
      </c>
    </row>
    <row r="83">
      <c r="A83" s="84">
        <v>2015.0</v>
      </c>
      <c r="B83" s="85" t="s">
        <v>46</v>
      </c>
      <c r="C83" s="81">
        <v>58.5</v>
      </c>
      <c r="D83" s="73">
        <v>1.0</v>
      </c>
      <c r="E83" s="89">
        <v>1.0</v>
      </c>
      <c r="F83" s="76">
        <v>0.0</v>
      </c>
    </row>
    <row r="84">
      <c r="A84" s="86">
        <v>2016.0</v>
      </c>
      <c r="B84" s="90" t="s">
        <v>46</v>
      </c>
      <c r="C84" s="81">
        <v>71.6</v>
      </c>
      <c r="D84" s="73">
        <v>1.0</v>
      </c>
      <c r="E84" s="83">
        <v>1.0</v>
      </c>
      <c r="F84" s="76">
        <f>807+
157+
124</f>
        <v>1088</v>
      </c>
      <c r="G84">
        <f>AVERAGE(F84)</f>
        <v>1088</v>
      </c>
    </row>
    <row r="85">
      <c r="A85" s="73">
        <v>2017.0</v>
      </c>
      <c r="B85" s="85" t="s">
        <v>46</v>
      </c>
      <c r="C85" s="81">
        <v>71.6</v>
      </c>
      <c r="D85" s="73">
        <v>1.0</v>
      </c>
      <c r="E85" s="83">
        <v>1.0</v>
      </c>
      <c r="F85" s="76">
        <v>0.0</v>
      </c>
      <c r="G85">
        <f>AVERAGE(F85:F86)</f>
        <v>0</v>
      </c>
    </row>
    <row r="86">
      <c r="A86" s="73">
        <v>2018.0</v>
      </c>
      <c r="B86" s="85" t="s">
        <v>46</v>
      </c>
      <c r="C86" s="81">
        <v>55.2</v>
      </c>
      <c r="D86" s="73">
        <v>1.0</v>
      </c>
      <c r="E86" s="88">
        <v>0.0</v>
      </c>
      <c r="F86" s="76">
        <v>0.0</v>
      </c>
    </row>
    <row r="87" hidden="1">
      <c r="A87" s="69">
        <v>2002.0</v>
      </c>
      <c r="B87" s="70" t="s">
        <v>47</v>
      </c>
      <c r="C87" s="71">
        <v>39.62</v>
      </c>
      <c r="D87" s="69">
        <v>0.0</v>
      </c>
      <c r="E87" s="72">
        <v>0.0</v>
      </c>
      <c r="F87" s="72">
        <v>0.0</v>
      </c>
    </row>
    <row r="88">
      <c r="A88" s="73">
        <v>2003.0</v>
      </c>
      <c r="B88" s="74" t="s">
        <v>47</v>
      </c>
      <c r="C88" s="75">
        <v>39.62</v>
      </c>
      <c r="D88" s="73">
        <v>0.0</v>
      </c>
      <c r="E88" s="76">
        <v>0.0</v>
      </c>
      <c r="F88" s="76">
        <v>0.0</v>
      </c>
      <c r="G88">
        <f>AVERAGE(F88:F92)</f>
        <v>212</v>
      </c>
    </row>
    <row r="89">
      <c r="A89" s="73">
        <v>2004.0</v>
      </c>
      <c r="B89" s="74" t="s">
        <v>47</v>
      </c>
      <c r="C89" s="75">
        <v>39.62</v>
      </c>
      <c r="D89" s="73">
        <v>0.0</v>
      </c>
      <c r="E89" s="77">
        <v>1.0</v>
      </c>
      <c r="F89" s="76">
        <v>0.0</v>
      </c>
    </row>
    <row r="90">
      <c r="A90" s="73">
        <v>2005.0</v>
      </c>
      <c r="B90" s="74" t="s">
        <v>47</v>
      </c>
      <c r="C90" s="75">
        <v>39.62</v>
      </c>
      <c r="D90" s="73">
        <v>0.0</v>
      </c>
      <c r="E90" s="78">
        <v>1.0</v>
      </c>
      <c r="F90" s="76">
        <f>264</f>
        <v>264</v>
      </c>
    </row>
    <row r="91">
      <c r="A91" s="73">
        <v>2006.0</v>
      </c>
      <c r="B91" s="74" t="s">
        <v>47</v>
      </c>
      <c r="C91" s="75">
        <v>39.62</v>
      </c>
      <c r="D91" s="73">
        <v>0.0</v>
      </c>
      <c r="E91" s="78">
        <v>1.0</v>
      </c>
      <c r="F91" s="76">
        <f>284</f>
        <v>284</v>
      </c>
    </row>
    <row r="92">
      <c r="A92" s="73">
        <v>2007.0</v>
      </c>
      <c r="B92" s="74" t="s">
        <v>47</v>
      </c>
      <c r="C92" s="75">
        <v>47.1</v>
      </c>
      <c r="D92" s="73">
        <v>1.0</v>
      </c>
      <c r="E92" s="78">
        <v>1.0</v>
      </c>
      <c r="F92" s="76">
        <f>512</f>
        <v>512</v>
      </c>
    </row>
    <row r="93">
      <c r="A93" s="73">
        <v>2008.0</v>
      </c>
      <c r="B93" s="74" t="s">
        <v>47</v>
      </c>
      <c r="C93" s="75">
        <v>47.1</v>
      </c>
      <c r="D93" s="73">
        <v>1.0</v>
      </c>
      <c r="E93" s="78">
        <v>1.0</v>
      </c>
      <c r="F93" s="76">
        <v>0.0</v>
      </c>
      <c r="G93">
        <f>AVERAGE(F93:F96)</f>
        <v>203</v>
      </c>
    </row>
    <row r="94">
      <c r="A94" s="73">
        <v>2009.0</v>
      </c>
      <c r="B94" s="74" t="s">
        <v>47</v>
      </c>
      <c r="C94" s="75">
        <v>47.1</v>
      </c>
      <c r="D94" s="73">
        <v>1.0</v>
      </c>
      <c r="E94" s="79">
        <v>1.0</v>
      </c>
      <c r="F94" s="76">
        <f>256+
288</f>
        <v>544</v>
      </c>
    </row>
    <row r="95">
      <c r="A95" s="73">
        <v>2010.0</v>
      </c>
      <c r="B95" s="74" t="s">
        <v>47</v>
      </c>
      <c r="C95" s="75">
        <v>47.1</v>
      </c>
      <c r="D95" s="73">
        <v>1.0</v>
      </c>
      <c r="E95" s="82">
        <v>1.0</v>
      </c>
      <c r="F95" s="76">
        <v>0.0</v>
      </c>
    </row>
    <row r="96">
      <c r="A96" s="73">
        <v>2011.0</v>
      </c>
      <c r="B96" s="74" t="s">
        <v>47</v>
      </c>
      <c r="C96" s="81">
        <v>52.2</v>
      </c>
      <c r="D96" s="73">
        <v>1.0</v>
      </c>
      <c r="E96" s="82">
        <v>1.0</v>
      </c>
      <c r="F96" s="76">
        <f>268</f>
        <v>268</v>
      </c>
    </row>
    <row r="97">
      <c r="A97" s="73">
        <v>2012.0</v>
      </c>
      <c r="B97" s="74" t="s">
        <v>47</v>
      </c>
      <c r="C97" s="81">
        <v>52.2</v>
      </c>
      <c r="D97" s="73">
        <v>1.0</v>
      </c>
      <c r="E97" s="82">
        <v>1.0</v>
      </c>
      <c r="F97" s="76">
        <f>448+
456</f>
        <v>904</v>
      </c>
      <c r="G97">
        <f>AVERAGE(F97:F100)</f>
        <v>399.25</v>
      </c>
    </row>
    <row r="98">
      <c r="A98" s="73">
        <v>2013.0</v>
      </c>
      <c r="B98" s="74" t="s">
        <v>47</v>
      </c>
      <c r="C98" s="81">
        <v>52.2</v>
      </c>
      <c r="D98" s="73">
        <v>1.0</v>
      </c>
      <c r="E98" s="82">
        <v>1.0</v>
      </c>
      <c r="F98" s="76">
        <f>220+
97</f>
        <v>317</v>
      </c>
    </row>
    <row r="99">
      <c r="A99" s="73">
        <v>2014.0</v>
      </c>
      <c r="B99" s="74" t="s">
        <v>47</v>
      </c>
      <c r="C99" s="81">
        <v>52.2</v>
      </c>
      <c r="D99" s="73">
        <v>1.0</v>
      </c>
      <c r="E99" s="83">
        <v>1.0</v>
      </c>
      <c r="F99" s="76">
        <v>0.0</v>
      </c>
    </row>
    <row r="100">
      <c r="A100" s="84">
        <v>2015.0</v>
      </c>
      <c r="B100" s="85" t="s">
        <v>47</v>
      </c>
      <c r="C100" s="81">
        <v>45.8</v>
      </c>
      <c r="D100" s="73">
        <v>1.0</v>
      </c>
      <c r="E100" s="83">
        <v>1.0</v>
      </c>
      <c r="F100" s="76">
        <f>376</f>
        <v>376</v>
      </c>
    </row>
    <row r="101">
      <c r="A101" s="73">
        <v>2016.0</v>
      </c>
      <c r="B101" s="85" t="s">
        <v>47</v>
      </c>
      <c r="C101" s="81">
        <v>51.5</v>
      </c>
      <c r="D101" s="73">
        <v>1.0</v>
      </c>
      <c r="E101" s="83">
        <v>1.0</v>
      </c>
      <c r="F101" s="76">
        <f>356+
665</f>
        <v>1021</v>
      </c>
      <c r="G101">
        <f>AVERAGE(F101)</f>
        <v>1021</v>
      </c>
    </row>
    <row r="102">
      <c r="A102" s="73">
        <v>2017.0</v>
      </c>
      <c r="B102" s="85" t="s">
        <v>47</v>
      </c>
      <c r="C102" s="81">
        <v>51.5</v>
      </c>
      <c r="D102" s="73">
        <v>1.0</v>
      </c>
      <c r="E102" s="83">
        <v>1.0</v>
      </c>
      <c r="F102" s="76">
        <f>127+
110</f>
        <v>237</v>
      </c>
      <c r="G102">
        <f>AVERAGE(F102:F103)</f>
        <v>118.5</v>
      </c>
    </row>
    <row r="103">
      <c r="A103" s="73">
        <v>2018.0</v>
      </c>
      <c r="B103" s="85" t="s">
        <v>47</v>
      </c>
      <c r="C103" s="81">
        <v>46.0</v>
      </c>
      <c r="D103" s="73">
        <v>1.0</v>
      </c>
      <c r="E103" s="88">
        <v>1.0</v>
      </c>
      <c r="F103" s="76">
        <v>0.0</v>
      </c>
    </row>
    <row r="104" hidden="1">
      <c r="A104" s="69">
        <v>2002.0</v>
      </c>
      <c r="B104" s="70" t="s">
        <v>48</v>
      </c>
      <c r="C104" s="71">
        <v>43.16</v>
      </c>
      <c r="D104" s="69">
        <v>1.0</v>
      </c>
      <c r="E104" s="72">
        <v>0.0</v>
      </c>
      <c r="F104" s="72">
        <v>0.0</v>
      </c>
    </row>
    <row r="105">
      <c r="A105" s="73">
        <v>2003.0</v>
      </c>
      <c r="B105" s="74" t="s">
        <v>48</v>
      </c>
      <c r="C105" s="75">
        <v>43.16</v>
      </c>
      <c r="D105" s="73">
        <v>1.0</v>
      </c>
      <c r="E105" s="76">
        <v>0.0</v>
      </c>
      <c r="F105" s="76">
        <v>0.0</v>
      </c>
      <c r="G105">
        <f>AVERAGE(F105:F109)</f>
        <v>6022.6</v>
      </c>
    </row>
    <row r="106">
      <c r="A106" s="73">
        <v>2004.0</v>
      </c>
      <c r="B106" s="74" t="s">
        <v>48</v>
      </c>
      <c r="C106" s="75">
        <v>43.16</v>
      </c>
      <c r="D106" s="73">
        <v>1.0</v>
      </c>
      <c r="E106" s="77">
        <v>1.0</v>
      </c>
      <c r="F106" s="76">
        <f>1660+
768+
808+
760+
288+
932+
960+
480+
472+
384+
432+
896+
1154+
534</f>
        <v>10528</v>
      </c>
    </row>
    <row r="107">
      <c r="A107" s="73">
        <v>2005.0</v>
      </c>
      <c r="B107" s="74" t="s">
        <v>48</v>
      </c>
      <c r="C107" s="75">
        <v>43.16</v>
      </c>
      <c r="D107" s="73">
        <v>1.0</v>
      </c>
      <c r="E107" s="78">
        <v>1.0</v>
      </c>
      <c r="F107" s="76">
        <f>296+
210+
355+
392+
496+
512+
464+
480</f>
        <v>3205</v>
      </c>
    </row>
    <row r="108">
      <c r="A108" s="73">
        <v>2006.0</v>
      </c>
      <c r="B108" s="74" t="s">
        <v>48</v>
      </c>
      <c r="C108" s="75">
        <v>43.16</v>
      </c>
      <c r="D108" s="73">
        <v>1.0</v>
      </c>
      <c r="E108" s="78">
        <v>1.0</v>
      </c>
      <c r="F108" s="76">
        <f>336+
428+
1152+
1008+
564+
1832+
648+
718+
712+
726+
392+
784</f>
        <v>9300</v>
      </c>
    </row>
    <row r="109">
      <c r="A109" s="73">
        <v>2007.0</v>
      </c>
      <c r="B109" s="74" t="s">
        <v>48</v>
      </c>
      <c r="C109" s="75">
        <v>52.28</v>
      </c>
      <c r="D109" s="73">
        <v>1.0</v>
      </c>
      <c r="E109" s="78">
        <v>1.0</v>
      </c>
      <c r="F109" s="76">
        <f>426+
176+
298+
528+
697+
664+
984+
456+
112+
720+
755+
574+
690</f>
        <v>7080</v>
      </c>
    </row>
    <row r="110">
      <c r="A110" s="73">
        <v>2008.0</v>
      </c>
      <c r="B110" s="74" t="s">
        <v>48</v>
      </c>
      <c r="C110" s="75">
        <v>52.28</v>
      </c>
      <c r="D110" s="73">
        <v>1.0</v>
      </c>
      <c r="E110" s="78">
        <v>1.0</v>
      </c>
      <c r="F110" s="76">
        <f>600+
288+
960+
510+
104+
740+
100+
1062+
504+
132+
726+
440+
1272+
196</f>
        <v>7634</v>
      </c>
      <c r="G110">
        <f>AVERAGE(F110:F113)</f>
        <v>7698.25</v>
      </c>
    </row>
    <row r="111">
      <c r="A111" s="73">
        <v>2009.0</v>
      </c>
      <c r="B111" s="74" t="s">
        <v>48</v>
      </c>
      <c r="C111" s="75">
        <v>52.28</v>
      </c>
      <c r="D111" s="73">
        <v>1.0</v>
      </c>
      <c r="E111" s="79">
        <v>1.0</v>
      </c>
      <c r="F111" s="76">
        <f>744+
756+
664+
1176+
442+
424+
440+
698+
822+
488+
1014+
1190+
477+
448+
587+
186+
504+
554+
948+
578+
120+
430+
533+
824+
610+
732+
137+
592+
512+
186</f>
        <v>17816</v>
      </c>
    </row>
    <row r="112">
      <c r="A112" s="73">
        <v>2010.0</v>
      </c>
      <c r="B112" s="74" t="s">
        <v>48</v>
      </c>
      <c r="C112" s="75">
        <v>52.28</v>
      </c>
      <c r="D112" s="73">
        <v>1.0</v>
      </c>
      <c r="E112" s="82">
        <v>1.0</v>
      </c>
      <c r="F112" s="76">
        <f>422+
1472+
1374+
484+
1059+
408+
124</f>
        <v>5343</v>
      </c>
    </row>
    <row r="113" hidden="1">
      <c r="A113" s="69">
        <v>2002.0</v>
      </c>
      <c r="B113" s="70" t="s">
        <v>49</v>
      </c>
      <c r="C113" s="71">
        <v>21.16</v>
      </c>
      <c r="D113" s="69">
        <v>0.0</v>
      </c>
      <c r="E113" s="72">
        <v>0.0</v>
      </c>
      <c r="F113" s="72">
        <v>0.0</v>
      </c>
    </row>
    <row r="114">
      <c r="A114" s="73">
        <v>2011.0</v>
      </c>
      <c r="B114" s="74" t="s">
        <v>48</v>
      </c>
      <c r="C114" s="81">
        <v>54.0</v>
      </c>
      <c r="D114" s="73">
        <v>1.0</v>
      </c>
      <c r="E114" s="82">
        <v>1.0</v>
      </c>
      <c r="F114" s="76">
        <f>280+
1096+
540+
800</f>
        <v>2716</v>
      </c>
    </row>
    <row r="115">
      <c r="A115" s="73">
        <v>2012.0</v>
      </c>
      <c r="B115" s="74" t="s">
        <v>48</v>
      </c>
      <c r="C115" s="81">
        <v>54.0</v>
      </c>
      <c r="D115" s="73">
        <v>1.0</v>
      </c>
      <c r="E115" s="82">
        <v>1.0</v>
      </c>
      <c r="F115" s="76">
        <f>894+
358+
36+
472+
275</f>
        <v>2035</v>
      </c>
      <c r="G115">
        <f>AVERAGE(F115:F118)</f>
        <v>3097.25</v>
      </c>
    </row>
    <row r="116">
      <c r="A116" s="73">
        <v>2013.0</v>
      </c>
      <c r="B116" s="74" t="s">
        <v>48</v>
      </c>
      <c r="C116" s="81">
        <v>54.0</v>
      </c>
      <c r="D116" s="73">
        <v>1.0</v>
      </c>
      <c r="E116" s="82">
        <v>1.0</v>
      </c>
      <c r="F116" s="76">
        <f>474+
358+
688+
226+
341+
30</f>
        <v>2117</v>
      </c>
    </row>
    <row r="117">
      <c r="A117" s="73">
        <v>2014.0</v>
      </c>
      <c r="B117" s="74" t="s">
        <v>48</v>
      </c>
      <c r="C117" s="81">
        <v>54.0</v>
      </c>
      <c r="D117" s="73">
        <v>1.0</v>
      </c>
      <c r="E117" s="83">
        <v>1.0</v>
      </c>
      <c r="F117" s="76">
        <f>250+
153+
1585+
630+
413+
277+
628</f>
        <v>3936</v>
      </c>
    </row>
    <row r="118">
      <c r="A118" s="84">
        <v>2015.0</v>
      </c>
      <c r="B118" s="85" t="s">
        <v>48</v>
      </c>
      <c r="C118" s="81">
        <v>47.4</v>
      </c>
      <c r="D118" s="73">
        <v>1.0</v>
      </c>
      <c r="E118" s="83">
        <v>1.0</v>
      </c>
      <c r="F118" s="76">
        <f>415+
454+
294+
330+
889+
474+
563+
48+
352+
102+
380</f>
        <v>4301</v>
      </c>
    </row>
    <row r="119">
      <c r="A119" s="73">
        <v>2016.0</v>
      </c>
      <c r="B119" s="85" t="s">
        <v>48</v>
      </c>
      <c r="C119" s="81">
        <v>55.5</v>
      </c>
      <c r="D119" s="73">
        <v>1.0</v>
      </c>
      <c r="E119" s="89">
        <v>1.0</v>
      </c>
      <c r="F119" s="76">
        <f>314+
275+
979+
686+
396+
809+
96+
173+
447+
966+
822+
1186+
877+
948+
1312</f>
        <v>10286</v>
      </c>
      <c r="G119">
        <f>AVERAGE(F119)</f>
        <v>10286</v>
      </c>
    </row>
    <row r="120">
      <c r="A120" s="73">
        <v>2017.0</v>
      </c>
      <c r="B120" s="85" t="s">
        <v>48</v>
      </c>
      <c r="C120" s="81">
        <v>55.5</v>
      </c>
      <c r="D120" s="73">
        <v>1.0</v>
      </c>
      <c r="E120" s="89">
        <v>1.0</v>
      </c>
      <c r="F120" s="76">
        <f>55+
334+
137+
891+
1000+
541</f>
        <v>2958</v>
      </c>
      <c r="G120">
        <f>AVERAGE(F120:F121)</f>
        <v>1479</v>
      </c>
    </row>
    <row r="121" hidden="1">
      <c r="A121" s="69">
        <v>2002.0</v>
      </c>
      <c r="B121" s="70" t="s">
        <v>50</v>
      </c>
      <c r="C121" s="71">
        <v>11.76</v>
      </c>
      <c r="D121" s="69">
        <v>0.0</v>
      </c>
      <c r="E121" s="72">
        <v>0.0</v>
      </c>
      <c r="F121" s="72">
        <v>0.0</v>
      </c>
    </row>
    <row r="122">
      <c r="A122" s="73">
        <v>2018.0</v>
      </c>
      <c r="B122" s="85" t="s">
        <v>48</v>
      </c>
      <c r="C122" s="81">
        <v>29.6</v>
      </c>
      <c r="D122" s="73">
        <v>0.0</v>
      </c>
      <c r="E122" s="91">
        <v>1.0</v>
      </c>
      <c r="F122" s="76">
        <f>146</f>
        <v>146</v>
      </c>
    </row>
    <row r="123">
      <c r="A123" s="73">
        <v>2003.0</v>
      </c>
      <c r="B123" s="74" t="s">
        <v>49</v>
      </c>
      <c r="C123" s="75">
        <v>21.16</v>
      </c>
      <c r="D123" s="73">
        <v>0.0</v>
      </c>
      <c r="E123" s="76">
        <v>0.0</v>
      </c>
      <c r="F123" s="76">
        <v>0.0</v>
      </c>
      <c r="G123">
        <f>AVERAGE(F123:F127)</f>
        <v>268</v>
      </c>
    </row>
    <row r="124">
      <c r="A124" s="73">
        <v>2004.0</v>
      </c>
      <c r="B124" s="74" t="s">
        <v>49</v>
      </c>
      <c r="C124" s="75">
        <v>21.16</v>
      </c>
      <c r="D124" s="73">
        <v>0.0</v>
      </c>
      <c r="E124" s="77">
        <v>1.0</v>
      </c>
      <c r="F124" s="76">
        <v>0.0</v>
      </c>
    </row>
    <row r="125">
      <c r="A125" s="73">
        <v>2005.0</v>
      </c>
      <c r="B125" s="74" t="s">
        <v>49</v>
      </c>
      <c r="C125" s="75">
        <v>21.16</v>
      </c>
      <c r="D125" s="73">
        <v>0.0</v>
      </c>
      <c r="E125" s="78">
        <v>1.0</v>
      </c>
      <c r="F125" s="76">
        <v>0.0</v>
      </c>
    </row>
    <row r="126">
      <c r="A126" s="73">
        <v>2006.0</v>
      </c>
      <c r="B126" s="74" t="s">
        <v>49</v>
      </c>
      <c r="C126" s="75">
        <v>21.16</v>
      </c>
      <c r="D126" s="73">
        <v>0.0</v>
      </c>
      <c r="E126" s="78">
        <v>1.0</v>
      </c>
      <c r="F126" s="76">
        <f>892</f>
        <v>892</v>
      </c>
    </row>
    <row r="127">
      <c r="A127" s="73">
        <v>2007.0</v>
      </c>
      <c r="B127" s="74" t="s">
        <v>49</v>
      </c>
      <c r="C127" s="75">
        <v>34.02</v>
      </c>
      <c r="D127" s="73">
        <v>0.0</v>
      </c>
      <c r="E127" s="78">
        <v>1.0</v>
      </c>
      <c r="F127" s="76">
        <f>448</f>
        <v>448</v>
      </c>
    </row>
    <row r="128">
      <c r="A128" s="73">
        <v>2008.0</v>
      </c>
      <c r="B128" s="74" t="s">
        <v>49</v>
      </c>
      <c r="C128" s="75">
        <v>34.02</v>
      </c>
      <c r="D128" s="73">
        <v>0.0</v>
      </c>
      <c r="E128" s="78">
        <v>1.0</v>
      </c>
      <c r="F128" s="76">
        <f>336+
392</f>
        <v>728</v>
      </c>
      <c r="G128">
        <f>AVERAGE(F128:F131)</f>
        <v>525</v>
      </c>
    </row>
    <row r="129">
      <c r="A129" s="73">
        <v>2009.0</v>
      </c>
      <c r="B129" s="74" t="s">
        <v>49</v>
      </c>
      <c r="C129" s="75">
        <v>34.02</v>
      </c>
      <c r="D129" s="73">
        <v>0.0</v>
      </c>
      <c r="E129" s="79">
        <v>0.0</v>
      </c>
      <c r="F129" s="76">
        <f>448</f>
        <v>448</v>
      </c>
    </row>
    <row r="130">
      <c r="A130" s="73">
        <v>2010.0</v>
      </c>
      <c r="B130" s="74" t="s">
        <v>49</v>
      </c>
      <c r="C130" s="75">
        <v>34.02</v>
      </c>
      <c r="D130" s="73">
        <v>0.0</v>
      </c>
      <c r="E130" s="82">
        <v>0.0</v>
      </c>
      <c r="F130" s="76">
        <f>60+
864</f>
        <v>924</v>
      </c>
    </row>
    <row r="131">
      <c r="A131" s="73">
        <v>2011.0</v>
      </c>
      <c r="B131" s="74" t="s">
        <v>49</v>
      </c>
      <c r="C131" s="81">
        <v>39.3</v>
      </c>
      <c r="D131" s="73">
        <v>0.0</v>
      </c>
      <c r="E131" s="82">
        <v>0.0</v>
      </c>
      <c r="F131" s="76">
        <v>0.0</v>
      </c>
    </row>
    <row r="132">
      <c r="A132" s="73">
        <v>2012.0</v>
      </c>
      <c r="B132" s="74" t="s">
        <v>49</v>
      </c>
      <c r="C132" s="81">
        <v>39.3</v>
      </c>
      <c r="D132" s="73">
        <v>0.0</v>
      </c>
      <c r="E132" s="92">
        <v>0.0</v>
      </c>
      <c r="F132" s="76">
        <v>0.0</v>
      </c>
      <c r="G132">
        <f>AVERAGE(F132:F135)</f>
        <v>0</v>
      </c>
    </row>
    <row r="133">
      <c r="A133" s="73">
        <v>2013.0</v>
      </c>
      <c r="B133" s="74" t="s">
        <v>49</v>
      </c>
      <c r="C133" s="81">
        <v>39.3</v>
      </c>
      <c r="D133" s="73">
        <v>0.0</v>
      </c>
      <c r="E133" s="82">
        <v>0.0</v>
      </c>
      <c r="F133" s="76">
        <v>0.0</v>
      </c>
    </row>
    <row r="134">
      <c r="A134" s="73">
        <v>2014.0</v>
      </c>
      <c r="B134" s="74" t="s">
        <v>49</v>
      </c>
      <c r="C134" s="81">
        <v>39.3</v>
      </c>
      <c r="D134" s="73">
        <v>0.0</v>
      </c>
      <c r="E134" s="89">
        <v>1.0</v>
      </c>
      <c r="F134" s="76">
        <v>0.0</v>
      </c>
    </row>
    <row r="135">
      <c r="A135" s="84">
        <v>2015.0</v>
      </c>
      <c r="B135" s="85" t="s">
        <v>49</v>
      </c>
      <c r="C135" s="81">
        <v>34.9</v>
      </c>
      <c r="D135" s="73">
        <v>0.0</v>
      </c>
      <c r="E135" s="83">
        <v>1.0</v>
      </c>
      <c r="F135" s="76">
        <v>0.0</v>
      </c>
    </row>
    <row r="136">
      <c r="A136" s="73">
        <v>2016.0</v>
      </c>
      <c r="B136" s="85" t="s">
        <v>49</v>
      </c>
      <c r="C136" s="81">
        <v>41.3</v>
      </c>
      <c r="D136" s="73">
        <v>1.0</v>
      </c>
      <c r="E136" s="83">
        <v>1.0</v>
      </c>
      <c r="F136" s="76">
        <f>409</f>
        <v>409</v>
      </c>
      <c r="G136">
        <f>AVERAGE(F136)</f>
        <v>409</v>
      </c>
    </row>
    <row r="137">
      <c r="A137" s="73">
        <v>2017.0</v>
      </c>
      <c r="B137" s="85" t="s">
        <v>49</v>
      </c>
      <c r="C137" s="81">
        <v>41.3</v>
      </c>
      <c r="D137" s="73">
        <v>1.0</v>
      </c>
      <c r="E137" s="83">
        <v>1.0</v>
      </c>
      <c r="F137" s="76">
        <v>0.0</v>
      </c>
      <c r="G137">
        <f>AVERAGE(F137:F138)</f>
        <v>0</v>
      </c>
    </row>
    <row r="138" hidden="1">
      <c r="A138" s="69">
        <v>2002.0</v>
      </c>
      <c r="B138" s="70" t="s">
        <v>51</v>
      </c>
      <c r="C138" s="71">
        <v>23.21</v>
      </c>
      <c r="D138" s="69">
        <v>0.0</v>
      </c>
      <c r="E138" s="72">
        <v>0.0</v>
      </c>
      <c r="F138" s="72">
        <v>0.0</v>
      </c>
    </row>
    <row r="139">
      <c r="A139" s="73">
        <v>2018.0</v>
      </c>
      <c r="B139" s="85" t="s">
        <v>49</v>
      </c>
      <c r="C139" s="81">
        <v>33.8</v>
      </c>
      <c r="D139" s="73">
        <v>0.0</v>
      </c>
      <c r="E139" s="88">
        <v>1.0</v>
      </c>
      <c r="F139" s="76">
        <f>583</f>
        <v>583</v>
      </c>
    </row>
    <row r="140">
      <c r="A140" s="73">
        <v>2003.0</v>
      </c>
      <c r="B140" s="74" t="s">
        <v>50</v>
      </c>
      <c r="C140" s="75">
        <v>11.76</v>
      </c>
      <c r="D140" s="73">
        <v>0.0</v>
      </c>
      <c r="E140" s="76">
        <v>0.0</v>
      </c>
      <c r="F140" s="76">
        <v>0.0</v>
      </c>
      <c r="G140">
        <f>AVERAGE(F140:F144)</f>
        <v>0</v>
      </c>
    </row>
    <row r="141">
      <c r="A141" s="73">
        <v>2004.0</v>
      </c>
      <c r="B141" s="74" t="s">
        <v>50</v>
      </c>
      <c r="C141" s="75">
        <v>11.76</v>
      </c>
      <c r="D141" s="73">
        <v>0.0</v>
      </c>
      <c r="E141" s="77">
        <v>0.0</v>
      </c>
      <c r="F141" s="76">
        <v>0.0</v>
      </c>
    </row>
    <row r="142">
      <c r="A142" s="73">
        <v>2005.0</v>
      </c>
      <c r="B142" s="74" t="s">
        <v>50</v>
      </c>
      <c r="C142" s="75">
        <v>11.76</v>
      </c>
      <c r="D142" s="73">
        <v>0.0</v>
      </c>
      <c r="E142" s="78">
        <v>0.0</v>
      </c>
      <c r="F142" s="76">
        <v>0.0</v>
      </c>
    </row>
    <row r="143">
      <c r="A143" s="73">
        <v>2006.0</v>
      </c>
      <c r="B143" s="74" t="s">
        <v>50</v>
      </c>
      <c r="C143" s="75">
        <v>11.76</v>
      </c>
      <c r="D143" s="73">
        <v>0.0</v>
      </c>
      <c r="E143" s="78">
        <v>0.0</v>
      </c>
      <c r="F143" s="76">
        <v>0.0</v>
      </c>
    </row>
    <row r="144">
      <c r="A144" s="73">
        <v>2007.0</v>
      </c>
      <c r="B144" s="74" t="s">
        <v>50</v>
      </c>
      <c r="C144" s="75">
        <v>40.6</v>
      </c>
      <c r="D144" s="73">
        <v>1.0</v>
      </c>
      <c r="E144" s="78">
        <v>0.0</v>
      </c>
      <c r="F144" s="76">
        <v>0.0</v>
      </c>
    </row>
    <row r="145">
      <c r="A145" s="73">
        <v>2008.0</v>
      </c>
      <c r="B145" s="74" t="s">
        <v>50</v>
      </c>
      <c r="C145" s="75">
        <v>40.6</v>
      </c>
      <c r="D145" s="73">
        <v>1.0</v>
      </c>
      <c r="E145" s="78">
        <v>0.0</v>
      </c>
      <c r="F145" s="76">
        <v>0.0</v>
      </c>
      <c r="G145">
        <f>AVERAGE(F145:F148)</f>
        <v>213</v>
      </c>
    </row>
    <row r="146">
      <c r="A146" s="73">
        <v>2009.0</v>
      </c>
      <c r="B146" s="74" t="s">
        <v>50</v>
      </c>
      <c r="C146" s="75">
        <v>40.6</v>
      </c>
      <c r="D146" s="73">
        <v>1.0</v>
      </c>
      <c r="E146" s="79">
        <v>1.0</v>
      </c>
      <c r="F146" s="76">
        <f>500</f>
        <v>500</v>
      </c>
    </row>
    <row r="147">
      <c r="A147" s="73">
        <v>2010.0</v>
      </c>
      <c r="B147" s="74" t="s">
        <v>50</v>
      </c>
      <c r="C147" s="75">
        <v>40.6</v>
      </c>
      <c r="D147" s="73">
        <v>1.0</v>
      </c>
      <c r="E147" s="82">
        <v>1.0</v>
      </c>
      <c r="F147" s="76">
        <f>352</f>
        <v>352</v>
      </c>
    </row>
    <row r="148">
      <c r="A148" s="73">
        <v>2011.0</v>
      </c>
      <c r="B148" s="74" t="s">
        <v>50</v>
      </c>
      <c r="C148" s="81">
        <v>40.2</v>
      </c>
      <c r="D148" s="73">
        <v>1.0</v>
      </c>
      <c r="E148" s="82">
        <v>1.0</v>
      </c>
      <c r="F148" s="76">
        <v>0.0</v>
      </c>
    </row>
    <row r="149">
      <c r="A149" s="73">
        <v>2012.0</v>
      </c>
      <c r="B149" s="74" t="s">
        <v>50</v>
      </c>
      <c r="C149" s="81">
        <v>40.2</v>
      </c>
      <c r="D149" s="73">
        <v>1.0</v>
      </c>
      <c r="E149" s="82">
        <v>1.0</v>
      </c>
      <c r="F149" s="76">
        <v>0.0</v>
      </c>
      <c r="G149">
        <f>AVERAGE(F149:F152)</f>
        <v>78.5</v>
      </c>
    </row>
    <row r="150">
      <c r="A150" s="73">
        <v>2013.0</v>
      </c>
      <c r="B150" s="74" t="s">
        <v>50</v>
      </c>
      <c r="C150" s="81">
        <v>40.2</v>
      </c>
      <c r="D150" s="73">
        <v>1.0</v>
      </c>
      <c r="E150" s="82">
        <v>1.0</v>
      </c>
      <c r="F150" s="76">
        <v>0.0</v>
      </c>
    </row>
    <row r="151">
      <c r="A151" s="73">
        <v>2014.0</v>
      </c>
      <c r="B151" s="74" t="s">
        <v>50</v>
      </c>
      <c r="C151" s="81">
        <v>40.2</v>
      </c>
      <c r="D151" s="73">
        <v>1.0</v>
      </c>
      <c r="E151" s="83">
        <v>1.0</v>
      </c>
      <c r="F151" s="76">
        <v>0.0</v>
      </c>
    </row>
    <row r="152">
      <c r="A152" s="84">
        <v>2015.0</v>
      </c>
      <c r="B152" s="85" t="s">
        <v>50</v>
      </c>
      <c r="C152" s="81">
        <v>26.2</v>
      </c>
      <c r="D152" s="73">
        <v>0.0</v>
      </c>
      <c r="E152" s="83">
        <v>1.0</v>
      </c>
      <c r="F152" s="76">
        <f>314</f>
        <v>314</v>
      </c>
    </row>
    <row r="153">
      <c r="A153" s="73">
        <v>2016.0</v>
      </c>
      <c r="B153" s="85" t="s">
        <v>50</v>
      </c>
      <c r="C153" s="81">
        <v>36.5</v>
      </c>
      <c r="D153" s="73">
        <v>0.0</v>
      </c>
      <c r="E153" s="83">
        <v>1.0</v>
      </c>
      <c r="F153" s="76">
        <f>78+
14</f>
        <v>92</v>
      </c>
      <c r="G153">
        <f>AVERAGE(F153)</f>
        <v>92</v>
      </c>
    </row>
    <row r="154">
      <c r="A154" s="73">
        <v>2017.0</v>
      </c>
      <c r="B154" s="85" t="s">
        <v>50</v>
      </c>
      <c r="C154" s="81">
        <v>36.5</v>
      </c>
      <c r="D154" s="73">
        <v>0.0</v>
      </c>
      <c r="E154" s="83">
        <v>1.0</v>
      </c>
      <c r="F154" s="76">
        <v>0.0</v>
      </c>
      <c r="G154">
        <f>AVERAGE(F154:F155)</f>
        <v>0</v>
      </c>
    </row>
    <row r="155" hidden="1">
      <c r="A155" s="69">
        <v>2002.0</v>
      </c>
      <c r="B155" s="70" t="s">
        <v>52</v>
      </c>
      <c r="C155" s="71">
        <v>18.27</v>
      </c>
      <c r="D155" s="69">
        <v>0.0</v>
      </c>
      <c r="E155" s="72">
        <v>0.0</v>
      </c>
      <c r="F155" s="72">
        <v>0.0</v>
      </c>
    </row>
    <row r="156">
      <c r="A156" s="73">
        <v>2018.0</v>
      </c>
      <c r="B156" s="85" t="s">
        <v>50</v>
      </c>
      <c r="C156" s="81">
        <v>36.1</v>
      </c>
      <c r="D156" s="73">
        <v>0.0</v>
      </c>
      <c r="E156" s="88">
        <v>1.0</v>
      </c>
      <c r="F156" s="76">
        <v>0.0</v>
      </c>
    </row>
    <row r="157">
      <c r="A157" s="73">
        <v>2003.0</v>
      </c>
      <c r="B157" s="74" t="s">
        <v>51</v>
      </c>
      <c r="C157" s="75">
        <v>23.21</v>
      </c>
      <c r="D157" s="73">
        <v>0.0</v>
      </c>
      <c r="E157" s="76">
        <v>0.0</v>
      </c>
      <c r="F157" s="76">
        <v>0.0</v>
      </c>
      <c r="G157">
        <f>AVERAGE(F157:F161)</f>
        <v>0</v>
      </c>
    </row>
    <row r="158">
      <c r="A158" s="73">
        <v>2004.0</v>
      </c>
      <c r="B158" s="74" t="s">
        <v>51</v>
      </c>
      <c r="C158" s="75">
        <v>23.21</v>
      </c>
      <c r="D158" s="73">
        <v>0.0</v>
      </c>
      <c r="E158" s="77">
        <v>0.0</v>
      </c>
      <c r="F158" s="76">
        <v>0.0</v>
      </c>
    </row>
    <row r="159">
      <c r="A159" s="73">
        <v>2005.0</v>
      </c>
      <c r="B159" s="74" t="s">
        <v>51</v>
      </c>
      <c r="C159" s="75">
        <v>23.21</v>
      </c>
      <c r="D159" s="73">
        <v>0.0</v>
      </c>
      <c r="E159" s="78">
        <v>0.0</v>
      </c>
      <c r="F159" s="76">
        <v>0.0</v>
      </c>
    </row>
    <row r="160">
      <c r="A160" s="73">
        <v>2006.0</v>
      </c>
      <c r="B160" s="74" t="s">
        <v>51</v>
      </c>
      <c r="C160" s="75">
        <v>23.21</v>
      </c>
      <c r="D160" s="73">
        <v>0.0</v>
      </c>
      <c r="E160" s="78">
        <v>0.0</v>
      </c>
      <c r="F160" s="76">
        <v>0.0</v>
      </c>
    </row>
    <row r="161">
      <c r="A161" s="73">
        <v>2007.0</v>
      </c>
      <c r="B161" s="74" t="s">
        <v>51</v>
      </c>
      <c r="C161" s="75">
        <v>37.78</v>
      </c>
      <c r="D161" s="73">
        <v>0.0</v>
      </c>
      <c r="E161" s="78">
        <v>0.0</v>
      </c>
      <c r="F161" s="76">
        <v>0.0</v>
      </c>
    </row>
    <row r="162">
      <c r="A162" s="73">
        <v>2008.0</v>
      </c>
      <c r="B162" s="74" t="s">
        <v>51</v>
      </c>
      <c r="C162" s="75">
        <v>37.78</v>
      </c>
      <c r="D162" s="73">
        <v>0.0</v>
      </c>
      <c r="E162" s="78">
        <v>0.0</v>
      </c>
      <c r="F162" s="76">
        <v>0.0</v>
      </c>
      <c r="G162">
        <f>AVERAGE(F162:F165)</f>
        <v>8</v>
      </c>
    </row>
    <row r="163">
      <c r="A163" s="73">
        <v>2009.0</v>
      </c>
      <c r="B163" s="74" t="s">
        <v>51</v>
      </c>
      <c r="C163" s="75">
        <v>37.78</v>
      </c>
      <c r="D163" s="73">
        <v>0.0</v>
      </c>
      <c r="E163" s="79">
        <v>0.0</v>
      </c>
      <c r="F163" s="76">
        <f>32</f>
        <v>32</v>
      </c>
    </row>
    <row r="164">
      <c r="A164" s="73">
        <v>2010.0</v>
      </c>
      <c r="B164" s="74" t="s">
        <v>51</v>
      </c>
      <c r="C164" s="75">
        <v>37.78</v>
      </c>
      <c r="D164" s="73">
        <v>0.0</v>
      </c>
      <c r="E164" s="82">
        <v>0.0</v>
      </c>
      <c r="F164" s="76">
        <v>0.0</v>
      </c>
    </row>
    <row r="165">
      <c r="A165" s="73">
        <v>2011.0</v>
      </c>
      <c r="B165" s="74" t="s">
        <v>51</v>
      </c>
      <c r="C165" s="81">
        <v>46.4</v>
      </c>
      <c r="D165" s="73">
        <v>1.0</v>
      </c>
      <c r="E165" s="82">
        <v>0.0</v>
      </c>
      <c r="F165" s="76">
        <v>0.0</v>
      </c>
    </row>
    <row r="166">
      <c r="A166" s="73">
        <v>2012.0</v>
      </c>
      <c r="B166" s="74" t="s">
        <v>51</v>
      </c>
      <c r="C166" s="81">
        <v>46.4</v>
      </c>
      <c r="D166" s="73">
        <v>1.0</v>
      </c>
      <c r="E166" s="82">
        <v>0.0</v>
      </c>
      <c r="F166" s="76">
        <v>0.0</v>
      </c>
      <c r="G166">
        <f>AVERAGE(F166:F169)</f>
        <v>0</v>
      </c>
    </row>
    <row r="167">
      <c r="A167" s="73">
        <v>2013.0</v>
      </c>
      <c r="B167" s="74" t="s">
        <v>51</v>
      </c>
      <c r="C167" s="81">
        <v>46.4</v>
      </c>
      <c r="D167" s="73">
        <v>1.0</v>
      </c>
      <c r="E167" s="82">
        <v>0.0</v>
      </c>
      <c r="F167" s="76">
        <v>0.0</v>
      </c>
    </row>
    <row r="168">
      <c r="A168" s="73">
        <v>2014.0</v>
      </c>
      <c r="B168" s="74" t="s">
        <v>51</v>
      </c>
      <c r="C168" s="81">
        <v>46.4</v>
      </c>
      <c r="D168" s="73">
        <v>1.0</v>
      </c>
      <c r="E168" s="83">
        <v>1.0</v>
      </c>
      <c r="F168" s="76">
        <v>0.0</v>
      </c>
    </row>
    <row r="169">
      <c r="A169" s="84">
        <v>2015.0</v>
      </c>
      <c r="B169" s="85" t="s">
        <v>51</v>
      </c>
      <c r="C169" s="81">
        <v>38.8</v>
      </c>
      <c r="D169" s="73">
        <v>0.0</v>
      </c>
      <c r="E169" s="83">
        <v>1.0</v>
      </c>
      <c r="F169" s="76">
        <v>0.0</v>
      </c>
    </row>
    <row r="170">
      <c r="A170" s="73">
        <v>2016.0</v>
      </c>
      <c r="B170" s="85" t="s">
        <v>51</v>
      </c>
      <c r="C170" s="81">
        <v>45.2</v>
      </c>
      <c r="D170" s="73">
        <v>1.0</v>
      </c>
      <c r="E170" s="83">
        <v>1.0</v>
      </c>
      <c r="F170" s="76">
        <v>0.0</v>
      </c>
      <c r="G170">
        <f>AVERAGE(F170)</f>
        <v>0</v>
      </c>
    </row>
    <row r="171">
      <c r="A171" s="73">
        <v>2017.0</v>
      </c>
      <c r="B171" s="85" t="s">
        <v>51</v>
      </c>
      <c r="C171" s="81">
        <v>45.2</v>
      </c>
      <c r="D171" s="73">
        <v>1.0</v>
      </c>
      <c r="E171" s="83">
        <v>1.0</v>
      </c>
      <c r="F171" s="76">
        <f>77</f>
        <v>77</v>
      </c>
      <c r="G171">
        <f>AVERAGE(F171:F172)</f>
        <v>38.5</v>
      </c>
    </row>
    <row r="172" hidden="1">
      <c r="A172" s="69">
        <v>2002.0</v>
      </c>
      <c r="B172" s="70" t="s">
        <v>53</v>
      </c>
      <c r="C172" s="71">
        <v>33.58</v>
      </c>
      <c r="D172" s="69">
        <v>0.0</v>
      </c>
      <c r="E172" s="72">
        <v>0.0</v>
      </c>
      <c r="F172" s="72">
        <v>0.0</v>
      </c>
    </row>
    <row r="173">
      <c r="A173" s="73">
        <v>2018.0</v>
      </c>
      <c r="B173" s="85" t="s">
        <v>51</v>
      </c>
      <c r="C173" s="81">
        <v>39.4</v>
      </c>
      <c r="D173" s="73">
        <v>0.0</v>
      </c>
      <c r="E173" s="88">
        <v>1.0</v>
      </c>
      <c r="F173" s="76">
        <v>0.0</v>
      </c>
    </row>
    <row r="174">
      <c r="A174" s="73">
        <v>2003.0</v>
      </c>
      <c r="B174" s="74" t="s">
        <v>52</v>
      </c>
      <c r="C174" s="75">
        <v>18.27</v>
      </c>
      <c r="D174" s="73">
        <v>0.0</v>
      </c>
      <c r="E174" s="76">
        <v>0.0</v>
      </c>
      <c r="F174" s="76">
        <v>0.0</v>
      </c>
      <c r="G174">
        <f>AVERAGE(F174:F178)</f>
        <v>212.8</v>
      </c>
    </row>
    <row r="175">
      <c r="A175" s="73">
        <v>2004.0</v>
      </c>
      <c r="B175" s="74" t="s">
        <v>52</v>
      </c>
      <c r="C175" s="75">
        <v>18.27</v>
      </c>
      <c r="D175" s="73">
        <v>0.0</v>
      </c>
      <c r="E175" s="77">
        <v>1.0</v>
      </c>
      <c r="F175" s="76">
        <v>0.0</v>
      </c>
    </row>
    <row r="176">
      <c r="A176" s="73">
        <v>2005.0</v>
      </c>
      <c r="B176" s="74" t="s">
        <v>52</v>
      </c>
      <c r="C176" s="75">
        <v>18.27</v>
      </c>
      <c r="D176" s="73">
        <v>0.0</v>
      </c>
      <c r="E176" s="78">
        <v>1.0</v>
      </c>
      <c r="F176" s="76">
        <v>0.0</v>
      </c>
    </row>
    <row r="177">
      <c r="A177" s="73">
        <v>2006.0</v>
      </c>
      <c r="B177" s="74" t="s">
        <v>52</v>
      </c>
      <c r="C177" s="75">
        <v>18.27</v>
      </c>
      <c r="D177" s="73">
        <v>0.0</v>
      </c>
      <c r="E177" s="78">
        <v>1.0</v>
      </c>
      <c r="F177" s="76">
        <f>144+
600</f>
        <v>744</v>
      </c>
    </row>
    <row r="178">
      <c r="A178" s="73">
        <v>2007.0</v>
      </c>
      <c r="B178" s="74" t="s">
        <v>52</v>
      </c>
      <c r="C178" s="75">
        <v>29.19</v>
      </c>
      <c r="D178" s="73">
        <v>0.0</v>
      </c>
      <c r="E178" s="78">
        <v>1.0</v>
      </c>
      <c r="F178" s="76">
        <f>192+
128</f>
        <v>320</v>
      </c>
    </row>
    <row r="179">
      <c r="A179" s="73">
        <v>2008.0</v>
      </c>
      <c r="B179" s="74" t="s">
        <v>52</v>
      </c>
      <c r="C179" s="75">
        <v>29.19</v>
      </c>
      <c r="D179" s="73">
        <v>0.0</v>
      </c>
      <c r="E179" s="78">
        <v>1.0</v>
      </c>
      <c r="F179" s="76">
        <v>0.0</v>
      </c>
      <c r="G179">
        <f>AVERAGE(F179:F182)</f>
        <v>35</v>
      </c>
    </row>
    <row r="180">
      <c r="A180" s="73">
        <v>2009.0</v>
      </c>
      <c r="B180" s="74" t="s">
        <v>52</v>
      </c>
      <c r="C180" s="75">
        <v>29.19</v>
      </c>
      <c r="D180" s="73">
        <v>0.0</v>
      </c>
      <c r="E180" s="79">
        <v>0.0</v>
      </c>
      <c r="F180" s="76">
        <f>140</f>
        <v>140</v>
      </c>
    </row>
    <row r="181">
      <c r="A181" s="73">
        <v>2010.0</v>
      </c>
      <c r="B181" s="74" t="s">
        <v>52</v>
      </c>
      <c r="C181" s="75">
        <v>29.19</v>
      </c>
      <c r="D181" s="73">
        <v>0.0</v>
      </c>
      <c r="E181" s="82">
        <v>0.0</v>
      </c>
      <c r="F181" s="76">
        <v>0.0</v>
      </c>
    </row>
    <row r="182">
      <c r="A182" s="73">
        <v>2011.0</v>
      </c>
      <c r="B182" s="74" t="s">
        <v>52</v>
      </c>
      <c r="C182" s="81">
        <v>35.5</v>
      </c>
      <c r="D182" s="73">
        <v>0.0</v>
      </c>
      <c r="E182" s="82">
        <v>0.0</v>
      </c>
      <c r="F182" s="76">
        <v>0.0</v>
      </c>
    </row>
    <row r="183">
      <c r="A183" s="73">
        <v>2012.0</v>
      </c>
      <c r="B183" s="74" t="s">
        <v>52</v>
      </c>
      <c r="C183" s="81">
        <v>35.5</v>
      </c>
      <c r="D183" s="73">
        <v>0.0</v>
      </c>
      <c r="E183" s="82">
        <v>0.0</v>
      </c>
      <c r="F183" s="76">
        <v>0.0</v>
      </c>
      <c r="G183">
        <f>AVERAGE(F183:F186)</f>
        <v>0</v>
      </c>
    </row>
    <row r="184">
      <c r="A184" s="73">
        <v>2013.0</v>
      </c>
      <c r="B184" s="74" t="s">
        <v>52</v>
      </c>
      <c r="C184" s="81">
        <v>35.5</v>
      </c>
      <c r="D184" s="73">
        <v>0.0</v>
      </c>
      <c r="E184" s="82">
        <v>0.0</v>
      </c>
      <c r="F184" s="76">
        <v>0.0</v>
      </c>
    </row>
    <row r="185">
      <c r="A185" s="73">
        <v>2014.0</v>
      </c>
      <c r="B185" s="74" t="s">
        <v>52</v>
      </c>
      <c r="C185" s="81">
        <v>35.5</v>
      </c>
      <c r="D185" s="73">
        <v>0.0</v>
      </c>
      <c r="E185" s="83">
        <v>0.0</v>
      </c>
      <c r="F185" s="76">
        <v>0.0</v>
      </c>
    </row>
    <row r="186">
      <c r="A186" s="84">
        <v>2015.0</v>
      </c>
      <c r="B186" s="85" t="s">
        <v>52</v>
      </c>
      <c r="C186" s="81">
        <v>29.3</v>
      </c>
      <c r="D186" s="73">
        <v>0.0</v>
      </c>
      <c r="E186" s="83">
        <v>0.0</v>
      </c>
      <c r="F186" s="76">
        <v>0.0</v>
      </c>
    </row>
    <row r="187">
      <c r="A187" s="73">
        <v>2016.0</v>
      </c>
      <c r="B187" s="85" t="s">
        <v>52</v>
      </c>
      <c r="C187" s="81">
        <v>33.8</v>
      </c>
      <c r="D187" s="73">
        <v>0.0</v>
      </c>
      <c r="E187" s="83">
        <v>0.0</v>
      </c>
      <c r="F187" s="76">
        <f>177</f>
        <v>177</v>
      </c>
      <c r="G187">
        <f>AVERAGE(F187)</f>
        <v>177</v>
      </c>
    </row>
    <row r="188">
      <c r="A188" s="73">
        <v>2017.0</v>
      </c>
      <c r="B188" s="85" t="s">
        <v>52</v>
      </c>
      <c r="C188" s="81">
        <v>33.8</v>
      </c>
      <c r="D188" s="73">
        <v>0.0</v>
      </c>
      <c r="E188" s="83">
        <v>0.0</v>
      </c>
      <c r="F188" s="76">
        <v>0.0</v>
      </c>
      <c r="G188">
        <f>AVERAGE(F188:F189)</f>
        <v>0</v>
      </c>
    </row>
    <row r="189" hidden="1">
      <c r="A189" s="69">
        <v>2002.0</v>
      </c>
      <c r="B189" s="70" t="s">
        <v>54</v>
      </c>
      <c r="C189" s="71">
        <v>28.59</v>
      </c>
      <c r="D189" s="69">
        <v>0.0</v>
      </c>
      <c r="E189" s="72">
        <v>0.0</v>
      </c>
      <c r="F189" s="72">
        <v>0.0</v>
      </c>
    </row>
    <row r="190">
      <c r="A190" s="73">
        <v>2018.0</v>
      </c>
      <c r="B190" s="85" t="s">
        <v>52</v>
      </c>
      <c r="C190" s="81">
        <v>31.3</v>
      </c>
      <c r="D190" s="73">
        <v>0.0</v>
      </c>
      <c r="E190" s="88">
        <v>0.0</v>
      </c>
      <c r="F190" s="76">
        <v>0.0</v>
      </c>
    </row>
    <row r="191">
      <c r="A191" s="73">
        <v>2003.0</v>
      </c>
      <c r="B191" s="74" t="s">
        <v>53</v>
      </c>
      <c r="C191" s="75">
        <v>33.58</v>
      </c>
      <c r="D191" s="73">
        <v>0.0</v>
      </c>
      <c r="E191" s="76">
        <v>0.0</v>
      </c>
      <c r="F191" s="76">
        <v>0.0</v>
      </c>
      <c r="G191">
        <f>AVERAGE(F191:F195)</f>
        <v>887.2</v>
      </c>
    </row>
    <row r="192">
      <c r="A192" s="73">
        <v>2004.0</v>
      </c>
      <c r="B192" s="74" t="s">
        <v>53</v>
      </c>
      <c r="C192" s="75">
        <v>33.58</v>
      </c>
      <c r="D192" s="73">
        <v>0.0</v>
      </c>
      <c r="E192" s="77">
        <v>1.0</v>
      </c>
      <c r="F192" s="76">
        <v>0.0</v>
      </c>
    </row>
    <row r="193">
      <c r="A193" s="73">
        <v>2005.0</v>
      </c>
      <c r="B193" s="74" t="s">
        <v>53</v>
      </c>
      <c r="C193" s="75">
        <v>33.58</v>
      </c>
      <c r="D193" s="73">
        <v>0.0</v>
      </c>
      <c r="E193" s="78">
        <v>1.0</v>
      </c>
      <c r="F193" s="76">
        <f>496+
252+
766+
480+
264</f>
        <v>2258</v>
      </c>
    </row>
    <row r="194">
      <c r="A194" s="73">
        <v>2006.0</v>
      </c>
      <c r="B194" s="74" t="s">
        <v>53</v>
      </c>
      <c r="C194" s="75">
        <v>33.58</v>
      </c>
      <c r="D194" s="73">
        <v>0.0</v>
      </c>
      <c r="E194" s="78">
        <v>1.0</v>
      </c>
      <c r="F194" s="76">
        <v>0.0</v>
      </c>
    </row>
    <row r="195">
      <c r="A195" s="73">
        <v>2007.0</v>
      </c>
      <c r="B195" s="74" t="s">
        <v>53</v>
      </c>
      <c r="C195" s="75">
        <v>41.47</v>
      </c>
      <c r="D195" s="73">
        <v>1.0</v>
      </c>
      <c r="E195" s="78">
        <v>1.0</v>
      </c>
      <c r="F195" s="76">
        <f>412+
838+
176+
164+
412+
176</f>
        <v>2178</v>
      </c>
    </row>
    <row r="196">
      <c r="A196" s="73">
        <v>2008.0</v>
      </c>
      <c r="B196" s="74" t="s">
        <v>53</v>
      </c>
      <c r="C196" s="75">
        <v>41.47</v>
      </c>
      <c r="D196" s="73">
        <v>1.0</v>
      </c>
      <c r="E196" s="78">
        <v>1.0</v>
      </c>
      <c r="F196" s="76">
        <f>6</f>
        <v>6</v>
      </c>
      <c r="G196">
        <f>AVERAGE(F196:F199)</f>
        <v>210</v>
      </c>
    </row>
    <row r="197">
      <c r="A197" s="73">
        <v>2009.0</v>
      </c>
      <c r="B197" s="74" t="s">
        <v>53</v>
      </c>
      <c r="C197" s="75">
        <v>41.47</v>
      </c>
      <c r="D197" s="73">
        <v>1.0</v>
      </c>
      <c r="E197" s="79">
        <v>0.0</v>
      </c>
      <c r="F197" s="76">
        <f>146+
80</f>
        <v>226</v>
      </c>
    </row>
    <row r="198">
      <c r="A198" s="73">
        <v>2010.0</v>
      </c>
      <c r="B198" s="74" t="s">
        <v>53</v>
      </c>
      <c r="C198" s="75">
        <v>41.47</v>
      </c>
      <c r="D198" s="73">
        <v>1.0</v>
      </c>
      <c r="E198" s="82">
        <v>0.0</v>
      </c>
      <c r="F198" s="76">
        <f>96</f>
        <v>96</v>
      </c>
    </row>
    <row r="199">
      <c r="A199" s="73">
        <v>2011.0</v>
      </c>
      <c r="B199" s="74" t="s">
        <v>53</v>
      </c>
      <c r="C199" s="81">
        <v>46.5</v>
      </c>
      <c r="D199" s="73">
        <v>1.0</v>
      </c>
      <c r="E199" s="82">
        <v>0.0</v>
      </c>
      <c r="F199" s="76">
        <f>156+
140+
120+
96</f>
        <v>512</v>
      </c>
    </row>
    <row r="200">
      <c r="A200" s="73">
        <v>2012.0</v>
      </c>
      <c r="B200" s="74" t="s">
        <v>53</v>
      </c>
      <c r="C200" s="81">
        <v>46.5</v>
      </c>
      <c r="D200" s="73">
        <v>1.0</v>
      </c>
      <c r="E200" s="82">
        <v>0.0</v>
      </c>
      <c r="F200" s="76">
        <v>0.0</v>
      </c>
      <c r="G200">
        <f>AVERAGE(F200:F203)</f>
        <v>205</v>
      </c>
    </row>
    <row r="201">
      <c r="A201" s="73">
        <v>2013.0</v>
      </c>
      <c r="B201" s="74" t="s">
        <v>53</v>
      </c>
      <c r="C201" s="81">
        <v>46.5</v>
      </c>
      <c r="D201" s="73">
        <v>1.0</v>
      </c>
      <c r="E201" s="82">
        <v>0.0</v>
      </c>
      <c r="F201" s="76">
        <f>376</f>
        <v>376</v>
      </c>
    </row>
    <row r="202">
      <c r="A202" s="73">
        <v>2014.0</v>
      </c>
      <c r="B202" s="74" t="s">
        <v>53</v>
      </c>
      <c r="C202" s="81">
        <v>46.5</v>
      </c>
      <c r="D202" s="73">
        <v>1.0</v>
      </c>
      <c r="E202" s="83">
        <v>1.0</v>
      </c>
      <c r="F202" s="76">
        <f>128+
316</f>
        <v>444</v>
      </c>
    </row>
    <row r="203">
      <c r="A203" s="84">
        <v>2015.0</v>
      </c>
      <c r="B203" s="85" t="s">
        <v>53</v>
      </c>
      <c r="C203" s="81">
        <v>38.9</v>
      </c>
      <c r="D203" s="73">
        <v>0.0</v>
      </c>
      <c r="E203" s="83">
        <v>1.0</v>
      </c>
      <c r="F203" s="76">
        <v>0.0</v>
      </c>
    </row>
    <row r="204">
      <c r="A204" s="73">
        <v>2016.0</v>
      </c>
      <c r="B204" s="85" t="s">
        <v>53</v>
      </c>
      <c r="C204" s="81">
        <v>45.5</v>
      </c>
      <c r="D204" s="73">
        <v>1.0</v>
      </c>
      <c r="E204" s="83">
        <v>1.0</v>
      </c>
      <c r="F204" s="76">
        <f>668+
112</f>
        <v>780</v>
      </c>
      <c r="G204">
        <f>AVERAGE(F204)</f>
        <v>780</v>
      </c>
    </row>
    <row r="205">
      <c r="A205" s="73">
        <v>2017.0</v>
      </c>
      <c r="B205" s="85" t="s">
        <v>53</v>
      </c>
      <c r="C205" s="81">
        <v>45.5</v>
      </c>
      <c r="D205" s="73">
        <v>1.0</v>
      </c>
      <c r="E205" s="83">
        <v>1.0</v>
      </c>
      <c r="F205" s="76">
        <f>110</f>
        <v>110</v>
      </c>
      <c r="G205">
        <f>AVERAGE(F205:F206)</f>
        <v>55</v>
      </c>
    </row>
    <row r="206" hidden="1">
      <c r="A206" s="69">
        <v>2002.0</v>
      </c>
      <c r="B206" s="70" t="s">
        <v>55</v>
      </c>
      <c r="C206" s="71">
        <v>20.62</v>
      </c>
      <c r="D206" s="69">
        <v>0.0</v>
      </c>
      <c r="E206" s="72">
        <v>0.0</v>
      </c>
      <c r="F206" s="72">
        <v>0.0</v>
      </c>
    </row>
    <row r="207">
      <c r="A207" s="73">
        <v>2018.0</v>
      </c>
      <c r="B207" s="85" t="s">
        <v>53</v>
      </c>
      <c r="C207" s="81">
        <v>40.4</v>
      </c>
      <c r="D207" s="73">
        <v>1.0</v>
      </c>
      <c r="E207" s="88">
        <v>1.0</v>
      </c>
      <c r="F207" s="76">
        <f>322+
625</f>
        <v>947</v>
      </c>
    </row>
    <row r="208">
      <c r="A208" s="73">
        <v>2003.0</v>
      </c>
      <c r="B208" s="74" t="s">
        <v>54</v>
      </c>
      <c r="C208" s="75">
        <v>28.59</v>
      </c>
      <c r="D208" s="73">
        <v>0.0</v>
      </c>
      <c r="E208" s="76">
        <v>0.0</v>
      </c>
      <c r="F208" s="76">
        <v>0.0</v>
      </c>
      <c r="G208">
        <f>AVERAGE(F208:F212)</f>
        <v>139.6</v>
      </c>
    </row>
    <row r="209">
      <c r="A209" s="73">
        <v>2004.0</v>
      </c>
      <c r="B209" s="74" t="s">
        <v>54</v>
      </c>
      <c r="C209" s="75">
        <v>28.59</v>
      </c>
      <c r="D209" s="73">
        <v>0.0</v>
      </c>
      <c r="E209" s="77">
        <v>0.0</v>
      </c>
      <c r="F209" s="76">
        <v>0.0</v>
      </c>
    </row>
    <row r="210">
      <c r="A210" s="73">
        <v>2005.0</v>
      </c>
      <c r="B210" s="74" t="s">
        <v>54</v>
      </c>
      <c r="C210" s="75">
        <v>28.59</v>
      </c>
      <c r="D210" s="73">
        <v>0.0</v>
      </c>
      <c r="E210" s="78">
        <v>0.0</v>
      </c>
      <c r="F210" s="76">
        <f>492</f>
        <v>492</v>
      </c>
    </row>
    <row r="211">
      <c r="A211" s="73">
        <v>2006.0</v>
      </c>
      <c r="B211" s="74" t="s">
        <v>54</v>
      </c>
      <c r="C211" s="75">
        <v>28.59</v>
      </c>
      <c r="D211" s="73">
        <v>0.0</v>
      </c>
      <c r="E211" s="78">
        <v>0.0</v>
      </c>
      <c r="F211" s="76">
        <v>0.0</v>
      </c>
    </row>
    <row r="212">
      <c r="A212" s="73">
        <v>2007.0</v>
      </c>
      <c r="B212" s="74" t="s">
        <v>54</v>
      </c>
      <c r="C212" s="75">
        <v>38.57</v>
      </c>
      <c r="D212" s="73">
        <v>0.0</v>
      </c>
      <c r="E212" s="78">
        <v>0.0</v>
      </c>
      <c r="F212" s="76">
        <f>206</f>
        <v>206</v>
      </c>
    </row>
    <row r="213">
      <c r="A213" s="73">
        <v>2008.0</v>
      </c>
      <c r="B213" s="74" t="s">
        <v>54</v>
      </c>
      <c r="C213" s="75">
        <v>38.57</v>
      </c>
      <c r="D213" s="73">
        <v>0.0</v>
      </c>
      <c r="E213" s="78">
        <v>0.0</v>
      </c>
      <c r="F213" s="76">
        <v>0.0</v>
      </c>
      <c r="G213">
        <f>AVERAGE(F213:F216)</f>
        <v>48</v>
      </c>
    </row>
    <row r="214">
      <c r="A214" s="73">
        <v>2009.0</v>
      </c>
      <c r="B214" s="74" t="s">
        <v>54</v>
      </c>
      <c r="C214" s="75">
        <v>38.57</v>
      </c>
      <c r="D214" s="73">
        <v>0.0</v>
      </c>
      <c r="E214" s="79">
        <v>0.0</v>
      </c>
      <c r="F214" s="76">
        <v>0.0</v>
      </c>
    </row>
    <row r="215">
      <c r="A215" s="73">
        <v>2010.0</v>
      </c>
      <c r="B215" s="74" t="s">
        <v>54</v>
      </c>
      <c r="C215" s="75">
        <v>38.57</v>
      </c>
      <c r="D215" s="73">
        <v>0.0</v>
      </c>
      <c r="E215" s="82">
        <v>0.0</v>
      </c>
      <c r="F215" s="76">
        <f>192</f>
        <v>192</v>
      </c>
    </row>
    <row r="216">
      <c r="A216" s="73">
        <v>2011.0</v>
      </c>
      <c r="B216" s="74" t="s">
        <v>54</v>
      </c>
      <c r="C216" s="81">
        <v>48.2</v>
      </c>
      <c r="D216" s="73">
        <v>1.0</v>
      </c>
      <c r="E216" s="82">
        <v>0.0</v>
      </c>
      <c r="F216" s="76">
        <v>0.0</v>
      </c>
    </row>
    <row r="217">
      <c r="A217" s="73">
        <v>2012.0</v>
      </c>
      <c r="B217" s="74" t="s">
        <v>54</v>
      </c>
      <c r="C217" s="81">
        <v>48.2</v>
      </c>
      <c r="D217" s="73">
        <v>1.0</v>
      </c>
      <c r="E217" s="82">
        <v>0.0</v>
      </c>
      <c r="F217" s="76">
        <v>0.0</v>
      </c>
      <c r="G217">
        <f>AVERAGE(F217:F220)</f>
        <v>0</v>
      </c>
    </row>
    <row r="218">
      <c r="A218" s="73">
        <v>2013.0</v>
      </c>
      <c r="B218" s="74" t="s">
        <v>54</v>
      </c>
      <c r="C218" s="81">
        <v>48.2</v>
      </c>
      <c r="D218" s="73">
        <v>1.0</v>
      </c>
      <c r="E218" s="82">
        <v>0.0</v>
      </c>
      <c r="F218" s="76">
        <v>0.0</v>
      </c>
    </row>
    <row r="219">
      <c r="A219" s="73">
        <v>2014.0</v>
      </c>
      <c r="B219" s="74" t="s">
        <v>54</v>
      </c>
      <c r="C219" s="81">
        <v>48.2</v>
      </c>
      <c r="D219" s="73">
        <v>1.0</v>
      </c>
      <c r="E219" s="83">
        <v>0.0</v>
      </c>
      <c r="F219" s="76">
        <v>0.0</v>
      </c>
    </row>
    <row r="220">
      <c r="A220" s="84">
        <v>2015.0</v>
      </c>
      <c r="B220" s="85" t="s">
        <v>54</v>
      </c>
      <c r="C220" s="81">
        <v>41.5</v>
      </c>
      <c r="D220" s="73">
        <v>1.0</v>
      </c>
      <c r="E220" s="83">
        <v>0.0</v>
      </c>
      <c r="F220" s="76">
        <v>0.0</v>
      </c>
    </row>
    <row r="221">
      <c r="A221" s="73">
        <v>2016.0</v>
      </c>
      <c r="B221" s="85" t="s">
        <v>54</v>
      </c>
      <c r="C221" s="81">
        <v>53.3</v>
      </c>
      <c r="D221" s="73">
        <v>1.0</v>
      </c>
      <c r="E221" s="83">
        <v>0.0</v>
      </c>
      <c r="F221" s="76">
        <v>0.0</v>
      </c>
      <c r="G221">
        <f>AVERAGE(F221)</f>
        <v>0</v>
      </c>
    </row>
    <row r="222">
      <c r="A222" s="73">
        <v>2017.0</v>
      </c>
      <c r="B222" s="85" t="s">
        <v>54</v>
      </c>
      <c r="C222" s="81">
        <v>53.3</v>
      </c>
      <c r="D222" s="73">
        <v>1.0</v>
      </c>
      <c r="E222" s="83">
        <v>0.0</v>
      </c>
      <c r="F222" s="76">
        <f>320</f>
        <v>320</v>
      </c>
      <c r="G222">
        <f>AVERAGE(F222:F223)</f>
        <v>160</v>
      </c>
    </row>
    <row r="223" hidden="1">
      <c r="A223" s="69">
        <v>2002.0</v>
      </c>
      <c r="B223" s="70" t="s">
        <v>56</v>
      </c>
      <c r="C223" s="71">
        <v>26.74</v>
      </c>
      <c r="D223" s="69">
        <v>0.0</v>
      </c>
      <c r="E223" s="72">
        <v>0.0</v>
      </c>
      <c r="F223" s="72">
        <v>0.0</v>
      </c>
    </row>
    <row r="224">
      <c r="A224" s="73">
        <v>2018.0</v>
      </c>
      <c r="B224" s="85" t="s">
        <v>54</v>
      </c>
      <c r="C224" s="81">
        <v>46.0</v>
      </c>
      <c r="D224" s="73">
        <v>1.0</v>
      </c>
      <c r="E224" s="88">
        <v>0.0</v>
      </c>
      <c r="F224" s="76">
        <v>0.0</v>
      </c>
    </row>
    <row r="225">
      <c r="A225" s="73">
        <v>2003.0</v>
      </c>
      <c r="B225" s="74" t="s">
        <v>55</v>
      </c>
      <c r="C225" s="75">
        <v>20.62</v>
      </c>
      <c r="D225" s="73">
        <v>0.0</v>
      </c>
      <c r="E225" s="76">
        <v>0.0</v>
      </c>
      <c r="F225" s="76">
        <v>0.0</v>
      </c>
      <c r="G225">
        <f>AVERAGE(F225:F229)</f>
        <v>279.6</v>
      </c>
    </row>
    <row r="226">
      <c r="A226" s="73">
        <v>2004.0</v>
      </c>
      <c r="B226" s="74" t="s">
        <v>55</v>
      </c>
      <c r="C226" s="75">
        <v>20.62</v>
      </c>
      <c r="D226" s="73">
        <v>0.0</v>
      </c>
      <c r="E226" s="77">
        <v>0.0</v>
      </c>
      <c r="F226" s="76">
        <v>0.0</v>
      </c>
    </row>
    <row r="227">
      <c r="A227" s="73">
        <v>2005.0</v>
      </c>
      <c r="B227" s="74" t="s">
        <v>55</v>
      </c>
      <c r="C227" s="75">
        <v>20.62</v>
      </c>
      <c r="D227" s="73">
        <v>0.0</v>
      </c>
      <c r="E227" s="78">
        <v>0.0</v>
      </c>
      <c r="F227" s="76">
        <f>196</f>
        <v>196</v>
      </c>
    </row>
    <row r="228">
      <c r="A228" s="73">
        <v>2006.0</v>
      </c>
      <c r="B228" s="74" t="s">
        <v>55</v>
      </c>
      <c r="C228" s="75">
        <v>20.62</v>
      </c>
      <c r="D228" s="73">
        <v>0.0</v>
      </c>
      <c r="E228" s="78">
        <v>0.0</v>
      </c>
      <c r="F228" s="76">
        <f>382+
606+
214</f>
        <v>1202</v>
      </c>
    </row>
    <row r="229">
      <c r="A229" s="73">
        <v>2007.0</v>
      </c>
      <c r="B229" s="74" t="s">
        <v>55</v>
      </c>
      <c r="C229" s="75">
        <v>46.41</v>
      </c>
      <c r="D229" s="73">
        <v>1.0</v>
      </c>
      <c r="E229" s="78">
        <v>0.0</v>
      </c>
      <c r="F229" s="76">
        <v>0.0</v>
      </c>
    </row>
    <row r="230">
      <c r="A230" s="73">
        <v>2008.0</v>
      </c>
      <c r="B230" s="74" t="s">
        <v>55</v>
      </c>
      <c r="C230" s="75">
        <v>46.41</v>
      </c>
      <c r="D230" s="73">
        <v>1.0</v>
      </c>
      <c r="E230" s="78">
        <v>0.0</v>
      </c>
      <c r="F230" s="76">
        <f>6</f>
        <v>6</v>
      </c>
      <c r="G230">
        <f>AVERAGE(F230:F233)</f>
        <v>186.5</v>
      </c>
    </row>
    <row r="231">
      <c r="A231" s="73">
        <v>2009.0</v>
      </c>
      <c r="B231" s="74" t="s">
        <v>55</v>
      </c>
      <c r="C231" s="75">
        <v>46.41</v>
      </c>
      <c r="D231" s="73">
        <v>1.0</v>
      </c>
      <c r="E231" s="79">
        <v>0.0</v>
      </c>
      <c r="F231" s="76">
        <f>672+
10</f>
        <v>682</v>
      </c>
    </row>
    <row r="232">
      <c r="A232" s="73">
        <v>2010.0</v>
      </c>
      <c r="B232" s="74" t="s">
        <v>55</v>
      </c>
      <c r="C232" s="75">
        <v>46.41</v>
      </c>
      <c r="D232" s="73">
        <v>1.0</v>
      </c>
      <c r="E232" s="82">
        <v>0.0</v>
      </c>
      <c r="F232" s="76">
        <f>58</f>
        <v>58</v>
      </c>
    </row>
    <row r="233">
      <c r="A233" s="73">
        <v>2011.0</v>
      </c>
      <c r="B233" s="74" t="s">
        <v>55</v>
      </c>
      <c r="C233" s="81">
        <v>37.1</v>
      </c>
      <c r="D233" s="73">
        <v>0.0</v>
      </c>
      <c r="E233" s="82">
        <v>0.0</v>
      </c>
      <c r="F233" s="76">
        <v>0.0</v>
      </c>
    </row>
    <row r="234">
      <c r="A234" s="73">
        <v>2012.0</v>
      </c>
      <c r="B234" s="74" t="s">
        <v>55</v>
      </c>
      <c r="C234" s="81">
        <v>37.1</v>
      </c>
      <c r="D234" s="73">
        <v>0.0</v>
      </c>
      <c r="E234" s="82">
        <v>0.0</v>
      </c>
      <c r="F234" s="76">
        <v>0.0</v>
      </c>
      <c r="G234">
        <f>AVERAGE(F234:F237)</f>
        <v>423.75</v>
      </c>
    </row>
    <row r="235">
      <c r="A235" s="73">
        <v>2013.0</v>
      </c>
      <c r="B235" s="74" t="s">
        <v>55</v>
      </c>
      <c r="C235" s="81">
        <v>37.1</v>
      </c>
      <c r="D235" s="73">
        <v>0.0</v>
      </c>
      <c r="E235" s="82">
        <v>0.0</v>
      </c>
      <c r="F235" s="76">
        <f>485+
537+
450</f>
        <v>1472</v>
      </c>
    </row>
    <row r="236">
      <c r="A236" s="73">
        <v>2014.0</v>
      </c>
      <c r="B236" s="74" t="s">
        <v>55</v>
      </c>
      <c r="C236" s="81">
        <v>37.1</v>
      </c>
      <c r="D236" s="73">
        <v>0.0</v>
      </c>
      <c r="E236" s="83">
        <v>0.0</v>
      </c>
      <c r="F236" s="76">
        <f>60</f>
        <v>60</v>
      </c>
    </row>
    <row r="237">
      <c r="A237" s="84">
        <v>2015.0</v>
      </c>
      <c r="B237" s="85" t="s">
        <v>55</v>
      </c>
      <c r="C237" s="81">
        <v>18.2</v>
      </c>
      <c r="D237" s="73">
        <v>0.0</v>
      </c>
      <c r="E237" s="83">
        <v>0.0</v>
      </c>
      <c r="F237" s="76">
        <f>163</f>
        <v>163</v>
      </c>
    </row>
    <row r="238">
      <c r="A238" s="73">
        <v>2016.0</v>
      </c>
      <c r="B238" s="85" t="s">
        <v>55</v>
      </c>
      <c r="C238" s="81">
        <v>28.4</v>
      </c>
      <c r="D238" s="73">
        <v>0.0</v>
      </c>
      <c r="E238" s="83">
        <v>0.0</v>
      </c>
      <c r="F238" s="76">
        <f>320</f>
        <v>320</v>
      </c>
      <c r="G238">
        <f>AVERAGE(F238)</f>
        <v>320</v>
      </c>
    </row>
    <row r="239">
      <c r="A239" s="73">
        <v>2017.0</v>
      </c>
      <c r="B239" s="85" t="s">
        <v>55</v>
      </c>
      <c r="C239" s="81">
        <v>28.4</v>
      </c>
      <c r="D239" s="73">
        <v>0.0</v>
      </c>
      <c r="E239" s="83">
        <v>0.0</v>
      </c>
      <c r="F239" s="76">
        <f>390</f>
        <v>390</v>
      </c>
      <c r="G239">
        <f>AVERAGE(F239:F240)</f>
        <v>195</v>
      </c>
    </row>
    <row r="240" hidden="1">
      <c r="A240" s="69">
        <v>2002.0</v>
      </c>
      <c r="B240" s="70" t="s">
        <v>57</v>
      </c>
      <c r="C240" s="71">
        <v>24.88</v>
      </c>
      <c r="D240" s="69">
        <v>0.0</v>
      </c>
      <c r="E240" s="72">
        <v>0.0</v>
      </c>
      <c r="F240" s="72">
        <v>0.0</v>
      </c>
    </row>
    <row r="241">
      <c r="A241" s="73">
        <v>2018.0</v>
      </c>
      <c r="B241" s="85" t="s">
        <v>55</v>
      </c>
      <c r="C241" s="81">
        <v>23.9</v>
      </c>
      <c r="D241" s="73">
        <v>0.0</v>
      </c>
      <c r="E241" s="88">
        <v>0.0</v>
      </c>
      <c r="F241" s="76">
        <v>0.0</v>
      </c>
    </row>
    <row r="242">
      <c r="A242" s="73">
        <v>2003.0</v>
      </c>
      <c r="B242" s="74" t="s">
        <v>56</v>
      </c>
      <c r="C242" s="75">
        <v>26.74</v>
      </c>
      <c r="D242" s="73">
        <v>0.0</v>
      </c>
      <c r="E242" s="76">
        <v>0.0</v>
      </c>
      <c r="F242" s="76">
        <v>0.0</v>
      </c>
      <c r="G242">
        <f>AVERAGE(F242:F246)</f>
        <v>32.8</v>
      </c>
    </row>
    <row r="243">
      <c r="A243" s="73">
        <v>2004.0</v>
      </c>
      <c r="B243" s="74" t="s">
        <v>56</v>
      </c>
      <c r="C243" s="75">
        <v>26.74</v>
      </c>
      <c r="D243" s="73">
        <v>0.0</v>
      </c>
      <c r="E243" s="77">
        <v>1.0</v>
      </c>
      <c r="F243" s="76">
        <v>0.0</v>
      </c>
    </row>
    <row r="244">
      <c r="A244" s="73">
        <v>2005.0</v>
      </c>
      <c r="B244" s="74" t="s">
        <v>56</v>
      </c>
      <c r="C244" s="75">
        <v>26.74</v>
      </c>
      <c r="D244" s="73">
        <v>0.0</v>
      </c>
      <c r="E244" s="78">
        <v>1.0</v>
      </c>
      <c r="F244" s="76">
        <f>128</f>
        <v>128</v>
      </c>
    </row>
    <row r="245">
      <c r="A245" s="73">
        <v>2006.0</v>
      </c>
      <c r="B245" s="74" t="s">
        <v>56</v>
      </c>
      <c r="C245" s="75">
        <v>26.74</v>
      </c>
      <c r="D245" s="73">
        <v>0.0</v>
      </c>
      <c r="E245" s="78">
        <v>1.0</v>
      </c>
      <c r="F245" s="76">
        <f>36</f>
        <v>36</v>
      </c>
    </row>
    <row r="246">
      <c r="A246" s="73">
        <v>2007.0</v>
      </c>
      <c r="B246" s="74" t="s">
        <v>56</v>
      </c>
      <c r="C246" s="75">
        <v>60.75</v>
      </c>
      <c r="D246" s="73">
        <v>1.0</v>
      </c>
      <c r="E246" s="78">
        <v>1.0</v>
      </c>
      <c r="F246" s="76">
        <v>0.0</v>
      </c>
    </row>
    <row r="247">
      <c r="A247" s="73">
        <v>2008.0</v>
      </c>
      <c r="B247" s="74" t="s">
        <v>56</v>
      </c>
      <c r="C247" s="75">
        <v>60.75</v>
      </c>
      <c r="D247" s="73">
        <v>1.0</v>
      </c>
      <c r="E247" s="78">
        <v>1.0</v>
      </c>
      <c r="F247" s="76">
        <f>80</f>
        <v>80</v>
      </c>
      <c r="G247">
        <f>AVERAGE(F247:F250)</f>
        <v>105</v>
      </c>
    </row>
    <row r="248">
      <c r="A248" s="73">
        <v>2009.0</v>
      </c>
      <c r="B248" s="74" t="s">
        <v>56</v>
      </c>
      <c r="C248" s="75">
        <v>60.75</v>
      </c>
      <c r="D248" s="73">
        <v>1.0</v>
      </c>
      <c r="E248" s="79">
        <v>1.0</v>
      </c>
      <c r="F248" s="76">
        <v>0.0</v>
      </c>
    </row>
    <row r="249">
      <c r="A249" s="73">
        <v>2010.0</v>
      </c>
      <c r="B249" s="74" t="s">
        <v>56</v>
      </c>
      <c r="C249" s="75">
        <v>60.75</v>
      </c>
      <c r="D249" s="73">
        <v>1.0</v>
      </c>
      <c r="E249" s="82">
        <v>1.0</v>
      </c>
      <c r="F249" s="76">
        <f>340</f>
        <v>340</v>
      </c>
    </row>
    <row r="250">
      <c r="A250" s="73">
        <v>2011.0</v>
      </c>
      <c r="B250" s="74" t="s">
        <v>56</v>
      </c>
      <c r="C250" s="81">
        <v>63.4</v>
      </c>
      <c r="D250" s="73">
        <v>1.0</v>
      </c>
      <c r="E250" s="82">
        <v>1.0</v>
      </c>
      <c r="F250" s="76">
        <v>0.0</v>
      </c>
    </row>
    <row r="251">
      <c r="A251" s="73">
        <v>2012.0</v>
      </c>
      <c r="B251" s="74" t="s">
        <v>56</v>
      </c>
      <c r="C251" s="81">
        <v>63.4</v>
      </c>
      <c r="D251" s="73">
        <v>1.0</v>
      </c>
      <c r="E251" s="82">
        <v>1.0</v>
      </c>
      <c r="F251" s="76">
        <v>0.0</v>
      </c>
      <c r="G251">
        <f>AVERAGE(F251:F254)</f>
        <v>15</v>
      </c>
    </row>
    <row r="252">
      <c r="A252" s="73">
        <v>2013.0</v>
      </c>
      <c r="B252" s="74" t="s">
        <v>56</v>
      </c>
      <c r="C252" s="81">
        <v>63.4</v>
      </c>
      <c r="D252" s="73">
        <v>1.0</v>
      </c>
      <c r="E252" s="82">
        <v>1.0</v>
      </c>
      <c r="F252" s="76">
        <v>0.0</v>
      </c>
    </row>
    <row r="253">
      <c r="A253" s="73">
        <v>2014.0</v>
      </c>
      <c r="B253" s="74" t="s">
        <v>56</v>
      </c>
      <c r="C253" s="81">
        <v>63.4</v>
      </c>
      <c r="D253" s="73">
        <v>1.0</v>
      </c>
      <c r="E253" s="83">
        <v>1.0</v>
      </c>
      <c r="F253" s="76">
        <f>60</f>
        <v>60</v>
      </c>
    </row>
    <row r="254">
      <c r="A254" s="84">
        <v>2015.0</v>
      </c>
      <c r="B254" s="85" t="s">
        <v>56</v>
      </c>
      <c r="C254" s="81">
        <v>60.3</v>
      </c>
      <c r="D254" s="73">
        <v>1.0</v>
      </c>
      <c r="E254" s="83">
        <v>1.0</v>
      </c>
      <c r="F254" s="76">
        <v>0.0</v>
      </c>
    </row>
    <row r="255">
      <c r="A255" s="73">
        <v>2016.0</v>
      </c>
      <c r="B255" s="85" t="s">
        <v>56</v>
      </c>
      <c r="C255" s="81">
        <v>73.4</v>
      </c>
      <c r="D255" s="73">
        <v>1.0</v>
      </c>
      <c r="E255" s="83">
        <v>1.0</v>
      </c>
      <c r="F255" s="76">
        <v>0.0</v>
      </c>
      <c r="G255">
        <f>AVERAGE(F255)</f>
        <v>0</v>
      </c>
    </row>
    <row r="256">
      <c r="A256" s="73">
        <v>2017.0</v>
      </c>
      <c r="B256" s="85" t="s">
        <v>56</v>
      </c>
      <c r="C256" s="81">
        <v>73.4</v>
      </c>
      <c r="D256" s="73">
        <v>1.0</v>
      </c>
      <c r="E256" s="83">
        <v>1.0</v>
      </c>
      <c r="F256" s="76">
        <v>0.0</v>
      </c>
      <c r="G256">
        <f>AVERAGE(F256:F257)</f>
        <v>0</v>
      </c>
    </row>
    <row r="257" hidden="1">
      <c r="A257" s="69">
        <v>2002.0</v>
      </c>
      <c r="B257" s="70" t="s">
        <v>58</v>
      </c>
      <c r="C257" s="71">
        <v>31.73</v>
      </c>
      <c r="D257" s="69">
        <v>0.0</v>
      </c>
      <c r="E257" s="72">
        <v>0.0</v>
      </c>
      <c r="F257" s="72">
        <v>0.0</v>
      </c>
    </row>
    <row r="258">
      <c r="A258" s="73">
        <v>2018.0</v>
      </c>
      <c r="B258" s="85" t="s">
        <v>56</v>
      </c>
      <c r="C258" s="81">
        <v>56.7</v>
      </c>
      <c r="D258" s="73">
        <v>1.0</v>
      </c>
      <c r="E258" s="88">
        <v>1.0</v>
      </c>
      <c r="F258" s="76">
        <v>0.0</v>
      </c>
    </row>
    <row r="259">
      <c r="A259" s="73">
        <v>2003.0</v>
      </c>
      <c r="B259" s="74" t="s">
        <v>57</v>
      </c>
      <c r="C259" s="75">
        <v>24.88</v>
      </c>
      <c r="D259" s="73">
        <v>0.0</v>
      </c>
      <c r="E259" s="76">
        <v>0.0</v>
      </c>
      <c r="F259" s="76">
        <v>0.0</v>
      </c>
      <c r="G259">
        <f>AVERAGE(F259:F263)</f>
        <v>266.4</v>
      </c>
    </row>
    <row r="260">
      <c r="A260" s="73">
        <v>2004.0</v>
      </c>
      <c r="B260" s="74" t="s">
        <v>57</v>
      </c>
      <c r="C260" s="75">
        <v>24.88</v>
      </c>
      <c r="D260" s="73">
        <v>0.0</v>
      </c>
      <c r="E260" s="77">
        <v>1.0</v>
      </c>
      <c r="F260" s="76">
        <f>122+
288</f>
        <v>410</v>
      </c>
    </row>
    <row r="261">
      <c r="A261" s="73">
        <v>2005.0</v>
      </c>
      <c r="B261" s="74" t="s">
        <v>57</v>
      </c>
      <c r="C261" s="75">
        <v>24.88</v>
      </c>
      <c r="D261" s="73">
        <v>0.0</v>
      </c>
      <c r="E261" s="78">
        <v>1.0</v>
      </c>
      <c r="F261" s="76">
        <f>250</f>
        <v>250</v>
      </c>
    </row>
    <row r="262">
      <c r="A262" s="73">
        <v>2006.0</v>
      </c>
      <c r="B262" s="74" t="s">
        <v>57</v>
      </c>
      <c r="C262" s="75">
        <v>24.88</v>
      </c>
      <c r="D262" s="73">
        <v>0.0</v>
      </c>
      <c r="E262" s="78">
        <v>1.0</v>
      </c>
      <c r="F262" s="76">
        <f>292+
192</f>
        <v>484</v>
      </c>
    </row>
    <row r="263">
      <c r="A263" s="73">
        <v>2007.0</v>
      </c>
      <c r="B263" s="74" t="s">
        <v>57</v>
      </c>
      <c r="C263" s="75">
        <v>39.97</v>
      </c>
      <c r="D263" s="73">
        <v>0.0</v>
      </c>
      <c r="E263" s="78">
        <v>1.0</v>
      </c>
      <c r="F263" s="76">
        <f>188</f>
        <v>188</v>
      </c>
    </row>
    <row r="264">
      <c r="A264" s="73">
        <v>2008.0</v>
      </c>
      <c r="B264" s="74" t="s">
        <v>57</v>
      </c>
      <c r="C264" s="75">
        <v>39.97</v>
      </c>
      <c r="D264" s="73">
        <v>0.0</v>
      </c>
      <c r="E264" s="78">
        <v>1.0</v>
      </c>
      <c r="F264" s="76">
        <v>0.0</v>
      </c>
      <c r="G264">
        <f>AVERAGE(F264:F267)</f>
        <v>45</v>
      </c>
    </row>
    <row r="265">
      <c r="A265" s="73">
        <v>2009.0</v>
      </c>
      <c r="B265" s="74" t="s">
        <v>57</v>
      </c>
      <c r="C265" s="75">
        <v>39.97</v>
      </c>
      <c r="D265" s="73">
        <v>0.0</v>
      </c>
      <c r="E265" s="79">
        <v>1.0</v>
      </c>
      <c r="F265" s="76">
        <v>0.0</v>
      </c>
    </row>
    <row r="266">
      <c r="A266" s="73">
        <v>2010.0</v>
      </c>
      <c r="B266" s="74" t="s">
        <v>57</v>
      </c>
      <c r="C266" s="75">
        <v>39.97</v>
      </c>
      <c r="D266" s="73">
        <v>0.0</v>
      </c>
      <c r="E266" s="82">
        <v>1.0</v>
      </c>
      <c r="F266" s="76">
        <f>180</f>
        <v>180</v>
      </c>
    </row>
    <row r="267">
      <c r="A267" s="73">
        <v>2011.0</v>
      </c>
      <c r="B267" s="74" t="s">
        <v>57</v>
      </c>
      <c r="C267" s="81">
        <v>42.6</v>
      </c>
      <c r="D267" s="73">
        <v>1.0</v>
      </c>
      <c r="E267" s="82">
        <v>1.0</v>
      </c>
      <c r="F267" s="76">
        <v>0.0</v>
      </c>
    </row>
    <row r="268">
      <c r="A268" s="73">
        <v>2012.0</v>
      </c>
      <c r="B268" s="74" t="s">
        <v>57</v>
      </c>
      <c r="C268" s="81">
        <v>42.6</v>
      </c>
      <c r="D268" s="73">
        <v>1.0</v>
      </c>
      <c r="E268" s="82">
        <v>1.0</v>
      </c>
      <c r="F268" s="76">
        <v>0.0</v>
      </c>
      <c r="G268">
        <f>AVERAGE(F268:F271)</f>
        <v>181</v>
      </c>
    </row>
    <row r="269">
      <c r="A269" s="73">
        <v>2013.0</v>
      </c>
      <c r="B269" s="74" t="s">
        <v>57</v>
      </c>
      <c r="C269" s="81">
        <v>42.6</v>
      </c>
      <c r="D269" s="73">
        <v>1.0</v>
      </c>
      <c r="E269" s="82">
        <v>1.0</v>
      </c>
      <c r="F269" s="76">
        <f>724</f>
        <v>724</v>
      </c>
    </row>
    <row r="270">
      <c r="A270" s="73">
        <v>2014.0</v>
      </c>
      <c r="B270" s="74" t="s">
        <v>57</v>
      </c>
      <c r="C270" s="81">
        <v>42.6</v>
      </c>
      <c r="D270" s="73">
        <v>1.0</v>
      </c>
      <c r="E270" s="83">
        <v>1.0</v>
      </c>
      <c r="F270" s="76">
        <v>0.0</v>
      </c>
    </row>
    <row r="271">
      <c r="A271" s="84">
        <v>2015.0</v>
      </c>
      <c r="B271" s="85" t="s">
        <v>57</v>
      </c>
      <c r="C271" s="81">
        <v>37.3</v>
      </c>
      <c r="D271" s="73">
        <v>0.0</v>
      </c>
      <c r="E271" s="83">
        <v>1.0</v>
      </c>
      <c r="F271" s="76">
        <v>0.0</v>
      </c>
    </row>
    <row r="272">
      <c r="A272" s="73">
        <v>2016.0</v>
      </c>
      <c r="B272" s="85" t="s">
        <v>57</v>
      </c>
      <c r="C272" s="81">
        <v>46.3</v>
      </c>
      <c r="D272" s="73">
        <v>1.0</v>
      </c>
      <c r="E272" s="83">
        <v>1.0</v>
      </c>
      <c r="F272" s="76">
        <v>0.0</v>
      </c>
      <c r="G272">
        <f>AVERAGE(F272)</f>
        <v>0</v>
      </c>
    </row>
    <row r="273">
      <c r="A273" s="73">
        <v>2017.0</v>
      </c>
      <c r="B273" s="85" t="s">
        <v>57</v>
      </c>
      <c r="C273" s="81">
        <v>46.3</v>
      </c>
      <c r="D273" s="73">
        <v>1.0</v>
      </c>
      <c r="E273" s="83">
        <v>1.0</v>
      </c>
      <c r="F273" s="76">
        <f>100</f>
        <v>100</v>
      </c>
      <c r="G273">
        <f>AVERAGE(F273:F274)</f>
        <v>50</v>
      </c>
    </row>
    <row r="274" hidden="1">
      <c r="A274" s="69">
        <v>2002.0</v>
      </c>
      <c r="B274" s="70" t="s">
        <v>59</v>
      </c>
      <c r="C274" s="71">
        <v>17.67</v>
      </c>
      <c r="D274" s="69">
        <v>0.0</v>
      </c>
      <c r="E274" s="72">
        <v>0.0</v>
      </c>
      <c r="F274" s="72">
        <v>0.0</v>
      </c>
    </row>
    <row r="275">
      <c r="A275" s="73">
        <v>2018.0</v>
      </c>
      <c r="B275" s="85" t="s">
        <v>57</v>
      </c>
      <c r="C275" s="81">
        <v>42.3</v>
      </c>
      <c r="D275" s="73">
        <v>1.0</v>
      </c>
      <c r="E275" s="88">
        <v>1.0</v>
      </c>
      <c r="F275" s="76">
        <f>117</f>
        <v>117</v>
      </c>
    </row>
    <row r="276">
      <c r="A276" s="73">
        <v>2003.0</v>
      </c>
      <c r="B276" s="74" t="s">
        <v>58</v>
      </c>
      <c r="C276" s="75">
        <v>31.73</v>
      </c>
      <c r="D276" s="73">
        <v>0.0</v>
      </c>
      <c r="E276" s="76">
        <v>0.0</v>
      </c>
      <c r="F276" s="76">
        <v>1024.0</v>
      </c>
      <c r="G276">
        <f>AVERAGE(F276:F280)</f>
        <v>249.6</v>
      </c>
    </row>
    <row r="277">
      <c r="A277" s="73">
        <v>2004.0</v>
      </c>
      <c r="B277" s="74" t="s">
        <v>58</v>
      </c>
      <c r="C277" s="75">
        <v>31.73</v>
      </c>
      <c r="D277" s="73">
        <v>0.0</v>
      </c>
      <c r="E277" s="77">
        <v>1.0</v>
      </c>
      <c r="F277" s="76">
        <v>0.0</v>
      </c>
    </row>
    <row r="278">
      <c r="A278" s="73">
        <v>2005.0</v>
      </c>
      <c r="B278" s="74" t="s">
        <v>58</v>
      </c>
      <c r="C278" s="75">
        <v>31.73</v>
      </c>
      <c r="D278" s="73">
        <v>0.0</v>
      </c>
      <c r="E278" s="78">
        <v>1.0</v>
      </c>
      <c r="F278" s="76">
        <v>224.0</v>
      </c>
    </row>
    <row r="279">
      <c r="A279" s="73">
        <v>2006.0</v>
      </c>
      <c r="B279" s="74" t="s">
        <v>58</v>
      </c>
      <c r="C279" s="75">
        <v>31.73</v>
      </c>
      <c r="D279" s="73">
        <v>0.0</v>
      </c>
      <c r="E279" s="78">
        <v>1.0</v>
      </c>
      <c r="F279" s="76">
        <v>0.0</v>
      </c>
    </row>
    <row r="280">
      <c r="A280" s="73">
        <v>2007.0</v>
      </c>
      <c r="B280" s="74" t="s">
        <v>58</v>
      </c>
      <c r="C280" s="75">
        <v>71.12</v>
      </c>
      <c r="D280" s="73">
        <v>1.0</v>
      </c>
      <c r="E280" s="78">
        <v>1.0</v>
      </c>
      <c r="F280" s="76">
        <v>0.0</v>
      </c>
    </row>
    <row r="281">
      <c r="A281" s="73">
        <v>2008.0</v>
      </c>
      <c r="B281" s="74" t="s">
        <v>58</v>
      </c>
      <c r="C281" s="75">
        <v>71.12</v>
      </c>
      <c r="D281" s="73">
        <v>1.0</v>
      </c>
      <c r="E281" s="78">
        <v>1.0</v>
      </c>
      <c r="F281" s="76">
        <v>336.0</v>
      </c>
      <c r="G281">
        <f>AVERAGE(F281:F284)</f>
        <v>245</v>
      </c>
    </row>
    <row r="282">
      <c r="A282" s="73">
        <v>2009.0</v>
      </c>
      <c r="B282" s="74" t="s">
        <v>58</v>
      </c>
      <c r="C282" s="75">
        <v>71.12</v>
      </c>
      <c r="D282" s="73">
        <v>1.0</v>
      </c>
      <c r="E282" s="79">
        <v>1.0</v>
      </c>
      <c r="F282" s="76">
        <v>388.0</v>
      </c>
    </row>
    <row r="283">
      <c r="A283" s="73">
        <v>2010.0</v>
      </c>
      <c r="B283" s="74" t="s">
        <v>58</v>
      </c>
      <c r="C283" s="75">
        <v>71.12</v>
      </c>
      <c r="D283" s="73">
        <v>1.0</v>
      </c>
      <c r="E283" s="82">
        <v>1.0</v>
      </c>
      <c r="F283" s="76">
        <v>256.0</v>
      </c>
    </row>
    <row r="284">
      <c r="A284" s="73">
        <v>2011.0</v>
      </c>
      <c r="B284" s="74" t="s">
        <v>58</v>
      </c>
      <c r="C284" s="81">
        <v>67.1</v>
      </c>
      <c r="D284" s="73">
        <v>1.0</v>
      </c>
      <c r="E284" s="82">
        <v>1.0</v>
      </c>
      <c r="F284" s="76">
        <v>0.0</v>
      </c>
    </row>
    <row r="285">
      <c r="A285" s="73">
        <v>2012.0</v>
      </c>
      <c r="B285" s="74" t="s">
        <v>58</v>
      </c>
      <c r="C285" s="81">
        <v>67.1</v>
      </c>
      <c r="D285" s="73">
        <v>1.0</v>
      </c>
      <c r="E285" s="82">
        <v>1.0</v>
      </c>
      <c r="F285" s="76">
        <v>1325.0</v>
      </c>
      <c r="G285">
        <f>AVERAGE(F285:F288)</f>
        <v>510.75</v>
      </c>
    </row>
    <row r="286">
      <c r="A286" s="73">
        <v>2013.0</v>
      </c>
      <c r="B286" s="74" t="s">
        <v>58</v>
      </c>
      <c r="C286" s="81">
        <v>67.1</v>
      </c>
      <c r="D286" s="73">
        <v>1.0</v>
      </c>
      <c r="E286" s="82">
        <v>1.0</v>
      </c>
      <c r="F286" s="76">
        <v>620.0</v>
      </c>
    </row>
    <row r="287">
      <c r="A287" s="73">
        <v>2014.0</v>
      </c>
      <c r="B287" s="74" t="s">
        <v>58</v>
      </c>
      <c r="C287" s="81">
        <v>67.1</v>
      </c>
      <c r="D287" s="73">
        <v>1.0</v>
      </c>
      <c r="E287" s="83">
        <v>1.0</v>
      </c>
      <c r="F287" s="76">
        <v>98.0</v>
      </c>
    </row>
    <row r="288">
      <c r="A288" s="84">
        <v>2015.0</v>
      </c>
      <c r="B288" s="85" t="s">
        <v>58</v>
      </c>
      <c r="C288" s="81">
        <v>46.9</v>
      </c>
      <c r="D288" s="73">
        <v>1.0</v>
      </c>
      <c r="E288" s="83">
        <v>1.0</v>
      </c>
      <c r="F288" s="76">
        <v>0.0</v>
      </c>
    </row>
    <row r="289">
      <c r="A289" s="73">
        <v>2016.0</v>
      </c>
      <c r="B289" s="85" t="s">
        <v>58</v>
      </c>
      <c r="C289" s="81">
        <v>64.6</v>
      </c>
      <c r="D289" s="73">
        <v>1.0</v>
      </c>
      <c r="E289" s="83">
        <v>1.0</v>
      </c>
      <c r="F289" s="76">
        <v>0.0</v>
      </c>
      <c r="G289">
        <f>AVERAGE(F289)</f>
        <v>0</v>
      </c>
    </row>
    <row r="290">
      <c r="A290" s="73">
        <v>2017.0</v>
      </c>
      <c r="B290" s="85" t="s">
        <v>58</v>
      </c>
      <c r="C290" s="81">
        <v>64.6</v>
      </c>
      <c r="D290" s="73">
        <v>1.0</v>
      </c>
      <c r="E290" s="83">
        <v>1.0</v>
      </c>
      <c r="F290" s="76">
        <v>0.0</v>
      </c>
      <c r="G290">
        <f>AVERAGE(F290:F291)</f>
        <v>0</v>
      </c>
    </row>
    <row r="291" hidden="1">
      <c r="A291" s="69">
        <v>2002.0</v>
      </c>
      <c r="B291" s="70" t="s">
        <v>60</v>
      </c>
      <c r="C291" s="71">
        <v>43.08</v>
      </c>
      <c r="D291" s="69">
        <v>1.0</v>
      </c>
      <c r="E291" s="72">
        <v>0.0</v>
      </c>
      <c r="F291" s="72">
        <v>0.0</v>
      </c>
    </row>
    <row r="292">
      <c r="A292" s="73">
        <v>2018.0</v>
      </c>
      <c r="B292" s="85" t="s">
        <v>58</v>
      </c>
      <c r="C292" s="81">
        <v>54.9</v>
      </c>
      <c r="D292" s="73">
        <v>1.0</v>
      </c>
      <c r="E292" s="88">
        <v>1.0</v>
      </c>
      <c r="F292" s="76">
        <v>0.0</v>
      </c>
    </row>
    <row r="293">
      <c r="A293" s="73">
        <v>2003.0</v>
      </c>
      <c r="B293" s="74" t="s">
        <v>59</v>
      </c>
      <c r="C293" s="75">
        <v>17.67</v>
      </c>
      <c r="D293" s="73">
        <v>0.0</v>
      </c>
      <c r="E293" s="76">
        <v>0.0</v>
      </c>
      <c r="F293" s="76">
        <v>0.0</v>
      </c>
      <c r="G293">
        <f>AVERAGE(F293:F297)</f>
        <v>232.8</v>
      </c>
    </row>
    <row r="294">
      <c r="A294" s="73">
        <v>2004.0</v>
      </c>
      <c r="B294" s="74" t="s">
        <v>59</v>
      </c>
      <c r="C294" s="75">
        <v>17.67</v>
      </c>
      <c r="D294" s="73">
        <v>0.0</v>
      </c>
      <c r="E294" s="77">
        <v>1.0</v>
      </c>
      <c r="F294" s="76">
        <v>220.0</v>
      </c>
    </row>
    <row r="295">
      <c r="A295" s="73">
        <v>2005.0</v>
      </c>
      <c r="B295" s="74" t="s">
        <v>59</v>
      </c>
      <c r="C295" s="75">
        <v>17.67</v>
      </c>
      <c r="D295" s="73">
        <v>0.0</v>
      </c>
      <c r="E295" s="78">
        <v>1.0</v>
      </c>
      <c r="F295" s="76">
        <v>0.0</v>
      </c>
    </row>
    <row r="296">
      <c r="A296" s="73">
        <v>2006.0</v>
      </c>
      <c r="B296" s="74" t="s">
        <v>59</v>
      </c>
      <c r="C296" s="75">
        <v>17.67</v>
      </c>
      <c r="D296" s="73">
        <v>0.0</v>
      </c>
      <c r="E296" s="78">
        <v>1.0</v>
      </c>
      <c r="F296" s="76">
        <v>272.0</v>
      </c>
    </row>
    <row r="297">
      <c r="A297" s="73">
        <v>2007.0</v>
      </c>
      <c r="B297" s="74" t="s">
        <v>59</v>
      </c>
      <c r="C297" s="75">
        <v>58.82</v>
      </c>
      <c r="D297" s="73">
        <v>1.0</v>
      </c>
      <c r="E297" s="78">
        <v>1.0</v>
      </c>
      <c r="F297" s="76">
        <v>672.0</v>
      </c>
    </row>
    <row r="298">
      <c r="A298" s="73">
        <v>2008.0</v>
      </c>
      <c r="B298" s="74" t="s">
        <v>59</v>
      </c>
      <c r="C298" s="75">
        <v>58.82</v>
      </c>
      <c r="D298" s="73">
        <v>1.0</v>
      </c>
      <c r="E298" s="78">
        <v>1.0</v>
      </c>
      <c r="F298" s="76">
        <v>512.0</v>
      </c>
      <c r="G298">
        <f>AVERAGE(F298:F301)</f>
        <v>252</v>
      </c>
    </row>
    <row r="299">
      <c r="A299" s="73">
        <v>2009.0</v>
      </c>
      <c r="B299" s="74" t="s">
        <v>59</v>
      </c>
      <c r="C299" s="75">
        <v>58.82</v>
      </c>
      <c r="D299" s="73">
        <v>1.0</v>
      </c>
      <c r="E299" s="79">
        <v>1.0</v>
      </c>
      <c r="F299" s="76">
        <v>0.0</v>
      </c>
    </row>
    <row r="300">
      <c r="A300" s="73">
        <v>2010.0</v>
      </c>
      <c r="B300" s="74" t="s">
        <v>59</v>
      </c>
      <c r="C300" s="75">
        <v>58.82</v>
      </c>
      <c r="D300" s="73">
        <v>1.0</v>
      </c>
      <c r="E300" s="82">
        <v>1.0</v>
      </c>
      <c r="F300" s="76">
        <v>232.0</v>
      </c>
    </row>
    <row r="301">
      <c r="A301" s="73">
        <v>2011.0</v>
      </c>
      <c r="B301" s="74" t="s">
        <v>59</v>
      </c>
      <c r="C301" s="81">
        <v>50.7</v>
      </c>
      <c r="D301" s="73">
        <v>1.0</v>
      </c>
      <c r="E301" s="82">
        <v>1.0</v>
      </c>
      <c r="F301" s="76">
        <v>264.0</v>
      </c>
    </row>
    <row r="302">
      <c r="A302" s="73">
        <v>2012.0</v>
      </c>
      <c r="B302" s="74" t="s">
        <v>59</v>
      </c>
      <c r="C302" s="81">
        <v>50.7</v>
      </c>
      <c r="D302" s="73">
        <v>1.0</v>
      </c>
      <c r="E302" s="82">
        <v>1.0</v>
      </c>
      <c r="F302" s="76">
        <v>948.0</v>
      </c>
      <c r="G302">
        <f>AVERAGE(F302:F305)</f>
        <v>312.5</v>
      </c>
    </row>
    <row r="303">
      <c r="A303" s="73">
        <v>2013.0</v>
      </c>
      <c r="B303" s="74" t="s">
        <v>59</v>
      </c>
      <c r="C303" s="81">
        <v>50.7</v>
      </c>
      <c r="D303" s="73">
        <v>1.0</v>
      </c>
      <c r="E303" s="82">
        <v>1.0</v>
      </c>
      <c r="F303" s="76">
        <v>302.0</v>
      </c>
    </row>
    <row r="304">
      <c r="A304" s="73">
        <v>2014.0</v>
      </c>
      <c r="B304" s="74" t="s">
        <v>59</v>
      </c>
      <c r="C304" s="81">
        <v>50.7</v>
      </c>
      <c r="D304" s="73">
        <v>1.0</v>
      </c>
      <c r="E304" s="83">
        <v>0.0</v>
      </c>
      <c r="F304" s="76">
        <v>0.0</v>
      </c>
    </row>
    <row r="305">
      <c r="A305" s="84">
        <v>2015.0</v>
      </c>
      <c r="B305" s="85" t="s">
        <v>59</v>
      </c>
      <c r="C305" s="81">
        <v>30.9</v>
      </c>
      <c r="D305" s="73">
        <v>0.0</v>
      </c>
      <c r="E305" s="83">
        <v>0.0</v>
      </c>
      <c r="F305" s="76">
        <v>0.0</v>
      </c>
    </row>
    <row r="306">
      <c r="A306" s="73">
        <v>2016.0</v>
      </c>
      <c r="B306" s="85" t="s">
        <v>59</v>
      </c>
      <c r="C306" s="81">
        <v>43.8</v>
      </c>
      <c r="D306" s="73">
        <v>1.0</v>
      </c>
      <c r="E306" s="83">
        <v>0.0</v>
      </c>
      <c r="F306" s="76">
        <v>0.0</v>
      </c>
      <c r="G306">
        <f>AVERAGE(F306)</f>
        <v>0</v>
      </c>
    </row>
    <row r="307">
      <c r="A307" s="73">
        <v>2017.0</v>
      </c>
      <c r="B307" s="85" t="s">
        <v>59</v>
      </c>
      <c r="C307" s="81">
        <v>43.8</v>
      </c>
      <c r="D307" s="73">
        <v>1.0</v>
      </c>
      <c r="E307" s="83">
        <v>0.0</v>
      </c>
      <c r="F307" s="76">
        <v>0.0</v>
      </c>
      <c r="G307">
        <f>AVERAGE(F307:F308)</f>
        <v>0</v>
      </c>
    </row>
    <row r="308" hidden="1">
      <c r="A308" s="69">
        <v>2002.0</v>
      </c>
      <c r="B308" s="70" t="s">
        <v>61</v>
      </c>
      <c r="C308" s="71">
        <v>27.26</v>
      </c>
      <c r="D308" s="69">
        <v>0.0</v>
      </c>
      <c r="E308" s="72">
        <v>0.0</v>
      </c>
      <c r="F308" s="72">
        <v>0.0</v>
      </c>
    </row>
    <row r="309">
      <c r="A309" s="73">
        <v>2018.0</v>
      </c>
      <c r="B309" s="85" t="s">
        <v>59</v>
      </c>
      <c r="C309" s="81">
        <v>44.2</v>
      </c>
      <c r="D309" s="73">
        <v>1.0</v>
      </c>
      <c r="E309" s="88">
        <v>0.0</v>
      </c>
      <c r="F309" s="76">
        <v>0.0</v>
      </c>
    </row>
    <row r="310">
      <c r="A310" s="73">
        <v>2003.0</v>
      </c>
      <c r="B310" s="74" t="s">
        <v>60</v>
      </c>
      <c r="C310" s="75">
        <v>43.08</v>
      </c>
      <c r="D310" s="73">
        <v>1.0</v>
      </c>
      <c r="E310" s="76">
        <v>0.0</v>
      </c>
      <c r="F310" s="76">
        <v>0.0</v>
      </c>
      <c r="G310">
        <f>AVERAGE(F310:F314)</f>
        <v>441.6</v>
      </c>
    </row>
    <row r="311">
      <c r="A311" s="73">
        <v>2004.0</v>
      </c>
      <c r="B311" s="74" t="s">
        <v>60</v>
      </c>
      <c r="C311" s="75">
        <v>43.08</v>
      </c>
      <c r="D311" s="73">
        <v>1.0</v>
      </c>
      <c r="E311" s="77">
        <v>1.0</v>
      </c>
      <c r="F311" s="76">
        <v>0.0</v>
      </c>
    </row>
    <row r="312">
      <c r="A312" s="73">
        <v>2005.0</v>
      </c>
      <c r="B312" s="74" t="s">
        <v>60</v>
      </c>
      <c r="C312" s="75">
        <v>43.08</v>
      </c>
      <c r="D312" s="73">
        <v>1.0</v>
      </c>
      <c r="E312" s="78">
        <v>1.0</v>
      </c>
      <c r="F312" s="76">
        <v>348.0</v>
      </c>
    </row>
    <row r="313">
      <c r="A313" s="73">
        <v>2006.0</v>
      </c>
      <c r="B313" s="74" t="s">
        <v>60</v>
      </c>
      <c r="C313" s="75">
        <v>43.08</v>
      </c>
      <c r="D313" s="73">
        <v>1.0</v>
      </c>
      <c r="E313" s="78">
        <v>1.0</v>
      </c>
      <c r="F313" s="76">
        <v>128.0</v>
      </c>
    </row>
    <row r="314">
      <c r="A314" s="73">
        <v>2007.0</v>
      </c>
      <c r="B314" s="74" t="s">
        <v>60</v>
      </c>
      <c r="C314" s="75">
        <v>54.89</v>
      </c>
      <c r="D314" s="73">
        <v>1.0</v>
      </c>
      <c r="E314" s="78">
        <v>1.0</v>
      </c>
      <c r="F314" s="76">
        <v>1732.0</v>
      </c>
    </row>
    <row r="315">
      <c r="A315" s="73">
        <v>2008.0</v>
      </c>
      <c r="B315" s="74" t="s">
        <v>60</v>
      </c>
      <c r="C315" s="75">
        <v>54.89</v>
      </c>
      <c r="D315" s="73">
        <v>1.0</v>
      </c>
      <c r="E315" s="78">
        <v>1.0</v>
      </c>
      <c r="F315" s="76">
        <v>340.0</v>
      </c>
      <c r="G315">
        <f>AVERAGE(F315:F318)</f>
        <v>269.5</v>
      </c>
    </row>
    <row r="316">
      <c r="A316" s="73">
        <v>2009.0</v>
      </c>
      <c r="B316" s="74" t="s">
        <v>60</v>
      </c>
      <c r="C316" s="75">
        <v>54.89</v>
      </c>
      <c r="D316" s="73">
        <v>1.0</v>
      </c>
      <c r="E316" s="79">
        <v>1.0</v>
      </c>
      <c r="F316" s="76">
        <v>96.0</v>
      </c>
    </row>
    <row r="317">
      <c r="A317" s="73">
        <v>2010.0</v>
      </c>
      <c r="B317" s="74" t="s">
        <v>60</v>
      </c>
      <c r="C317" s="75">
        <v>54.89</v>
      </c>
      <c r="D317" s="73">
        <v>1.0</v>
      </c>
      <c r="E317" s="82">
        <v>1.0</v>
      </c>
      <c r="F317" s="76">
        <v>10.0</v>
      </c>
    </row>
    <row r="318">
      <c r="A318" s="73">
        <v>2011.0</v>
      </c>
      <c r="B318" s="74" t="s">
        <v>60</v>
      </c>
      <c r="C318" s="81">
        <v>58.5</v>
      </c>
      <c r="D318" s="73">
        <v>1.0</v>
      </c>
      <c r="E318" s="82">
        <v>1.0</v>
      </c>
      <c r="F318" s="76">
        <v>632.0</v>
      </c>
    </row>
    <row r="319">
      <c r="A319" s="73">
        <v>2012.0</v>
      </c>
      <c r="B319" s="74" t="s">
        <v>60</v>
      </c>
      <c r="C319" s="81">
        <v>58.5</v>
      </c>
      <c r="D319" s="73">
        <v>1.0</v>
      </c>
      <c r="E319" s="82">
        <v>1.0</v>
      </c>
      <c r="F319" s="76">
        <v>112.0</v>
      </c>
      <c r="G319">
        <f>AVERAGE(F319:F322)</f>
        <v>266.25</v>
      </c>
    </row>
    <row r="320">
      <c r="A320" s="73">
        <v>2013.0</v>
      </c>
      <c r="B320" s="74" t="s">
        <v>60</v>
      </c>
      <c r="C320" s="81">
        <v>58.5</v>
      </c>
      <c r="D320" s="73">
        <v>1.0</v>
      </c>
      <c r="E320" s="82">
        <v>1.0</v>
      </c>
      <c r="F320" s="76">
        <v>457.0</v>
      </c>
    </row>
    <row r="321">
      <c r="A321" s="73">
        <v>2014.0</v>
      </c>
      <c r="B321" s="74" t="s">
        <v>60</v>
      </c>
      <c r="C321" s="81">
        <v>58.5</v>
      </c>
      <c r="D321" s="73">
        <v>1.0</v>
      </c>
      <c r="E321" s="83">
        <v>1.0</v>
      </c>
      <c r="F321" s="76">
        <v>0.0</v>
      </c>
    </row>
    <row r="322">
      <c r="A322" s="84">
        <v>2015.0</v>
      </c>
      <c r="B322" s="85" t="s">
        <v>60</v>
      </c>
      <c r="C322" s="81">
        <v>52.0</v>
      </c>
      <c r="D322" s="73">
        <v>1.0</v>
      </c>
      <c r="E322" s="83">
        <v>1.0</v>
      </c>
      <c r="F322" s="76">
        <v>496.0</v>
      </c>
    </row>
    <row r="323">
      <c r="A323" s="73">
        <v>2016.0</v>
      </c>
      <c r="B323" s="85" t="s">
        <v>60</v>
      </c>
      <c r="C323" s="81">
        <v>62.8</v>
      </c>
      <c r="D323" s="73">
        <v>1.0</v>
      </c>
      <c r="E323" s="83">
        <v>1.0</v>
      </c>
      <c r="F323" s="76">
        <v>360.0</v>
      </c>
      <c r="G323">
        <f>AVERAGE(F323)</f>
        <v>360</v>
      </c>
    </row>
    <row r="324">
      <c r="A324" s="73">
        <v>2017.0</v>
      </c>
      <c r="B324" s="85" t="s">
        <v>60</v>
      </c>
      <c r="C324" s="81">
        <v>62.8</v>
      </c>
      <c r="D324" s="73">
        <v>1.0</v>
      </c>
      <c r="E324" s="83">
        <v>1.0</v>
      </c>
      <c r="F324" s="76">
        <v>0.0</v>
      </c>
      <c r="G324">
        <f>AVERAGE(F324:F325)</f>
        <v>0</v>
      </c>
    </row>
    <row r="325" hidden="1">
      <c r="A325" s="69">
        <v>2002.0</v>
      </c>
      <c r="B325" s="70" t="s">
        <v>62</v>
      </c>
      <c r="C325" s="71">
        <v>41.3</v>
      </c>
      <c r="D325" s="69">
        <v>1.0</v>
      </c>
      <c r="E325" s="72">
        <v>0.0</v>
      </c>
      <c r="F325" s="72">
        <v>0.0</v>
      </c>
    </row>
    <row r="326">
      <c r="A326" s="73">
        <v>2018.0</v>
      </c>
      <c r="B326" s="85" t="s">
        <v>60</v>
      </c>
      <c r="C326" s="81">
        <v>51.2</v>
      </c>
      <c r="D326" s="73">
        <v>1.0</v>
      </c>
      <c r="E326" s="88">
        <v>1.0</v>
      </c>
      <c r="F326" s="76">
        <v>392.0</v>
      </c>
    </row>
    <row r="327">
      <c r="A327" s="73">
        <v>2003.0</v>
      </c>
      <c r="B327" s="74" t="s">
        <v>61</v>
      </c>
      <c r="C327" s="75">
        <v>27.26</v>
      </c>
      <c r="D327" s="73">
        <v>0.0</v>
      </c>
      <c r="E327" s="76">
        <v>0.0</v>
      </c>
      <c r="F327" s="76">
        <v>0.0</v>
      </c>
      <c r="G327">
        <f>AVERAGE(F327:F331)</f>
        <v>273.6</v>
      </c>
    </row>
    <row r="328">
      <c r="A328" s="73">
        <v>2004.0</v>
      </c>
      <c r="B328" s="74" t="s">
        <v>61</v>
      </c>
      <c r="C328" s="75">
        <v>27.26</v>
      </c>
      <c r="D328" s="73">
        <v>0.0</v>
      </c>
      <c r="E328" s="77">
        <v>1.0</v>
      </c>
      <c r="F328" s="76">
        <v>0.0</v>
      </c>
    </row>
    <row r="329">
      <c r="A329" s="73">
        <v>2005.0</v>
      </c>
      <c r="B329" s="74" t="s">
        <v>61</v>
      </c>
      <c r="C329" s="75">
        <v>27.26</v>
      </c>
      <c r="D329" s="73">
        <v>0.0</v>
      </c>
      <c r="E329" s="78">
        <v>1.0</v>
      </c>
      <c r="F329" s="76">
        <v>1272.0</v>
      </c>
    </row>
    <row r="330">
      <c r="A330" s="73">
        <v>2006.0</v>
      </c>
      <c r="B330" s="74" t="s">
        <v>61</v>
      </c>
      <c r="C330" s="75">
        <v>27.26</v>
      </c>
      <c r="D330" s="73">
        <v>0.0</v>
      </c>
      <c r="E330" s="78">
        <v>1.0</v>
      </c>
      <c r="F330" s="76">
        <v>0.0</v>
      </c>
    </row>
    <row r="331">
      <c r="A331" s="73">
        <v>2007.0</v>
      </c>
      <c r="B331" s="74" t="s">
        <v>61</v>
      </c>
      <c r="C331" s="75">
        <v>41.44</v>
      </c>
      <c r="D331" s="73">
        <v>1.0</v>
      </c>
      <c r="E331" s="78">
        <v>1.0</v>
      </c>
      <c r="F331" s="76">
        <v>96.0</v>
      </c>
    </row>
    <row r="332">
      <c r="A332" s="73">
        <v>2008.0</v>
      </c>
      <c r="B332" s="74" t="s">
        <v>61</v>
      </c>
      <c r="C332" s="75">
        <v>41.44</v>
      </c>
      <c r="D332" s="73">
        <v>1.0</v>
      </c>
      <c r="E332" s="78">
        <v>1.0</v>
      </c>
      <c r="F332" s="76">
        <v>0.0</v>
      </c>
      <c r="G332">
        <f>AVERAGE(F332:F335)</f>
        <v>48</v>
      </c>
    </row>
    <row r="333">
      <c r="A333" s="73">
        <v>2009.0</v>
      </c>
      <c r="B333" s="74" t="s">
        <v>61</v>
      </c>
      <c r="C333" s="75">
        <v>41.44</v>
      </c>
      <c r="D333" s="73">
        <v>1.0</v>
      </c>
      <c r="E333" s="79">
        <v>1.0</v>
      </c>
      <c r="F333" s="76">
        <v>0.0</v>
      </c>
    </row>
    <row r="334">
      <c r="A334" s="73">
        <v>2010.0</v>
      </c>
      <c r="B334" s="74" t="s">
        <v>61</v>
      </c>
      <c r="C334" s="75">
        <v>41.44</v>
      </c>
      <c r="D334" s="73">
        <v>1.0</v>
      </c>
      <c r="E334" s="82">
        <v>1.0</v>
      </c>
      <c r="F334" s="76">
        <v>0.0</v>
      </c>
    </row>
    <row r="335">
      <c r="A335" s="73">
        <v>2011.0</v>
      </c>
      <c r="B335" s="74" t="s">
        <v>61</v>
      </c>
      <c r="C335" s="81">
        <v>49.0</v>
      </c>
      <c r="D335" s="73">
        <v>1.0</v>
      </c>
      <c r="E335" s="82">
        <v>1.0</v>
      </c>
      <c r="F335" s="76">
        <v>192.0</v>
      </c>
    </row>
    <row r="336">
      <c r="A336" s="73">
        <v>2012.0</v>
      </c>
      <c r="B336" s="74" t="s">
        <v>61</v>
      </c>
      <c r="C336" s="81">
        <v>49.0</v>
      </c>
      <c r="D336" s="73">
        <v>1.0</v>
      </c>
      <c r="E336" s="82">
        <v>1.0</v>
      </c>
      <c r="F336" s="76">
        <v>536.0</v>
      </c>
      <c r="G336">
        <f>AVERAGE(F336:F339)</f>
        <v>134</v>
      </c>
    </row>
    <row r="337">
      <c r="A337" s="73">
        <v>2013.0</v>
      </c>
      <c r="B337" s="74" t="s">
        <v>61</v>
      </c>
      <c r="C337" s="81">
        <v>49.0</v>
      </c>
      <c r="D337" s="73">
        <v>1.0</v>
      </c>
      <c r="E337" s="82">
        <v>1.0</v>
      </c>
      <c r="F337" s="76">
        <v>0.0</v>
      </c>
    </row>
    <row r="338">
      <c r="A338" s="73">
        <v>2014.0</v>
      </c>
      <c r="B338" s="74" t="s">
        <v>61</v>
      </c>
      <c r="C338" s="81">
        <v>49.0</v>
      </c>
      <c r="D338" s="73">
        <v>1.0</v>
      </c>
      <c r="E338" s="83">
        <v>0.0</v>
      </c>
      <c r="F338" s="76">
        <v>0.0</v>
      </c>
    </row>
    <row r="339">
      <c r="A339" s="84">
        <v>2015.0</v>
      </c>
      <c r="B339" s="85" t="s">
        <v>61</v>
      </c>
      <c r="C339" s="81">
        <v>42.9</v>
      </c>
      <c r="D339" s="73">
        <v>1.0</v>
      </c>
      <c r="E339" s="83">
        <v>0.0</v>
      </c>
      <c r="F339" s="76">
        <v>0.0</v>
      </c>
    </row>
    <row r="340">
      <c r="A340" s="73">
        <v>2016.0</v>
      </c>
      <c r="B340" s="85" t="s">
        <v>61</v>
      </c>
      <c r="C340" s="81">
        <v>50.6</v>
      </c>
      <c r="D340" s="73">
        <v>1.0</v>
      </c>
      <c r="E340" s="83">
        <v>0.0</v>
      </c>
      <c r="F340" s="76">
        <v>575.0</v>
      </c>
      <c r="G340">
        <f>AVERAGE(F340)</f>
        <v>575</v>
      </c>
    </row>
    <row r="341">
      <c r="A341" s="73">
        <v>2017.0</v>
      </c>
      <c r="B341" s="85" t="s">
        <v>61</v>
      </c>
      <c r="C341" s="81">
        <v>50.6</v>
      </c>
      <c r="D341" s="73">
        <v>1.0</v>
      </c>
      <c r="E341" s="83">
        <v>0.0</v>
      </c>
      <c r="F341" s="76">
        <v>0.0</v>
      </c>
      <c r="G341">
        <f>AVERAGE(F341:F342)</f>
        <v>0</v>
      </c>
    </row>
    <row r="342" hidden="1">
      <c r="A342" s="69">
        <v>2002.0</v>
      </c>
      <c r="B342" s="70" t="s">
        <v>63</v>
      </c>
      <c r="C342" s="71">
        <v>25.84</v>
      </c>
      <c r="D342" s="69">
        <v>0.0</v>
      </c>
      <c r="E342" s="72">
        <v>0.0</v>
      </c>
      <c r="F342" s="72">
        <v>0.0</v>
      </c>
    </row>
    <row r="343">
      <c r="A343" s="73">
        <v>2018.0</v>
      </c>
      <c r="B343" s="85" t="s">
        <v>61</v>
      </c>
      <c r="C343" s="81">
        <v>42.2</v>
      </c>
      <c r="D343" s="73">
        <v>1.0</v>
      </c>
      <c r="E343" s="88">
        <v>0.0</v>
      </c>
      <c r="F343" s="76">
        <v>104.0</v>
      </c>
    </row>
    <row r="344">
      <c r="A344" s="73">
        <v>2003.0</v>
      </c>
      <c r="B344" s="74" t="s">
        <v>62</v>
      </c>
      <c r="C344" s="75">
        <v>41.3</v>
      </c>
      <c r="D344" s="73">
        <v>1.0</v>
      </c>
      <c r="E344" s="76">
        <v>0.0</v>
      </c>
      <c r="F344" s="76">
        <v>0.0</v>
      </c>
      <c r="G344">
        <f>AVERAGE(F344:F348)</f>
        <v>1460.8</v>
      </c>
    </row>
    <row r="345">
      <c r="A345" s="73">
        <v>2004.0</v>
      </c>
      <c r="B345" s="74" t="s">
        <v>62</v>
      </c>
      <c r="C345" s="75">
        <v>41.3</v>
      </c>
      <c r="D345" s="73">
        <v>1.0</v>
      </c>
      <c r="E345" s="77">
        <v>1.0</v>
      </c>
      <c r="F345" s="76">
        <v>1584.0</v>
      </c>
    </row>
    <row r="346">
      <c r="A346" s="73">
        <v>2005.0</v>
      </c>
      <c r="B346" s="74" t="s">
        <v>62</v>
      </c>
      <c r="C346" s="75">
        <v>41.3</v>
      </c>
      <c r="D346" s="73">
        <v>1.0</v>
      </c>
      <c r="E346" s="78">
        <v>1.0</v>
      </c>
      <c r="F346" s="76">
        <v>1196.0</v>
      </c>
    </row>
    <row r="347">
      <c r="A347" s="73">
        <v>2006.0</v>
      </c>
      <c r="B347" s="74" t="s">
        <v>62</v>
      </c>
      <c r="C347" s="75">
        <v>41.3</v>
      </c>
      <c r="D347" s="73">
        <v>1.0</v>
      </c>
      <c r="E347" s="78">
        <v>1.0</v>
      </c>
      <c r="F347" s="76">
        <v>1954.0</v>
      </c>
    </row>
    <row r="348">
      <c r="A348" s="73">
        <v>2007.0</v>
      </c>
      <c r="B348" s="74" t="s">
        <v>62</v>
      </c>
      <c r="C348" s="75">
        <v>50.75</v>
      </c>
      <c r="D348" s="73">
        <v>1.0</v>
      </c>
      <c r="E348" s="78">
        <v>1.0</v>
      </c>
      <c r="F348" s="76">
        <v>2570.0</v>
      </c>
    </row>
    <row r="349">
      <c r="A349" s="73">
        <v>2008.0</v>
      </c>
      <c r="B349" s="74" t="s">
        <v>62</v>
      </c>
      <c r="C349" s="75">
        <v>50.75</v>
      </c>
      <c r="D349" s="73">
        <v>1.0</v>
      </c>
      <c r="E349" s="78">
        <v>1.0</v>
      </c>
      <c r="F349" s="76">
        <v>4368.0</v>
      </c>
      <c r="G349">
        <f>AVERAGE(F349:F352)</f>
        <v>2411.75</v>
      </c>
    </row>
    <row r="350">
      <c r="A350" s="73">
        <v>2009.0</v>
      </c>
      <c r="B350" s="74" t="s">
        <v>62</v>
      </c>
      <c r="C350" s="75">
        <v>50.75</v>
      </c>
      <c r="D350" s="73">
        <v>1.0</v>
      </c>
      <c r="E350" s="79">
        <v>1.0</v>
      </c>
      <c r="F350" s="76">
        <v>1599.0</v>
      </c>
    </row>
    <row r="351">
      <c r="A351" s="73">
        <v>2010.0</v>
      </c>
      <c r="B351" s="74" t="s">
        <v>62</v>
      </c>
      <c r="C351" s="75">
        <v>50.75</v>
      </c>
      <c r="D351" s="73">
        <v>1.0</v>
      </c>
      <c r="E351" s="82">
        <v>1.0</v>
      </c>
      <c r="F351" s="76">
        <v>1936.0</v>
      </c>
    </row>
    <row r="352">
      <c r="A352" s="73">
        <v>2011.0</v>
      </c>
      <c r="B352" s="74" t="s">
        <v>62</v>
      </c>
      <c r="C352" s="81">
        <v>53.0</v>
      </c>
      <c r="D352" s="73">
        <v>1.0</v>
      </c>
      <c r="E352" s="82">
        <v>1.0</v>
      </c>
      <c r="F352" s="76">
        <v>1744.0</v>
      </c>
    </row>
    <row r="353">
      <c r="A353" s="73">
        <v>2012.0</v>
      </c>
      <c r="B353" s="74" t="s">
        <v>62</v>
      </c>
      <c r="C353" s="81">
        <v>53.0</v>
      </c>
      <c r="D353" s="73">
        <v>1.0</v>
      </c>
      <c r="E353" s="82">
        <v>1.0</v>
      </c>
      <c r="F353" s="76">
        <v>1244.0</v>
      </c>
      <c r="G353">
        <f>AVERAGE(F353:F356)</f>
        <v>424</v>
      </c>
    </row>
    <row r="354">
      <c r="A354" s="73">
        <v>2013.0</v>
      </c>
      <c r="B354" s="74" t="s">
        <v>62</v>
      </c>
      <c r="C354" s="81">
        <v>53.0</v>
      </c>
      <c r="D354" s="73">
        <v>1.0</v>
      </c>
      <c r="E354" s="82">
        <v>1.0</v>
      </c>
      <c r="F354" s="76">
        <v>0.0</v>
      </c>
    </row>
    <row r="355">
      <c r="A355" s="73">
        <v>2014.0</v>
      </c>
      <c r="B355" s="74" t="s">
        <v>62</v>
      </c>
      <c r="C355" s="81">
        <v>53.0</v>
      </c>
      <c r="D355" s="73">
        <v>1.0</v>
      </c>
      <c r="E355" s="83">
        <v>1.0</v>
      </c>
      <c r="F355" s="76">
        <v>0.0</v>
      </c>
    </row>
    <row r="356">
      <c r="A356" s="84">
        <v>2015.0</v>
      </c>
      <c r="B356" s="85" t="s">
        <v>62</v>
      </c>
      <c r="C356" s="81">
        <v>43.9</v>
      </c>
      <c r="D356" s="73">
        <v>1.0</v>
      </c>
      <c r="E356" s="83">
        <v>1.0</v>
      </c>
      <c r="F356" s="76">
        <v>452.0</v>
      </c>
    </row>
    <row r="357">
      <c r="A357" s="73">
        <v>2016.0</v>
      </c>
      <c r="B357" s="85" t="s">
        <v>62</v>
      </c>
      <c r="C357" s="81">
        <v>54.0</v>
      </c>
      <c r="D357" s="73">
        <v>1.0</v>
      </c>
      <c r="E357" s="83">
        <v>1.0</v>
      </c>
      <c r="F357" s="76">
        <v>1444.0</v>
      </c>
      <c r="G357">
        <f>AVERAGE(F357)</f>
        <v>1444</v>
      </c>
    </row>
    <row r="358">
      <c r="A358" s="73">
        <v>2017.0</v>
      </c>
      <c r="B358" s="85" t="s">
        <v>62</v>
      </c>
      <c r="C358" s="81">
        <v>54.0</v>
      </c>
      <c r="D358" s="73">
        <v>1.0</v>
      </c>
      <c r="E358" s="83">
        <v>1.0</v>
      </c>
      <c r="F358" s="76">
        <v>0.0</v>
      </c>
      <c r="G358">
        <f>AVERAGE(F358:F359)</f>
        <v>0</v>
      </c>
    </row>
    <row r="359" hidden="1">
      <c r="A359" s="69">
        <v>2002.0</v>
      </c>
      <c r="B359" s="70" t="s">
        <v>64</v>
      </c>
      <c r="C359" s="71">
        <v>49.93</v>
      </c>
      <c r="D359" s="69">
        <v>1.0</v>
      </c>
      <c r="E359" s="72">
        <v>0.0</v>
      </c>
      <c r="F359" s="72">
        <v>0.0</v>
      </c>
    </row>
    <row r="360">
      <c r="A360" s="73">
        <v>2018.0</v>
      </c>
      <c r="B360" s="85" t="s">
        <v>62</v>
      </c>
      <c r="C360" s="81">
        <v>48.4</v>
      </c>
      <c r="D360" s="73">
        <v>1.0</v>
      </c>
      <c r="E360" s="88">
        <v>1.0</v>
      </c>
      <c r="F360" s="76">
        <v>148.0</v>
      </c>
    </row>
    <row r="361">
      <c r="A361" s="73">
        <v>2003.0</v>
      </c>
      <c r="B361" s="74" t="s">
        <v>63</v>
      </c>
      <c r="C361" s="75">
        <v>25.84</v>
      </c>
      <c r="D361" s="73">
        <v>0.0</v>
      </c>
      <c r="E361" s="76">
        <v>0.0</v>
      </c>
      <c r="F361" s="76">
        <v>0.0</v>
      </c>
      <c r="G361">
        <f>AVERAGE(F361:F365)</f>
        <v>114.4</v>
      </c>
    </row>
    <row r="362">
      <c r="A362" s="73">
        <v>2004.0</v>
      </c>
      <c r="B362" s="74" t="s">
        <v>63</v>
      </c>
      <c r="C362" s="75">
        <v>25.84</v>
      </c>
      <c r="D362" s="73">
        <v>0.0</v>
      </c>
      <c r="E362" s="77">
        <v>0.0</v>
      </c>
      <c r="F362" s="76">
        <v>0.0</v>
      </c>
    </row>
    <row r="363">
      <c r="A363" s="73">
        <v>2005.0</v>
      </c>
      <c r="B363" s="74" t="s">
        <v>63</v>
      </c>
      <c r="C363" s="75">
        <v>25.84</v>
      </c>
      <c r="D363" s="73">
        <v>0.0</v>
      </c>
      <c r="E363" s="78">
        <v>0.0</v>
      </c>
      <c r="F363" s="76">
        <v>224.0</v>
      </c>
    </row>
    <row r="364">
      <c r="A364" s="73">
        <v>2006.0</v>
      </c>
      <c r="B364" s="74" t="s">
        <v>63</v>
      </c>
      <c r="C364" s="75">
        <v>25.84</v>
      </c>
      <c r="D364" s="73">
        <v>0.0</v>
      </c>
      <c r="E364" s="78">
        <v>0.0</v>
      </c>
      <c r="F364" s="76">
        <v>0.0</v>
      </c>
    </row>
    <row r="365">
      <c r="A365" s="73">
        <v>2007.0</v>
      </c>
      <c r="B365" s="74" t="s">
        <v>63</v>
      </c>
      <c r="C365" s="75">
        <v>35.35</v>
      </c>
      <c r="D365" s="73">
        <v>0.0</v>
      </c>
      <c r="E365" s="78">
        <v>0.0</v>
      </c>
      <c r="F365" s="76">
        <v>348.0</v>
      </c>
    </row>
    <row r="366">
      <c r="A366" s="73">
        <v>2008.0</v>
      </c>
      <c r="B366" s="74" t="s">
        <v>63</v>
      </c>
      <c r="C366" s="75">
        <v>35.35</v>
      </c>
      <c r="D366" s="73">
        <v>0.0</v>
      </c>
      <c r="E366" s="78">
        <v>0.0</v>
      </c>
      <c r="F366" s="76">
        <v>960.0</v>
      </c>
      <c r="G366">
        <f>AVERAGE(F366:F369)</f>
        <v>458.25</v>
      </c>
    </row>
    <row r="367">
      <c r="A367" s="73">
        <v>2009.0</v>
      </c>
      <c r="B367" s="74" t="s">
        <v>63</v>
      </c>
      <c r="C367" s="75">
        <v>35.35</v>
      </c>
      <c r="D367" s="73">
        <v>0.0</v>
      </c>
      <c r="E367" s="79">
        <v>0.0</v>
      </c>
      <c r="F367" s="76">
        <v>72.0</v>
      </c>
    </row>
    <row r="368">
      <c r="A368" s="73">
        <v>2010.0</v>
      </c>
      <c r="B368" s="74" t="s">
        <v>63</v>
      </c>
      <c r="C368" s="75">
        <v>35.35</v>
      </c>
      <c r="D368" s="73">
        <v>0.0</v>
      </c>
      <c r="E368" s="82">
        <v>0.0</v>
      </c>
      <c r="F368" s="76">
        <v>237.0</v>
      </c>
    </row>
    <row r="369">
      <c r="A369" s="73">
        <v>2011.0</v>
      </c>
      <c r="B369" s="74" t="s">
        <v>63</v>
      </c>
      <c r="C369" s="81">
        <v>41.6</v>
      </c>
      <c r="D369" s="73">
        <v>1.0</v>
      </c>
      <c r="E369" s="82">
        <v>0.0</v>
      </c>
      <c r="F369" s="76">
        <v>564.0</v>
      </c>
    </row>
    <row r="370">
      <c r="A370" s="73">
        <v>2012.0</v>
      </c>
      <c r="B370" s="74" t="s">
        <v>63</v>
      </c>
      <c r="C370" s="81">
        <v>41.6</v>
      </c>
      <c r="D370" s="73">
        <v>1.0</v>
      </c>
      <c r="E370" s="82">
        <v>0.0</v>
      </c>
      <c r="F370" s="76">
        <v>0.0</v>
      </c>
      <c r="G370">
        <f>AVERAGE(F370:F373)</f>
        <v>64</v>
      </c>
    </row>
    <row r="371">
      <c r="A371" s="73">
        <v>2013.0</v>
      </c>
      <c r="B371" s="74" t="s">
        <v>63</v>
      </c>
      <c r="C371" s="81">
        <v>41.6</v>
      </c>
      <c r="D371" s="73">
        <v>1.0</v>
      </c>
      <c r="E371" s="82">
        <v>0.0</v>
      </c>
      <c r="F371" s="76">
        <v>256.0</v>
      </c>
    </row>
    <row r="372">
      <c r="A372" s="73">
        <v>2014.0</v>
      </c>
      <c r="B372" s="74" t="s">
        <v>63</v>
      </c>
      <c r="C372" s="81">
        <v>41.6</v>
      </c>
      <c r="D372" s="73">
        <v>1.0</v>
      </c>
      <c r="E372" s="83">
        <v>0.0</v>
      </c>
      <c r="F372" s="76">
        <v>0.0</v>
      </c>
    </row>
    <row r="373">
      <c r="A373" s="84">
        <v>2015.0</v>
      </c>
      <c r="B373" s="85" t="s">
        <v>63</v>
      </c>
      <c r="C373" s="81">
        <v>34.2</v>
      </c>
      <c r="D373" s="73">
        <v>0.0</v>
      </c>
      <c r="E373" s="83">
        <v>0.0</v>
      </c>
      <c r="F373" s="76">
        <v>0.0</v>
      </c>
    </row>
    <row r="374">
      <c r="A374" s="73">
        <v>2016.0</v>
      </c>
      <c r="B374" s="85" t="s">
        <v>63</v>
      </c>
      <c r="C374" s="81">
        <v>39.8</v>
      </c>
      <c r="D374" s="73">
        <v>0.0</v>
      </c>
      <c r="E374" s="83">
        <v>0.0</v>
      </c>
      <c r="F374" s="76">
        <v>0.0</v>
      </c>
      <c r="G374">
        <f>AVERAGE(F374)</f>
        <v>0</v>
      </c>
    </row>
    <row r="375">
      <c r="A375" s="73">
        <v>2017.0</v>
      </c>
      <c r="B375" s="85" t="s">
        <v>63</v>
      </c>
      <c r="C375" s="81">
        <v>39.8</v>
      </c>
      <c r="D375" s="73">
        <v>0.0</v>
      </c>
      <c r="E375" s="83">
        <v>0.0</v>
      </c>
      <c r="F375" s="76">
        <v>0.0</v>
      </c>
      <c r="G375">
        <f>AVERAGE(F375:F376)</f>
        <v>0</v>
      </c>
    </row>
    <row r="376" hidden="1">
      <c r="A376" s="69">
        <v>2002.0</v>
      </c>
      <c r="B376" s="70" t="s">
        <v>65</v>
      </c>
      <c r="C376" s="71">
        <v>48.43</v>
      </c>
      <c r="D376" s="69">
        <v>1.0</v>
      </c>
      <c r="E376" s="72">
        <v>0.0</v>
      </c>
      <c r="F376" s="72">
        <v>0.0</v>
      </c>
    </row>
    <row r="377">
      <c r="A377" s="73">
        <v>2018.0</v>
      </c>
      <c r="B377" s="85" t="s">
        <v>63</v>
      </c>
      <c r="C377" s="81">
        <v>36.4</v>
      </c>
      <c r="D377" s="73">
        <v>0.0</v>
      </c>
      <c r="E377" s="88">
        <v>1.0</v>
      </c>
      <c r="F377" s="76">
        <v>221.0</v>
      </c>
    </row>
    <row r="378">
      <c r="A378" s="73">
        <v>2003.0</v>
      </c>
      <c r="B378" s="74" t="s">
        <v>64</v>
      </c>
      <c r="C378" s="75">
        <v>49.93</v>
      </c>
      <c r="D378" s="73">
        <v>1.0</v>
      </c>
      <c r="E378" s="76">
        <v>0.0</v>
      </c>
      <c r="F378" s="76">
        <v>0.0</v>
      </c>
      <c r="G378">
        <f>AVERAGE(F378:F382)</f>
        <v>38.2</v>
      </c>
    </row>
    <row r="379">
      <c r="A379" s="73">
        <v>2004.0</v>
      </c>
      <c r="B379" s="74" t="s">
        <v>64</v>
      </c>
      <c r="C379" s="75">
        <v>49.93</v>
      </c>
      <c r="D379" s="73">
        <v>1.0</v>
      </c>
      <c r="E379" s="77">
        <v>1.0</v>
      </c>
      <c r="F379" s="76">
        <v>0.0</v>
      </c>
    </row>
    <row r="380">
      <c r="A380" s="73">
        <v>2005.0</v>
      </c>
      <c r="B380" s="74" t="s">
        <v>64</v>
      </c>
      <c r="C380" s="75">
        <v>49.93</v>
      </c>
      <c r="D380" s="73">
        <v>1.0</v>
      </c>
      <c r="E380" s="78">
        <v>1.0</v>
      </c>
      <c r="F380" s="76">
        <v>0.0</v>
      </c>
    </row>
    <row r="381">
      <c r="A381" s="73">
        <v>2006.0</v>
      </c>
      <c r="B381" s="74" t="s">
        <v>64</v>
      </c>
      <c r="C381" s="75">
        <v>49.93</v>
      </c>
      <c r="D381" s="73">
        <v>1.0</v>
      </c>
      <c r="E381" s="78">
        <v>1.0</v>
      </c>
      <c r="F381" s="76">
        <v>0.0</v>
      </c>
    </row>
    <row r="382">
      <c r="A382" s="73">
        <v>2007.0</v>
      </c>
      <c r="B382" s="74" t="s">
        <v>64</v>
      </c>
      <c r="C382" s="75">
        <v>60.74</v>
      </c>
      <c r="D382" s="73">
        <v>1.0</v>
      </c>
      <c r="E382" s="78">
        <v>1.0</v>
      </c>
      <c r="F382" s="76">
        <v>191.0</v>
      </c>
    </row>
    <row r="383">
      <c r="A383" s="73">
        <v>2008.0</v>
      </c>
      <c r="B383" s="74" t="s">
        <v>64</v>
      </c>
      <c r="C383" s="75">
        <v>60.74</v>
      </c>
      <c r="D383" s="73">
        <v>1.0</v>
      </c>
      <c r="E383" s="78">
        <v>1.0</v>
      </c>
      <c r="F383" s="76">
        <v>0.0</v>
      </c>
      <c r="G383">
        <f>AVERAGE(F383:F386)</f>
        <v>328.5</v>
      </c>
    </row>
    <row r="384">
      <c r="A384" s="73">
        <v>2009.0</v>
      </c>
      <c r="B384" s="74" t="s">
        <v>64</v>
      </c>
      <c r="C384" s="75">
        <v>60.74</v>
      </c>
      <c r="D384" s="73">
        <v>1.0</v>
      </c>
      <c r="E384" s="79">
        <v>1.0</v>
      </c>
      <c r="F384" s="76">
        <v>384.0</v>
      </c>
    </row>
    <row r="385">
      <c r="A385" s="73">
        <v>2010.0</v>
      </c>
      <c r="B385" s="74" t="s">
        <v>64</v>
      </c>
      <c r="C385" s="75">
        <v>60.74</v>
      </c>
      <c r="D385" s="73">
        <v>1.0</v>
      </c>
      <c r="E385" s="82">
        <v>1.0</v>
      </c>
      <c r="F385" s="76">
        <v>468.0</v>
      </c>
    </row>
    <row r="386">
      <c r="A386" s="73">
        <v>2011.0</v>
      </c>
      <c r="B386" s="74" t="s">
        <v>64</v>
      </c>
      <c r="C386" s="81">
        <v>65.6</v>
      </c>
      <c r="D386" s="73">
        <v>1.0</v>
      </c>
      <c r="E386" s="82">
        <v>1.0</v>
      </c>
      <c r="F386" s="76">
        <v>462.0</v>
      </c>
    </row>
    <row r="387">
      <c r="A387" s="73">
        <v>2012.0</v>
      </c>
      <c r="B387" s="74" t="s">
        <v>64</v>
      </c>
      <c r="C387" s="81">
        <v>65.6</v>
      </c>
      <c r="D387" s="73">
        <v>1.0</v>
      </c>
      <c r="E387" s="82">
        <v>1.0</v>
      </c>
      <c r="F387" s="76">
        <v>196.0</v>
      </c>
      <c r="G387">
        <f>AVERAGE(F387:F390)</f>
        <v>418.25</v>
      </c>
    </row>
    <row r="388">
      <c r="A388" s="73">
        <v>2013.0</v>
      </c>
      <c r="B388" s="74" t="s">
        <v>64</v>
      </c>
      <c r="C388" s="81">
        <v>65.6</v>
      </c>
      <c r="D388" s="73">
        <v>1.0</v>
      </c>
      <c r="E388" s="82">
        <v>1.0</v>
      </c>
      <c r="F388" s="76">
        <v>975.0</v>
      </c>
    </row>
    <row r="389">
      <c r="A389" s="73">
        <v>2014.0</v>
      </c>
      <c r="B389" s="74" t="s">
        <v>64</v>
      </c>
      <c r="C389" s="81">
        <v>65.6</v>
      </c>
      <c r="D389" s="73">
        <v>1.0</v>
      </c>
      <c r="E389" s="83">
        <v>1.0</v>
      </c>
      <c r="F389" s="76">
        <v>0.0</v>
      </c>
    </row>
    <row r="390">
      <c r="A390" s="84">
        <v>2015.0</v>
      </c>
      <c r="B390" s="85" t="s">
        <v>64</v>
      </c>
      <c r="C390" s="81">
        <v>59.4</v>
      </c>
      <c r="D390" s="73">
        <v>1.0</v>
      </c>
      <c r="E390" s="83">
        <v>1.0</v>
      </c>
      <c r="F390" s="76">
        <v>502.0</v>
      </c>
    </row>
    <row r="391">
      <c r="A391" s="73">
        <v>2016.0</v>
      </c>
      <c r="B391" s="85" t="s">
        <v>64</v>
      </c>
      <c r="C391" s="81">
        <v>69.1</v>
      </c>
      <c r="D391" s="73">
        <v>1.0</v>
      </c>
      <c r="E391" s="83">
        <v>1.0</v>
      </c>
      <c r="F391" s="76">
        <v>673.0</v>
      </c>
      <c r="G391">
        <f>AVERAGE(F391)</f>
        <v>673</v>
      </c>
    </row>
    <row r="392">
      <c r="A392" s="73">
        <v>2017.0</v>
      </c>
      <c r="B392" s="85" t="s">
        <v>64</v>
      </c>
      <c r="C392" s="81">
        <v>69.1</v>
      </c>
      <c r="D392" s="73">
        <v>1.0</v>
      </c>
      <c r="E392" s="83">
        <v>1.0</v>
      </c>
      <c r="F392" s="76">
        <v>0.0</v>
      </c>
      <c r="G392">
        <f>AVERAGE(F392:F393)</f>
        <v>0</v>
      </c>
    </row>
    <row r="393" hidden="1">
      <c r="A393" s="69">
        <v>2002.0</v>
      </c>
      <c r="B393" s="70" t="s">
        <v>66</v>
      </c>
      <c r="C393" s="71">
        <v>24.17</v>
      </c>
      <c r="D393" s="69">
        <v>0.0</v>
      </c>
      <c r="E393" s="72">
        <v>0.0</v>
      </c>
      <c r="F393" s="72">
        <v>0.0</v>
      </c>
    </row>
    <row r="394">
      <c r="A394" s="73">
        <v>2018.0</v>
      </c>
      <c r="B394" s="85" t="s">
        <v>64</v>
      </c>
      <c r="C394" s="81">
        <v>58.3</v>
      </c>
      <c r="D394" s="73">
        <v>1.0</v>
      </c>
      <c r="E394" s="88">
        <v>1.0</v>
      </c>
      <c r="F394" s="76">
        <v>0.0</v>
      </c>
    </row>
    <row r="395">
      <c r="A395" s="73">
        <v>2003.0</v>
      </c>
      <c r="B395" s="74" t="s">
        <v>65</v>
      </c>
      <c r="C395" s="75">
        <v>48.43</v>
      </c>
      <c r="D395" s="73">
        <v>1.0</v>
      </c>
      <c r="E395" s="76">
        <v>0.0</v>
      </c>
      <c r="F395" s="76">
        <v>0.0</v>
      </c>
      <c r="G395">
        <f>AVERAGE(F395:F399)</f>
        <v>463.2</v>
      </c>
    </row>
    <row r="396">
      <c r="A396" s="73">
        <v>2004.0</v>
      </c>
      <c r="B396" s="74" t="s">
        <v>65</v>
      </c>
      <c r="C396" s="75">
        <v>48.43</v>
      </c>
      <c r="D396" s="73">
        <v>1.0</v>
      </c>
      <c r="E396" s="77">
        <v>1.0</v>
      </c>
      <c r="F396" s="76">
        <v>0.0</v>
      </c>
    </row>
    <row r="397">
      <c r="A397" s="73">
        <v>2005.0</v>
      </c>
      <c r="B397" s="74" t="s">
        <v>65</v>
      </c>
      <c r="C397" s="75">
        <v>48.43</v>
      </c>
      <c r="D397" s="73">
        <v>1.0</v>
      </c>
      <c r="E397" s="78">
        <v>1.0</v>
      </c>
      <c r="F397" s="76">
        <v>2092.0</v>
      </c>
    </row>
    <row r="398">
      <c r="A398" s="73">
        <v>2006.0</v>
      </c>
      <c r="B398" s="74" t="s">
        <v>65</v>
      </c>
      <c r="C398" s="75">
        <v>48.43</v>
      </c>
      <c r="D398" s="73">
        <v>1.0</v>
      </c>
      <c r="E398" s="78">
        <v>1.0</v>
      </c>
      <c r="F398" s="76">
        <v>224.0</v>
      </c>
    </row>
    <row r="399">
      <c r="A399" s="73">
        <v>2007.0</v>
      </c>
      <c r="B399" s="74" t="s">
        <v>65</v>
      </c>
      <c r="C399" s="75">
        <v>57.4</v>
      </c>
      <c r="D399" s="73">
        <v>1.0</v>
      </c>
      <c r="E399" s="78">
        <v>1.0</v>
      </c>
      <c r="F399" s="76">
        <v>0.0</v>
      </c>
    </row>
    <row r="400">
      <c r="A400" s="73">
        <v>2008.0</v>
      </c>
      <c r="B400" s="74" t="s">
        <v>65</v>
      </c>
      <c r="C400" s="75">
        <v>57.4</v>
      </c>
      <c r="D400" s="73">
        <v>1.0</v>
      </c>
      <c r="E400" s="78">
        <v>1.0</v>
      </c>
      <c r="F400" s="76">
        <v>176.0</v>
      </c>
      <c r="G400">
        <f>AVERAGE(F400:F403)</f>
        <v>148</v>
      </c>
    </row>
    <row r="401">
      <c r="A401" s="73">
        <v>2009.0</v>
      </c>
      <c r="B401" s="74" t="s">
        <v>65</v>
      </c>
      <c r="C401" s="75">
        <v>57.4</v>
      </c>
      <c r="D401" s="73">
        <v>1.0</v>
      </c>
      <c r="E401" s="79">
        <v>1.0</v>
      </c>
      <c r="F401" s="76">
        <v>416.0</v>
      </c>
    </row>
    <row r="402">
      <c r="A402" s="73">
        <v>2010.0</v>
      </c>
      <c r="B402" s="74" t="s">
        <v>65</v>
      </c>
      <c r="C402" s="75">
        <v>57.4</v>
      </c>
      <c r="D402" s="73">
        <v>1.0</v>
      </c>
      <c r="E402" s="82">
        <v>1.0</v>
      </c>
      <c r="F402" s="76">
        <v>0.0</v>
      </c>
    </row>
    <row r="403">
      <c r="A403" s="73">
        <v>2011.0</v>
      </c>
      <c r="B403" s="74" t="s">
        <v>65</v>
      </c>
      <c r="C403" s="81">
        <v>61.2</v>
      </c>
      <c r="D403" s="73">
        <v>1.0</v>
      </c>
      <c r="E403" s="82">
        <v>1.0</v>
      </c>
      <c r="F403" s="76">
        <v>0.0</v>
      </c>
    </row>
    <row r="404">
      <c r="A404" s="73">
        <v>2012.0</v>
      </c>
      <c r="B404" s="74" t="s">
        <v>65</v>
      </c>
      <c r="C404" s="81">
        <v>61.2</v>
      </c>
      <c r="D404" s="73">
        <v>1.0</v>
      </c>
      <c r="E404" s="82">
        <v>1.0</v>
      </c>
      <c r="F404" s="76">
        <v>580.0</v>
      </c>
      <c r="G404">
        <f>AVERAGE(F404:F407)</f>
        <v>255.75</v>
      </c>
    </row>
    <row r="405">
      <c r="A405" s="73">
        <v>2013.0</v>
      </c>
      <c r="B405" s="74" t="s">
        <v>65</v>
      </c>
      <c r="C405" s="81">
        <v>61.2</v>
      </c>
      <c r="D405" s="73">
        <v>1.0</v>
      </c>
      <c r="E405" s="82">
        <v>1.0</v>
      </c>
      <c r="F405" s="76">
        <v>0.0</v>
      </c>
    </row>
    <row r="406">
      <c r="A406" s="73">
        <v>2014.0</v>
      </c>
      <c r="B406" s="74" t="s">
        <v>65</v>
      </c>
      <c r="C406" s="81">
        <v>61.2</v>
      </c>
      <c r="D406" s="73">
        <v>1.0</v>
      </c>
      <c r="E406" s="83">
        <v>1.0</v>
      </c>
      <c r="F406" s="76">
        <v>0.0</v>
      </c>
    </row>
    <row r="407">
      <c r="A407" s="84">
        <v>2015.0</v>
      </c>
      <c r="B407" s="85" t="s">
        <v>65</v>
      </c>
      <c r="C407" s="81">
        <v>54.4</v>
      </c>
      <c r="D407" s="73">
        <v>1.0</v>
      </c>
      <c r="E407" s="83">
        <v>1.0</v>
      </c>
      <c r="F407" s="76">
        <v>443.0</v>
      </c>
    </row>
    <row r="408">
      <c r="A408" s="73">
        <v>2016.0</v>
      </c>
      <c r="B408" s="85" t="s">
        <v>65</v>
      </c>
      <c r="C408" s="81">
        <v>61.3</v>
      </c>
      <c r="D408" s="73">
        <v>1.0</v>
      </c>
      <c r="E408" s="83">
        <v>1.0</v>
      </c>
      <c r="F408" s="76">
        <v>538.0</v>
      </c>
      <c r="G408">
        <f>AVERAGE(F408)</f>
        <v>538</v>
      </c>
    </row>
    <row r="409">
      <c r="A409" s="73">
        <v>2017.0</v>
      </c>
      <c r="B409" s="85" t="s">
        <v>65</v>
      </c>
      <c r="C409" s="81">
        <v>61.3</v>
      </c>
      <c r="D409" s="73">
        <v>1.0</v>
      </c>
      <c r="E409" s="83">
        <v>1.0</v>
      </c>
      <c r="F409" s="76">
        <v>0.0</v>
      </c>
      <c r="G409">
        <f>AVERAGE(F409:F410)</f>
        <v>0</v>
      </c>
    </row>
    <row r="410" hidden="1">
      <c r="A410" s="69">
        <v>2002.0</v>
      </c>
      <c r="B410" s="70" t="s">
        <v>67</v>
      </c>
      <c r="C410" s="71">
        <v>15.96</v>
      </c>
      <c r="D410" s="69">
        <v>0.0</v>
      </c>
      <c r="E410" s="72">
        <v>0.0</v>
      </c>
      <c r="F410" s="72">
        <v>0.0</v>
      </c>
    </row>
    <row r="411">
      <c r="A411" s="73">
        <v>2018.0</v>
      </c>
      <c r="B411" s="85" t="s">
        <v>65</v>
      </c>
      <c r="C411" s="81">
        <v>51.1</v>
      </c>
      <c r="D411" s="73">
        <v>1.0</v>
      </c>
      <c r="E411" s="88">
        <v>1.0</v>
      </c>
      <c r="F411" s="76">
        <v>357.0</v>
      </c>
    </row>
    <row r="412">
      <c r="A412" s="73">
        <v>2003.0</v>
      </c>
      <c r="B412" s="74" t="s">
        <v>66</v>
      </c>
      <c r="C412" s="75">
        <v>24.17</v>
      </c>
      <c r="D412" s="73">
        <v>0.0</v>
      </c>
      <c r="E412" s="76">
        <v>0.0</v>
      </c>
      <c r="F412" s="76">
        <v>0.0</v>
      </c>
      <c r="G412">
        <f>AVERAGE(F412:F416)</f>
        <v>575.6</v>
      </c>
    </row>
    <row r="413">
      <c r="A413" s="73">
        <v>2004.0</v>
      </c>
      <c r="B413" s="74" t="s">
        <v>66</v>
      </c>
      <c r="C413" s="75">
        <v>24.17</v>
      </c>
      <c r="D413" s="73">
        <v>0.0</v>
      </c>
      <c r="E413" s="77">
        <v>1.0</v>
      </c>
      <c r="F413" s="76">
        <v>0.0</v>
      </c>
    </row>
    <row r="414">
      <c r="A414" s="73">
        <v>2005.0</v>
      </c>
      <c r="B414" s="74" t="s">
        <v>66</v>
      </c>
      <c r="C414" s="75">
        <v>24.17</v>
      </c>
      <c r="D414" s="73">
        <v>0.0</v>
      </c>
      <c r="E414" s="78">
        <v>1.0</v>
      </c>
      <c r="F414" s="76">
        <v>664.0</v>
      </c>
    </row>
    <row r="415">
      <c r="A415" s="73">
        <v>2006.0</v>
      </c>
      <c r="B415" s="74" t="s">
        <v>66</v>
      </c>
      <c r="C415" s="75">
        <v>24.17</v>
      </c>
      <c r="D415" s="73">
        <v>0.0</v>
      </c>
      <c r="E415" s="78">
        <v>1.0</v>
      </c>
      <c r="F415" s="76">
        <v>680.0</v>
      </c>
    </row>
    <row r="416">
      <c r="A416" s="73">
        <v>2007.0</v>
      </c>
      <c r="B416" s="74" t="s">
        <v>66</v>
      </c>
      <c r="C416" s="75">
        <v>43.03</v>
      </c>
      <c r="D416" s="73">
        <v>1.0</v>
      </c>
      <c r="E416" s="78">
        <v>1.0</v>
      </c>
      <c r="F416" s="76">
        <v>1534.0</v>
      </c>
    </row>
    <row r="417">
      <c r="A417" s="73">
        <v>2008.0</v>
      </c>
      <c r="B417" s="74" t="s">
        <v>66</v>
      </c>
      <c r="C417" s="75">
        <v>43.03</v>
      </c>
      <c r="D417" s="73">
        <v>1.0</v>
      </c>
      <c r="E417" s="78">
        <v>1.0</v>
      </c>
      <c r="F417" s="76">
        <v>0.0</v>
      </c>
      <c r="G417">
        <f>AVERAGE(F417:F420)</f>
        <v>429.5</v>
      </c>
    </row>
    <row r="418">
      <c r="A418" s="73">
        <v>2009.0</v>
      </c>
      <c r="B418" s="74" t="s">
        <v>66</v>
      </c>
      <c r="C418" s="75">
        <v>43.03</v>
      </c>
      <c r="D418" s="73">
        <v>1.0</v>
      </c>
      <c r="E418" s="79">
        <v>1.0</v>
      </c>
      <c r="F418" s="76">
        <v>112.0</v>
      </c>
    </row>
    <row r="419">
      <c r="A419" s="73">
        <v>2010.0</v>
      </c>
      <c r="B419" s="74" t="s">
        <v>66</v>
      </c>
      <c r="C419" s="75">
        <v>43.03</v>
      </c>
      <c r="D419" s="73">
        <v>1.0</v>
      </c>
      <c r="E419" s="82">
        <v>1.0</v>
      </c>
      <c r="F419" s="76">
        <v>1348.0</v>
      </c>
    </row>
    <row r="420">
      <c r="A420" s="73">
        <v>2011.0</v>
      </c>
      <c r="B420" s="74" t="s">
        <v>66</v>
      </c>
      <c r="C420" s="81">
        <v>46.6</v>
      </c>
      <c r="D420" s="73">
        <v>1.0</v>
      </c>
      <c r="E420" s="82">
        <v>1.0</v>
      </c>
      <c r="F420" s="76">
        <v>258.0</v>
      </c>
    </row>
    <row r="421">
      <c r="A421" s="73">
        <v>2012.0</v>
      </c>
      <c r="B421" s="74" t="s">
        <v>66</v>
      </c>
      <c r="C421" s="81">
        <v>46.6</v>
      </c>
      <c r="D421" s="73">
        <v>1.0</v>
      </c>
      <c r="E421" s="82">
        <v>1.0</v>
      </c>
      <c r="F421" s="76">
        <v>0.0</v>
      </c>
      <c r="G421">
        <f>AVERAGE(F421:F424)</f>
        <v>259.75</v>
      </c>
    </row>
    <row r="422">
      <c r="A422" s="73">
        <v>2013.0</v>
      </c>
      <c r="B422" s="74" t="s">
        <v>66</v>
      </c>
      <c r="C422" s="81">
        <v>46.6</v>
      </c>
      <c r="D422" s="73">
        <v>1.0</v>
      </c>
      <c r="E422" s="82">
        <v>1.0</v>
      </c>
      <c r="F422" s="76">
        <v>253.0</v>
      </c>
    </row>
    <row r="423">
      <c r="A423" s="73">
        <v>2014.0</v>
      </c>
      <c r="B423" s="74" t="s">
        <v>66</v>
      </c>
      <c r="C423" s="81">
        <v>46.6</v>
      </c>
      <c r="D423" s="73">
        <v>1.0</v>
      </c>
      <c r="E423" s="83">
        <v>1.0</v>
      </c>
      <c r="F423" s="76">
        <v>786.0</v>
      </c>
    </row>
    <row r="424">
      <c r="A424" s="84">
        <v>2015.0</v>
      </c>
      <c r="B424" s="85" t="s">
        <v>66</v>
      </c>
      <c r="C424" s="81">
        <v>39.5</v>
      </c>
      <c r="D424" s="73">
        <v>0.0</v>
      </c>
      <c r="E424" s="83">
        <v>1.0</v>
      </c>
      <c r="F424" s="76">
        <v>0.0</v>
      </c>
    </row>
    <row r="425">
      <c r="A425" s="73">
        <v>2016.0</v>
      </c>
      <c r="B425" s="85" t="s">
        <v>66</v>
      </c>
      <c r="C425" s="81">
        <v>45.5</v>
      </c>
      <c r="D425" s="73">
        <v>1.0</v>
      </c>
      <c r="E425" s="83">
        <v>1.0</v>
      </c>
      <c r="F425" s="76">
        <v>0.0</v>
      </c>
      <c r="G425">
        <f>AVERAGE(F425)</f>
        <v>0</v>
      </c>
    </row>
    <row r="426">
      <c r="A426" s="73">
        <v>2017.0</v>
      </c>
      <c r="B426" s="85" t="s">
        <v>66</v>
      </c>
      <c r="C426" s="81">
        <v>45.5</v>
      </c>
      <c r="D426" s="73">
        <v>1.0</v>
      </c>
      <c r="E426" s="83">
        <v>1.0</v>
      </c>
      <c r="F426" s="76">
        <v>0.0</v>
      </c>
      <c r="G426">
        <f>AVERAGE(F426:F427)</f>
        <v>0</v>
      </c>
    </row>
    <row r="427" hidden="1">
      <c r="A427" s="69">
        <v>2002.0</v>
      </c>
      <c r="B427" s="70" t="s">
        <v>68</v>
      </c>
      <c r="C427" s="71">
        <v>52.46</v>
      </c>
      <c r="D427" s="69">
        <v>1.0</v>
      </c>
      <c r="E427" s="72">
        <v>0.0</v>
      </c>
      <c r="F427" s="72">
        <v>0.0</v>
      </c>
    </row>
    <row r="428">
      <c r="A428" s="73">
        <v>2018.0</v>
      </c>
      <c r="B428" s="85" t="s">
        <v>66</v>
      </c>
      <c r="C428" s="81">
        <v>39.8</v>
      </c>
      <c r="D428" s="73">
        <v>0.0</v>
      </c>
      <c r="E428" s="88">
        <v>0.0</v>
      </c>
      <c r="F428" s="76">
        <v>2525.0</v>
      </c>
    </row>
    <row r="429">
      <c r="A429" s="73">
        <v>2003.0</v>
      </c>
      <c r="B429" s="74" t="s">
        <v>67</v>
      </c>
      <c r="C429" s="75">
        <v>15.96</v>
      </c>
      <c r="D429" s="73">
        <v>0.0</v>
      </c>
      <c r="E429" s="76">
        <v>0.0</v>
      </c>
      <c r="F429" s="76">
        <v>0.0</v>
      </c>
      <c r="G429">
        <f>AVERAGE(F429:F433)</f>
        <v>1042.4</v>
      </c>
    </row>
    <row r="430">
      <c r="A430" s="73">
        <v>2004.0</v>
      </c>
      <c r="B430" s="74" t="s">
        <v>67</v>
      </c>
      <c r="C430" s="75">
        <v>15.96</v>
      </c>
      <c r="D430" s="73">
        <v>0.0</v>
      </c>
      <c r="E430" s="77">
        <v>0.0</v>
      </c>
      <c r="F430" s="76">
        <v>960.0</v>
      </c>
    </row>
    <row r="431">
      <c r="A431" s="73">
        <v>2005.0</v>
      </c>
      <c r="B431" s="74" t="s">
        <v>67</v>
      </c>
      <c r="C431" s="75">
        <v>15.96</v>
      </c>
      <c r="D431" s="73">
        <v>0.0</v>
      </c>
      <c r="E431" s="78">
        <v>0.0</v>
      </c>
      <c r="F431" s="76">
        <v>1268.0</v>
      </c>
    </row>
    <row r="432">
      <c r="A432" s="73">
        <v>2006.0</v>
      </c>
      <c r="B432" s="74" t="s">
        <v>67</v>
      </c>
      <c r="C432" s="75">
        <v>15.96</v>
      </c>
      <c r="D432" s="73">
        <v>0.0</v>
      </c>
      <c r="E432" s="78">
        <v>0.0</v>
      </c>
      <c r="F432" s="76">
        <v>1800.0</v>
      </c>
    </row>
    <row r="433">
      <c r="A433" s="73">
        <v>2007.0</v>
      </c>
      <c r="B433" s="74" t="s">
        <v>67</v>
      </c>
      <c r="C433" s="75">
        <v>40.9</v>
      </c>
      <c r="D433" s="73">
        <v>1.0</v>
      </c>
      <c r="E433" s="78">
        <v>0.0</v>
      </c>
      <c r="F433" s="76">
        <v>1184.0</v>
      </c>
    </row>
    <row r="434">
      <c r="A434" s="73">
        <v>2008.0</v>
      </c>
      <c r="B434" s="74" t="s">
        <v>67</v>
      </c>
      <c r="C434" s="75">
        <v>40.9</v>
      </c>
      <c r="D434" s="73">
        <v>1.0</v>
      </c>
      <c r="E434" s="78">
        <v>0.0</v>
      </c>
      <c r="F434" s="76">
        <v>1272.0</v>
      </c>
      <c r="G434">
        <f>AVERAGE(F434:F437)</f>
        <v>1113</v>
      </c>
    </row>
    <row r="435">
      <c r="A435" s="73">
        <v>2009.0</v>
      </c>
      <c r="B435" s="74" t="s">
        <v>67</v>
      </c>
      <c r="C435" s="75">
        <v>40.9</v>
      </c>
      <c r="D435" s="73">
        <v>1.0</v>
      </c>
      <c r="E435" s="79">
        <v>0.0</v>
      </c>
      <c r="F435" s="76">
        <v>1024.0</v>
      </c>
    </row>
    <row r="436">
      <c r="A436" s="73">
        <v>2010.0</v>
      </c>
      <c r="B436" s="74" t="s">
        <v>67</v>
      </c>
      <c r="C436" s="75">
        <v>40.9</v>
      </c>
      <c r="D436" s="73">
        <v>1.0</v>
      </c>
      <c r="E436" s="82">
        <v>0.0</v>
      </c>
      <c r="F436" s="76">
        <v>912.0</v>
      </c>
    </row>
    <row r="437">
      <c r="A437" s="73">
        <v>2011.0</v>
      </c>
      <c r="B437" s="74" t="s">
        <v>67</v>
      </c>
      <c r="C437" s="81">
        <v>32.2</v>
      </c>
      <c r="D437" s="73">
        <v>0.0</v>
      </c>
      <c r="E437" s="82">
        <v>0.0</v>
      </c>
      <c r="F437" s="76">
        <v>1244.0</v>
      </c>
    </row>
    <row r="438">
      <c r="A438" s="73">
        <v>2012.0</v>
      </c>
      <c r="B438" s="74" t="s">
        <v>67</v>
      </c>
      <c r="C438" s="81">
        <v>32.2</v>
      </c>
      <c r="D438" s="73">
        <v>0.0</v>
      </c>
      <c r="E438" s="82">
        <v>0.0</v>
      </c>
      <c r="F438" s="76">
        <v>360.0</v>
      </c>
      <c r="G438">
        <f>AVERAGE(F438:F441)</f>
        <v>100</v>
      </c>
    </row>
    <row r="439">
      <c r="A439" s="73">
        <v>2013.0</v>
      </c>
      <c r="B439" s="74" t="s">
        <v>67</v>
      </c>
      <c r="C439" s="81">
        <v>32.2</v>
      </c>
      <c r="D439" s="73">
        <v>0.0</v>
      </c>
      <c r="E439" s="82">
        <v>0.0</v>
      </c>
      <c r="F439" s="76">
        <v>0.0</v>
      </c>
    </row>
    <row r="440">
      <c r="A440" s="73">
        <v>2014.0</v>
      </c>
      <c r="B440" s="74" t="s">
        <v>67</v>
      </c>
      <c r="C440" s="81">
        <v>32.2</v>
      </c>
      <c r="D440" s="73">
        <v>0.0</v>
      </c>
      <c r="E440" s="83">
        <v>0.0</v>
      </c>
      <c r="F440" s="76">
        <v>40.0</v>
      </c>
    </row>
    <row r="441">
      <c r="A441" s="84">
        <v>2015.0</v>
      </c>
      <c r="B441" s="85" t="s">
        <v>67</v>
      </c>
      <c r="C441" s="81">
        <v>14.0</v>
      </c>
      <c r="D441" s="73">
        <v>0.0</v>
      </c>
      <c r="E441" s="83">
        <v>0.0</v>
      </c>
      <c r="F441" s="76">
        <v>0.0</v>
      </c>
    </row>
    <row r="442">
      <c r="A442" s="73">
        <v>2016.0</v>
      </c>
      <c r="B442" s="85" t="s">
        <v>67</v>
      </c>
      <c r="C442" s="81">
        <v>21.4</v>
      </c>
      <c r="D442" s="73">
        <v>0.0</v>
      </c>
      <c r="E442" s="83">
        <v>0.0</v>
      </c>
      <c r="F442" s="76">
        <v>2312.0</v>
      </c>
      <c r="G442">
        <f>AVERAGE(F442)</f>
        <v>2312</v>
      </c>
    </row>
    <row r="443">
      <c r="A443" s="73">
        <v>2017.0</v>
      </c>
      <c r="B443" s="85" t="s">
        <v>67</v>
      </c>
      <c r="C443" s="81">
        <v>21.4</v>
      </c>
      <c r="D443" s="73">
        <v>0.0</v>
      </c>
      <c r="E443" s="83">
        <v>0.0</v>
      </c>
      <c r="F443" s="76">
        <v>0.0</v>
      </c>
      <c r="G443">
        <f>AVERAGE(F443:F444)</f>
        <v>0</v>
      </c>
    </row>
    <row r="444" hidden="1">
      <c r="A444" s="69">
        <v>2002.0</v>
      </c>
      <c r="B444" s="70" t="s">
        <v>69</v>
      </c>
      <c r="C444" s="71">
        <v>8.73</v>
      </c>
      <c r="D444" s="69">
        <v>0.0</v>
      </c>
      <c r="E444" s="72">
        <v>0.0</v>
      </c>
      <c r="F444" s="72">
        <v>0.0</v>
      </c>
    </row>
    <row r="445">
      <c r="A445" s="73">
        <v>2018.0</v>
      </c>
      <c r="B445" s="85" t="s">
        <v>67</v>
      </c>
      <c r="C445" s="81">
        <v>20.3</v>
      </c>
      <c r="D445" s="73">
        <v>0.0</v>
      </c>
      <c r="E445" s="88">
        <v>1.0</v>
      </c>
      <c r="F445" s="76">
        <v>0.0</v>
      </c>
    </row>
    <row r="446">
      <c r="A446" s="73">
        <v>2003.0</v>
      </c>
      <c r="B446" s="74" t="s">
        <v>68</v>
      </c>
      <c r="C446" s="75">
        <v>52.46</v>
      </c>
      <c r="D446" s="73">
        <v>1.0</v>
      </c>
      <c r="E446" s="76">
        <v>0.0</v>
      </c>
      <c r="F446" s="76">
        <v>0.0</v>
      </c>
      <c r="G446">
        <f>AVERAGE(F446:F450)</f>
        <v>717.2</v>
      </c>
    </row>
    <row r="447">
      <c r="A447" s="73">
        <v>2004.0</v>
      </c>
      <c r="B447" s="74" t="s">
        <v>68</v>
      </c>
      <c r="C447" s="75">
        <v>52.46</v>
      </c>
      <c r="D447" s="73">
        <v>1.0</v>
      </c>
      <c r="E447" s="77">
        <v>1.0</v>
      </c>
      <c r="F447" s="76">
        <v>0.0</v>
      </c>
    </row>
    <row r="448">
      <c r="A448" s="73">
        <v>2005.0</v>
      </c>
      <c r="B448" s="74" t="s">
        <v>68</v>
      </c>
      <c r="C448" s="75">
        <v>52.46</v>
      </c>
      <c r="D448" s="73">
        <v>1.0</v>
      </c>
      <c r="E448" s="78">
        <v>1.0</v>
      </c>
      <c r="F448" s="76">
        <v>0.0</v>
      </c>
    </row>
    <row r="449">
      <c r="A449" s="73">
        <v>2006.0</v>
      </c>
      <c r="B449" s="74" t="s">
        <v>68</v>
      </c>
      <c r="C449" s="75">
        <v>52.46</v>
      </c>
      <c r="D449" s="73">
        <v>1.0</v>
      </c>
      <c r="E449" s="78">
        <v>1.0</v>
      </c>
      <c r="F449" s="76">
        <v>588.0</v>
      </c>
    </row>
    <row r="450">
      <c r="A450" s="73">
        <v>2007.0</v>
      </c>
      <c r="B450" s="74" t="s">
        <v>68</v>
      </c>
      <c r="C450" s="75">
        <v>60.6</v>
      </c>
      <c r="D450" s="73">
        <v>1.0</v>
      </c>
      <c r="E450" s="78">
        <v>1.0</v>
      </c>
      <c r="F450" s="76">
        <v>2998.0</v>
      </c>
    </row>
    <row r="451">
      <c r="A451" s="73">
        <v>2008.0</v>
      </c>
      <c r="B451" s="74" t="s">
        <v>68</v>
      </c>
      <c r="C451" s="75">
        <v>60.6</v>
      </c>
      <c r="D451" s="73">
        <v>1.0</v>
      </c>
      <c r="E451" s="78">
        <v>1.0</v>
      </c>
      <c r="F451" s="76">
        <v>0.0</v>
      </c>
      <c r="G451">
        <f>AVERAGE(F451:F454)</f>
        <v>111.5</v>
      </c>
    </row>
    <row r="452">
      <c r="A452" s="73">
        <v>2009.0</v>
      </c>
      <c r="B452" s="74" t="s">
        <v>68</v>
      </c>
      <c r="C452" s="75">
        <v>60.6</v>
      </c>
      <c r="D452" s="73">
        <v>1.0</v>
      </c>
      <c r="E452" s="79">
        <v>1.0</v>
      </c>
      <c r="F452" s="76">
        <v>0.0</v>
      </c>
    </row>
    <row r="453">
      <c r="A453" s="73">
        <v>2010.0</v>
      </c>
      <c r="B453" s="74" t="s">
        <v>68</v>
      </c>
      <c r="C453" s="75">
        <v>60.6</v>
      </c>
      <c r="D453" s="73">
        <v>1.0</v>
      </c>
      <c r="E453" s="82">
        <v>1.0</v>
      </c>
      <c r="F453" s="76">
        <v>336.0</v>
      </c>
    </row>
    <row r="454">
      <c r="A454" s="73">
        <v>2011.0</v>
      </c>
      <c r="B454" s="74" t="s">
        <v>68</v>
      </c>
      <c r="C454" s="81">
        <v>65.9</v>
      </c>
      <c r="D454" s="73">
        <v>1.0</v>
      </c>
      <c r="E454" s="82">
        <v>1.0</v>
      </c>
      <c r="F454" s="76">
        <v>110.0</v>
      </c>
    </row>
    <row r="455">
      <c r="A455" s="73">
        <v>2012.0</v>
      </c>
      <c r="B455" s="74" t="s">
        <v>68</v>
      </c>
      <c r="C455" s="81">
        <v>65.9</v>
      </c>
      <c r="D455" s="73">
        <v>1.0</v>
      </c>
      <c r="E455" s="82">
        <v>1.0</v>
      </c>
      <c r="F455" s="76">
        <v>448.0</v>
      </c>
      <c r="G455">
        <f>AVERAGE(F455:F458)</f>
        <v>355.5</v>
      </c>
    </row>
    <row r="456">
      <c r="A456" s="73">
        <v>2013.0</v>
      </c>
      <c r="B456" s="74" t="s">
        <v>68</v>
      </c>
      <c r="C456" s="81">
        <v>65.9</v>
      </c>
      <c r="D456" s="73">
        <v>1.0</v>
      </c>
      <c r="E456" s="82">
        <v>1.0</v>
      </c>
      <c r="F456" s="76">
        <v>275.0</v>
      </c>
    </row>
    <row r="457">
      <c r="A457" s="73">
        <v>2014.0</v>
      </c>
      <c r="B457" s="74" t="s">
        <v>68</v>
      </c>
      <c r="C457" s="81">
        <v>65.9</v>
      </c>
      <c r="D457" s="73">
        <v>1.0</v>
      </c>
      <c r="E457" s="83">
        <v>1.0</v>
      </c>
      <c r="F457" s="76">
        <v>293.0</v>
      </c>
    </row>
    <row r="458">
      <c r="A458" s="84">
        <v>2015.0</v>
      </c>
      <c r="B458" s="85" t="s">
        <v>68</v>
      </c>
      <c r="C458" s="81">
        <v>59.4</v>
      </c>
      <c r="D458" s="73">
        <v>1.0</v>
      </c>
      <c r="E458" s="83">
        <v>1.0</v>
      </c>
      <c r="F458" s="76">
        <v>406.0</v>
      </c>
    </row>
    <row r="459">
      <c r="A459" s="73">
        <v>2016.0</v>
      </c>
      <c r="B459" s="85" t="s">
        <v>68</v>
      </c>
      <c r="C459" s="81">
        <v>70.8</v>
      </c>
      <c r="D459" s="73">
        <v>1.0</v>
      </c>
      <c r="E459" s="83">
        <v>1.0</v>
      </c>
      <c r="F459" s="76">
        <v>0.0</v>
      </c>
      <c r="G459">
        <f>AVERAGE(F459)</f>
        <v>0</v>
      </c>
    </row>
    <row r="460">
      <c r="A460" s="73">
        <v>2017.0</v>
      </c>
      <c r="B460" s="85" t="s">
        <v>68</v>
      </c>
      <c r="C460" s="81">
        <v>70.8</v>
      </c>
      <c r="D460" s="73">
        <v>1.0</v>
      </c>
      <c r="E460" s="83">
        <v>1.0</v>
      </c>
      <c r="F460" s="76">
        <v>0.0</v>
      </c>
      <c r="G460">
        <f>AVERAGE(F460:F461)</f>
        <v>49</v>
      </c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</row>
    <row r="461" hidden="1">
      <c r="A461" s="69">
        <v>2002.0</v>
      </c>
      <c r="B461" s="70" t="s">
        <v>70</v>
      </c>
      <c r="C461" s="71">
        <v>41.99</v>
      </c>
      <c r="D461" s="69">
        <v>1.0</v>
      </c>
      <c r="E461" s="72">
        <v>0.0</v>
      </c>
      <c r="F461" s="72">
        <v>98.0</v>
      </c>
    </row>
    <row r="462">
      <c r="A462" s="73">
        <v>2018.0</v>
      </c>
      <c r="B462" s="85" t="s">
        <v>68</v>
      </c>
      <c r="C462" s="81">
        <v>55.1</v>
      </c>
      <c r="D462" s="73">
        <v>1.0</v>
      </c>
      <c r="E462" s="88">
        <v>0.0</v>
      </c>
      <c r="F462" s="76">
        <v>127.0</v>
      </c>
    </row>
    <row r="463">
      <c r="A463" s="73">
        <v>2003.0</v>
      </c>
      <c r="B463" s="74" t="s">
        <v>69</v>
      </c>
      <c r="C463" s="75">
        <v>8.73</v>
      </c>
      <c r="D463" s="73">
        <v>0.0</v>
      </c>
      <c r="E463" s="76">
        <v>0.0</v>
      </c>
      <c r="F463" s="76">
        <v>0.0</v>
      </c>
      <c r="G463">
        <f>AVERAGE(F463:F467)</f>
        <v>296</v>
      </c>
    </row>
    <row r="464">
      <c r="A464" s="73">
        <v>2004.0</v>
      </c>
      <c r="B464" s="74" t="s">
        <v>69</v>
      </c>
      <c r="C464" s="75">
        <v>8.73</v>
      </c>
      <c r="D464" s="73">
        <v>0.0</v>
      </c>
      <c r="E464" s="77">
        <v>0.0</v>
      </c>
      <c r="F464" s="76">
        <v>0.0</v>
      </c>
    </row>
    <row r="465">
      <c r="A465" s="73">
        <v>2005.0</v>
      </c>
      <c r="B465" s="74" t="s">
        <v>69</v>
      </c>
      <c r="C465" s="75">
        <v>8.73</v>
      </c>
      <c r="D465" s="73">
        <v>0.0</v>
      </c>
      <c r="E465" s="78">
        <v>0.0</v>
      </c>
      <c r="F465" s="76">
        <v>0.0</v>
      </c>
    </row>
    <row r="466">
      <c r="A466" s="73">
        <v>2006.0</v>
      </c>
      <c r="B466" s="74" t="s">
        <v>69</v>
      </c>
      <c r="C466" s="75">
        <v>8.73</v>
      </c>
      <c r="D466" s="73">
        <v>0.0</v>
      </c>
      <c r="E466" s="78">
        <v>0.0</v>
      </c>
      <c r="F466" s="76">
        <v>456.0</v>
      </c>
    </row>
    <row r="467">
      <c r="A467" s="73">
        <v>2007.0</v>
      </c>
      <c r="B467" s="74" t="s">
        <v>69</v>
      </c>
      <c r="C467" s="75">
        <v>20.72</v>
      </c>
      <c r="D467" s="73">
        <v>0.0</v>
      </c>
      <c r="E467" s="78">
        <v>0.0</v>
      </c>
      <c r="F467" s="76">
        <v>1024.0</v>
      </c>
    </row>
    <row r="468">
      <c r="A468" s="73">
        <v>2008.0</v>
      </c>
      <c r="B468" s="74" t="s">
        <v>69</v>
      </c>
      <c r="C468" s="75">
        <v>20.72</v>
      </c>
      <c r="D468" s="73">
        <v>0.0</v>
      </c>
      <c r="E468" s="78">
        <v>0.0</v>
      </c>
      <c r="F468" s="76">
        <v>0.0</v>
      </c>
      <c r="G468">
        <f>AVERAGE(F468:F471)</f>
        <v>735.5</v>
      </c>
    </row>
    <row r="469">
      <c r="A469" s="73">
        <v>2009.0</v>
      </c>
      <c r="B469" s="74" t="s">
        <v>69</v>
      </c>
      <c r="C469" s="75">
        <v>20.72</v>
      </c>
      <c r="D469" s="73">
        <v>0.0</v>
      </c>
      <c r="E469" s="79">
        <v>0.0</v>
      </c>
      <c r="F469" s="76">
        <v>458.0</v>
      </c>
    </row>
    <row r="470">
      <c r="A470" s="73">
        <v>2010.0</v>
      </c>
      <c r="B470" s="74" t="s">
        <v>69</v>
      </c>
      <c r="C470" s="75">
        <v>20.72</v>
      </c>
      <c r="D470" s="73">
        <v>0.0</v>
      </c>
      <c r="E470" s="82">
        <v>0.0</v>
      </c>
      <c r="F470" s="76">
        <v>824.0</v>
      </c>
    </row>
    <row r="471">
      <c r="A471" s="73">
        <v>2011.0</v>
      </c>
      <c r="B471" s="74" t="s">
        <v>69</v>
      </c>
      <c r="C471" s="81">
        <v>30.4</v>
      </c>
      <c r="D471" s="73">
        <v>0.0</v>
      </c>
      <c r="E471" s="82">
        <v>0.0</v>
      </c>
      <c r="F471" s="76">
        <v>1660.0</v>
      </c>
    </row>
    <row r="472">
      <c r="A472" s="73">
        <v>2012.0</v>
      </c>
      <c r="B472" s="74" t="s">
        <v>69</v>
      </c>
      <c r="C472" s="81">
        <v>30.4</v>
      </c>
      <c r="D472" s="73">
        <v>0.0</v>
      </c>
      <c r="E472" s="82">
        <v>0.0</v>
      </c>
      <c r="F472" s="76">
        <v>0.0</v>
      </c>
      <c r="G472">
        <f>AVERAGE(F472:F475)</f>
        <v>129.25</v>
      </c>
    </row>
    <row r="473">
      <c r="A473" s="73">
        <v>2013.0</v>
      </c>
      <c r="B473" s="74" t="s">
        <v>69</v>
      </c>
      <c r="C473" s="81">
        <v>30.4</v>
      </c>
      <c r="D473" s="73">
        <v>0.0</v>
      </c>
      <c r="E473" s="82">
        <v>0.0</v>
      </c>
      <c r="F473" s="76">
        <v>0.0</v>
      </c>
    </row>
    <row r="474">
      <c r="A474" s="73">
        <v>2014.0</v>
      </c>
      <c r="B474" s="74" t="s">
        <v>69</v>
      </c>
      <c r="C474" s="81">
        <v>30.4</v>
      </c>
      <c r="D474" s="73">
        <v>0.0</v>
      </c>
      <c r="E474" s="83">
        <v>0.0</v>
      </c>
      <c r="F474" s="76">
        <v>346.0</v>
      </c>
    </row>
    <row r="475">
      <c r="A475" s="84">
        <v>2015.0</v>
      </c>
      <c r="B475" s="85" t="s">
        <v>69</v>
      </c>
      <c r="C475" s="81">
        <v>24.2</v>
      </c>
      <c r="D475" s="73">
        <v>0.0</v>
      </c>
      <c r="E475" s="83">
        <v>0.0</v>
      </c>
      <c r="F475" s="76">
        <v>171.0</v>
      </c>
    </row>
    <row r="476">
      <c r="A476" s="73">
        <v>2016.0</v>
      </c>
      <c r="B476" s="85" t="s">
        <v>69</v>
      </c>
      <c r="C476" s="81">
        <v>27.0</v>
      </c>
      <c r="D476" s="73">
        <v>0.0</v>
      </c>
      <c r="E476" s="83">
        <v>0.0</v>
      </c>
      <c r="F476" s="76">
        <v>0.0</v>
      </c>
      <c r="G476">
        <f>AVERAGE(F476)</f>
        <v>0</v>
      </c>
    </row>
    <row r="477">
      <c r="A477" s="73">
        <v>2017.0</v>
      </c>
      <c r="B477" s="85" t="s">
        <v>69</v>
      </c>
      <c r="C477" s="81">
        <v>27.0</v>
      </c>
      <c r="D477" s="73">
        <v>0.0</v>
      </c>
      <c r="E477" s="83">
        <v>0.0</v>
      </c>
      <c r="F477" s="76">
        <v>0.0</v>
      </c>
      <c r="G477">
        <f>AVERAGE(F477:F479)</f>
        <v>0</v>
      </c>
    </row>
    <row r="478">
      <c r="A478" s="73">
        <v>2018.0</v>
      </c>
      <c r="B478" s="85" t="s">
        <v>69</v>
      </c>
      <c r="C478" s="81"/>
      <c r="D478" s="73"/>
      <c r="E478" s="83"/>
      <c r="F478" s="76">
        <v>0.0</v>
      </c>
    </row>
    <row r="479" hidden="1">
      <c r="A479" s="69">
        <v>2002.0</v>
      </c>
      <c r="B479" s="70" t="s">
        <v>71</v>
      </c>
      <c r="C479" s="71">
        <v>40.55</v>
      </c>
      <c r="D479" s="69">
        <v>1.0</v>
      </c>
      <c r="E479" s="72">
        <v>0.0</v>
      </c>
      <c r="F479" s="72">
        <v>0.0</v>
      </c>
    </row>
    <row r="480">
      <c r="A480" s="73">
        <v>2003.0</v>
      </c>
      <c r="B480" s="74" t="s">
        <v>70</v>
      </c>
      <c r="C480" s="75">
        <v>41.99</v>
      </c>
      <c r="D480" s="73">
        <v>1.0</v>
      </c>
      <c r="E480" s="76">
        <v>0.0</v>
      </c>
      <c r="F480" s="76">
        <v>0.0</v>
      </c>
      <c r="G480">
        <f>AVERAGE(F480:F484)</f>
        <v>197.6</v>
      </c>
    </row>
    <row r="481">
      <c r="A481" s="73">
        <v>2004.0</v>
      </c>
      <c r="B481" s="74" t="s">
        <v>70</v>
      </c>
      <c r="C481" s="75">
        <v>41.99</v>
      </c>
      <c r="D481" s="73">
        <v>1.0</v>
      </c>
      <c r="E481" s="77">
        <v>0.0</v>
      </c>
      <c r="F481" s="76">
        <v>456.0</v>
      </c>
    </row>
    <row r="482">
      <c r="A482" s="73">
        <v>2005.0</v>
      </c>
      <c r="B482" s="74" t="s">
        <v>70</v>
      </c>
      <c r="C482" s="75">
        <v>41.99</v>
      </c>
      <c r="D482" s="73">
        <v>1.0</v>
      </c>
      <c r="E482" s="78">
        <v>0.0</v>
      </c>
      <c r="F482" s="76">
        <v>224.0</v>
      </c>
    </row>
    <row r="483">
      <c r="A483" s="73">
        <v>2006.0</v>
      </c>
      <c r="B483" s="74" t="s">
        <v>70</v>
      </c>
      <c r="C483" s="75">
        <v>41.99</v>
      </c>
      <c r="D483" s="73">
        <v>1.0</v>
      </c>
      <c r="E483" s="78">
        <v>0.0</v>
      </c>
      <c r="F483" s="76">
        <v>0.0</v>
      </c>
    </row>
    <row r="484">
      <c r="A484" s="73">
        <v>2007.0</v>
      </c>
      <c r="B484" s="74" t="s">
        <v>70</v>
      </c>
      <c r="C484" s="75">
        <v>57.2</v>
      </c>
      <c r="D484" s="73">
        <v>1.0</v>
      </c>
      <c r="E484" s="78">
        <v>0.0</v>
      </c>
      <c r="F484" s="76">
        <v>308.0</v>
      </c>
    </row>
    <row r="485">
      <c r="A485" s="73">
        <v>2008.0</v>
      </c>
      <c r="B485" s="74" t="s">
        <v>70</v>
      </c>
      <c r="C485" s="75">
        <v>57.2</v>
      </c>
      <c r="D485" s="73">
        <v>1.0</v>
      </c>
      <c r="E485" s="78">
        <v>0.0</v>
      </c>
      <c r="F485" s="76">
        <v>0.0</v>
      </c>
      <c r="G485">
        <f>AVERAGE(F485:F488)</f>
        <v>1353.5</v>
      </c>
    </row>
    <row r="486">
      <c r="A486" s="73">
        <v>2009.0</v>
      </c>
      <c r="B486" s="74" t="s">
        <v>70</v>
      </c>
      <c r="C486" s="75">
        <v>57.2</v>
      </c>
      <c r="D486" s="73">
        <v>1.0</v>
      </c>
      <c r="E486" s="79">
        <v>1.0</v>
      </c>
      <c r="F486" s="76">
        <v>1094.0</v>
      </c>
    </row>
    <row r="487">
      <c r="A487" s="73">
        <v>2010.0</v>
      </c>
      <c r="B487" s="74" t="s">
        <v>70</v>
      </c>
      <c r="C487" s="75">
        <v>57.2</v>
      </c>
      <c r="D487" s="73">
        <v>1.0</v>
      </c>
      <c r="E487" s="82">
        <v>1.0</v>
      </c>
      <c r="F487" s="76">
        <v>2850.0</v>
      </c>
    </row>
    <row r="488">
      <c r="A488" s="73">
        <v>2011.0</v>
      </c>
      <c r="B488" s="74" t="s">
        <v>70</v>
      </c>
      <c r="C488" s="81">
        <v>67.4</v>
      </c>
      <c r="D488" s="73">
        <v>1.0</v>
      </c>
      <c r="E488" s="82">
        <v>1.0</v>
      </c>
      <c r="F488" s="76">
        <v>1470.0</v>
      </c>
    </row>
    <row r="489">
      <c r="A489" s="73">
        <v>2012.0</v>
      </c>
      <c r="B489" s="74" t="s">
        <v>70</v>
      </c>
      <c r="C489" s="81">
        <v>67.4</v>
      </c>
      <c r="D489" s="73">
        <v>1.0</v>
      </c>
      <c r="E489" s="82">
        <v>1.0</v>
      </c>
      <c r="F489" s="76">
        <v>426.0</v>
      </c>
      <c r="G489">
        <f>AVERAGE(F489:F492)</f>
        <v>227.5</v>
      </c>
    </row>
    <row r="490">
      <c r="A490" s="73">
        <v>2013.0</v>
      </c>
      <c r="B490" s="74" t="s">
        <v>70</v>
      </c>
      <c r="C490" s="81">
        <v>67.4</v>
      </c>
      <c r="D490" s="73">
        <v>1.0</v>
      </c>
      <c r="E490" s="82">
        <v>1.0</v>
      </c>
      <c r="F490" s="76">
        <v>0.0</v>
      </c>
    </row>
    <row r="491">
      <c r="A491" s="73">
        <v>2014.0</v>
      </c>
      <c r="B491" s="74" t="s">
        <v>70</v>
      </c>
      <c r="C491" s="81">
        <v>67.4</v>
      </c>
      <c r="D491" s="73">
        <v>1.0</v>
      </c>
      <c r="E491" s="83">
        <v>1.0</v>
      </c>
      <c r="F491" s="76">
        <v>484.0</v>
      </c>
    </row>
    <row r="492">
      <c r="A492" s="84">
        <v>2015.0</v>
      </c>
      <c r="B492" s="85" t="s">
        <v>70</v>
      </c>
      <c r="C492" s="81">
        <v>52.9</v>
      </c>
      <c r="D492" s="73">
        <v>1.0</v>
      </c>
      <c r="E492" s="83">
        <v>1.0</v>
      </c>
      <c r="F492" s="76">
        <v>0.0</v>
      </c>
    </row>
    <row r="493">
      <c r="A493" s="73">
        <v>2016.0</v>
      </c>
      <c r="B493" s="85" t="s">
        <v>70</v>
      </c>
      <c r="C493" s="81">
        <v>66.8</v>
      </c>
      <c r="D493" s="73">
        <v>1.0</v>
      </c>
      <c r="E493" s="83">
        <v>1.0</v>
      </c>
      <c r="F493" s="76">
        <v>385.0</v>
      </c>
      <c r="G493">
        <f>AVERAGE(F493)</f>
        <v>385</v>
      </c>
    </row>
    <row r="494">
      <c r="A494" s="73">
        <v>2017.0</v>
      </c>
      <c r="B494" s="85" t="s">
        <v>70</v>
      </c>
      <c r="C494" s="81">
        <v>66.8</v>
      </c>
      <c r="D494" s="73">
        <v>1.0</v>
      </c>
      <c r="E494" s="83">
        <v>1.0</v>
      </c>
      <c r="F494" s="76">
        <v>0.0</v>
      </c>
      <c r="G494">
        <f>AVERAGE(F494:F495)</f>
        <v>682.5</v>
      </c>
    </row>
    <row r="495">
      <c r="A495" s="73">
        <v>2018.0</v>
      </c>
      <c r="B495" s="85" t="s">
        <v>70</v>
      </c>
      <c r="C495" s="81"/>
      <c r="D495" s="73"/>
      <c r="E495" s="83"/>
      <c r="F495" s="76">
        <v>1365.0</v>
      </c>
    </row>
    <row r="496" hidden="1">
      <c r="A496" s="69">
        <v>2002.0</v>
      </c>
      <c r="B496" s="70" t="s">
        <v>75</v>
      </c>
      <c r="C496" s="71">
        <v>54.65</v>
      </c>
      <c r="D496" s="69">
        <v>1.0</v>
      </c>
      <c r="E496" s="72">
        <v>0.0</v>
      </c>
      <c r="F496" s="72">
        <v>0.0</v>
      </c>
    </row>
    <row r="497">
      <c r="A497" s="73">
        <v>2003.0</v>
      </c>
      <c r="B497" s="74" t="s">
        <v>71</v>
      </c>
      <c r="C497" s="75">
        <v>40.55</v>
      </c>
      <c r="D497" s="73">
        <v>1.0</v>
      </c>
      <c r="E497" s="76">
        <v>0.0</v>
      </c>
      <c r="F497" s="76">
        <v>0.0</v>
      </c>
      <c r="G497">
        <f>AVERAGE(F497:F501)</f>
        <v>413.4</v>
      </c>
    </row>
    <row r="498">
      <c r="A498" s="73">
        <v>2004.0</v>
      </c>
      <c r="B498" s="74" t="s">
        <v>71</v>
      </c>
      <c r="C498" s="75">
        <v>40.55</v>
      </c>
      <c r="D498" s="73">
        <v>1.0</v>
      </c>
      <c r="E498" s="77">
        <v>1.0</v>
      </c>
      <c r="F498" s="76">
        <v>40.0</v>
      </c>
    </row>
    <row r="499">
      <c r="A499" s="73">
        <v>2005.0</v>
      </c>
      <c r="B499" s="74" t="s">
        <v>71</v>
      </c>
      <c r="C499" s="75">
        <v>40.55</v>
      </c>
      <c r="D499" s="73">
        <v>1.0</v>
      </c>
      <c r="E499" s="78">
        <v>1.0</v>
      </c>
      <c r="F499" s="76">
        <v>1816.0</v>
      </c>
    </row>
    <row r="500">
      <c r="A500" s="73">
        <v>2006.0</v>
      </c>
      <c r="B500" s="74" t="s">
        <v>71</v>
      </c>
      <c r="C500" s="75">
        <v>40.55</v>
      </c>
      <c r="D500" s="73">
        <v>1.0</v>
      </c>
      <c r="E500" s="78">
        <v>1.0</v>
      </c>
      <c r="F500" s="76">
        <v>0.0</v>
      </c>
    </row>
    <row r="501">
      <c r="A501" s="73">
        <v>2007.0</v>
      </c>
      <c r="B501" s="74" t="s">
        <v>71</v>
      </c>
      <c r="C501" s="75">
        <v>54.33</v>
      </c>
      <c r="D501" s="73">
        <v>1.0</v>
      </c>
      <c r="E501" s="78">
        <v>1.0</v>
      </c>
      <c r="F501" s="76">
        <v>211.0</v>
      </c>
    </row>
    <row r="502">
      <c r="A502" s="73">
        <v>2008.0</v>
      </c>
      <c r="B502" s="74" t="s">
        <v>71</v>
      </c>
      <c r="C502" s="75">
        <v>54.33</v>
      </c>
      <c r="D502" s="73">
        <v>1.0</v>
      </c>
      <c r="E502" s="78">
        <v>1.0</v>
      </c>
      <c r="F502" s="76">
        <v>665.0</v>
      </c>
      <c r="G502">
        <f>AVERAGE(F502:F505)</f>
        <v>496.75</v>
      </c>
    </row>
    <row r="503">
      <c r="A503" s="73">
        <v>2009.0</v>
      </c>
      <c r="B503" s="74" t="s">
        <v>71</v>
      </c>
      <c r="C503" s="75">
        <v>54.33</v>
      </c>
      <c r="D503" s="73">
        <v>1.0</v>
      </c>
      <c r="E503" s="79">
        <v>1.0</v>
      </c>
      <c r="F503" s="76">
        <v>432.0</v>
      </c>
    </row>
    <row r="504">
      <c r="A504" s="73">
        <v>2010.0</v>
      </c>
      <c r="B504" s="74" t="s">
        <v>71</v>
      </c>
      <c r="C504" s="75">
        <v>54.33</v>
      </c>
      <c r="D504" s="73">
        <v>1.0</v>
      </c>
      <c r="E504" s="82">
        <v>1.0</v>
      </c>
      <c r="F504" s="76">
        <v>650.0</v>
      </c>
    </row>
    <row r="505">
      <c r="A505" s="73">
        <v>2011.0</v>
      </c>
      <c r="B505" s="74" t="s">
        <v>71</v>
      </c>
      <c r="C505" s="81">
        <v>57.1</v>
      </c>
      <c r="D505" s="73">
        <v>1.0</v>
      </c>
      <c r="E505" s="82">
        <v>1.0</v>
      </c>
      <c r="F505" s="76">
        <v>240.0</v>
      </c>
    </row>
    <row r="506">
      <c r="A506" s="73">
        <v>2012.0</v>
      </c>
      <c r="B506" s="74" t="s">
        <v>71</v>
      </c>
      <c r="C506" s="81">
        <v>57.1</v>
      </c>
      <c r="D506" s="73">
        <v>1.0</v>
      </c>
      <c r="E506" s="82">
        <v>1.0</v>
      </c>
      <c r="F506" s="76">
        <v>2489.0</v>
      </c>
      <c r="G506">
        <f>AVERAGE(F506:F509)</f>
        <v>1550.75</v>
      </c>
    </row>
    <row r="507">
      <c r="A507" s="73">
        <v>2013.0</v>
      </c>
      <c r="B507" s="74" t="s">
        <v>71</v>
      </c>
      <c r="C507" s="81">
        <v>57.1</v>
      </c>
      <c r="D507" s="73">
        <v>1.0</v>
      </c>
      <c r="E507" s="82">
        <v>1.0</v>
      </c>
      <c r="F507" s="76">
        <v>2438.0</v>
      </c>
    </row>
    <row r="508">
      <c r="A508" s="73">
        <v>2014.0</v>
      </c>
      <c r="B508" s="74" t="s">
        <v>71</v>
      </c>
      <c r="C508" s="81">
        <v>57.1</v>
      </c>
      <c r="D508" s="73">
        <v>1.0</v>
      </c>
      <c r="E508" s="83">
        <v>1.0</v>
      </c>
      <c r="F508" s="76">
        <v>132.0</v>
      </c>
    </row>
    <row r="509">
      <c r="A509" s="84">
        <v>2015.0</v>
      </c>
      <c r="B509" s="85" t="s">
        <v>71</v>
      </c>
      <c r="C509" s="81">
        <v>49.2</v>
      </c>
      <c r="D509" s="73">
        <v>1.0</v>
      </c>
      <c r="E509" s="83">
        <v>1.0</v>
      </c>
      <c r="F509" s="76">
        <v>1144.0</v>
      </c>
    </row>
    <row r="510">
      <c r="A510" s="73">
        <v>2016.0</v>
      </c>
      <c r="B510" s="85" t="s">
        <v>71</v>
      </c>
      <c r="C510" s="81">
        <v>56.8</v>
      </c>
      <c r="D510" s="73">
        <v>1.0</v>
      </c>
      <c r="E510" s="83">
        <v>1.0</v>
      </c>
      <c r="F510" s="76">
        <v>352.0</v>
      </c>
      <c r="G510">
        <f>AVERAGE(F510)</f>
        <v>352</v>
      </c>
    </row>
    <row r="511">
      <c r="A511" s="73">
        <v>2017.0</v>
      </c>
      <c r="B511" s="85" t="s">
        <v>71</v>
      </c>
      <c r="C511" s="81">
        <v>56.8</v>
      </c>
      <c r="D511" s="73">
        <v>1.0</v>
      </c>
      <c r="E511" s="83">
        <v>1.0</v>
      </c>
      <c r="F511" s="76">
        <v>0.0</v>
      </c>
      <c r="G511">
        <f>AVERAGE(F511:F512)</f>
        <v>157</v>
      </c>
    </row>
    <row r="512">
      <c r="A512" s="73">
        <v>2018.0</v>
      </c>
      <c r="B512" s="85" t="s">
        <v>71</v>
      </c>
      <c r="C512" s="81"/>
      <c r="D512" s="73"/>
      <c r="E512" s="83"/>
      <c r="F512" s="76">
        <v>314.0</v>
      </c>
    </row>
    <row r="513" hidden="1">
      <c r="A513" s="69">
        <v>2002.0</v>
      </c>
      <c r="B513" s="70" t="s">
        <v>77</v>
      </c>
      <c r="C513" s="71">
        <v>29.59</v>
      </c>
      <c r="D513" s="69">
        <v>0.0</v>
      </c>
      <c r="E513" s="72">
        <v>0.0</v>
      </c>
      <c r="F513" s="72">
        <v>0.0</v>
      </c>
    </row>
    <row r="514">
      <c r="A514" s="73">
        <v>2003.0</v>
      </c>
      <c r="B514" s="74" t="s">
        <v>75</v>
      </c>
      <c r="C514" s="75">
        <v>54.65</v>
      </c>
      <c r="D514" s="73">
        <v>1.0</v>
      </c>
      <c r="E514" s="76">
        <v>0.0</v>
      </c>
      <c r="F514" s="76">
        <v>240.0</v>
      </c>
      <c r="G514">
        <f>AVERAGE(F514:F518)</f>
        <v>537.6</v>
      </c>
    </row>
    <row r="515">
      <c r="A515" s="73">
        <v>2004.0</v>
      </c>
      <c r="B515" s="74" t="s">
        <v>75</v>
      </c>
      <c r="C515" s="75">
        <v>54.65</v>
      </c>
      <c r="D515" s="73">
        <v>1.0</v>
      </c>
      <c r="E515" s="77">
        <v>1.0</v>
      </c>
      <c r="F515" s="76">
        <v>280.0</v>
      </c>
    </row>
    <row r="516">
      <c r="A516" s="73">
        <v>2005.0</v>
      </c>
      <c r="B516" s="74" t="s">
        <v>75</v>
      </c>
      <c r="C516" s="75">
        <v>54.65</v>
      </c>
      <c r="D516" s="73">
        <v>1.0</v>
      </c>
      <c r="E516" s="78">
        <v>1.0</v>
      </c>
      <c r="F516" s="76">
        <v>936.0</v>
      </c>
    </row>
    <row r="517">
      <c r="A517" s="73">
        <v>2006.0</v>
      </c>
      <c r="B517" s="74" t="s">
        <v>75</v>
      </c>
      <c r="C517" s="75">
        <v>54.65</v>
      </c>
      <c r="D517" s="73">
        <v>1.0</v>
      </c>
      <c r="E517" s="78">
        <v>1.0</v>
      </c>
      <c r="F517" s="76">
        <v>144.0</v>
      </c>
    </row>
    <row r="518">
      <c r="A518" s="73">
        <v>2007.0</v>
      </c>
      <c r="B518" s="74" t="s">
        <v>75</v>
      </c>
      <c r="C518" s="75">
        <v>68.29</v>
      </c>
      <c r="D518" s="73">
        <v>1.0</v>
      </c>
      <c r="E518" s="78">
        <v>1.0</v>
      </c>
      <c r="F518" s="76">
        <v>1088.0</v>
      </c>
    </row>
    <row r="519">
      <c r="A519" s="73">
        <v>2008.0</v>
      </c>
      <c r="B519" s="74" t="s">
        <v>75</v>
      </c>
      <c r="C519" s="75">
        <v>68.29</v>
      </c>
      <c r="D519" s="73">
        <v>1.0</v>
      </c>
      <c r="E519" s="78">
        <v>1.0</v>
      </c>
      <c r="F519" s="76">
        <v>1096.0</v>
      </c>
      <c r="G519">
        <f>AVERAGE(F519:F522)</f>
        <v>565.5</v>
      </c>
    </row>
    <row r="520">
      <c r="A520" s="73">
        <v>2009.0</v>
      </c>
      <c r="B520" s="74" t="s">
        <v>75</v>
      </c>
      <c r="C520" s="75">
        <v>68.29</v>
      </c>
      <c r="D520" s="73">
        <v>1.0</v>
      </c>
      <c r="E520" s="79">
        <v>1.0</v>
      </c>
      <c r="F520" s="76">
        <v>598.0</v>
      </c>
    </row>
    <row r="521">
      <c r="A521" s="73">
        <v>2010.0</v>
      </c>
      <c r="B521" s="74" t="s">
        <v>75</v>
      </c>
      <c r="C521" s="75">
        <v>68.29</v>
      </c>
      <c r="D521" s="73">
        <v>1.0</v>
      </c>
      <c r="E521" s="82">
        <v>1.0</v>
      </c>
      <c r="F521" s="76">
        <v>320.0</v>
      </c>
    </row>
    <row r="522">
      <c r="A522" s="73">
        <v>2011.0</v>
      </c>
      <c r="B522" s="74" t="s">
        <v>75</v>
      </c>
      <c r="C522" s="81">
        <v>69.2</v>
      </c>
      <c r="D522" s="73">
        <v>1.0</v>
      </c>
      <c r="E522" s="82">
        <v>1.0</v>
      </c>
      <c r="F522" s="76">
        <v>248.0</v>
      </c>
    </row>
    <row r="523">
      <c r="A523" s="73">
        <v>2012.0</v>
      </c>
      <c r="B523" s="74" t="s">
        <v>75</v>
      </c>
      <c r="C523" s="81">
        <v>69.2</v>
      </c>
      <c r="D523" s="73">
        <v>1.0</v>
      </c>
      <c r="E523" s="82">
        <v>1.0</v>
      </c>
      <c r="F523" s="76">
        <v>288.0</v>
      </c>
      <c r="G523">
        <f>AVERAGE(F523:F526)</f>
        <v>671.25</v>
      </c>
    </row>
    <row r="524">
      <c r="A524" s="73">
        <v>2013.0</v>
      </c>
      <c r="B524" s="74" t="s">
        <v>75</v>
      </c>
      <c r="C524" s="81">
        <v>69.2</v>
      </c>
      <c r="D524" s="73">
        <v>1.0</v>
      </c>
      <c r="E524" s="82">
        <v>1.0</v>
      </c>
      <c r="F524" s="76">
        <v>724.0</v>
      </c>
    </row>
    <row r="525">
      <c r="A525" s="73">
        <v>2014.0</v>
      </c>
      <c r="B525" s="74" t="s">
        <v>75</v>
      </c>
      <c r="C525" s="81">
        <v>69.2</v>
      </c>
      <c r="D525" s="73">
        <v>1.0</v>
      </c>
      <c r="E525" s="83">
        <v>1.0</v>
      </c>
      <c r="F525" s="76">
        <v>1079.0</v>
      </c>
    </row>
    <row r="526">
      <c r="A526" s="84">
        <v>2015.0</v>
      </c>
      <c r="B526" s="85" t="s">
        <v>75</v>
      </c>
      <c r="C526" s="81">
        <v>52.0</v>
      </c>
      <c r="D526" s="73">
        <v>1.0</v>
      </c>
      <c r="E526" s="83">
        <v>1.0</v>
      </c>
      <c r="F526" s="76">
        <v>594.0</v>
      </c>
    </row>
    <row r="527">
      <c r="A527" s="73">
        <v>2016.0</v>
      </c>
      <c r="B527" s="85" t="s">
        <v>75</v>
      </c>
      <c r="C527" s="81">
        <v>68.1</v>
      </c>
      <c r="D527" s="73">
        <v>1.0</v>
      </c>
      <c r="E527" s="83">
        <v>1.0</v>
      </c>
      <c r="F527" s="76">
        <v>2229.0</v>
      </c>
      <c r="G527">
        <f>AVERAGE(F527)</f>
        <v>2229</v>
      </c>
    </row>
    <row r="528">
      <c r="A528" s="73">
        <v>2017.0</v>
      </c>
      <c r="B528" s="85" t="s">
        <v>75</v>
      </c>
      <c r="C528" s="81">
        <v>68.1</v>
      </c>
      <c r="D528" s="73">
        <v>1.0</v>
      </c>
      <c r="E528" s="83">
        <v>1.0</v>
      </c>
      <c r="F528" s="76">
        <v>0.0</v>
      </c>
      <c r="G528">
        <f>AVERAGE(F528:F529)</f>
        <v>0</v>
      </c>
    </row>
    <row r="529">
      <c r="A529" s="73">
        <v>2018.0</v>
      </c>
      <c r="B529" s="85" t="s">
        <v>75</v>
      </c>
      <c r="C529" s="81">
        <v>53.8</v>
      </c>
      <c r="D529" s="73">
        <v>1.0</v>
      </c>
      <c r="E529" s="88">
        <v>1.0</v>
      </c>
      <c r="F529" s="76">
        <v>0.0</v>
      </c>
    </row>
    <row r="530" hidden="1">
      <c r="A530" s="69">
        <v>2002.0</v>
      </c>
      <c r="B530" s="70" t="s">
        <v>78</v>
      </c>
      <c r="C530" s="71">
        <v>40.04</v>
      </c>
      <c r="D530" s="69">
        <v>1.0</v>
      </c>
      <c r="E530" s="72">
        <v>0.0</v>
      </c>
      <c r="F530" s="72">
        <v>0.0</v>
      </c>
    </row>
    <row r="531">
      <c r="A531" s="73">
        <v>2003.0</v>
      </c>
      <c r="B531" s="74" t="s">
        <v>77</v>
      </c>
      <c r="C531" s="75">
        <v>29.59</v>
      </c>
      <c r="D531" s="73">
        <v>0.0</v>
      </c>
      <c r="E531" s="76">
        <v>0.0</v>
      </c>
      <c r="F531" s="76">
        <v>0.0</v>
      </c>
      <c r="G531">
        <f>AVERAGE(F531:F535)</f>
        <v>1109.4</v>
      </c>
    </row>
    <row r="532">
      <c r="A532" s="73">
        <v>2004.0</v>
      </c>
      <c r="B532" s="74" t="s">
        <v>77</v>
      </c>
      <c r="C532" s="75">
        <v>29.59</v>
      </c>
      <c r="D532" s="73">
        <v>0.0</v>
      </c>
      <c r="E532" s="77">
        <v>0.0</v>
      </c>
      <c r="F532" s="76">
        <v>0.0</v>
      </c>
    </row>
    <row r="533">
      <c r="A533" s="73">
        <v>2005.0</v>
      </c>
      <c r="B533" s="74" t="s">
        <v>77</v>
      </c>
      <c r="C533" s="75">
        <v>29.59</v>
      </c>
      <c r="D533" s="73">
        <v>0.0</v>
      </c>
      <c r="E533" s="78">
        <v>0.0</v>
      </c>
      <c r="F533" s="76">
        <v>1648.0</v>
      </c>
    </row>
    <row r="534">
      <c r="A534" s="73">
        <v>2006.0</v>
      </c>
      <c r="B534" s="74" t="s">
        <v>77</v>
      </c>
      <c r="C534" s="75">
        <v>29.59</v>
      </c>
      <c r="D534" s="73">
        <v>0.0</v>
      </c>
      <c r="E534" s="78">
        <v>0.0</v>
      </c>
      <c r="F534" s="76">
        <v>1044.0</v>
      </c>
    </row>
    <row r="535">
      <c r="A535" s="73">
        <v>2007.0</v>
      </c>
      <c r="B535" s="74" t="s">
        <v>77</v>
      </c>
      <c r="C535" s="75">
        <v>44.48</v>
      </c>
      <c r="D535" s="73">
        <v>1.0</v>
      </c>
      <c r="E535" s="78">
        <v>0.0</v>
      </c>
      <c r="F535" s="76">
        <v>2855.0</v>
      </c>
    </row>
    <row r="536">
      <c r="A536" s="73">
        <v>2008.0</v>
      </c>
      <c r="B536" s="74" t="s">
        <v>77</v>
      </c>
      <c r="C536" s="75">
        <v>44.48</v>
      </c>
      <c r="D536" s="73">
        <v>1.0</v>
      </c>
      <c r="E536" s="78">
        <v>0.0</v>
      </c>
      <c r="F536" s="76">
        <v>1352.0</v>
      </c>
      <c r="G536">
        <f>AVERAGE(F536:F539)</f>
        <v>855</v>
      </c>
    </row>
    <row r="537">
      <c r="A537" s="73">
        <v>2009.0</v>
      </c>
      <c r="B537" s="74" t="s">
        <v>77</v>
      </c>
      <c r="C537" s="75">
        <v>44.48</v>
      </c>
      <c r="D537" s="73">
        <v>1.0</v>
      </c>
      <c r="E537" s="79">
        <v>0.0</v>
      </c>
      <c r="F537" s="76">
        <v>928.0</v>
      </c>
    </row>
    <row r="538">
      <c r="A538" s="73">
        <v>2010.0</v>
      </c>
      <c r="B538" s="74" t="s">
        <v>77</v>
      </c>
      <c r="C538" s="75">
        <v>44.48</v>
      </c>
      <c r="D538" s="73">
        <v>1.0</v>
      </c>
      <c r="E538" s="82">
        <v>0.0</v>
      </c>
      <c r="F538" s="76">
        <v>0.0</v>
      </c>
    </row>
    <row r="539">
      <c r="A539" s="73">
        <v>2011.0</v>
      </c>
      <c r="B539" s="74" t="s">
        <v>77</v>
      </c>
      <c r="C539" s="81">
        <v>44.1</v>
      </c>
      <c r="D539" s="73">
        <v>1.0</v>
      </c>
      <c r="E539" s="82">
        <v>0.0</v>
      </c>
      <c r="F539" s="76">
        <v>1140.0</v>
      </c>
    </row>
    <row r="540">
      <c r="A540" s="73">
        <v>2012.0</v>
      </c>
      <c r="B540" s="74" t="s">
        <v>77</v>
      </c>
      <c r="C540" s="81">
        <v>44.1</v>
      </c>
      <c r="D540" s="73">
        <v>1.0</v>
      </c>
      <c r="E540" s="82">
        <v>0.0</v>
      </c>
      <c r="F540" s="76">
        <v>0.0</v>
      </c>
      <c r="G540">
        <f>AVERAGE(F540:F543)</f>
        <v>28.75</v>
      </c>
    </row>
    <row r="541">
      <c r="A541" s="73">
        <v>2013.0</v>
      </c>
      <c r="B541" s="74" t="s">
        <v>77</v>
      </c>
      <c r="C541" s="81">
        <v>44.1</v>
      </c>
      <c r="D541" s="73">
        <v>1.0</v>
      </c>
      <c r="E541" s="82">
        <v>0.0</v>
      </c>
      <c r="F541" s="76">
        <v>115.0</v>
      </c>
    </row>
    <row r="542">
      <c r="A542" s="73">
        <v>2014.0</v>
      </c>
      <c r="B542" s="74" t="s">
        <v>77</v>
      </c>
      <c r="C542" s="81">
        <v>44.1</v>
      </c>
      <c r="D542" s="73">
        <v>1.0</v>
      </c>
      <c r="E542" s="83">
        <v>0.0</v>
      </c>
      <c r="F542" s="76">
        <v>0.0</v>
      </c>
    </row>
    <row r="543">
      <c r="A543" s="84">
        <v>2015.0</v>
      </c>
      <c r="B543" s="85" t="s">
        <v>77</v>
      </c>
      <c r="C543" s="81">
        <v>35.9</v>
      </c>
      <c r="D543" s="73">
        <v>0.0</v>
      </c>
      <c r="E543" s="83">
        <v>0.0</v>
      </c>
      <c r="F543" s="76">
        <v>0.0</v>
      </c>
    </row>
    <row r="544">
      <c r="A544" s="73">
        <v>2016.0</v>
      </c>
      <c r="B544" s="85" t="s">
        <v>77</v>
      </c>
      <c r="C544" s="81">
        <v>43.1</v>
      </c>
      <c r="D544" s="73">
        <v>1.0</v>
      </c>
      <c r="E544" s="83">
        <v>0.0</v>
      </c>
      <c r="F544" s="76">
        <v>484.0</v>
      </c>
      <c r="G544">
        <f>AVERAGE(F544)</f>
        <v>484</v>
      </c>
    </row>
    <row r="545">
      <c r="A545" s="73">
        <v>2017.0</v>
      </c>
      <c r="B545" s="85" t="s">
        <v>77</v>
      </c>
      <c r="C545" s="81">
        <v>43.1</v>
      </c>
      <c r="D545" s="73">
        <v>1.0</v>
      </c>
      <c r="E545" s="83">
        <v>0.0</v>
      </c>
      <c r="F545" s="76">
        <v>0.0</v>
      </c>
      <c r="G545">
        <f>AVERAGE(F545:F546)</f>
        <v>0</v>
      </c>
    </row>
    <row r="546">
      <c r="A546" s="73">
        <v>2018.0</v>
      </c>
      <c r="B546" s="85" t="s">
        <v>77</v>
      </c>
      <c r="C546" s="81">
        <v>37.7</v>
      </c>
      <c r="D546" s="73">
        <v>0.0</v>
      </c>
      <c r="E546" s="88">
        <v>1.0</v>
      </c>
      <c r="F546" s="76">
        <v>0.0</v>
      </c>
    </row>
    <row r="547" hidden="1">
      <c r="A547" s="69">
        <v>2002.0</v>
      </c>
      <c r="B547" s="70" t="s">
        <v>79</v>
      </c>
      <c r="C547" s="71">
        <v>45.46</v>
      </c>
      <c r="D547" s="69">
        <v>1.0</v>
      </c>
      <c r="E547" s="72">
        <v>0.0</v>
      </c>
      <c r="F547" s="72">
        <v>0.0</v>
      </c>
    </row>
    <row r="548">
      <c r="A548" s="73">
        <v>2003.0</v>
      </c>
      <c r="B548" s="74" t="s">
        <v>78</v>
      </c>
      <c r="C548" s="75">
        <v>40.04</v>
      </c>
      <c r="D548" s="73">
        <v>1.0</v>
      </c>
      <c r="E548" s="76">
        <v>0.0</v>
      </c>
      <c r="F548" s="76">
        <v>0.0</v>
      </c>
      <c r="G548">
        <f>AVERAGE(F548:F552)</f>
        <v>1300.4</v>
      </c>
    </row>
    <row r="549">
      <c r="A549" s="73">
        <v>2004.0</v>
      </c>
      <c r="B549" s="74" t="s">
        <v>78</v>
      </c>
      <c r="C549" s="75">
        <v>40.04</v>
      </c>
      <c r="D549" s="73">
        <v>1.0</v>
      </c>
      <c r="E549" s="77">
        <v>1.0</v>
      </c>
      <c r="F549" s="76">
        <v>0.0</v>
      </c>
    </row>
    <row r="550">
      <c r="A550" s="73">
        <v>2005.0</v>
      </c>
      <c r="B550" s="74" t="s">
        <v>78</v>
      </c>
      <c r="C550" s="75">
        <v>40.04</v>
      </c>
      <c r="D550" s="73">
        <v>1.0</v>
      </c>
      <c r="E550" s="78">
        <v>1.0</v>
      </c>
      <c r="F550" s="76">
        <v>2606.0</v>
      </c>
    </row>
    <row r="551">
      <c r="A551" s="73">
        <v>2006.0</v>
      </c>
      <c r="B551" s="74" t="s">
        <v>78</v>
      </c>
      <c r="C551" s="75">
        <v>40.04</v>
      </c>
      <c r="D551" s="73">
        <v>1.0</v>
      </c>
      <c r="E551" s="78">
        <v>1.0</v>
      </c>
      <c r="F551" s="76">
        <v>1104.0</v>
      </c>
    </row>
    <row r="552">
      <c r="A552" s="73">
        <v>2007.0</v>
      </c>
      <c r="B552" s="74" t="s">
        <v>78</v>
      </c>
      <c r="C552" s="75">
        <v>59.25</v>
      </c>
      <c r="D552" s="73">
        <v>1.0</v>
      </c>
      <c r="E552" s="78">
        <v>1.0</v>
      </c>
      <c r="F552" s="76">
        <v>2792.0</v>
      </c>
    </row>
    <row r="553">
      <c r="A553" s="73">
        <v>2008.0</v>
      </c>
      <c r="B553" s="74" t="s">
        <v>78</v>
      </c>
      <c r="C553" s="75">
        <v>59.25</v>
      </c>
      <c r="D553" s="73">
        <v>1.0</v>
      </c>
      <c r="E553" s="78">
        <v>1.0</v>
      </c>
      <c r="F553" s="76">
        <v>976.0</v>
      </c>
      <c r="G553">
        <f>AVERAGE(F553:F556)</f>
        <v>705</v>
      </c>
    </row>
    <row r="554">
      <c r="A554" s="73">
        <v>2009.0</v>
      </c>
      <c r="B554" s="74" t="s">
        <v>78</v>
      </c>
      <c r="C554" s="75">
        <v>59.25</v>
      </c>
      <c r="D554" s="73">
        <v>1.0</v>
      </c>
      <c r="E554" s="79">
        <v>1.0</v>
      </c>
      <c r="F554" s="76">
        <v>592.0</v>
      </c>
    </row>
    <row r="555">
      <c r="A555" s="73">
        <v>2010.0</v>
      </c>
      <c r="B555" s="74" t="s">
        <v>78</v>
      </c>
      <c r="C555" s="75">
        <v>59.25</v>
      </c>
      <c r="D555" s="73">
        <v>1.0</v>
      </c>
      <c r="E555" s="82">
        <v>1.0</v>
      </c>
      <c r="F555" s="76">
        <v>1252.0</v>
      </c>
    </row>
    <row r="556">
      <c r="A556" s="73">
        <v>2011.0</v>
      </c>
      <c r="B556" s="74" t="s">
        <v>78</v>
      </c>
      <c r="C556" s="81">
        <v>61.7</v>
      </c>
      <c r="D556" s="73">
        <v>1.0</v>
      </c>
      <c r="E556" s="82">
        <v>1.0</v>
      </c>
      <c r="F556" s="76">
        <v>0.0</v>
      </c>
    </row>
    <row r="557">
      <c r="A557" s="73">
        <v>2012.0</v>
      </c>
      <c r="B557" s="74" t="s">
        <v>78</v>
      </c>
      <c r="C557" s="81">
        <v>61.7</v>
      </c>
      <c r="D557" s="73">
        <v>1.0</v>
      </c>
      <c r="E557" s="82">
        <v>1.0</v>
      </c>
      <c r="F557" s="76">
        <v>995.0</v>
      </c>
      <c r="G557">
        <f>AVERAGE(F557:F560)</f>
        <v>1546</v>
      </c>
    </row>
    <row r="558">
      <c r="A558" s="73">
        <v>2013.0</v>
      </c>
      <c r="B558" s="74" t="s">
        <v>78</v>
      </c>
      <c r="C558" s="81">
        <v>61.7</v>
      </c>
      <c r="D558" s="73">
        <v>1.0</v>
      </c>
      <c r="E558" s="82">
        <v>1.0</v>
      </c>
      <c r="F558" s="76">
        <v>2199.0</v>
      </c>
    </row>
    <row r="559">
      <c r="A559" s="73">
        <v>2014.0</v>
      </c>
      <c r="B559" s="74" t="s">
        <v>78</v>
      </c>
      <c r="C559" s="81">
        <v>61.7</v>
      </c>
      <c r="D559" s="73">
        <v>1.0</v>
      </c>
      <c r="E559" s="83">
        <v>1.0</v>
      </c>
      <c r="F559" s="76">
        <v>2126.0</v>
      </c>
    </row>
    <row r="560">
      <c r="A560" s="84">
        <v>2015.0</v>
      </c>
      <c r="B560" s="85" t="s">
        <v>78</v>
      </c>
      <c r="C560" s="81">
        <v>47.0</v>
      </c>
      <c r="D560" s="73">
        <v>1.0</v>
      </c>
      <c r="E560" s="83">
        <v>1.0</v>
      </c>
      <c r="F560" s="76">
        <v>864.0</v>
      </c>
    </row>
    <row r="561">
      <c r="A561" s="73">
        <v>2016.0</v>
      </c>
      <c r="B561" s="85" t="s">
        <v>78</v>
      </c>
      <c r="C561" s="81">
        <v>61.7</v>
      </c>
      <c r="D561" s="73">
        <v>1.0</v>
      </c>
      <c r="E561" s="83">
        <v>1.0</v>
      </c>
      <c r="F561" s="76">
        <v>4711.0</v>
      </c>
      <c r="G561">
        <f>AVERAGE(F561)</f>
        <v>4711</v>
      </c>
    </row>
    <row r="562">
      <c r="A562" s="73">
        <v>2017.0</v>
      </c>
      <c r="B562" s="85" t="s">
        <v>78</v>
      </c>
      <c r="C562" s="81">
        <v>61.7</v>
      </c>
      <c r="D562" s="73">
        <v>1.0</v>
      </c>
      <c r="E562" s="83">
        <v>1.0</v>
      </c>
      <c r="F562" s="76">
        <v>0.0</v>
      </c>
      <c r="G562">
        <f>AVERAGE(F562:F563)</f>
        <v>250</v>
      </c>
    </row>
    <row r="563">
      <c r="A563" s="73">
        <v>2018.0</v>
      </c>
      <c r="B563" s="85" t="s">
        <v>78</v>
      </c>
      <c r="C563" s="81">
        <v>50.6</v>
      </c>
      <c r="D563" s="73">
        <v>1.0</v>
      </c>
      <c r="E563" s="88">
        <v>1.0</v>
      </c>
      <c r="F563" s="76">
        <v>500.0</v>
      </c>
    </row>
    <row r="564" hidden="1">
      <c r="A564" s="69">
        <v>2002.0</v>
      </c>
      <c r="B564" s="70" t="s">
        <v>80</v>
      </c>
      <c r="C564" s="71">
        <v>42.47</v>
      </c>
      <c r="D564" s="69">
        <v>1.0</v>
      </c>
      <c r="E564" s="72">
        <v>0.0</v>
      </c>
      <c r="F564" s="72">
        <v>0.0</v>
      </c>
    </row>
    <row r="565">
      <c r="A565" s="73">
        <v>2003.0</v>
      </c>
      <c r="B565" s="74" t="s">
        <v>79</v>
      </c>
      <c r="C565" s="75">
        <v>45.46</v>
      </c>
      <c r="D565" s="73">
        <v>1.0</v>
      </c>
      <c r="E565" s="76">
        <v>0.0</v>
      </c>
      <c r="F565" s="76">
        <v>0.0</v>
      </c>
      <c r="G565">
        <f>AVERAGE(F565:F569)</f>
        <v>115.2</v>
      </c>
    </row>
    <row r="566">
      <c r="A566" s="73">
        <v>2004.0</v>
      </c>
      <c r="B566" s="74" t="s">
        <v>79</v>
      </c>
      <c r="C566" s="75">
        <v>45.46</v>
      </c>
      <c r="D566" s="73">
        <v>1.0</v>
      </c>
      <c r="E566" s="77">
        <v>1.0</v>
      </c>
      <c r="F566" s="76">
        <v>0.0</v>
      </c>
    </row>
    <row r="567">
      <c r="A567" s="73">
        <v>2005.0</v>
      </c>
      <c r="B567" s="74" t="s">
        <v>79</v>
      </c>
      <c r="C567" s="75">
        <v>45.46</v>
      </c>
      <c r="D567" s="73">
        <v>1.0</v>
      </c>
      <c r="E567" s="78">
        <v>1.0</v>
      </c>
      <c r="F567" s="87">
        <v>176.0</v>
      </c>
    </row>
    <row r="568">
      <c r="A568" s="73">
        <v>2006.0</v>
      </c>
      <c r="B568" s="74" t="s">
        <v>79</v>
      </c>
      <c r="C568" s="75">
        <v>45.46</v>
      </c>
      <c r="D568" s="73">
        <v>1.0</v>
      </c>
      <c r="E568" s="78">
        <v>1.0</v>
      </c>
      <c r="F568" s="87">
        <v>240.0</v>
      </c>
    </row>
    <row r="569">
      <c r="A569" s="73">
        <v>2007.0</v>
      </c>
      <c r="B569" s="74" t="s">
        <v>79</v>
      </c>
      <c r="C569" s="75">
        <v>51.28</v>
      </c>
      <c r="D569" s="73">
        <v>1.0</v>
      </c>
      <c r="E569" s="78">
        <v>1.0</v>
      </c>
      <c r="F569" s="87">
        <v>160.0</v>
      </c>
    </row>
    <row r="570">
      <c r="A570" s="73">
        <v>2008.0</v>
      </c>
      <c r="B570" s="74" t="s">
        <v>79</v>
      </c>
      <c r="C570" s="75">
        <v>51.28</v>
      </c>
      <c r="D570" s="73">
        <v>1.0</v>
      </c>
      <c r="E570" s="78">
        <v>1.0</v>
      </c>
      <c r="F570" s="76">
        <v>0.0</v>
      </c>
      <c r="G570">
        <f>AVERAGE(F570:F573)</f>
        <v>118</v>
      </c>
    </row>
    <row r="571">
      <c r="A571" s="73">
        <v>2009.0</v>
      </c>
      <c r="B571" s="74" t="s">
        <v>79</v>
      </c>
      <c r="C571" s="75">
        <v>51.28</v>
      </c>
      <c r="D571" s="73">
        <v>1.0</v>
      </c>
      <c r="E571" s="79">
        <v>0.0</v>
      </c>
      <c r="F571" s="87">
        <v>322.0</v>
      </c>
    </row>
    <row r="572">
      <c r="A572" s="73">
        <v>2010.0</v>
      </c>
      <c r="B572" s="74" t="s">
        <v>79</v>
      </c>
      <c r="C572" s="75">
        <v>51.28</v>
      </c>
      <c r="D572" s="73">
        <v>1.0</v>
      </c>
      <c r="E572" s="82">
        <v>0.0</v>
      </c>
      <c r="F572" s="76">
        <v>0.0</v>
      </c>
    </row>
    <row r="573">
      <c r="A573" s="73">
        <v>2011.0</v>
      </c>
      <c r="B573" s="74" t="s">
        <v>79</v>
      </c>
      <c r="C573" s="81">
        <v>59.4</v>
      </c>
      <c r="D573" s="73">
        <v>1.0</v>
      </c>
      <c r="E573" s="82">
        <v>0.0</v>
      </c>
      <c r="F573" s="87">
        <v>150.0</v>
      </c>
    </row>
    <row r="574">
      <c r="A574" s="73">
        <v>2012.0</v>
      </c>
      <c r="B574" s="74" t="s">
        <v>79</v>
      </c>
      <c r="C574" s="81">
        <v>59.4</v>
      </c>
      <c r="D574" s="73">
        <v>1.0</v>
      </c>
      <c r="E574" s="82">
        <v>0.0</v>
      </c>
      <c r="F574" s="76">
        <v>195.0</v>
      </c>
      <c r="G574">
        <f>AVERAGE(F574:F577)</f>
        <v>245</v>
      </c>
    </row>
    <row r="575">
      <c r="A575" s="73">
        <v>2013.0</v>
      </c>
      <c r="B575" s="74" t="s">
        <v>79</v>
      </c>
      <c r="C575" s="81">
        <v>59.4</v>
      </c>
      <c r="D575" s="73">
        <v>1.0</v>
      </c>
      <c r="E575" s="82">
        <v>0.0</v>
      </c>
      <c r="F575" s="87">
        <v>89.0</v>
      </c>
    </row>
    <row r="576">
      <c r="A576" s="73">
        <v>2014.0</v>
      </c>
      <c r="B576" s="74" t="s">
        <v>79</v>
      </c>
      <c r="C576" s="81">
        <v>59.4</v>
      </c>
      <c r="D576" s="73">
        <v>1.0</v>
      </c>
      <c r="E576" s="83">
        <v>0.0</v>
      </c>
      <c r="F576" s="87">
        <v>104.0</v>
      </c>
    </row>
    <row r="577">
      <c r="A577" s="84">
        <v>2015.0</v>
      </c>
      <c r="B577" s="85" t="s">
        <v>79</v>
      </c>
      <c r="C577" s="81">
        <v>53.6</v>
      </c>
      <c r="D577" s="73">
        <v>1.0</v>
      </c>
      <c r="E577" s="83">
        <v>0.0</v>
      </c>
      <c r="F577" s="87">
        <v>592.0</v>
      </c>
    </row>
    <row r="578">
      <c r="A578" s="73">
        <v>2016.0</v>
      </c>
      <c r="B578" s="85" t="s">
        <v>79</v>
      </c>
      <c r="C578" s="81">
        <v>61.8</v>
      </c>
      <c r="D578" s="73">
        <v>1.0</v>
      </c>
      <c r="E578" s="83">
        <v>0.0</v>
      </c>
      <c r="F578" s="87">
        <v>342.0</v>
      </c>
      <c r="G578">
        <f>AVERAGE(F578)</f>
        <v>342</v>
      </c>
    </row>
    <row r="579">
      <c r="A579" s="73">
        <v>2017.0</v>
      </c>
      <c r="B579" s="85" t="s">
        <v>79</v>
      </c>
      <c r="C579" s="81">
        <v>61.8</v>
      </c>
      <c r="D579" s="73">
        <v>1.0</v>
      </c>
      <c r="E579" s="83">
        <v>0.0</v>
      </c>
      <c r="F579" s="87">
        <v>82.0</v>
      </c>
      <c r="G579">
        <f>AVERAGE(F579:F580)</f>
        <v>41</v>
      </c>
    </row>
    <row r="580">
      <c r="A580" s="73">
        <v>2018.0</v>
      </c>
      <c r="B580" s="85" t="s">
        <v>79</v>
      </c>
      <c r="C580" s="81">
        <v>52.7</v>
      </c>
      <c r="D580" s="73">
        <v>1.0</v>
      </c>
      <c r="E580" s="88">
        <v>0.0</v>
      </c>
      <c r="F580" s="76">
        <v>0.0</v>
      </c>
    </row>
    <row r="581" hidden="1">
      <c r="A581" s="69">
        <v>2002.0</v>
      </c>
      <c r="B581" s="70" t="s">
        <v>81</v>
      </c>
      <c r="C581" s="71">
        <v>6.81</v>
      </c>
      <c r="D581" s="69">
        <v>0.0</v>
      </c>
      <c r="E581" s="72">
        <v>0.0</v>
      </c>
      <c r="F581" s="72">
        <v>0.0</v>
      </c>
    </row>
    <row r="582">
      <c r="A582" s="73">
        <v>2003.0</v>
      </c>
      <c r="B582" s="74" t="s">
        <v>80</v>
      </c>
      <c r="C582" s="75">
        <v>42.47</v>
      </c>
      <c r="D582" s="73">
        <v>1.0</v>
      </c>
      <c r="E582" s="76">
        <v>0.0</v>
      </c>
      <c r="F582" s="76">
        <v>0.0</v>
      </c>
      <c r="G582">
        <f>AVERAGE(F582:F586)</f>
        <v>175.6</v>
      </c>
    </row>
    <row r="583">
      <c r="A583" s="73">
        <v>2004.0</v>
      </c>
      <c r="B583" s="74" t="s">
        <v>80</v>
      </c>
      <c r="C583" s="75">
        <v>42.47</v>
      </c>
      <c r="D583" s="73">
        <v>1.0</v>
      </c>
      <c r="E583" s="77">
        <v>0.0</v>
      </c>
      <c r="F583" s="87">
        <f>192+112</f>
        <v>304</v>
      </c>
    </row>
    <row r="584">
      <c r="A584" s="73">
        <v>2005.0</v>
      </c>
      <c r="B584" s="74" t="s">
        <v>80</v>
      </c>
      <c r="C584" s="75">
        <v>42.47</v>
      </c>
      <c r="D584" s="73">
        <v>1.0</v>
      </c>
      <c r="E584" s="78">
        <v>0.0</v>
      </c>
      <c r="F584" s="87">
        <v>338.0</v>
      </c>
    </row>
    <row r="585">
      <c r="A585" s="73">
        <v>2006.0</v>
      </c>
      <c r="B585" s="74" t="s">
        <v>80</v>
      </c>
      <c r="C585" s="75">
        <v>42.47</v>
      </c>
      <c r="D585" s="73">
        <v>1.0</v>
      </c>
      <c r="E585" s="78">
        <v>0.0</v>
      </c>
      <c r="F585" s="87">
        <v>176.0</v>
      </c>
    </row>
    <row r="586">
      <c r="A586" s="73">
        <v>2007.0</v>
      </c>
      <c r="B586" s="74" t="s">
        <v>80</v>
      </c>
      <c r="C586" s="75">
        <v>60.64</v>
      </c>
      <c r="D586" s="73">
        <v>1.0</v>
      </c>
      <c r="E586" s="78">
        <v>0.0</v>
      </c>
      <c r="F586" s="87">
        <v>60.0</v>
      </c>
    </row>
    <row r="587">
      <c r="A587" s="73">
        <v>2008.0</v>
      </c>
      <c r="B587" s="74" t="s">
        <v>80</v>
      </c>
      <c r="C587" s="75">
        <v>60.64</v>
      </c>
      <c r="D587" s="73">
        <v>1.0</v>
      </c>
      <c r="E587" s="78">
        <v>0.0</v>
      </c>
      <c r="F587" s="76">
        <v>0.0</v>
      </c>
      <c r="G587">
        <f>AVERAGE(F587:F590)</f>
        <v>78.5</v>
      </c>
    </row>
    <row r="588">
      <c r="A588" s="73">
        <v>2009.0</v>
      </c>
      <c r="B588" s="74" t="s">
        <v>80</v>
      </c>
      <c r="C588" s="75">
        <v>60.64</v>
      </c>
      <c r="D588" s="73">
        <v>1.0</v>
      </c>
      <c r="E588" s="79">
        <v>0.0</v>
      </c>
      <c r="F588" s="76">
        <v>0.0</v>
      </c>
    </row>
    <row r="589">
      <c r="A589" s="73">
        <v>2010.0</v>
      </c>
      <c r="B589" s="74" t="s">
        <v>80</v>
      </c>
      <c r="C589" s="75">
        <v>60.64</v>
      </c>
      <c r="D589" s="73">
        <v>1.0</v>
      </c>
      <c r="E589" s="82">
        <v>0.0</v>
      </c>
      <c r="F589" s="95">
        <v>198.0</v>
      </c>
    </row>
    <row r="590">
      <c r="A590" s="73">
        <v>2011.0</v>
      </c>
      <c r="B590" s="74" t="s">
        <v>80</v>
      </c>
      <c r="C590" s="81">
        <v>65.0</v>
      </c>
      <c r="D590" s="73">
        <v>1.0</v>
      </c>
      <c r="E590" s="82">
        <v>0.0</v>
      </c>
      <c r="F590" s="95">
        <v>116.0</v>
      </c>
    </row>
    <row r="591">
      <c r="A591" s="73">
        <v>2012.0</v>
      </c>
      <c r="B591" s="74" t="s">
        <v>80</v>
      </c>
      <c r="C591" s="81">
        <v>65.0</v>
      </c>
      <c r="D591" s="73">
        <v>1.0</v>
      </c>
      <c r="E591" s="82">
        <v>0.0</v>
      </c>
      <c r="F591" s="95">
        <v>84.0</v>
      </c>
      <c r="G591">
        <f>AVERAGE(F591:F594)</f>
        <v>21</v>
      </c>
    </row>
    <row r="592">
      <c r="A592" s="73">
        <v>2013.0</v>
      </c>
      <c r="B592" s="74" t="s">
        <v>80</v>
      </c>
      <c r="C592" s="81">
        <v>65.0</v>
      </c>
      <c r="D592" s="73">
        <v>1.0</v>
      </c>
      <c r="E592" s="82">
        <v>0.0</v>
      </c>
      <c r="F592" s="76">
        <v>0.0</v>
      </c>
    </row>
    <row r="593">
      <c r="A593" s="73">
        <v>2014.0</v>
      </c>
      <c r="B593" s="74" t="s">
        <v>80</v>
      </c>
      <c r="C593" s="81">
        <v>65.0</v>
      </c>
      <c r="D593" s="73">
        <v>1.0</v>
      </c>
      <c r="E593" s="83">
        <v>1.0</v>
      </c>
      <c r="F593" s="76">
        <v>0.0</v>
      </c>
    </row>
    <row r="594">
      <c r="A594" s="84">
        <v>2015.0</v>
      </c>
      <c r="B594" s="85" t="s">
        <v>80</v>
      </c>
      <c r="C594" s="81">
        <v>56.9</v>
      </c>
      <c r="D594" s="73">
        <v>1.0</v>
      </c>
      <c r="E594" s="83">
        <v>1.0</v>
      </c>
      <c r="F594" s="76">
        <v>0.0</v>
      </c>
    </row>
    <row r="595">
      <c r="A595" s="73">
        <v>2016.0</v>
      </c>
      <c r="B595" s="85" t="s">
        <v>80</v>
      </c>
      <c r="C595" s="81">
        <v>68.3</v>
      </c>
      <c r="D595" s="73">
        <v>1.0</v>
      </c>
      <c r="E595" s="83">
        <v>1.0</v>
      </c>
      <c r="F595" s="87">
        <v>528.0</v>
      </c>
      <c r="G595">
        <f>AVERAGE(F595)</f>
        <v>528</v>
      </c>
    </row>
    <row r="596">
      <c r="A596" s="73">
        <v>2017.0</v>
      </c>
      <c r="B596" s="85" t="s">
        <v>80</v>
      </c>
      <c r="C596" s="81">
        <v>68.3</v>
      </c>
      <c r="D596" s="73">
        <v>1.0</v>
      </c>
      <c r="E596" s="83">
        <v>1.0</v>
      </c>
      <c r="F596" s="76">
        <v>0.0</v>
      </c>
      <c r="G596">
        <f>AVERAGE(F596:F597)</f>
        <v>0</v>
      </c>
    </row>
    <row r="597">
      <c r="A597" s="73">
        <v>2018.0</v>
      </c>
      <c r="B597" s="85" t="s">
        <v>80</v>
      </c>
      <c r="C597" s="81">
        <v>56.9</v>
      </c>
      <c r="D597" s="73">
        <v>1.0</v>
      </c>
      <c r="E597" s="88">
        <v>1.0</v>
      </c>
      <c r="F597" s="76">
        <v>0.0</v>
      </c>
    </row>
    <row r="598" hidden="1">
      <c r="A598" s="69">
        <v>2002.0</v>
      </c>
      <c r="B598" s="70" t="s">
        <v>82</v>
      </c>
      <c r="C598" s="71">
        <v>29.88</v>
      </c>
      <c r="D598" s="69">
        <v>0.0</v>
      </c>
      <c r="E598" s="72">
        <v>0.0</v>
      </c>
      <c r="F598" s="72">
        <v>0.0</v>
      </c>
    </row>
    <row r="599">
      <c r="A599" s="73">
        <v>2003.0</v>
      </c>
      <c r="B599" s="74" t="s">
        <v>81</v>
      </c>
      <c r="C599" s="75">
        <v>6.81</v>
      </c>
      <c r="D599" s="73">
        <v>0.0</v>
      </c>
      <c r="E599" s="76">
        <v>0.0</v>
      </c>
      <c r="F599" s="76">
        <v>0.0</v>
      </c>
      <c r="G599">
        <f>AVERAGE(F599:F603)</f>
        <v>32</v>
      </c>
    </row>
    <row r="600">
      <c r="A600" s="73">
        <v>2004.0</v>
      </c>
      <c r="B600" s="74" t="s">
        <v>81</v>
      </c>
      <c r="C600" s="75">
        <v>6.81</v>
      </c>
      <c r="D600" s="73">
        <v>0.0</v>
      </c>
      <c r="E600" s="77">
        <v>0.0</v>
      </c>
      <c r="F600" s="76">
        <v>0.0</v>
      </c>
    </row>
    <row r="601">
      <c r="A601" s="73">
        <v>2005.0</v>
      </c>
      <c r="B601" s="74" t="s">
        <v>81</v>
      </c>
      <c r="C601" s="75">
        <v>6.81</v>
      </c>
      <c r="D601" s="73">
        <v>0.0</v>
      </c>
      <c r="E601" s="78">
        <v>0.0</v>
      </c>
      <c r="F601" s="76">
        <v>0.0</v>
      </c>
    </row>
    <row r="602">
      <c r="A602" s="73">
        <v>2006.0</v>
      </c>
      <c r="B602" s="74" t="s">
        <v>81</v>
      </c>
      <c r="C602" s="75">
        <v>6.81</v>
      </c>
      <c r="D602" s="73">
        <v>0.0</v>
      </c>
      <c r="E602" s="78">
        <v>0.0</v>
      </c>
      <c r="F602" s="76">
        <v>0.0</v>
      </c>
    </row>
    <row r="603">
      <c r="A603" s="73">
        <v>2007.0</v>
      </c>
      <c r="B603" s="74" t="s">
        <v>81</v>
      </c>
      <c r="C603" s="75">
        <v>33.49</v>
      </c>
      <c r="D603" s="73">
        <v>0.0</v>
      </c>
      <c r="E603" s="78">
        <v>0.0</v>
      </c>
      <c r="F603" s="87">
        <v>160.0</v>
      </c>
    </row>
    <row r="604">
      <c r="A604" s="73">
        <v>2008.0</v>
      </c>
      <c r="B604" s="74" t="s">
        <v>81</v>
      </c>
      <c r="C604" s="75">
        <v>33.49</v>
      </c>
      <c r="D604" s="73">
        <v>0.0</v>
      </c>
      <c r="E604" s="78">
        <v>0.0</v>
      </c>
      <c r="F604" s="76">
        <v>0.0</v>
      </c>
      <c r="G604">
        <f>AVERAGE(F604:F607)</f>
        <v>25.5</v>
      </c>
    </row>
    <row r="605">
      <c r="A605" s="73">
        <v>2009.0</v>
      </c>
      <c r="B605" s="74" t="s">
        <v>81</v>
      </c>
      <c r="C605" s="75">
        <v>33.49</v>
      </c>
      <c r="D605" s="73">
        <v>0.0</v>
      </c>
      <c r="E605" s="79">
        <v>0.0</v>
      </c>
      <c r="F605" s="87">
        <v>102.0</v>
      </c>
    </row>
    <row r="606">
      <c r="A606" s="73">
        <v>2010.0</v>
      </c>
      <c r="B606" s="74" t="s">
        <v>81</v>
      </c>
      <c r="C606" s="75">
        <v>33.49</v>
      </c>
      <c r="D606" s="73">
        <v>0.0</v>
      </c>
      <c r="E606" s="82">
        <v>0.0</v>
      </c>
      <c r="F606" s="76">
        <v>0.0</v>
      </c>
    </row>
    <row r="607">
      <c r="A607" s="73">
        <v>2011.0</v>
      </c>
      <c r="B607" s="74" t="s">
        <v>81</v>
      </c>
      <c r="C607" s="81">
        <v>16.5</v>
      </c>
      <c r="D607" s="73">
        <v>0.0</v>
      </c>
      <c r="E607" s="82">
        <v>0.0</v>
      </c>
      <c r="F607" s="76">
        <v>0.0</v>
      </c>
    </row>
    <row r="608">
      <c r="A608" s="73">
        <v>2012.0</v>
      </c>
      <c r="B608" s="74" t="s">
        <v>81</v>
      </c>
      <c r="C608" s="81">
        <v>16.5</v>
      </c>
      <c r="D608" s="73">
        <v>0.0</v>
      </c>
      <c r="E608" s="82">
        <v>0.0</v>
      </c>
      <c r="F608" s="76">
        <v>0.0</v>
      </c>
      <c r="G608">
        <f>AVERAGE(F608:F611)</f>
        <v>0</v>
      </c>
    </row>
    <row r="609">
      <c r="A609" s="73">
        <v>2013.0</v>
      </c>
      <c r="B609" s="74" t="s">
        <v>81</v>
      </c>
      <c r="C609" s="81">
        <v>16.5</v>
      </c>
      <c r="D609" s="73">
        <v>0.0</v>
      </c>
      <c r="E609" s="82">
        <v>0.0</v>
      </c>
      <c r="F609" s="76">
        <v>0.0</v>
      </c>
    </row>
    <row r="610">
      <c r="A610" s="73">
        <v>2014.0</v>
      </c>
      <c r="B610" s="74" t="s">
        <v>81</v>
      </c>
      <c r="C610" s="81">
        <v>16.5</v>
      </c>
      <c r="D610" s="73">
        <v>0.0</v>
      </c>
      <c r="E610" s="83">
        <v>0.0</v>
      </c>
      <c r="F610" s="76">
        <v>0.0</v>
      </c>
    </row>
    <row r="611">
      <c r="A611" s="84">
        <v>2015.0</v>
      </c>
      <c r="B611" s="85" t="s">
        <v>81</v>
      </c>
      <c r="C611" s="81">
        <v>8.8</v>
      </c>
      <c r="D611" s="73">
        <v>0.0</v>
      </c>
      <c r="E611" s="83">
        <v>0.0</v>
      </c>
      <c r="F611" s="76">
        <v>0.0</v>
      </c>
    </row>
    <row r="612">
      <c r="A612" s="73">
        <v>2016.0</v>
      </c>
      <c r="B612" s="85" t="s">
        <v>81</v>
      </c>
      <c r="C612" s="81">
        <v>12.6</v>
      </c>
      <c r="D612" s="73">
        <v>0.0</v>
      </c>
      <c r="E612" s="83">
        <v>0.0</v>
      </c>
      <c r="F612" s="76">
        <v>0.0</v>
      </c>
      <c r="G612">
        <f>AVERAGE(F612)</f>
        <v>0</v>
      </c>
    </row>
    <row r="613">
      <c r="A613" s="73">
        <v>2017.0</v>
      </c>
      <c r="B613" s="85" t="s">
        <v>81</v>
      </c>
      <c r="C613" s="81">
        <v>12.6</v>
      </c>
      <c r="D613" s="73">
        <v>0.0</v>
      </c>
      <c r="E613" s="83">
        <v>0.0</v>
      </c>
      <c r="F613" s="76">
        <v>0.0</v>
      </c>
      <c r="G613">
        <f>AVERAGE(F613:F614)</f>
        <v>0</v>
      </c>
    </row>
    <row r="614">
      <c r="A614" s="73">
        <v>2018.0</v>
      </c>
      <c r="B614" s="85" t="s">
        <v>81</v>
      </c>
      <c r="C614" s="81">
        <v>18.8</v>
      </c>
      <c r="D614" s="73">
        <v>0.0</v>
      </c>
      <c r="E614" s="88">
        <v>0.0</v>
      </c>
      <c r="F614" s="76">
        <v>0.0</v>
      </c>
    </row>
    <row r="615" hidden="1">
      <c r="A615" s="69">
        <v>2002.0</v>
      </c>
      <c r="B615" s="70" t="s">
        <v>83</v>
      </c>
      <c r="C615" s="71">
        <v>6.5</v>
      </c>
      <c r="D615" s="69">
        <v>0.0</v>
      </c>
      <c r="E615" s="72">
        <v>0.0</v>
      </c>
      <c r="F615" s="72">
        <v>0.0</v>
      </c>
    </row>
    <row r="616">
      <c r="A616" s="73">
        <v>2003.0</v>
      </c>
      <c r="B616" s="74" t="s">
        <v>82</v>
      </c>
      <c r="C616" s="75">
        <v>29.88</v>
      </c>
      <c r="D616" s="73">
        <v>0.0</v>
      </c>
      <c r="E616" s="76">
        <v>0.0</v>
      </c>
      <c r="F616" s="76">
        <v>0.0</v>
      </c>
      <c r="G616">
        <f>AVERAGE(F616:F620)</f>
        <v>189.8</v>
      </c>
    </row>
    <row r="617">
      <c r="A617" s="73">
        <v>2004.0</v>
      </c>
      <c r="B617" s="74" t="s">
        <v>82</v>
      </c>
      <c r="C617" s="75">
        <v>29.88</v>
      </c>
      <c r="D617" s="73">
        <v>0.0</v>
      </c>
      <c r="E617" s="77">
        <v>1.0</v>
      </c>
      <c r="F617" s="76">
        <v>0.0</v>
      </c>
    </row>
    <row r="618">
      <c r="A618" s="73">
        <v>2005.0</v>
      </c>
      <c r="B618" s="74" t="s">
        <v>82</v>
      </c>
      <c r="C618" s="75">
        <v>29.88</v>
      </c>
      <c r="D618" s="73">
        <v>0.0</v>
      </c>
      <c r="E618" s="78">
        <v>1.0</v>
      </c>
      <c r="F618" s="95">
        <v>296.0</v>
      </c>
    </row>
    <row r="619">
      <c r="A619" s="73">
        <v>2006.0</v>
      </c>
      <c r="B619" s="74" t="s">
        <v>82</v>
      </c>
      <c r="C619" s="75">
        <v>29.88</v>
      </c>
      <c r="D619" s="73">
        <v>0.0</v>
      </c>
      <c r="E619" s="78">
        <v>1.0</v>
      </c>
      <c r="F619" s="95">
        <v>7.0</v>
      </c>
    </row>
    <row r="620">
      <c r="A620" s="73">
        <v>2007.0</v>
      </c>
      <c r="B620" s="74" t="s">
        <v>82</v>
      </c>
      <c r="C620" s="75">
        <v>40.84</v>
      </c>
      <c r="D620" s="73">
        <v>1.0</v>
      </c>
      <c r="E620" s="78">
        <v>1.0</v>
      </c>
      <c r="F620" s="95">
        <f>532+114</f>
        <v>646</v>
      </c>
    </row>
    <row r="621">
      <c r="A621" s="73">
        <v>2008.0</v>
      </c>
      <c r="B621" s="74" t="s">
        <v>82</v>
      </c>
      <c r="C621" s="75">
        <v>40.84</v>
      </c>
      <c r="D621" s="73">
        <v>1.0</v>
      </c>
      <c r="E621" s="78">
        <v>1.0</v>
      </c>
      <c r="F621" s="87">
        <f>410+360</f>
        <v>770</v>
      </c>
      <c r="G621">
        <f>AVERAGE(F621:F624)</f>
        <v>719.5</v>
      </c>
    </row>
    <row r="622">
      <c r="A622" s="73">
        <v>2009.0</v>
      </c>
      <c r="B622" s="74" t="s">
        <v>82</v>
      </c>
      <c r="C622" s="75">
        <v>40.84</v>
      </c>
      <c r="D622" s="73">
        <v>1.0</v>
      </c>
      <c r="E622" s="79">
        <v>1.0</v>
      </c>
      <c r="F622" s="87">
        <v>272.0</v>
      </c>
    </row>
    <row r="623">
      <c r="A623" s="73">
        <v>2010.0</v>
      </c>
      <c r="B623" s="74" t="s">
        <v>82</v>
      </c>
      <c r="C623" s="75">
        <v>40.84</v>
      </c>
      <c r="D623" s="73">
        <v>1.0</v>
      </c>
      <c r="E623" s="82">
        <v>1.0</v>
      </c>
      <c r="F623" s="76">
        <v>0.0</v>
      </c>
    </row>
    <row r="624">
      <c r="A624" s="73">
        <v>2011.0</v>
      </c>
      <c r="B624" s="74" t="s">
        <v>82</v>
      </c>
      <c r="C624" s="81">
        <v>44.4</v>
      </c>
      <c r="D624" s="73">
        <v>1.0</v>
      </c>
      <c r="E624" s="82">
        <v>1.0</v>
      </c>
      <c r="F624" s="76">
        <v>1836.0</v>
      </c>
    </row>
    <row r="625">
      <c r="A625" s="73">
        <v>2012.0</v>
      </c>
      <c r="B625" s="74" t="s">
        <v>82</v>
      </c>
      <c r="C625" s="81">
        <v>44.4</v>
      </c>
      <c r="D625" s="73">
        <v>1.0</v>
      </c>
      <c r="E625" s="82">
        <v>1.0</v>
      </c>
      <c r="F625" s="76">
        <v>0.0</v>
      </c>
      <c r="G625">
        <f>AVERAGE(F625:F628)</f>
        <v>100.75</v>
      </c>
    </row>
    <row r="626">
      <c r="A626" s="73">
        <v>2013.0</v>
      </c>
      <c r="B626" s="74" t="s">
        <v>82</v>
      </c>
      <c r="C626" s="81">
        <v>44.4</v>
      </c>
      <c r="D626" s="73">
        <v>1.0</v>
      </c>
      <c r="E626" s="82">
        <v>1.0</v>
      </c>
      <c r="F626" s="76">
        <v>0.0</v>
      </c>
    </row>
    <row r="627">
      <c r="A627" s="73">
        <v>2014.0</v>
      </c>
      <c r="B627" s="74" t="s">
        <v>82</v>
      </c>
      <c r="C627" s="81">
        <v>44.4</v>
      </c>
      <c r="D627" s="73">
        <v>1.0</v>
      </c>
      <c r="E627" s="83">
        <v>0.0</v>
      </c>
      <c r="F627" s="76">
        <v>0.0</v>
      </c>
    </row>
    <row r="628">
      <c r="A628" s="84">
        <v>2015.0</v>
      </c>
      <c r="B628" s="85" t="s">
        <v>82</v>
      </c>
      <c r="C628" s="81">
        <v>37.8</v>
      </c>
      <c r="D628" s="73">
        <v>0.0</v>
      </c>
      <c r="E628" s="83">
        <v>0.0</v>
      </c>
      <c r="F628" s="76">
        <f>155+248</f>
        <v>403</v>
      </c>
    </row>
    <row r="629">
      <c r="A629" s="73">
        <v>2016.0</v>
      </c>
      <c r="B629" s="85" t="s">
        <v>82</v>
      </c>
      <c r="C629" s="81">
        <v>43.2</v>
      </c>
      <c r="D629" s="73">
        <v>1.0</v>
      </c>
      <c r="E629" s="83">
        <v>0.0</v>
      </c>
      <c r="F629" s="76">
        <f>414+937+1053</f>
        <v>2404</v>
      </c>
      <c r="G629">
        <f>AVERAGE(F629)</f>
        <v>2404</v>
      </c>
    </row>
    <row r="630">
      <c r="A630" s="73">
        <v>2017.0</v>
      </c>
      <c r="B630" s="85" t="s">
        <v>82</v>
      </c>
      <c r="C630" s="81">
        <v>43.2</v>
      </c>
      <c r="D630" s="73">
        <v>1.0</v>
      </c>
      <c r="E630" s="83">
        <v>0.0</v>
      </c>
      <c r="F630" s="76">
        <v>0.0</v>
      </c>
      <c r="G630">
        <f>AVERAGE(F630:F631)</f>
        <v>192</v>
      </c>
    </row>
    <row r="631">
      <c r="A631" s="73">
        <v>2018.0</v>
      </c>
      <c r="B631" s="85" t="s">
        <v>82</v>
      </c>
      <c r="C631" s="81">
        <v>35.1</v>
      </c>
      <c r="D631" s="73">
        <v>0.0</v>
      </c>
      <c r="E631" s="88">
        <v>1.0</v>
      </c>
      <c r="F631" s="87">
        <v>384.0</v>
      </c>
    </row>
    <row r="632" hidden="1">
      <c r="A632" s="69">
        <v>2002.0</v>
      </c>
      <c r="B632" s="70" t="s">
        <v>84</v>
      </c>
      <c r="C632" s="71">
        <v>41.65</v>
      </c>
      <c r="D632" s="69">
        <v>1.0</v>
      </c>
      <c r="E632" s="72">
        <v>0.0</v>
      </c>
      <c r="F632" s="72">
        <v>0.0</v>
      </c>
    </row>
    <row r="633">
      <c r="A633" s="73">
        <v>2003.0</v>
      </c>
      <c r="B633" s="74" t="s">
        <v>83</v>
      </c>
      <c r="C633" s="75">
        <v>6.5</v>
      </c>
      <c r="D633" s="73">
        <v>0.0</v>
      </c>
      <c r="E633" s="76">
        <v>0.0</v>
      </c>
      <c r="F633" s="76">
        <v>0.0</v>
      </c>
      <c r="G633">
        <f>AVERAGE(F633:F637)</f>
        <v>57.6</v>
      </c>
    </row>
    <row r="634">
      <c r="A634" s="73">
        <v>2004.0</v>
      </c>
      <c r="B634" s="74" t="s">
        <v>83</v>
      </c>
      <c r="C634" s="75">
        <v>6.5</v>
      </c>
      <c r="D634" s="73">
        <v>0.0</v>
      </c>
      <c r="E634" s="77">
        <v>0.0</v>
      </c>
      <c r="F634" s="76">
        <v>0.0</v>
      </c>
    </row>
    <row r="635">
      <c r="A635" s="73">
        <v>2005.0</v>
      </c>
      <c r="B635" s="74" t="s">
        <v>83</v>
      </c>
      <c r="C635" s="75">
        <v>6.5</v>
      </c>
      <c r="D635" s="73">
        <v>0.0</v>
      </c>
      <c r="E635" s="78">
        <v>0.0</v>
      </c>
      <c r="F635" s="87">
        <v>288.0</v>
      </c>
    </row>
    <row r="636">
      <c r="A636" s="73">
        <v>2006.0</v>
      </c>
      <c r="B636" s="74" t="s">
        <v>83</v>
      </c>
      <c r="C636" s="75">
        <v>6.5</v>
      </c>
      <c r="D636" s="73">
        <v>0.0</v>
      </c>
      <c r="E636" s="78">
        <v>0.0</v>
      </c>
      <c r="F636" s="76">
        <v>0.0</v>
      </c>
    </row>
    <row r="637">
      <c r="A637" s="73">
        <v>2007.0</v>
      </c>
      <c r="B637" s="74" t="s">
        <v>83</v>
      </c>
      <c r="C637" s="75">
        <v>28.91</v>
      </c>
      <c r="D637" s="73">
        <v>0.0</v>
      </c>
      <c r="E637" s="78">
        <v>0.0</v>
      </c>
      <c r="F637" s="76">
        <v>0.0</v>
      </c>
    </row>
    <row r="638">
      <c r="A638" s="73">
        <v>2008.0</v>
      </c>
      <c r="B638" s="74" t="s">
        <v>83</v>
      </c>
      <c r="C638" s="75">
        <v>28.91</v>
      </c>
      <c r="D638" s="73">
        <v>0.0</v>
      </c>
      <c r="E638" s="78">
        <v>0.0</v>
      </c>
      <c r="F638" s="76">
        <v>0.0</v>
      </c>
      <c r="G638">
        <f>AVERAGE(F638:F641)</f>
        <v>81</v>
      </c>
    </row>
    <row r="639">
      <c r="A639" s="73">
        <v>2009.0</v>
      </c>
      <c r="B639" s="74" t="s">
        <v>83</v>
      </c>
      <c r="C639" s="75">
        <v>28.91</v>
      </c>
      <c r="D639" s="73">
        <v>0.0</v>
      </c>
      <c r="E639" s="79">
        <v>0.0</v>
      </c>
      <c r="F639" s="87">
        <v>20.0</v>
      </c>
    </row>
    <row r="640">
      <c r="A640" s="73">
        <v>2010.0</v>
      </c>
      <c r="B640" s="74" t="s">
        <v>83</v>
      </c>
      <c r="C640" s="75">
        <v>28.91</v>
      </c>
      <c r="D640" s="73">
        <v>0.0</v>
      </c>
      <c r="E640" s="82">
        <v>0.0</v>
      </c>
      <c r="F640" s="76">
        <v>0.0</v>
      </c>
    </row>
    <row r="641">
      <c r="A641" s="73">
        <v>2011.0</v>
      </c>
      <c r="B641" s="74" t="s">
        <v>83</v>
      </c>
      <c r="C641" s="81">
        <v>28.3</v>
      </c>
      <c r="D641" s="73">
        <v>0.0</v>
      </c>
      <c r="E641" s="82">
        <v>0.0</v>
      </c>
      <c r="F641" s="76">
        <f>80+224</f>
        <v>304</v>
      </c>
    </row>
    <row r="642">
      <c r="A642" s="73">
        <v>2012.0</v>
      </c>
      <c r="B642" s="74" t="s">
        <v>83</v>
      </c>
      <c r="C642" s="81">
        <v>28.3</v>
      </c>
      <c r="D642" s="73">
        <v>0.0</v>
      </c>
      <c r="E642" s="82">
        <v>0.0</v>
      </c>
      <c r="F642" s="76">
        <v>0.0</v>
      </c>
      <c r="G642">
        <f>AVERAGE(F642:F645)</f>
        <v>21.5</v>
      </c>
    </row>
    <row r="643">
      <c r="A643" s="73">
        <v>2013.0</v>
      </c>
      <c r="B643" s="74" t="s">
        <v>83</v>
      </c>
      <c r="C643" s="81">
        <v>28.3</v>
      </c>
      <c r="D643" s="73">
        <v>0.0</v>
      </c>
      <c r="E643" s="82">
        <v>0.0</v>
      </c>
      <c r="F643" s="76">
        <v>0.0</v>
      </c>
    </row>
    <row r="644">
      <c r="A644" s="73">
        <v>2014.0</v>
      </c>
      <c r="B644" s="74" t="s">
        <v>83</v>
      </c>
      <c r="C644" s="81">
        <v>28.3</v>
      </c>
      <c r="D644" s="73">
        <v>0.0</v>
      </c>
      <c r="E644" s="83">
        <v>0.0</v>
      </c>
      <c r="F644" s="87">
        <v>86.0</v>
      </c>
    </row>
    <row r="645">
      <c r="A645" s="84">
        <v>2015.0</v>
      </c>
      <c r="B645" s="85" t="s">
        <v>83</v>
      </c>
      <c r="C645" s="81">
        <v>10.8</v>
      </c>
      <c r="D645" s="73">
        <v>0.0</v>
      </c>
      <c r="E645" s="83">
        <v>0.0</v>
      </c>
      <c r="F645" s="76">
        <v>0.0</v>
      </c>
    </row>
    <row r="646">
      <c r="A646" s="73">
        <v>2016.0</v>
      </c>
      <c r="B646" s="85" t="s">
        <v>83</v>
      </c>
      <c r="C646" s="81">
        <v>31.0</v>
      </c>
      <c r="D646" s="73">
        <v>0.0</v>
      </c>
      <c r="E646" s="83">
        <v>0.0</v>
      </c>
      <c r="F646" s="76">
        <v>0.0</v>
      </c>
      <c r="G646">
        <f>AVERAGE(F646)</f>
        <v>0</v>
      </c>
    </row>
    <row r="647">
      <c r="A647" s="73">
        <v>2017.0</v>
      </c>
      <c r="B647" s="85" t="s">
        <v>83</v>
      </c>
      <c r="C647" s="81">
        <v>31.0</v>
      </c>
      <c r="D647" s="73">
        <v>0.0</v>
      </c>
      <c r="E647" s="83">
        <v>0.0</v>
      </c>
      <c r="F647" s="76">
        <v>0.0</v>
      </c>
      <c r="G647">
        <f>AVERAGE(F647:F648)</f>
        <v>0</v>
      </c>
    </row>
    <row r="648">
      <c r="A648" s="73">
        <v>2018.0</v>
      </c>
      <c r="B648" s="85" t="s">
        <v>83</v>
      </c>
      <c r="C648" s="81">
        <v>19.5</v>
      </c>
      <c r="D648" s="73">
        <v>0.0</v>
      </c>
      <c r="E648" s="88">
        <v>0.0</v>
      </c>
      <c r="F648" s="76">
        <v>0.0</v>
      </c>
    </row>
    <row r="649" hidden="1">
      <c r="A649" s="69">
        <v>2002.0</v>
      </c>
      <c r="B649" s="70" t="s">
        <v>85</v>
      </c>
      <c r="C649" s="71">
        <v>37.87</v>
      </c>
      <c r="D649" s="69">
        <v>0.0</v>
      </c>
      <c r="E649" s="72">
        <v>0.0</v>
      </c>
      <c r="F649" s="72">
        <v>0.0</v>
      </c>
    </row>
    <row r="650">
      <c r="A650" s="73">
        <v>2003.0</v>
      </c>
      <c r="B650" s="74" t="s">
        <v>84</v>
      </c>
      <c r="C650" s="75">
        <v>41.65</v>
      </c>
      <c r="D650" s="73">
        <v>1.0</v>
      </c>
      <c r="E650" s="76">
        <v>0.0</v>
      </c>
      <c r="F650" s="87">
        <v>168.0</v>
      </c>
      <c r="G650">
        <f>AVERAGE(F650:F654)</f>
        <v>309.8</v>
      </c>
    </row>
    <row r="651">
      <c r="A651" s="73">
        <v>2004.0</v>
      </c>
      <c r="B651" s="74" t="s">
        <v>84</v>
      </c>
      <c r="C651" s="75">
        <v>41.65</v>
      </c>
      <c r="D651" s="73">
        <v>1.0</v>
      </c>
      <c r="E651" s="77">
        <v>1.0</v>
      </c>
      <c r="F651" s="76">
        <v>0.0</v>
      </c>
    </row>
    <row r="652">
      <c r="A652" s="73">
        <v>2005.0</v>
      </c>
      <c r="B652" s="74" t="s">
        <v>84</v>
      </c>
      <c r="C652" s="75">
        <v>41.65</v>
      </c>
      <c r="D652" s="73">
        <v>1.0</v>
      </c>
      <c r="E652" s="78">
        <v>1.0</v>
      </c>
      <c r="F652" s="87">
        <v>240.0</v>
      </c>
    </row>
    <row r="653">
      <c r="A653" s="73">
        <v>2006.0</v>
      </c>
      <c r="B653" s="74" t="s">
        <v>84</v>
      </c>
      <c r="C653" s="75">
        <v>41.65</v>
      </c>
      <c r="D653" s="73">
        <v>1.0</v>
      </c>
      <c r="E653" s="78">
        <v>1.0</v>
      </c>
      <c r="F653" s="76">
        <f>105+176+732</f>
        <v>1013</v>
      </c>
    </row>
    <row r="654">
      <c r="A654" s="73">
        <v>2007.0</v>
      </c>
      <c r="B654" s="74" t="s">
        <v>84</v>
      </c>
      <c r="C654" s="75">
        <v>43.87</v>
      </c>
      <c r="D654" s="73">
        <v>1.0</v>
      </c>
      <c r="E654" s="78">
        <v>1.0</v>
      </c>
      <c r="F654" s="87">
        <v>128.0</v>
      </c>
    </row>
    <row r="655">
      <c r="A655" s="73">
        <v>2008.0</v>
      </c>
      <c r="B655" s="74" t="s">
        <v>84</v>
      </c>
      <c r="C655" s="75">
        <v>43.87</v>
      </c>
      <c r="D655" s="73">
        <v>1.0</v>
      </c>
      <c r="E655" s="78">
        <v>1.0</v>
      </c>
      <c r="F655" s="76">
        <f>168+232+216+240</f>
        <v>856</v>
      </c>
      <c r="G655">
        <f>AVERAGE(F655:F658)</f>
        <v>406</v>
      </c>
    </row>
    <row r="656">
      <c r="A656" s="73">
        <v>2009.0</v>
      </c>
      <c r="B656" s="74" t="s">
        <v>84</v>
      </c>
      <c r="C656" s="75">
        <v>43.87</v>
      </c>
      <c r="D656" s="73">
        <v>1.0</v>
      </c>
      <c r="E656" s="79">
        <v>0.0</v>
      </c>
      <c r="F656" s="76">
        <f>224+224+224+96</f>
        <v>768</v>
      </c>
    </row>
    <row r="657">
      <c r="A657" s="73">
        <v>2010.0</v>
      </c>
      <c r="B657" s="74" t="s">
        <v>84</v>
      </c>
      <c r="C657" s="75">
        <v>43.87</v>
      </c>
      <c r="D657" s="73">
        <v>1.0</v>
      </c>
      <c r="E657" s="82">
        <v>0.0</v>
      </c>
      <c r="F657" s="76">
        <v>0.0</v>
      </c>
    </row>
    <row r="658">
      <c r="A658" s="73">
        <v>2011.0</v>
      </c>
      <c r="B658" s="74" t="s">
        <v>84</v>
      </c>
      <c r="C658" s="81">
        <v>52.9</v>
      </c>
      <c r="D658" s="73">
        <v>1.0</v>
      </c>
      <c r="E658" s="82">
        <v>0.0</v>
      </c>
      <c r="F658" s="76">
        <v>0.0</v>
      </c>
    </row>
    <row r="659">
      <c r="A659" s="73">
        <v>2012.0</v>
      </c>
      <c r="B659" s="74" t="s">
        <v>84</v>
      </c>
      <c r="C659" s="81">
        <v>52.9</v>
      </c>
      <c r="D659" s="73">
        <v>1.0</v>
      </c>
      <c r="E659" s="82">
        <v>0.0</v>
      </c>
      <c r="F659" s="76">
        <v>0.0</v>
      </c>
      <c r="G659">
        <f>AVERAGE(F659:F662)</f>
        <v>123</v>
      </c>
    </row>
    <row r="660">
      <c r="A660" s="73">
        <v>2013.0</v>
      </c>
      <c r="B660" s="74" t="s">
        <v>84</v>
      </c>
      <c r="C660" s="81">
        <v>52.9</v>
      </c>
      <c r="D660" s="73">
        <v>1.0</v>
      </c>
      <c r="E660" s="82">
        <v>0.0</v>
      </c>
      <c r="F660" s="76">
        <v>0.0</v>
      </c>
    </row>
    <row r="661">
      <c r="A661" s="73">
        <v>2014.0</v>
      </c>
      <c r="B661" s="74" t="s">
        <v>84</v>
      </c>
      <c r="C661" s="81">
        <v>52.9</v>
      </c>
      <c r="D661" s="73">
        <v>1.0</v>
      </c>
      <c r="E661" s="83">
        <v>0.0</v>
      </c>
      <c r="F661" s="76">
        <v>0.0</v>
      </c>
    </row>
    <row r="662">
      <c r="A662" s="84">
        <v>2015.0</v>
      </c>
      <c r="B662" s="85" t="s">
        <v>84</v>
      </c>
      <c r="C662" s="81">
        <v>44.1</v>
      </c>
      <c r="D662" s="73">
        <v>1.0</v>
      </c>
      <c r="E662" s="83">
        <v>0.0</v>
      </c>
      <c r="F662" s="87">
        <f>335+157</f>
        <v>492</v>
      </c>
    </row>
    <row r="663">
      <c r="A663" s="73">
        <v>2016.0</v>
      </c>
      <c r="B663" s="85" t="s">
        <v>84</v>
      </c>
      <c r="C663" s="81">
        <v>53.2</v>
      </c>
      <c r="D663" s="73">
        <v>1.0</v>
      </c>
      <c r="E663" s="83">
        <v>0.0</v>
      </c>
      <c r="F663" s="76">
        <f>293+52</f>
        <v>345</v>
      </c>
      <c r="G663">
        <f>AVERAGE(F663)</f>
        <v>345</v>
      </c>
    </row>
    <row r="664">
      <c r="A664" s="73">
        <v>2017.0</v>
      </c>
      <c r="B664" s="85" t="s">
        <v>84</v>
      </c>
      <c r="C664" s="81">
        <v>53.2</v>
      </c>
      <c r="D664" s="73">
        <v>1.0</v>
      </c>
      <c r="E664" s="83">
        <v>0.0</v>
      </c>
      <c r="F664" s="87">
        <v>377.0</v>
      </c>
      <c r="G664">
        <f>AVERAGE(F664:F665)</f>
        <v>188.5</v>
      </c>
    </row>
    <row r="665">
      <c r="A665" s="73">
        <v>2018.0</v>
      </c>
      <c r="B665" s="85" t="s">
        <v>84</v>
      </c>
      <c r="C665" s="81">
        <v>46.8</v>
      </c>
      <c r="D665" s="73">
        <v>1.0</v>
      </c>
      <c r="E665" s="88">
        <v>0.0</v>
      </c>
      <c r="F665" s="76">
        <v>0.0</v>
      </c>
    </row>
    <row r="666" hidden="1">
      <c r="A666" s="69">
        <v>2002.0</v>
      </c>
      <c r="B666" s="70" t="s">
        <v>86</v>
      </c>
      <c r="C666" s="71">
        <v>17.66</v>
      </c>
      <c r="D666" s="69">
        <v>0.0</v>
      </c>
      <c r="E666" s="72">
        <v>0.0</v>
      </c>
      <c r="F666" s="72">
        <v>0.0</v>
      </c>
    </row>
    <row r="667">
      <c r="A667" s="73">
        <v>2003.0</v>
      </c>
      <c r="B667" s="74" t="s">
        <v>85</v>
      </c>
      <c r="C667" s="75">
        <v>37.87</v>
      </c>
      <c r="D667" s="73">
        <v>0.0</v>
      </c>
      <c r="E667" s="76">
        <v>0.0</v>
      </c>
      <c r="F667" s="96">
        <v>950.0</v>
      </c>
      <c r="G667">
        <f>AVERAGE(F667:F671)</f>
        <v>4960.6</v>
      </c>
    </row>
    <row r="668">
      <c r="A668" s="73">
        <v>2004.0</v>
      </c>
      <c r="B668" s="74" t="s">
        <v>85</v>
      </c>
      <c r="C668" s="75">
        <v>37.87</v>
      </c>
      <c r="D668" s="73">
        <v>0.0</v>
      </c>
      <c r="E668" s="77">
        <v>1.0</v>
      </c>
      <c r="F668" s="76">
        <f>800+354+2228</f>
        <v>3382</v>
      </c>
    </row>
    <row r="669">
      <c r="A669" s="73">
        <v>2005.0</v>
      </c>
      <c r="B669" s="74" t="s">
        <v>85</v>
      </c>
      <c r="C669" s="75">
        <v>37.87</v>
      </c>
      <c r="D669" s="73">
        <v>0.0</v>
      </c>
      <c r="E669" s="78">
        <v>1.0</v>
      </c>
      <c r="F669" s="76">
        <f>219+678+1056+680+72+904
+696
+381
+360
+321
+682</f>
        <v>6049</v>
      </c>
    </row>
    <row r="670">
      <c r="A670" s="73">
        <v>2006.0</v>
      </c>
      <c r="B670" s="74" t="s">
        <v>85</v>
      </c>
      <c r="C670" s="75">
        <v>37.87</v>
      </c>
      <c r="D670" s="73">
        <v>0.0</v>
      </c>
      <c r="E670" s="78">
        <v>1.0</v>
      </c>
      <c r="F670" s="76">
        <f>413+
560+
720+
1116+
1480+
1000+
750+
606+
1108+
760+
784+
36+
600</f>
        <v>9933</v>
      </c>
    </row>
    <row r="671">
      <c r="A671" s="73">
        <v>2007.0</v>
      </c>
      <c r="B671" s="74" t="s">
        <v>85</v>
      </c>
      <c r="C671" s="75">
        <v>45.85</v>
      </c>
      <c r="D671" s="73">
        <v>1.0</v>
      </c>
      <c r="E671" s="78">
        <v>1.0</v>
      </c>
      <c r="F671" s="76">
        <f>944+
720+
764+
308+
769+
984</f>
        <v>4489</v>
      </c>
    </row>
    <row r="672">
      <c r="A672" s="73">
        <v>2008.0</v>
      </c>
      <c r="B672" s="74" t="s">
        <v>85</v>
      </c>
      <c r="C672" s="75">
        <v>45.85</v>
      </c>
      <c r="D672" s="73">
        <v>1.0</v>
      </c>
      <c r="E672" s="78">
        <v>1.0</v>
      </c>
      <c r="F672" s="76">
        <f>700+
1360+
100+
162+
1044+
1042+
300+
1430+
114+
256</f>
        <v>6508</v>
      </c>
      <c r="G672">
        <f>AVERAGE(F672:F675)</f>
        <v>6426.5</v>
      </c>
    </row>
    <row r="673" hidden="1">
      <c r="A673" s="69">
        <v>2002.0</v>
      </c>
      <c r="B673" s="70" t="s">
        <v>87</v>
      </c>
      <c r="C673" s="71">
        <v>53.88</v>
      </c>
      <c r="D673" s="69">
        <v>1.0</v>
      </c>
      <c r="E673" s="72">
        <v>0.0</v>
      </c>
      <c r="F673" s="72">
        <v>0.0</v>
      </c>
    </row>
    <row r="674">
      <c r="A674" s="73">
        <v>2009.0</v>
      </c>
      <c r="B674" s="74" t="s">
        <v>85</v>
      </c>
      <c r="C674" s="75">
        <v>45.85</v>
      </c>
      <c r="D674" s="73">
        <v>1.0</v>
      </c>
      <c r="E674" s="79">
        <v>1.0</v>
      </c>
      <c r="F674" s="76">
        <f>372+
1814+
1194+
1340+
10+
912+
788+
1130+
577+
948+
1020+
764+
348+
888+
720+
1090</f>
        <v>13915</v>
      </c>
    </row>
    <row r="675">
      <c r="A675" s="73">
        <v>2010.0</v>
      </c>
      <c r="B675" s="74" t="s">
        <v>85</v>
      </c>
      <c r="C675" s="75">
        <v>45.85</v>
      </c>
      <c r="D675" s="73">
        <v>1.0</v>
      </c>
      <c r="E675" s="82">
        <v>1.0</v>
      </c>
      <c r="F675" s="76">
        <f>822+
300+
294+
340+
527+
3000</f>
        <v>5283</v>
      </c>
    </row>
    <row r="676">
      <c r="A676" s="73">
        <v>2011.0</v>
      </c>
      <c r="B676" s="74" t="s">
        <v>85</v>
      </c>
      <c r="C676" s="81">
        <v>51.0</v>
      </c>
      <c r="D676" s="73">
        <v>1.0</v>
      </c>
      <c r="E676" s="82">
        <v>1.0</v>
      </c>
      <c r="F676" s="76">
        <f>262+
444+
270+
274+
20+
208+
88+
196</f>
        <v>1762</v>
      </c>
    </row>
    <row r="677">
      <c r="A677" s="73">
        <v>2012.0</v>
      </c>
      <c r="B677" s="74" t="s">
        <v>85</v>
      </c>
      <c r="C677" s="81">
        <v>51.0</v>
      </c>
      <c r="D677" s="73">
        <v>1.0</v>
      </c>
      <c r="E677" s="82">
        <v>1.0</v>
      </c>
      <c r="F677" s="76">
        <f>456+
499</f>
        <v>955</v>
      </c>
      <c r="G677">
        <f>AVERAGE(F677:F680)</f>
        <v>1465</v>
      </c>
    </row>
    <row r="678">
      <c r="A678" s="73">
        <v>2013.0</v>
      </c>
      <c r="B678" s="74" t="s">
        <v>85</v>
      </c>
      <c r="C678" s="81">
        <v>51.0</v>
      </c>
      <c r="D678" s="73">
        <v>1.0</v>
      </c>
      <c r="E678" s="82">
        <v>1.0</v>
      </c>
      <c r="F678" s="76">
        <f>1009+
381</f>
        <v>1390</v>
      </c>
    </row>
    <row r="679" hidden="1">
      <c r="A679" s="69">
        <v>2002.0</v>
      </c>
      <c r="B679" s="70" t="s">
        <v>88</v>
      </c>
      <c r="C679" s="71">
        <v>45.19</v>
      </c>
      <c r="D679" s="69">
        <v>1.0</v>
      </c>
      <c r="E679" s="72">
        <v>0.0</v>
      </c>
      <c r="F679" s="72">
        <v>0.0</v>
      </c>
    </row>
    <row r="680">
      <c r="A680" s="73">
        <v>2014.0</v>
      </c>
      <c r="B680" s="74" t="s">
        <v>85</v>
      </c>
      <c r="C680" s="81">
        <v>51.0</v>
      </c>
      <c r="D680" s="73">
        <v>1.0</v>
      </c>
      <c r="E680" s="83">
        <v>1.0</v>
      </c>
      <c r="F680" s="76">
        <f>482+
70+
753+
420+
464+
637+
312+
377</f>
        <v>3515</v>
      </c>
    </row>
    <row r="681">
      <c r="A681" s="84">
        <v>2015.0</v>
      </c>
      <c r="B681" s="85" t="s">
        <v>85</v>
      </c>
      <c r="C681" s="81">
        <v>42.7</v>
      </c>
      <c r="D681" s="73">
        <v>1.0</v>
      </c>
      <c r="E681" s="83">
        <v>1.0</v>
      </c>
      <c r="F681" s="76">
        <f>87+
544+
476+
101+
320+
173+
435</f>
        <v>2136</v>
      </c>
    </row>
    <row r="682">
      <c r="A682" s="73">
        <v>2016.0</v>
      </c>
      <c r="B682" s="85" t="s">
        <v>85</v>
      </c>
      <c r="C682" s="81">
        <v>51.2</v>
      </c>
      <c r="D682" s="73">
        <v>1.0</v>
      </c>
      <c r="E682" s="83">
        <v>1.0</v>
      </c>
      <c r="F682" s="76">
        <f>448+
77+
232</f>
        <v>757</v>
      </c>
      <c r="G682">
        <f>AVERAGE(F682)</f>
        <v>757</v>
      </c>
    </row>
    <row r="683">
      <c r="A683" s="73">
        <v>2017.0</v>
      </c>
      <c r="B683" s="85" t="s">
        <v>85</v>
      </c>
      <c r="C683" s="81">
        <v>51.2</v>
      </c>
      <c r="D683" s="73">
        <v>1.0</v>
      </c>
      <c r="E683" s="83">
        <v>1.0</v>
      </c>
      <c r="F683" s="76">
        <f>399+
635+
305+
796+
397</f>
        <v>2532</v>
      </c>
      <c r="G683">
        <f>AVERAGE(F683:F684)</f>
        <v>2543</v>
      </c>
    </row>
    <row r="684">
      <c r="A684" s="73">
        <v>2018.0</v>
      </c>
      <c r="B684" s="85" t="s">
        <v>85</v>
      </c>
      <c r="C684" s="81">
        <v>44.3</v>
      </c>
      <c r="D684" s="73">
        <v>1.0</v>
      </c>
      <c r="E684" s="88">
        <v>0.0</v>
      </c>
      <c r="F684" s="76">
        <f>112+
862+
598+
758+
224</f>
        <v>2554</v>
      </c>
    </row>
    <row r="685" hidden="1">
      <c r="A685" s="69">
        <v>2002.0</v>
      </c>
      <c r="B685" s="70" t="s">
        <v>89</v>
      </c>
      <c r="C685" s="71">
        <v>38.19</v>
      </c>
      <c r="D685" s="69">
        <v>0.0</v>
      </c>
      <c r="E685" s="72">
        <v>0.0</v>
      </c>
      <c r="F685" s="72">
        <v>0.0</v>
      </c>
    </row>
    <row r="686">
      <c r="A686" s="73">
        <v>2003.0</v>
      </c>
      <c r="B686" s="74" t="s">
        <v>86</v>
      </c>
      <c r="C686" s="75">
        <v>17.66</v>
      </c>
      <c r="D686" s="73">
        <v>0.0</v>
      </c>
      <c r="E686" s="76">
        <v>0.0</v>
      </c>
      <c r="F686" s="76">
        <v>0.0</v>
      </c>
      <c r="G686">
        <f>AVERAGE(F686:F690)</f>
        <v>1395.6</v>
      </c>
    </row>
    <row r="687">
      <c r="A687" s="73">
        <v>2004.0</v>
      </c>
      <c r="B687" s="74" t="s">
        <v>86</v>
      </c>
      <c r="C687" s="75">
        <v>17.66</v>
      </c>
      <c r="D687" s="73">
        <v>0.0</v>
      </c>
      <c r="E687" s="77">
        <v>0.0</v>
      </c>
      <c r="F687" s="76">
        <v>0.0</v>
      </c>
    </row>
    <row r="688">
      <c r="A688" s="73">
        <v>2005.0</v>
      </c>
      <c r="B688" s="74" t="s">
        <v>86</v>
      </c>
      <c r="C688" s="75">
        <v>17.66</v>
      </c>
      <c r="D688" s="73">
        <v>0.0</v>
      </c>
      <c r="E688" s="78">
        <v>0.0</v>
      </c>
      <c r="F688" s="76">
        <f>808+
672+
616+
500+
616</f>
        <v>3212</v>
      </c>
    </row>
    <row r="689">
      <c r="A689" s="73">
        <v>2006.0</v>
      </c>
      <c r="B689" s="74" t="s">
        <v>86</v>
      </c>
      <c r="C689" s="75">
        <v>17.66</v>
      </c>
      <c r="D689" s="73">
        <v>0.0</v>
      </c>
      <c r="E689" s="78">
        <v>0.0</v>
      </c>
      <c r="F689" s="76">
        <f>1176+
840+
208+
544</f>
        <v>2768</v>
      </c>
    </row>
    <row r="690">
      <c r="A690" s="73">
        <v>2007.0</v>
      </c>
      <c r="B690" s="74" t="s">
        <v>86</v>
      </c>
      <c r="C690" s="75">
        <v>31.6</v>
      </c>
      <c r="D690" s="73">
        <v>0.0</v>
      </c>
      <c r="E690" s="78">
        <v>0.0</v>
      </c>
      <c r="F690" s="76">
        <f>322+
108+
568</f>
        <v>998</v>
      </c>
    </row>
    <row r="691">
      <c r="A691" s="73">
        <v>2008.0</v>
      </c>
      <c r="B691" s="74" t="s">
        <v>86</v>
      </c>
      <c r="C691" s="75">
        <v>31.6</v>
      </c>
      <c r="D691" s="73">
        <v>0.0</v>
      </c>
      <c r="E691" s="78">
        <v>0.0</v>
      </c>
      <c r="F691" s="76">
        <f>986+
694+
668</f>
        <v>2348</v>
      </c>
      <c r="G691">
        <f>AVERAGE(F691:F694)</f>
        <v>607</v>
      </c>
    </row>
    <row r="692">
      <c r="A692" s="73">
        <v>2009.0</v>
      </c>
      <c r="B692" s="74" t="s">
        <v>86</v>
      </c>
      <c r="C692" s="75">
        <v>31.6</v>
      </c>
      <c r="D692" s="73">
        <v>0.0</v>
      </c>
      <c r="E692" s="79">
        <v>0.0</v>
      </c>
      <c r="F692" s="76">
        <v>0.0</v>
      </c>
    </row>
    <row r="693">
      <c r="A693" s="73">
        <v>2010.0</v>
      </c>
      <c r="B693" s="74" t="s">
        <v>86</v>
      </c>
      <c r="C693" s="75">
        <v>31.6</v>
      </c>
      <c r="D693" s="73">
        <v>0.0</v>
      </c>
      <c r="E693" s="82">
        <v>0.0</v>
      </c>
      <c r="F693" s="96">
        <v>80.0</v>
      </c>
    </row>
    <row r="694" hidden="1">
      <c r="A694" s="69">
        <v>2002.0</v>
      </c>
      <c r="B694" s="70" t="s">
        <v>90</v>
      </c>
      <c r="C694" s="71">
        <v>17.24</v>
      </c>
      <c r="D694" s="69">
        <v>0.0</v>
      </c>
      <c r="E694" s="72">
        <v>0.0</v>
      </c>
      <c r="F694" s="72">
        <v>0.0</v>
      </c>
    </row>
    <row r="695">
      <c r="A695" s="73">
        <v>2011.0</v>
      </c>
      <c r="B695" s="74" t="s">
        <v>86</v>
      </c>
      <c r="C695" s="81">
        <v>37.1</v>
      </c>
      <c r="D695" s="73">
        <v>0.0</v>
      </c>
      <c r="E695" s="82">
        <v>0.0</v>
      </c>
      <c r="F695" s="96">
        <v>280.0</v>
      </c>
    </row>
    <row r="696">
      <c r="A696" s="73">
        <v>2012.0</v>
      </c>
      <c r="B696" s="74" t="s">
        <v>86</v>
      </c>
      <c r="C696" s="81">
        <v>37.1</v>
      </c>
      <c r="D696" s="73">
        <v>0.0</v>
      </c>
      <c r="E696" s="82">
        <v>0.0</v>
      </c>
      <c r="F696" s="76">
        <v>0.0</v>
      </c>
      <c r="G696">
        <f>AVERAGE(F696:F699)</f>
        <v>371</v>
      </c>
    </row>
    <row r="697">
      <c r="A697" s="73">
        <v>2013.0</v>
      </c>
      <c r="B697" s="74" t="s">
        <v>86</v>
      </c>
      <c r="C697" s="81">
        <v>37.1</v>
      </c>
      <c r="D697" s="73">
        <v>0.0</v>
      </c>
      <c r="E697" s="82">
        <v>0.0</v>
      </c>
      <c r="F697" s="96">
        <v>80.0</v>
      </c>
    </row>
    <row r="698">
      <c r="A698" s="73">
        <v>2014.0</v>
      </c>
      <c r="B698" s="74" t="s">
        <v>86</v>
      </c>
      <c r="C698" s="81">
        <v>37.1</v>
      </c>
      <c r="D698" s="73">
        <v>0.0</v>
      </c>
      <c r="E698" s="83">
        <v>0.0</v>
      </c>
      <c r="F698" s="76">
        <f>550+
603</f>
        <v>1153</v>
      </c>
    </row>
    <row r="699">
      <c r="A699" s="84">
        <v>2015.0</v>
      </c>
      <c r="B699" s="85" t="s">
        <v>86</v>
      </c>
      <c r="C699" s="81">
        <v>26.4</v>
      </c>
      <c r="D699" s="73">
        <v>0.0</v>
      </c>
      <c r="E699" s="83">
        <v>0.0</v>
      </c>
      <c r="F699" s="76">
        <f>147+
104</f>
        <v>251</v>
      </c>
    </row>
    <row r="700">
      <c r="A700" s="73">
        <v>2016.0</v>
      </c>
      <c r="B700" s="85" t="s">
        <v>86</v>
      </c>
      <c r="C700" s="81">
        <v>31.2</v>
      </c>
      <c r="D700" s="73">
        <v>0.0</v>
      </c>
      <c r="E700" s="83">
        <v>0.0</v>
      </c>
      <c r="F700" s="76">
        <f>271+
390+
529</f>
        <v>1190</v>
      </c>
      <c r="G700">
        <f>AVERAGE(F700)</f>
        <v>1190</v>
      </c>
    </row>
    <row r="701">
      <c r="A701" s="73">
        <v>2017.0</v>
      </c>
      <c r="B701" s="85" t="s">
        <v>86</v>
      </c>
      <c r="C701" s="81">
        <v>31.2</v>
      </c>
      <c r="D701" s="73">
        <v>0.0</v>
      </c>
      <c r="E701" s="83">
        <v>0.0</v>
      </c>
      <c r="F701" s="76">
        <f>315+
679</f>
        <v>994</v>
      </c>
      <c r="G701">
        <f>AVERAGE(F701:F702)</f>
        <v>731</v>
      </c>
    </row>
    <row r="702">
      <c r="A702" s="73">
        <v>2018.0</v>
      </c>
      <c r="B702" s="85" t="s">
        <v>86</v>
      </c>
      <c r="C702" s="81">
        <v>27.5</v>
      </c>
      <c r="D702" s="73">
        <v>0.0</v>
      </c>
      <c r="E702" s="88">
        <v>1.0</v>
      </c>
      <c r="F702" s="96">
        <v>468.0</v>
      </c>
    </row>
    <row r="703" hidden="1">
      <c r="A703" s="69">
        <v>2002.0</v>
      </c>
      <c r="B703" s="70" t="s">
        <v>91</v>
      </c>
      <c r="C703" s="71">
        <v>30.9</v>
      </c>
      <c r="D703" s="69">
        <v>0.0</v>
      </c>
      <c r="E703" s="72">
        <v>0.0</v>
      </c>
      <c r="F703" s="72">
        <v>0.0</v>
      </c>
    </row>
    <row r="704">
      <c r="A704" s="73">
        <v>2003.0</v>
      </c>
      <c r="B704" s="74" t="s">
        <v>87</v>
      </c>
      <c r="C704" s="75">
        <v>53.88</v>
      </c>
      <c r="D704" s="73">
        <v>1.0</v>
      </c>
      <c r="E704" s="76">
        <v>0.0</v>
      </c>
      <c r="F704" s="76">
        <v>0.0</v>
      </c>
      <c r="G704">
        <f>AVERAGE(F704:F708)</f>
        <v>155.2</v>
      </c>
    </row>
    <row r="705">
      <c r="A705" s="73">
        <v>2004.0</v>
      </c>
      <c r="B705" s="74" t="s">
        <v>87</v>
      </c>
      <c r="C705" s="75">
        <v>53.88</v>
      </c>
      <c r="D705" s="73">
        <v>1.0</v>
      </c>
      <c r="E705" s="77">
        <v>1.0</v>
      </c>
      <c r="F705" s="76">
        <v>0.0</v>
      </c>
    </row>
    <row r="706">
      <c r="A706" s="73">
        <v>2005.0</v>
      </c>
      <c r="B706" s="74" t="s">
        <v>87</v>
      </c>
      <c r="C706" s="75">
        <v>53.88</v>
      </c>
      <c r="D706" s="73">
        <v>1.0</v>
      </c>
      <c r="E706" s="78">
        <v>1.0</v>
      </c>
      <c r="F706" s="96">
        <v>272.0</v>
      </c>
    </row>
    <row r="707">
      <c r="A707" s="73">
        <v>2006.0</v>
      </c>
      <c r="B707" s="74" t="s">
        <v>87</v>
      </c>
      <c r="C707" s="75">
        <v>53.88</v>
      </c>
      <c r="D707" s="73">
        <v>1.0</v>
      </c>
      <c r="E707" s="78">
        <v>1.0</v>
      </c>
      <c r="F707" s="76">
        <v>0.0</v>
      </c>
    </row>
    <row r="708">
      <c r="A708" s="73">
        <v>2007.0</v>
      </c>
      <c r="B708" s="74" t="s">
        <v>87</v>
      </c>
      <c r="C708" s="75">
        <v>68.0</v>
      </c>
      <c r="D708" s="73">
        <v>1.0</v>
      </c>
      <c r="E708" s="78">
        <v>1.0</v>
      </c>
      <c r="F708" s="96">
        <v>504.0</v>
      </c>
    </row>
    <row r="709">
      <c r="A709" s="73">
        <v>2008.0</v>
      </c>
      <c r="B709" s="74" t="s">
        <v>87</v>
      </c>
      <c r="C709" s="75">
        <v>68.0</v>
      </c>
      <c r="D709" s="73">
        <v>1.0</v>
      </c>
      <c r="E709" s="78">
        <v>1.0</v>
      </c>
      <c r="F709" s="76">
        <f>396+
119</f>
        <v>515</v>
      </c>
      <c r="G709">
        <f>AVERAGE(F709:F712)</f>
        <v>332.25</v>
      </c>
    </row>
    <row r="710">
      <c r="A710" s="73">
        <v>2009.0</v>
      </c>
      <c r="B710" s="74" t="s">
        <v>87</v>
      </c>
      <c r="C710" s="75">
        <v>68.0</v>
      </c>
      <c r="D710" s="73">
        <v>1.0</v>
      </c>
      <c r="E710" s="79">
        <v>1.0</v>
      </c>
      <c r="F710" s="96">
        <v>82.0</v>
      </c>
    </row>
    <row r="711">
      <c r="A711" s="73">
        <v>2010.0</v>
      </c>
      <c r="B711" s="74" t="s">
        <v>87</v>
      </c>
      <c r="C711" s="75">
        <v>68.0</v>
      </c>
      <c r="D711" s="73">
        <v>1.0</v>
      </c>
      <c r="E711" s="82">
        <v>1.0</v>
      </c>
      <c r="F711" s="96">
        <v>732.0</v>
      </c>
    </row>
    <row r="712">
      <c r="A712" s="73">
        <v>2011.0</v>
      </c>
      <c r="B712" s="74" t="s">
        <v>87</v>
      </c>
      <c r="C712" s="81">
        <v>69.6</v>
      </c>
      <c r="D712" s="73">
        <v>1.0</v>
      </c>
      <c r="E712" s="82">
        <v>1.0</v>
      </c>
      <c r="F712" s="76">
        <v>0.0</v>
      </c>
    </row>
    <row r="713">
      <c r="A713" s="73">
        <v>2012.0</v>
      </c>
      <c r="B713" s="74" t="s">
        <v>87</v>
      </c>
      <c r="C713" s="81">
        <v>69.6</v>
      </c>
      <c r="D713" s="73">
        <v>1.0</v>
      </c>
      <c r="E713" s="82">
        <v>1.0</v>
      </c>
      <c r="F713" s="76">
        <v>0.0</v>
      </c>
      <c r="G713">
        <f>AVERAGE(F713:F716)</f>
        <v>0</v>
      </c>
    </row>
    <row r="714">
      <c r="A714" s="73">
        <v>2013.0</v>
      </c>
      <c r="B714" s="74" t="s">
        <v>87</v>
      </c>
      <c r="C714" s="81">
        <v>69.6</v>
      </c>
      <c r="D714" s="73">
        <v>1.0</v>
      </c>
      <c r="E714" s="82">
        <v>1.0</v>
      </c>
      <c r="F714" s="76">
        <v>0.0</v>
      </c>
    </row>
    <row r="715">
      <c r="A715" s="73">
        <v>2014.0</v>
      </c>
      <c r="B715" s="74" t="s">
        <v>87</v>
      </c>
      <c r="C715" s="81">
        <v>69.6</v>
      </c>
      <c r="D715" s="73">
        <v>1.0</v>
      </c>
      <c r="E715" s="83">
        <v>1.0</v>
      </c>
      <c r="F715" s="76">
        <v>0.0</v>
      </c>
    </row>
    <row r="716">
      <c r="A716" s="84">
        <v>2015.0</v>
      </c>
      <c r="B716" s="85" t="s">
        <v>87</v>
      </c>
      <c r="C716" s="81">
        <v>61.0</v>
      </c>
      <c r="D716" s="73">
        <v>1.0</v>
      </c>
      <c r="E716" s="83">
        <v>1.0</v>
      </c>
      <c r="F716" s="76">
        <v>0.0</v>
      </c>
    </row>
    <row r="717">
      <c r="A717" s="73">
        <v>2016.0</v>
      </c>
      <c r="B717" s="85" t="s">
        <v>87</v>
      </c>
      <c r="C717" s="81">
        <v>71.8</v>
      </c>
      <c r="D717" s="73">
        <v>1.0</v>
      </c>
      <c r="E717" s="83">
        <v>1.0</v>
      </c>
      <c r="F717" s="96">
        <v>190.0</v>
      </c>
      <c r="G717">
        <f>AVERAGE(F717)</f>
        <v>190</v>
      </c>
    </row>
    <row r="718">
      <c r="A718" s="73">
        <v>2017.0</v>
      </c>
      <c r="B718" s="85" t="s">
        <v>87</v>
      </c>
      <c r="C718" s="81">
        <v>71.8</v>
      </c>
      <c r="D718" s="73">
        <v>1.0</v>
      </c>
      <c r="E718" s="83">
        <v>1.0</v>
      </c>
      <c r="F718" s="97">
        <v>141.0</v>
      </c>
      <c r="G718">
        <f>AVERAGE(F718:F719)</f>
        <v>382.5</v>
      </c>
    </row>
    <row r="719">
      <c r="A719" s="73">
        <v>2018.0</v>
      </c>
      <c r="B719" s="85" t="s">
        <v>87</v>
      </c>
      <c r="C719" s="81">
        <v>57.8</v>
      </c>
      <c r="D719" s="73">
        <v>1.0</v>
      </c>
      <c r="E719" s="88">
        <v>0.0</v>
      </c>
      <c r="F719" s="97">
        <v>624.0</v>
      </c>
    </row>
    <row r="720" hidden="1">
      <c r="A720" s="69">
        <v>2002.0</v>
      </c>
      <c r="B720" s="70" t="s">
        <v>92</v>
      </c>
      <c r="C720" s="71">
        <v>54.34</v>
      </c>
      <c r="D720" s="69">
        <v>1.0</v>
      </c>
      <c r="E720" s="72">
        <v>0.0</v>
      </c>
      <c r="F720" s="72">
        <v>0.0</v>
      </c>
    </row>
    <row r="721">
      <c r="A721" s="73">
        <v>2003.0</v>
      </c>
      <c r="B721" s="74" t="s">
        <v>88</v>
      </c>
      <c r="C721" s="75">
        <v>45.19</v>
      </c>
      <c r="D721" s="73">
        <v>1.0</v>
      </c>
      <c r="E721" s="76">
        <v>0.0</v>
      </c>
      <c r="F721" s="76">
        <v>0.0</v>
      </c>
      <c r="G721">
        <f>AVERAGE(F721:F725)</f>
        <v>258.4</v>
      </c>
    </row>
    <row r="722">
      <c r="A722" s="73">
        <v>2004.0</v>
      </c>
      <c r="B722" s="74" t="s">
        <v>88</v>
      </c>
      <c r="C722" s="75">
        <v>45.19</v>
      </c>
      <c r="D722" s="73">
        <v>1.0</v>
      </c>
      <c r="E722" s="77">
        <v>1.0</v>
      </c>
      <c r="F722" s="76">
        <v>0.0</v>
      </c>
    </row>
    <row r="723">
      <c r="A723" s="73">
        <v>2005.0</v>
      </c>
      <c r="B723" s="74" t="s">
        <v>88</v>
      </c>
      <c r="C723" s="75">
        <v>45.19</v>
      </c>
      <c r="D723" s="73">
        <v>1.0</v>
      </c>
      <c r="E723" s="78">
        <v>1.0</v>
      </c>
      <c r="F723" s="76">
        <f>384+
432+
476</f>
        <v>1292</v>
      </c>
    </row>
    <row r="724">
      <c r="A724" s="73">
        <v>2006.0</v>
      </c>
      <c r="B724" s="74" t="s">
        <v>88</v>
      </c>
      <c r="C724" s="75">
        <v>45.19</v>
      </c>
      <c r="D724" s="73">
        <v>1.0</v>
      </c>
      <c r="E724" s="78">
        <v>1.0</v>
      </c>
      <c r="F724" s="76">
        <v>0.0</v>
      </c>
    </row>
    <row r="725">
      <c r="A725" s="73">
        <v>2007.0</v>
      </c>
      <c r="B725" s="74" t="s">
        <v>88</v>
      </c>
      <c r="C725" s="75">
        <v>54.69</v>
      </c>
      <c r="D725" s="73">
        <v>1.0</v>
      </c>
      <c r="E725" s="78">
        <v>1.0</v>
      </c>
      <c r="F725" s="76">
        <v>0.0</v>
      </c>
    </row>
    <row r="726">
      <c r="A726" s="73">
        <v>2008.0</v>
      </c>
      <c r="B726" s="74" t="s">
        <v>88</v>
      </c>
      <c r="C726" s="75">
        <v>54.69</v>
      </c>
      <c r="D726" s="73">
        <v>1.0</v>
      </c>
      <c r="E726" s="78">
        <v>1.0</v>
      </c>
      <c r="F726" s="96">
        <v>180.0</v>
      </c>
      <c r="G726">
        <f>AVERAGE(F726:F729)</f>
        <v>247</v>
      </c>
    </row>
    <row r="727">
      <c r="A727" s="73">
        <v>2009.0</v>
      </c>
      <c r="B727" s="74" t="s">
        <v>88</v>
      </c>
      <c r="C727" s="75">
        <v>54.69</v>
      </c>
      <c r="D727" s="73">
        <v>1.0</v>
      </c>
      <c r="E727" s="79">
        <v>0.0</v>
      </c>
      <c r="F727" s="76">
        <v>0.0</v>
      </c>
    </row>
    <row r="728">
      <c r="A728" s="73">
        <v>2010.0</v>
      </c>
      <c r="B728" s="74" t="s">
        <v>88</v>
      </c>
      <c r="C728" s="75">
        <v>54.69</v>
      </c>
      <c r="D728" s="73">
        <v>1.0</v>
      </c>
      <c r="E728" s="82">
        <v>0.0</v>
      </c>
      <c r="F728" s="96">
        <v>168.0</v>
      </c>
    </row>
    <row r="729">
      <c r="A729" s="73">
        <v>2011.0</v>
      </c>
      <c r="B729" s="74" t="s">
        <v>88</v>
      </c>
      <c r="C729" s="81">
        <v>57.9</v>
      </c>
      <c r="D729" s="73">
        <v>1.0</v>
      </c>
      <c r="E729" s="82">
        <v>0.0</v>
      </c>
      <c r="F729" s="76">
        <f>420+
220</f>
        <v>640</v>
      </c>
    </row>
    <row r="730">
      <c r="A730" s="73">
        <v>2012.0</v>
      </c>
      <c r="B730" s="74" t="s">
        <v>88</v>
      </c>
      <c r="C730" s="81">
        <v>57.9</v>
      </c>
      <c r="D730" s="73">
        <v>1.0</v>
      </c>
      <c r="E730" s="82">
        <v>0.0</v>
      </c>
      <c r="F730" s="96">
        <v>194.0</v>
      </c>
      <c r="G730">
        <f>AVERAGE(F730:F733)</f>
        <v>410.75</v>
      </c>
    </row>
    <row r="731">
      <c r="A731" s="73">
        <v>2013.0</v>
      </c>
      <c r="B731" s="74" t="s">
        <v>88</v>
      </c>
      <c r="C731" s="81">
        <v>57.9</v>
      </c>
      <c r="D731" s="73">
        <v>1.0</v>
      </c>
      <c r="E731" s="82">
        <v>0.0</v>
      </c>
      <c r="F731" s="76">
        <f>506+
66</f>
        <v>572</v>
      </c>
    </row>
    <row r="732">
      <c r="A732" s="73">
        <v>2014.0</v>
      </c>
      <c r="B732" s="74" t="s">
        <v>88</v>
      </c>
      <c r="C732" s="81">
        <v>57.9</v>
      </c>
      <c r="D732" s="73">
        <v>1.0</v>
      </c>
      <c r="E732" s="83">
        <v>0.0</v>
      </c>
      <c r="F732" s="96">
        <v>177.0</v>
      </c>
    </row>
    <row r="733">
      <c r="A733" s="84">
        <v>2015.0</v>
      </c>
      <c r="B733" s="85" t="s">
        <v>88</v>
      </c>
      <c r="C733" s="81">
        <v>47.9</v>
      </c>
      <c r="D733" s="73">
        <v>1.0</v>
      </c>
      <c r="E733" s="83">
        <v>0.0</v>
      </c>
      <c r="F733" s="96">
        <v>700.0</v>
      </c>
    </row>
    <row r="734">
      <c r="A734" s="73">
        <v>2016.0</v>
      </c>
      <c r="B734" s="85" t="s">
        <v>88</v>
      </c>
      <c r="C734" s="81">
        <v>60.5</v>
      </c>
      <c r="D734" s="73">
        <v>1.0</v>
      </c>
      <c r="E734" s="83">
        <v>0.0</v>
      </c>
      <c r="F734" s="76">
        <f>579+
252</f>
        <v>831</v>
      </c>
      <c r="G734">
        <f>AVERAGE(F734)</f>
        <v>831</v>
      </c>
    </row>
    <row r="735">
      <c r="A735" s="73">
        <v>2017.0</v>
      </c>
      <c r="B735" s="85" t="s">
        <v>88</v>
      </c>
      <c r="C735" s="81">
        <v>60.5</v>
      </c>
      <c r="D735" s="73">
        <v>1.0</v>
      </c>
      <c r="E735" s="83">
        <v>0.0</v>
      </c>
      <c r="F735" s="96">
        <v>1144.0</v>
      </c>
      <c r="G735">
        <f>AVERAGE(F735:F736)</f>
        <v>572</v>
      </c>
    </row>
    <row r="736">
      <c r="A736" s="73">
        <v>2018.0</v>
      </c>
      <c r="B736" s="85" t="s">
        <v>88</v>
      </c>
      <c r="C736" s="81">
        <v>52.9</v>
      </c>
      <c r="D736" s="73">
        <v>1.0</v>
      </c>
      <c r="E736" s="88">
        <v>0.0</v>
      </c>
      <c r="F736" s="76">
        <v>0.0</v>
      </c>
    </row>
    <row r="737" hidden="1">
      <c r="A737" s="69">
        <v>2002.0</v>
      </c>
      <c r="B737" s="70" t="s">
        <v>93</v>
      </c>
      <c r="C737" s="71">
        <v>36.39</v>
      </c>
      <c r="D737" s="69">
        <v>0.0</v>
      </c>
      <c r="E737" s="72">
        <v>0.0</v>
      </c>
      <c r="F737" s="72">
        <v>0.0</v>
      </c>
    </row>
    <row r="738">
      <c r="A738" s="73">
        <v>2003.0</v>
      </c>
      <c r="B738" s="74" t="s">
        <v>89</v>
      </c>
      <c r="C738" s="75">
        <v>38.19</v>
      </c>
      <c r="D738" s="73">
        <v>0.0</v>
      </c>
      <c r="E738" s="76">
        <v>0.0</v>
      </c>
      <c r="F738" s="76">
        <v>0.0</v>
      </c>
      <c r="G738">
        <f>AVERAGE(F738:F742)</f>
        <v>144</v>
      </c>
    </row>
    <row r="739">
      <c r="A739" s="73">
        <v>2004.0</v>
      </c>
      <c r="B739" s="74" t="s">
        <v>89</v>
      </c>
      <c r="C739" s="75">
        <v>38.19</v>
      </c>
      <c r="D739" s="73">
        <v>0.0</v>
      </c>
      <c r="E739" s="77">
        <v>1.0</v>
      </c>
      <c r="F739" s="76">
        <v>0.0</v>
      </c>
    </row>
    <row r="740">
      <c r="A740" s="73">
        <v>2005.0</v>
      </c>
      <c r="B740" s="74" t="s">
        <v>89</v>
      </c>
      <c r="C740" s="75">
        <v>38.19</v>
      </c>
      <c r="D740" s="73">
        <v>0.0</v>
      </c>
      <c r="E740" s="78">
        <v>1.0</v>
      </c>
      <c r="F740" s="96">
        <v>720.0</v>
      </c>
    </row>
    <row r="741">
      <c r="A741" s="73">
        <v>2006.0</v>
      </c>
      <c r="B741" s="74" t="s">
        <v>89</v>
      </c>
      <c r="C741" s="75">
        <v>38.19</v>
      </c>
      <c r="D741" s="73">
        <v>0.0</v>
      </c>
      <c r="E741" s="78">
        <v>1.0</v>
      </c>
      <c r="F741" s="76">
        <v>0.0</v>
      </c>
    </row>
    <row r="742">
      <c r="A742" s="73">
        <v>2007.0</v>
      </c>
      <c r="B742" s="74" t="s">
        <v>89</v>
      </c>
      <c r="C742" s="75">
        <v>51.32</v>
      </c>
      <c r="D742" s="73">
        <v>1.0</v>
      </c>
      <c r="E742" s="78">
        <v>1.0</v>
      </c>
      <c r="F742" s="76">
        <v>0.0</v>
      </c>
    </row>
    <row r="743">
      <c r="A743" s="73">
        <v>2008.0</v>
      </c>
      <c r="B743" s="74" t="s">
        <v>89</v>
      </c>
      <c r="C743" s="75">
        <v>51.32</v>
      </c>
      <c r="D743" s="73">
        <v>1.0</v>
      </c>
      <c r="E743" s="78">
        <v>1.0</v>
      </c>
      <c r="F743" s="76">
        <f>930+
12</f>
        <v>942</v>
      </c>
      <c r="G743">
        <f>AVERAGE(F743:F746)</f>
        <v>357.75</v>
      </c>
    </row>
    <row r="744">
      <c r="A744" s="73">
        <v>2009.0</v>
      </c>
      <c r="B744" s="74" t="s">
        <v>89</v>
      </c>
      <c r="C744" s="75">
        <v>51.32</v>
      </c>
      <c r="D744" s="73">
        <v>1.0</v>
      </c>
      <c r="E744" s="79">
        <v>1.0</v>
      </c>
      <c r="F744" s="96">
        <v>96.0</v>
      </c>
    </row>
    <row r="745">
      <c r="A745" s="73">
        <v>2010.0</v>
      </c>
      <c r="B745" s="74" t="s">
        <v>89</v>
      </c>
      <c r="C745" s="75">
        <v>51.32</v>
      </c>
      <c r="D745" s="73">
        <v>1.0</v>
      </c>
      <c r="E745" s="82">
        <v>1.0</v>
      </c>
      <c r="F745" s="76">
        <f>137+
256</f>
        <v>393</v>
      </c>
    </row>
    <row r="746">
      <c r="A746" s="73">
        <v>2011.0</v>
      </c>
      <c r="B746" s="74" t="s">
        <v>89</v>
      </c>
      <c r="C746" s="81">
        <v>57.3</v>
      </c>
      <c r="D746" s="73">
        <v>1.0</v>
      </c>
      <c r="E746" s="82">
        <v>1.0</v>
      </c>
      <c r="F746" s="76">
        <v>0.0</v>
      </c>
    </row>
    <row r="747">
      <c r="A747" s="73">
        <v>2012.0</v>
      </c>
      <c r="B747" s="74" t="s">
        <v>89</v>
      </c>
      <c r="C747" s="81">
        <v>57.3</v>
      </c>
      <c r="D747" s="73">
        <v>1.0</v>
      </c>
      <c r="E747" s="82">
        <v>1.0</v>
      </c>
      <c r="F747" s="96">
        <v>115.0</v>
      </c>
      <c r="G747">
        <f>AVERAGE(F747:F750)</f>
        <v>183.25</v>
      </c>
    </row>
    <row r="748">
      <c r="A748" s="73">
        <v>2013.0</v>
      </c>
      <c r="B748" s="74" t="s">
        <v>89</v>
      </c>
      <c r="C748" s="81">
        <v>57.3</v>
      </c>
      <c r="D748" s="73">
        <v>1.0</v>
      </c>
      <c r="E748" s="82">
        <v>1.0</v>
      </c>
      <c r="F748" s="76">
        <v>0.0</v>
      </c>
    </row>
    <row r="749">
      <c r="A749" s="73">
        <v>2014.0</v>
      </c>
      <c r="B749" s="74" t="s">
        <v>89</v>
      </c>
      <c r="C749" s="81">
        <v>57.3</v>
      </c>
      <c r="D749" s="73">
        <v>1.0</v>
      </c>
      <c r="E749" s="83">
        <v>1.0</v>
      </c>
      <c r="F749" s="76">
        <f>168+
450</f>
        <v>618</v>
      </c>
    </row>
    <row r="750">
      <c r="A750" s="84">
        <v>2015.0</v>
      </c>
      <c r="B750" s="85" t="s">
        <v>89</v>
      </c>
      <c r="C750" s="81">
        <v>55.5</v>
      </c>
      <c r="D750" s="73">
        <v>1.0</v>
      </c>
      <c r="E750" s="83">
        <v>1.0</v>
      </c>
      <c r="F750" s="76">
        <v>0.0</v>
      </c>
    </row>
    <row r="751">
      <c r="A751" s="73">
        <v>2016.0</v>
      </c>
      <c r="B751" s="85" t="s">
        <v>89</v>
      </c>
      <c r="C751" s="81">
        <v>64.6</v>
      </c>
      <c r="D751" s="73">
        <v>1.0</v>
      </c>
      <c r="E751" s="83">
        <v>1.0</v>
      </c>
      <c r="F751" s="76">
        <f>998+
515+
428</f>
        <v>1941</v>
      </c>
      <c r="G751">
        <f>AVERAGE(F751)</f>
        <v>1941</v>
      </c>
    </row>
    <row r="752">
      <c r="A752" s="73">
        <v>2017.0</v>
      </c>
      <c r="B752" s="85" t="s">
        <v>89</v>
      </c>
      <c r="C752" s="81">
        <v>64.6</v>
      </c>
      <c r="D752" s="73">
        <v>1.0</v>
      </c>
      <c r="E752" s="83">
        <v>1.0</v>
      </c>
      <c r="F752" s="76">
        <v>0.0</v>
      </c>
      <c r="G752">
        <f>AVERAGE(F752:F753)</f>
        <v>0</v>
      </c>
    </row>
    <row r="753">
      <c r="A753" s="73">
        <v>2018.0</v>
      </c>
      <c r="B753" s="85" t="s">
        <v>89</v>
      </c>
      <c r="C753" s="81">
        <v>52.6</v>
      </c>
      <c r="D753" s="73">
        <v>1.0</v>
      </c>
      <c r="E753" s="88">
        <v>1.0</v>
      </c>
      <c r="F753" s="76">
        <v>0.0</v>
      </c>
    </row>
    <row r="754" hidden="1">
      <c r="A754" s="69">
        <v>2002.0</v>
      </c>
      <c r="B754" s="70" t="s">
        <v>94</v>
      </c>
      <c r="C754" s="71">
        <v>49.12</v>
      </c>
      <c r="D754" s="69">
        <v>1.0</v>
      </c>
      <c r="E754" s="72">
        <v>0.0</v>
      </c>
      <c r="F754" s="72">
        <v>0.0</v>
      </c>
    </row>
    <row r="755">
      <c r="A755" s="73">
        <v>2003.0</v>
      </c>
      <c r="B755" s="74" t="s">
        <v>90</v>
      </c>
      <c r="C755" s="75">
        <v>17.24</v>
      </c>
      <c r="D755" s="73">
        <v>0.0</v>
      </c>
      <c r="E755" s="76">
        <v>0.0</v>
      </c>
      <c r="F755" s="76">
        <v>0.0</v>
      </c>
      <c r="G755">
        <f>AVERAGE(F755:F759)</f>
        <v>201.6</v>
      </c>
    </row>
    <row r="756">
      <c r="A756" s="73">
        <v>2004.0</v>
      </c>
      <c r="B756" s="74" t="s">
        <v>90</v>
      </c>
      <c r="C756" s="75">
        <v>17.24</v>
      </c>
      <c r="D756" s="73">
        <v>0.0</v>
      </c>
      <c r="E756" s="77">
        <v>1.0</v>
      </c>
      <c r="F756" s="76">
        <f>256+
224</f>
        <v>480</v>
      </c>
    </row>
    <row r="757">
      <c r="A757" s="73">
        <v>2005.0</v>
      </c>
      <c r="B757" s="74" t="s">
        <v>90</v>
      </c>
      <c r="C757" s="75">
        <v>17.24</v>
      </c>
      <c r="D757" s="73">
        <v>0.0</v>
      </c>
      <c r="E757" s="78">
        <v>1.0</v>
      </c>
      <c r="F757" s="96">
        <v>528.0</v>
      </c>
    </row>
    <row r="758">
      <c r="A758" s="73">
        <v>2006.0</v>
      </c>
      <c r="B758" s="74" t="s">
        <v>90</v>
      </c>
      <c r="C758" s="75">
        <v>17.24</v>
      </c>
      <c r="D758" s="73">
        <v>0.0</v>
      </c>
      <c r="E758" s="78">
        <v>1.0</v>
      </c>
      <c r="F758" s="76">
        <v>0.0</v>
      </c>
    </row>
    <row r="759">
      <c r="A759" s="73">
        <v>2007.0</v>
      </c>
      <c r="B759" s="74" t="s">
        <v>90</v>
      </c>
      <c r="C759" s="75">
        <v>41.18</v>
      </c>
      <c r="D759" s="73">
        <v>1.0</v>
      </c>
      <c r="E759" s="78">
        <v>1.0</v>
      </c>
      <c r="F759" s="76">
        <v>0.0</v>
      </c>
    </row>
    <row r="760">
      <c r="A760" s="73">
        <v>2008.0</v>
      </c>
      <c r="B760" s="74" t="s">
        <v>90</v>
      </c>
      <c r="C760" s="75">
        <v>41.18</v>
      </c>
      <c r="D760" s="73">
        <v>1.0</v>
      </c>
      <c r="E760" s="78">
        <v>1.0</v>
      </c>
      <c r="F760" s="76">
        <v>0.0</v>
      </c>
      <c r="G760">
        <f>AVERAGE(F760:F763)</f>
        <v>168</v>
      </c>
    </row>
    <row r="761">
      <c r="A761" s="73">
        <v>2009.0</v>
      </c>
      <c r="B761" s="74" t="s">
        <v>90</v>
      </c>
      <c r="C761" s="75">
        <v>41.18</v>
      </c>
      <c r="D761" s="73">
        <v>1.0</v>
      </c>
      <c r="E761" s="79">
        <v>1.0</v>
      </c>
      <c r="F761" s="76">
        <v>0.0</v>
      </c>
    </row>
    <row r="762">
      <c r="A762" s="73">
        <v>2010.0</v>
      </c>
      <c r="B762" s="74" t="s">
        <v>90</v>
      </c>
      <c r="C762" s="75">
        <v>41.18</v>
      </c>
      <c r="D762" s="73">
        <v>1.0</v>
      </c>
      <c r="E762" s="82">
        <v>1.0</v>
      </c>
      <c r="F762" s="96">
        <v>672.0</v>
      </c>
    </row>
    <row r="763">
      <c r="A763" s="73">
        <v>2011.0</v>
      </c>
      <c r="B763" s="74" t="s">
        <v>90</v>
      </c>
      <c r="C763" s="81">
        <v>42.6</v>
      </c>
      <c r="D763" s="73">
        <v>1.0</v>
      </c>
      <c r="E763" s="82">
        <v>1.0</v>
      </c>
      <c r="F763" s="76">
        <v>0.0</v>
      </c>
    </row>
    <row r="764">
      <c r="A764" s="73">
        <v>2012.0</v>
      </c>
      <c r="B764" s="74" t="s">
        <v>90</v>
      </c>
      <c r="C764" s="81">
        <v>42.6</v>
      </c>
      <c r="D764" s="73">
        <v>1.0</v>
      </c>
      <c r="E764" s="82">
        <v>1.0</v>
      </c>
      <c r="F764" s="76">
        <v>0.0</v>
      </c>
      <c r="G764">
        <f>AVERAGE(F764:F767)</f>
        <v>259</v>
      </c>
    </row>
    <row r="765">
      <c r="A765" s="73">
        <v>2013.0</v>
      </c>
      <c r="B765" s="74" t="s">
        <v>90</v>
      </c>
      <c r="C765" s="81">
        <v>42.6</v>
      </c>
      <c r="D765" s="73">
        <v>1.0</v>
      </c>
      <c r="E765" s="82">
        <v>1.0</v>
      </c>
      <c r="F765" s="96">
        <v>698.0</v>
      </c>
    </row>
    <row r="766">
      <c r="A766" s="73">
        <v>2014.0</v>
      </c>
      <c r="B766" s="74" t="s">
        <v>90</v>
      </c>
      <c r="C766" s="81">
        <v>42.6</v>
      </c>
      <c r="D766" s="73">
        <v>1.0</v>
      </c>
      <c r="E766" s="83">
        <v>0.0</v>
      </c>
      <c r="F766" s="76">
        <f>30+
308</f>
        <v>338</v>
      </c>
    </row>
    <row r="767">
      <c r="A767" s="84">
        <v>2015.0</v>
      </c>
      <c r="B767" s="85" t="s">
        <v>90</v>
      </c>
      <c r="C767" s="81">
        <v>26.6</v>
      </c>
      <c r="D767" s="73">
        <v>0.0</v>
      </c>
      <c r="E767" s="83">
        <v>0.0</v>
      </c>
      <c r="F767" s="76">
        <v>0.0</v>
      </c>
    </row>
    <row r="768">
      <c r="A768" s="73">
        <v>2016.0</v>
      </c>
      <c r="B768" s="85" t="s">
        <v>90</v>
      </c>
      <c r="C768" s="81">
        <v>35.6</v>
      </c>
      <c r="D768" s="73">
        <v>0.0</v>
      </c>
      <c r="E768" s="83">
        <v>0.0</v>
      </c>
      <c r="F768" s="96">
        <v>316.0</v>
      </c>
      <c r="G768">
        <f>AVERAGE(F768)</f>
        <v>316</v>
      </c>
    </row>
    <row r="769">
      <c r="A769" s="73">
        <v>2017.0</v>
      </c>
      <c r="B769" s="85" t="s">
        <v>90</v>
      </c>
      <c r="C769" s="81">
        <v>35.6</v>
      </c>
      <c r="D769" s="73">
        <v>0.0</v>
      </c>
      <c r="E769" s="83">
        <v>0.0</v>
      </c>
      <c r="F769" s="76">
        <v>0.0</v>
      </c>
      <c r="G769">
        <f>AVERAGE(F769:F770)</f>
        <v>0</v>
      </c>
    </row>
    <row r="770">
      <c r="A770" s="73">
        <v>2018.0</v>
      </c>
      <c r="B770" s="85" t="s">
        <v>90</v>
      </c>
      <c r="C770" s="81">
        <v>36.9</v>
      </c>
      <c r="D770" s="73">
        <v>0.0</v>
      </c>
      <c r="E770" s="88">
        <v>0.0</v>
      </c>
      <c r="F770" s="76">
        <v>0.0</v>
      </c>
    </row>
    <row r="771" hidden="1">
      <c r="A771" s="69">
        <v>2002.0</v>
      </c>
      <c r="B771" s="70" t="s">
        <v>95</v>
      </c>
      <c r="C771" s="71">
        <v>12.54</v>
      </c>
      <c r="D771" s="69">
        <v>0.0</v>
      </c>
      <c r="E771" s="72">
        <v>0.0</v>
      </c>
      <c r="F771" s="72">
        <v>0.0</v>
      </c>
    </row>
    <row r="772">
      <c r="A772" s="73">
        <v>2003.0</v>
      </c>
      <c r="B772" s="74" t="s">
        <v>91</v>
      </c>
      <c r="C772" s="75">
        <v>30.9</v>
      </c>
      <c r="D772" s="73">
        <v>0.0</v>
      </c>
      <c r="E772" s="76">
        <v>0.0</v>
      </c>
      <c r="F772" s="76">
        <v>0.0</v>
      </c>
      <c r="G772">
        <f>AVERAGE(F772:F776)</f>
        <v>244.8</v>
      </c>
    </row>
    <row r="773">
      <c r="A773" s="73">
        <v>2004.0</v>
      </c>
      <c r="B773" s="74" t="s">
        <v>91</v>
      </c>
      <c r="C773" s="75">
        <v>30.9</v>
      </c>
      <c r="D773" s="73">
        <v>0.0</v>
      </c>
      <c r="E773" s="77">
        <v>0.0</v>
      </c>
      <c r="F773" s="96">
        <v>288.0</v>
      </c>
    </row>
    <row r="774">
      <c r="A774" s="73">
        <v>2005.0</v>
      </c>
      <c r="B774" s="74" t="s">
        <v>91</v>
      </c>
      <c r="C774" s="75">
        <v>30.9</v>
      </c>
      <c r="D774" s="73">
        <v>0.0</v>
      </c>
      <c r="E774" s="78">
        <v>0.0</v>
      </c>
      <c r="F774" s="96">
        <v>624.0</v>
      </c>
    </row>
    <row r="775">
      <c r="A775" s="73">
        <v>2006.0</v>
      </c>
      <c r="B775" s="74" t="s">
        <v>91</v>
      </c>
      <c r="C775" s="75">
        <v>30.9</v>
      </c>
      <c r="D775" s="73">
        <v>0.0</v>
      </c>
      <c r="E775" s="78">
        <v>0.0</v>
      </c>
      <c r="F775" s="76">
        <v>0.0</v>
      </c>
    </row>
    <row r="776">
      <c r="A776" s="73">
        <v>2007.0</v>
      </c>
      <c r="B776" s="74" t="s">
        <v>91</v>
      </c>
      <c r="C776" s="75">
        <v>49.43</v>
      </c>
      <c r="D776" s="73">
        <v>1.0</v>
      </c>
      <c r="E776" s="78">
        <v>0.0</v>
      </c>
      <c r="F776" s="96">
        <v>312.0</v>
      </c>
    </row>
    <row r="777">
      <c r="A777" s="73">
        <v>2008.0</v>
      </c>
      <c r="B777" s="74" t="s">
        <v>91</v>
      </c>
      <c r="C777" s="75">
        <v>49.43</v>
      </c>
      <c r="D777" s="73">
        <v>1.0</v>
      </c>
      <c r="E777" s="78">
        <v>0.0</v>
      </c>
      <c r="F777" s="96">
        <v>148.0</v>
      </c>
      <c r="G777">
        <f>AVERAGE(F777:F780)</f>
        <v>118</v>
      </c>
    </row>
    <row r="778">
      <c r="A778" s="73">
        <v>2009.0</v>
      </c>
      <c r="B778" s="74" t="s">
        <v>91</v>
      </c>
      <c r="C778" s="75">
        <v>49.43</v>
      </c>
      <c r="D778" s="73">
        <v>1.0</v>
      </c>
      <c r="E778" s="79">
        <v>0.0</v>
      </c>
      <c r="F778" s="76">
        <v>0.0</v>
      </c>
    </row>
    <row r="779">
      <c r="A779" s="73">
        <v>2010.0</v>
      </c>
      <c r="B779" s="74" t="s">
        <v>91</v>
      </c>
      <c r="C779" s="75">
        <v>49.43</v>
      </c>
      <c r="D779" s="73">
        <v>1.0</v>
      </c>
      <c r="E779" s="82">
        <v>0.0</v>
      </c>
      <c r="F779" s="96">
        <v>324.0</v>
      </c>
    </row>
    <row r="780">
      <c r="A780" s="73">
        <v>2011.0</v>
      </c>
      <c r="B780" s="74" t="s">
        <v>91</v>
      </c>
      <c r="C780" s="81">
        <v>55.8</v>
      </c>
      <c r="D780" s="73">
        <v>1.0</v>
      </c>
      <c r="E780" s="82">
        <v>0.0</v>
      </c>
      <c r="F780" s="76">
        <v>0.0</v>
      </c>
    </row>
    <row r="781">
      <c r="A781" s="73">
        <v>2012.0</v>
      </c>
      <c r="B781" s="74" t="s">
        <v>91</v>
      </c>
      <c r="C781" s="81">
        <v>55.8</v>
      </c>
      <c r="D781" s="73">
        <v>1.0</v>
      </c>
      <c r="E781" s="82">
        <v>0.0</v>
      </c>
      <c r="F781" s="76">
        <v>0.0</v>
      </c>
      <c r="G781">
        <f>AVERAGE(F781:F784)</f>
        <v>105.75</v>
      </c>
    </row>
    <row r="782">
      <c r="A782" s="73">
        <v>2013.0</v>
      </c>
      <c r="B782" s="74" t="s">
        <v>91</v>
      </c>
      <c r="C782" s="81">
        <v>55.8</v>
      </c>
      <c r="D782" s="73">
        <v>1.0</v>
      </c>
      <c r="E782" s="82">
        <v>0.0</v>
      </c>
      <c r="F782" s="96">
        <v>96.0</v>
      </c>
    </row>
    <row r="783">
      <c r="A783" s="73">
        <v>2014.0</v>
      </c>
      <c r="B783" s="74" t="s">
        <v>91</v>
      </c>
      <c r="C783" s="81">
        <v>55.8</v>
      </c>
      <c r="D783" s="73">
        <v>1.0</v>
      </c>
      <c r="E783" s="83">
        <v>1.0</v>
      </c>
      <c r="F783" s="76">
        <f>86+
106</f>
        <v>192</v>
      </c>
    </row>
    <row r="784">
      <c r="A784" s="84">
        <v>2015.0</v>
      </c>
      <c r="B784" s="85" t="s">
        <v>91</v>
      </c>
      <c r="C784" s="81">
        <v>48.7</v>
      </c>
      <c r="D784" s="73">
        <v>1.0</v>
      </c>
      <c r="E784" s="83">
        <v>1.0</v>
      </c>
      <c r="F784" s="96">
        <v>135.0</v>
      </c>
    </row>
    <row r="785">
      <c r="A785" s="73">
        <v>2016.0</v>
      </c>
      <c r="B785" s="85" t="s">
        <v>91</v>
      </c>
      <c r="C785" s="81">
        <v>60.0</v>
      </c>
      <c r="D785" s="73">
        <v>1.0</v>
      </c>
      <c r="E785" s="83">
        <v>1.0</v>
      </c>
      <c r="F785" s="96">
        <v>262.0</v>
      </c>
      <c r="G785">
        <f>AVERAGE(F785)</f>
        <v>262</v>
      </c>
    </row>
    <row r="786">
      <c r="A786" s="73">
        <v>2017.0</v>
      </c>
      <c r="B786" s="85" t="s">
        <v>91</v>
      </c>
      <c r="C786" s="81">
        <v>60.0</v>
      </c>
      <c r="D786" s="73">
        <v>1.0</v>
      </c>
      <c r="E786" s="83">
        <v>1.0</v>
      </c>
      <c r="F786" s="76">
        <f>110+
139+
310+
316</f>
        <v>875</v>
      </c>
      <c r="G786">
        <f>AVERAGE(F786:F787)</f>
        <v>437.5</v>
      </c>
    </row>
    <row r="787">
      <c r="A787" s="73">
        <v>2018.0</v>
      </c>
      <c r="B787" s="85" t="s">
        <v>91</v>
      </c>
      <c r="C787" s="81">
        <v>51.2</v>
      </c>
      <c r="D787" s="73">
        <v>1.0</v>
      </c>
      <c r="E787" s="88">
        <v>1.0</v>
      </c>
      <c r="F787" s="76">
        <v>0.0</v>
      </c>
    </row>
    <row r="788" hidden="1">
      <c r="A788" s="69">
        <v>2002.0</v>
      </c>
      <c r="B788" s="70" t="s">
        <v>96</v>
      </c>
      <c r="C788" s="71">
        <v>31.16</v>
      </c>
      <c r="D788" s="69">
        <v>0.0</v>
      </c>
      <c r="E788" s="72">
        <v>0.0</v>
      </c>
      <c r="F788" s="72">
        <v>0.0</v>
      </c>
    </row>
    <row r="789">
      <c r="A789" s="73">
        <v>2003.0</v>
      </c>
      <c r="B789" s="74" t="s">
        <v>92</v>
      </c>
      <c r="C789" s="75">
        <v>54.34</v>
      </c>
      <c r="D789" s="73">
        <v>1.0</v>
      </c>
      <c r="E789" s="76">
        <v>0.0</v>
      </c>
      <c r="F789" s="76">
        <v>0.0</v>
      </c>
      <c r="G789">
        <f>AVERAGE(F789:F793)</f>
        <v>1347.6</v>
      </c>
    </row>
    <row r="790">
      <c r="A790" s="73">
        <v>2004.0</v>
      </c>
      <c r="B790" s="74" t="s">
        <v>92</v>
      </c>
      <c r="C790" s="75">
        <v>54.34</v>
      </c>
      <c r="D790" s="73">
        <v>1.0</v>
      </c>
      <c r="E790" s="77">
        <v>1.0</v>
      </c>
      <c r="F790" s="76">
        <v>192.0</v>
      </c>
    </row>
    <row r="791">
      <c r="A791" s="73">
        <v>2005.0</v>
      </c>
      <c r="B791" s="74" t="s">
        <v>92</v>
      </c>
      <c r="C791" s="75">
        <v>54.34</v>
      </c>
      <c r="D791" s="73">
        <v>1.0</v>
      </c>
      <c r="E791" s="78">
        <v>1.0</v>
      </c>
      <c r="F791" s="76">
        <f>376+
944+
1184</f>
        <v>2504</v>
      </c>
    </row>
    <row r="792">
      <c r="A792" s="73">
        <v>2006.0</v>
      </c>
      <c r="B792" s="74" t="s">
        <v>92</v>
      </c>
      <c r="C792" s="75">
        <v>54.34</v>
      </c>
      <c r="D792" s="73">
        <v>1.0</v>
      </c>
      <c r="E792" s="78">
        <v>1.0</v>
      </c>
      <c r="F792" s="76">
        <f>476+
656</f>
        <v>1132</v>
      </c>
    </row>
    <row r="793">
      <c r="A793" s="73">
        <v>2007.0</v>
      </c>
      <c r="B793" s="74" t="s">
        <v>92</v>
      </c>
      <c r="C793" s="75">
        <v>65.73</v>
      </c>
      <c r="D793" s="73">
        <v>1.0</v>
      </c>
      <c r="E793" s="78">
        <v>1.0</v>
      </c>
      <c r="F793" s="76">
        <f>432+
214+
344+
728+
744+
304+
144</f>
        <v>2910</v>
      </c>
    </row>
    <row r="794">
      <c r="A794" s="73">
        <v>2008.0</v>
      </c>
      <c r="B794" s="74" t="s">
        <v>92</v>
      </c>
      <c r="C794" s="75">
        <v>65.73</v>
      </c>
      <c r="D794" s="73">
        <v>1.0</v>
      </c>
      <c r="E794" s="78">
        <v>1.0</v>
      </c>
      <c r="F794" s="76">
        <f>280+
1224</f>
        <v>1504</v>
      </c>
      <c r="G794">
        <f>AVERAGE(F794:F797)</f>
        <v>1014.5</v>
      </c>
    </row>
    <row r="795">
      <c r="A795" s="73">
        <v>2009.0</v>
      </c>
      <c r="B795" s="74" t="s">
        <v>92</v>
      </c>
      <c r="C795" s="75">
        <v>65.73</v>
      </c>
      <c r="D795" s="73">
        <v>1.0</v>
      </c>
      <c r="E795" s="79">
        <v>1.0</v>
      </c>
      <c r="F795" s="76">
        <f>580+
128+
162</f>
        <v>870</v>
      </c>
    </row>
    <row r="796">
      <c r="A796" s="73">
        <v>2010.0</v>
      </c>
      <c r="B796" s="74" t="s">
        <v>92</v>
      </c>
      <c r="C796" s="75">
        <v>65.73</v>
      </c>
      <c r="D796" s="73">
        <v>1.0</v>
      </c>
      <c r="E796" s="82">
        <v>1.0</v>
      </c>
      <c r="F796" s="76">
        <f>826+
140+
440</f>
        <v>1406</v>
      </c>
    </row>
    <row r="797">
      <c r="A797" s="73">
        <v>2011.0</v>
      </c>
      <c r="B797" s="74" t="s">
        <v>92</v>
      </c>
      <c r="C797" s="81">
        <v>64.9</v>
      </c>
      <c r="D797" s="73">
        <v>1.0</v>
      </c>
      <c r="E797" s="82">
        <v>1.0</v>
      </c>
      <c r="F797" s="96">
        <v>278.0</v>
      </c>
    </row>
    <row r="798">
      <c r="A798" s="73">
        <v>2012.0</v>
      </c>
      <c r="B798" s="74" t="s">
        <v>92</v>
      </c>
      <c r="C798" s="81">
        <v>64.9</v>
      </c>
      <c r="D798" s="73">
        <v>1.0</v>
      </c>
      <c r="E798" s="82">
        <v>1.0</v>
      </c>
      <c r="F798" s="76">
        <f>464+
794</f>
        <v>1258</v>
      </c>
      <c r="G798">
        <f>AVERAGE(F798:F801)</f>
        <v>696</v>
      </c>
    </row>
    <row r="799">
      <c r="A799" s="73">
        <v>2013.0</v>
      </c>
      <c r="B799" s="74" t="s">
        <v>92</v>
      </c>
      <c r="C799" s="81">
        <v>64.9</v>
      </c>
      <c r="D799" s="73">
        <v>1.0</v>
      </c>
      <c r="E799" s="82">
        <v>1.0</v>
      </c>
      <c r="F799" s="76">
        <f>546+
140</f>
        <v>686</v>
      </c>
    </row>
    <row r="800">
      <c r="A800" s="73">
        <v>2014.0</v>
      </c>
      <c r="B800" s="74" t="s">
        <v>92</v>
      </c>
      <c r="C800" s="81">
        <v>64.9</v>
      </c>
      <c r="D800" s="73">
        <v>1.0</v>
      </c>
      <c r="E800" s="83">
        <v>1.0</v>
      </c>
      <c r="F800" s="96">
        <v>100.0</v>
      </c>
    </row>
    <row r="801">
      <c r="A801" s="84">
        <v>2015.0</v>
      </c>
      <c r="B801" s="85" t="s">
        <v>92</v>
      </c>
      <c r="C801" s="81">
        <v>52.4</v>
      </c>
      <c r="D801" s="73">
        <v>1.0</v>
      </c>
      <c r="E801" s="83">
        <v>1.0</v>
      </c>
      <c r="F801" s="96">
        <v>740.0</v>
      </c>
    </row>
    <row r="802">
      <c r="A802" s="73">
        <v>2016.0</v>
      </c>
      <c r="B802" s="85" t="s">
        <v>92</v>
      </c>
      <c r="C802" s="81">
        <v>65.6</v>
      </c>
      <c r="D802" s="73">
        <v>1.0</v>
      </c>
      <c r="E802" s="83">
        <v>1.0</v>
      </c>
      <c r="F802" s="76">
        <f>110+
216+
426+
357+
843+
434+
834</f>
        <v>3220</v>
      </c>
      <c r="G802">
        <f>AVERAGE(F802)</f>
        <v>3220</v>
      </c>
    </row>
    <row r="803">
      <c r="A803" s="73">
        <v>2017.0</v>
      </c>
      <c r="B803" s="85" t="s">
        <v>92</v>
      </c>
      <c r="C803" s="81">
        <v>65.6</v>
      </c>
      <c r="D803" s="73">
        <v>1.0</v>
      </c>
      <c r="E803" s="83">
        <v>1.0</v>
      </c>
      <c r="F803" s="76">
        <f>152+
129+
709</f>
        <v>990</v>
      </c>
      <c r="G803">
        <f>AVERAGE(F803:F804)</f>
        <v>495</v>
      </c>
    </row>
    <row r="804">
      <c r="A804" s="73">
        <v>2018.0</v>
      </c>
      <c r="B804" s="85" t="s">
        <v>92</v>
      </c>
      <c r="C804" s="81">
        <v>49.6</v>
      </c>
      <c r="D804" s="73">
        <v>1.0</v>
      </c>
      <c r="E804" s="88">
        <v>0.0</v>
      </c>
      <c r="F804" s="76">
        <v>0.0</v>
      </c>
    </row>
    <row r="805" hidden="1">
      <c r="A805" s="69">
        <v>2002.0</v>
      </c>
      <c r="B805" s="70" t="s">
        <v>97</v>
      </c>
      <c r="C805" s="71">
        <v>42.85</v>
      </c>
      <c r="D805" s="69">
        <v>1.0</v>
      </c>
      <c r="E805" s="72">
        <v>0.0</v>
      </c>
      <c r="F805" s="72">
        <v>0.0</v>
      </c>
    </row>
    <row r="806">
      <c r="A806" s="73">
        <v>2003.0</v>
      </c>
      <c r="B806" s="74" t="s">
        <v>93</v>
      </c>
      <c r="C806" s="75">
        <v>36.39</v>
      </c>
      <c r="D806" s="73">
        <v>0.0</v>
      </c>
      <c r="E806" s="76">
        <v>0.0</v>
      </c>
      <c r="F806" s="76">
        <v>0.0</v>
      </c>
      <c r="G806">
        <f>AVERAGE(F806:F810)</f>
        <v>128</v>
      </c>
    </row>
    <row r="807">
      <c r="A807" s="73">
        <v>2004.0</v>
      </c>
      <c r="B807" s="74" t="s">
        <v>93</v>
      </c>
      <c r="C807" s="75">
        <v>36.39</v>
      </c>
      <c r="D807" s="73">
        <v>0.0</v>
      </c>
      <c r="E807" s="77">
        <v>1.0</v>
      </c>
      <c r="F807" s="76">
        <v>0.0</v>
      </c>
    </row>
    <row r="808">
      <c r="A808" s="73">
        <v>2005.0</v>
      </c>
      <c r="B808" s="74" t="s">
        <v>93</v>
      </c>
      <c r="C808" s="75">
        <v>36.39</v>
      </c>
      <c r="D808" s="73">
        <v>0.0</v>
      </c>
      <c r="E808" s="78">
        <v>1.0</v>
      </c>
      <c r="F808" s="76">
        <v>0.0</v>
      </c>
    </row>
    <row r="809">
      <c r="A809" s="73">
        <v>2006.0</v>
      </c>
      <c r="B809" s="74" t="s">
        <v>93</v>
      </c>
      <c r="C809" s="75">
        <v>36.39</v>
      </c>
      <c r="D809" s="73">
        <v>0.0</v>
      </c>
      <c r="E809" s="78">
        <v>1.0</v>
      </c>
      <c r="F809" s="76">
        <v>0.0</v>
      </c>
    </row>
    <row r="810">
      <c r="A810" s="73">
        <v>2007.0</v>
      </c>
      <c r="B810" s="74" t="s">
        <v>93</v>
      </c>
      <c r="C810" s="75">
        <v>56.21</v>
      </c>
      <c r="D810" s="73">
        <v>1.0</v>
      </c>
      <c r="E810" s="78">
        <v>1.0</v>
      </c>
      <c r="F810" s="76">
        <v>640.0</v>
      </c>
    </row>
    <row r="811">
      <c r="A811" s="73">
        <v>2008.0</v>
      </c>
      <c r="B811" s="74" t="s">
        <v>93</v>
      </c>
      <c r="C811" s="75">
        <v>56.21</v>
      </c>
      <c r="D811" s="73">
        <v>1.0</v>
      </c>
      <c r="E811" s="78">
        <v>1.0</v>
      </c>
      <c r="F811" s="76">
        <v>288.0</v>
      </c>
      <c r="G811">
        <f>AVERAGE(F811:F814)</f>
        <v>72</v>
      </c>
    </row>
    <row r="812">
      <c r="A812" s="73">
        <v>2009.0</v>
      </c>
      <c r="B812" s="74" t="s">
        <v>93</v>
      </c>
      <c r="C812" s="75">
        <v>56.21</v>
      </c>
      <c r="D812" s="73">
        <v>1.0</v>
      </c>
      <c r="E812" s="79">
        <v>1.0</v>
      </c>
      <c r="F812" s="76">
        <v>0.0</v>
      </c>
    </row>
    <row r="813">
      <c r="A813" s="73">
        <v>2010.0</v>
      </c>
      <c r="B813" s="74" t="s">
        <v>93</v>
      </c>
      <c r="C813" s="75">
        <v>56.21</v>
      </c>
      <c r="D813" s="73">
        <v>1.0</v>
      </c>
      <c r="E813" s="82">
        <v>1.0</v>
      </c>
      <c r="F813" s="76">
        <v>0.0</v>
      </c>
    </row>
    <row r="814">
      <c r="A814" s="73">
        <v>2011.0</v>
      </c>
      <c r="B814" s="74" t="s">
        <v>93</v>
      </c>
      <c r="C814" s="81">
        <v>59.5</v>
      </c>
      <c r="D814" s="73">
        <v>1.0</v>
      </c>
      <c r="E814" s="82">
        <v>1.0</v>
      </c>
      <c r="F814" s="76">
        <v>0.0</v>
      </c>
    </row>
    <row r="815">
      <c r="A815" s="73">
        <v>2012.0</v>
      </c>
      <c r="B815" s="74" t="s">
        <v>93</v>
      </c>
      <c r="C815" s="81">
        <v>59.5</v>
      </c>
      <c r="D815" s="73">
        <v>1.0</v>
      </c>
      <c r="E815" s="82">
        <v>1.0</v>
      </c>
      <c r="F815" s="76">
        <v>0.0</v>
      </c>
      <c r="G815">
        <f>AVERAGE(F815:F818)</f>
        <v>0</v>
      </c>
    </row>
    <row r="816">
      <c r="A816" s="73">
        <v>2013.0</v>
      </c>
      <c r="B816" s="74" t="s">
        <v>93</v>
      </c>
      <c r="C816" s="81">
        <v>59.5</v>
      </c>
      <c r="D816" s="73">
        <v>1.0</v>
      </c>
      <c r="E816" s="82">
        <v>1.0</v>
      </c>
      <c r="F816" s="76">
        <v>0.0</v>
      </c>
    </row>
    <row r="817">
      <c r="A817" s="73">
        <v>2014.0</v>
      </c>
      <c r="B817" s="74" t="s">
        <v>93</v>
      </c>
      <c r="C817" s="81">
        <v>59.5</v>
      </c>
      <c r="D817" s="73">
        <v>1.0</v>
      </c>
      <c r="E817" s="83">
        <v>1.0</v>
      </c>
      <c r="F817" s="76">
        <v>0.0</v>
      </c>
    </row>
    <row r="818">
      <c r="A818" s="84">
        <v>2015.0</v>
      </c>
      <c r="B818" s="85" t="s">
        <v>93</v>
      </c>
      <c r="C818" s="81">
        <v>49.2</v>
      </c>
      <c r="D818" s="73">
        <v>1.0</v>
      </c>
      <c r="E818" s="83">
        <v>1.0</v>
      </c>
      <c r="F818" s="76">
        <v>0.0</v>
      </c>
    </row>
    <row r="819">
      <c r="A819" s="73">
        <v>2016.0</v>
      </c>
      <c r="B819" s="85" t="s">
        <v>93</v>
      </c>
      <c r="C819" s="81">
        <v>65.6</v>
      </c>
      <c r="D819" s="73">
        <v>1.0</v>
      </c>
      <c r="E819" s="83">
        <v>1.0</v>
      </c>
      <c r="F819" s="76">
        <v>0.0</v>
      </c>
      <c r="G819">
        <f>AVERAGE(F819)</f>
        <v>0</v>
      </c>
    </row>
    <row r="820">
      <c r="A820" s="73">
        <v>2017.0</v>
      </c>
      <c r="B820" s="85" t="s">
        <v>93</v>
      </c>
      <c r="C820" s="81">
        <v>65.6</v>
      </c>
      <c r="D820" s="73">
        <v>1.0</v>
      </c>
      <c r="E820" s="83">
        <v>1.0</v>
      </c>
      <c r="F820" s="76">
        <v>0.0</v>
      </c>
      <c r="G820">
        <f>AVERAGE(F820:F821)</f>
        <v>0</v>
      </c>
    </row>
    <row r="821" hidden="1">
      <c r="A821" s="69">
        <v>2002.0</v>
      </c>
      <c r="B821" s="70" t="s">
        <v>98</v>
      </c>
      <c r="C821" s="71">
        <v>54.94</v>
      </c>
      <c r="D821" s="69">
        <v>1.0</v>
      </c>
      <c r="E821" s="72">
        <v>0.0</v>
      </c>
      <c r="F821" s="72">
        <v>0.0</v>
      </c>
    </row>
    <row r="822">
      <c r="A822" s="73">
        <v>2018.0</v>
      </c>
      <c r="B822" s="85" t="s">
        <v>93</v>
      </c>
      <c r="C822" s="81">
        <v>50.0</v>
      </c>
      <c r="D822" s="73">
        <v>1.0</v>
      </c>
      <c r="E822" s="88">
        <v>1.0</v>
      </c>
      <c r="F822" s="76">
        <v>0.0</v>
      </c>
    </row>
    <row r="823">
      <c r="A823" s="73">
        <v>2003.0</v>
      </c>
      <c r="B823" s="74" t="s">
        <v>94</v>
      </c>
      <c r="C823" s="75">
        <v>49.12</v>
      </c>
      <c r="D823" s="73">
        <v>1.0</v>
      </c>
      <c r="E823" s="76">
        <v>0.0</v>
      </c>
      <c r="F823" s="76">
        <v>0.0</v>
      </c>
      <c r="G823">
        <f>AVERAGE(F823:F827)</f>
        <v>361.2</v>
      </c>
    </row>
    <row r="824">
      <c r="A824" s="73">
        <v>2004.0</v>
      </c>
      <c r="B824" s="74" t="s">
        <v>94</v>
      </c>
      <c r="C824" s="75">
        <v>49.12</v>
      </c>
      <c r="D824" s="73">
        <v>1.0</v>
      </c>
      <c r="E824" s="77">
        <v>1.0</v>
      </c>
      <c r="F824" s="76">
        <f>380+
192+
144+
176</f>
        <v>892</v>
      </c>
    </row>
    <row r="825">
      <c r="A825" s="73">
        <v>2005.0</v>
      </c>
      <c r="B825" s="74" t="s">
        <v>94</v>
      </c>
      <c r="C825" s="75">
        <v>49.12</v>
      </c>
      <c r="D825" s="73">
        <v>1.0</v>
      </c>
      <c r="E825" s="78">
        <v>1.0</v>
      </c>
      <c r="F825" s="76">
        <v>0.0</v>
      </c>
    </row>
    <row r="826">
      <c r="A826" s="73">
        <v>2006.0</v>
      </c>
      <c r="B826" s="74" t="s">
        <v>94</v>
      </c>
      <c r="C826" s="75">
        <v>49.12</v>
      </c>
      <c r="D826" s="73">
        <v>1.0</v>
      </c>
      <c r="E826" s="78">
        <v>1.0</v>
      </c>
      <c r="F826" s="76">
        <f>392+
282</f>
        <v>674</v>
      </c>
    </row>
    <row r="827">
      <c r="A827" s="73">
        <v>2007.0</v>
      </c>
      <c r="B827" s="74" t="s">
        <v>94</v>
      </c>
      <c r="C827" s="75">
        <v>57.99</v>
      </c>
      <c r="D827" s="73">
        <v>1.0</v>
      </c>
      <c r="E827" s="78">
        <v>1.0</v>
      </c>
      <c r="F827" s="96">
        <v>240.0</v>
      </c>
    </row>
    <row r="828">
      <c r="A828" s="73">
        <v>2008.0</v>
      </c>
      <c r="B828" s="74" t="s">
        <v>94</v>
      </c>
      <c r="C828" s="75">
        <v>57.99</v>
      </c>
      <c r="D828" s="73">
        <v>1.0</v>
      </c>
      <c r="E828" s="78">
        <v>1.0</v>
      </c>
      <c r="F828" s="76">
        <v>0.0</v>
      </c>
      <c r="G828">
        <f>AVERAGE(F828:F831)</f>
        <v>253.5</v>
      </c>
    </row>
    <row r="829">
      <c r="A829" s="73">
        <v>2009.0</v>
      </c>
      <c r="B829" s="74" t="s">
        <v>94</v>
      </c>
      <c r="C829" s="75">
        <v>57.99</v>
      </c>
      <c r="D829" s="73">
        <v>1.0</v>
      </c>
      <c r="E829" s="79">
        <v>1.0</v>
      </c>
      <c r="F829" s="76">
        <f>96+
448</f>
        <v>544</v>
      </c>
    </row>
    <row r="830">
      <c r="A830" s="73">
        <v>2010.0</v>
      </c>
      <c r="B830" s="74" t="s">
        <v>94</v>
      </c>
      <c r="C830" s="75">
        <v>57.99</v>
      </c>
      <c r="D830" s="73">
        <v>1.0</v>
      </c>
      <c r="E830" s="82">
        <v>1.0</v>
      </c>
      <c r="F830" s="76">
        <v>0.0</v>
      </c>
    </row>
    <row r="831">
      <c r="A831" s="73">
        <v>2011.0</v>
      </c>
      <c r="B831" s="74" t="s">
        <v>94</v>
      </c>
      <c r="C831" s="81">
        <v>62.1</v>
      </c>
      <c r="D831" s="73">
        <v>1.0</v>
      </c>
      <c r="E831" s="82">
        <v>1.0</v>
      </c>
      <c r="F831" s="76">
        <f>130+
340</f>
        <v>470</v>
      </c>
    </row>
    <row r="832">
      <c r="A832" s="73">
        <v>2012.0</v>
      </c>
      <c r="B832" s="74" t="s">
        <v>94</v>
      </c>
      <c r="C832" s="81">
        <v>62.1</v>
      </c>
      <c r="D832" s="73">
        <v>1.0</v>
      </c>
      <c r="E832" s="82">
        <v>1.0</v>
      </c>
      <c r="F832" s="76">
        <v>0.0</v>
      </c>
      <c r="G832">
        <f>AVERAGE(F832:F835)</f>
        <v>60</v>
      </c>
    </row>
    <row r="833">
      <c r="A833" s="73">
        <v>2013.0</v>
      </c>
      <c r="B833" s="74" t="s">
        <v>94</v>
      </c>
      <c r="C833" s="81">
        <v>62.1</v>
      </c>
      <c r="D833" s="73">
        <v>1.0</v>
      </c>
      <c r="E833" s="82">
        <v>1.0</v>
      </c>
      <c r="F833" s="76">
        <v>0.0</v>
      </c>
    </row>
    <row r="834">
      <c r="A834" s="73">
        <v>2014.0</v>
      </c>
      <c r="B834" s="74" t="s">
        <v>94</v>
      </c>
      <c r="C834" s="81">
        <v>62.1</v>
      </c>
      <c r="D834" s="73">
        <v>1.0</v>
      </c>
      <c r="E834" s="83">
        <v>1.0</v>
      </c>
      <c r="F834" s="96">
        <v>240.0</v>
      </c>
    </row>
    <row r="835">
      <c r="A835" s="84">
        <v>2015.0</v>
      </c>
      <c r="B835" s="85" t="s">
        <v>94</v>
      </c>
      <c r="C835" s="81">
        <v>50.6</v>
      </c>
      <c r="D835" s="73">
        <v>1.0</v>
      </c>
      <c r="E835" s="83">
        <v>0.0</v>
      </c>
      <c r="F835" s="76">
        <v>0.0</v>
      </c>
    </row>
    <row r="836">
      <c r="A836" s="73">
        <v>2016.0</v>
      </c>
      <c r="B836" s="85" t="s">
        <v>94</v>
      </c>
      <c r="C836" s="81">
        <v>62.3</v>
      </c>
      <c r="D836" s="73">
        <v>1.0</v>
      </c>
      <c r="E836" s="83">
        <v>1.0</v>
      </c>
      <c r="F836" s="76">
        <f>128+
166+
126+
387</f>
        <v>807</v>
      </c>
      <c r="G836">
        <f>AVERAGE(F836)</f>
        <v>807</v>
      </c>
    </row>
    <row r="837">
      <c r="A837" s="73">
        <v>2017.0</v>
      </c>
      <c r="B837" s="85" t="s">
        <v>94</v>
      </c>
      <c r="C837" s="81">
        <v>62.3</v>
      </c>
      <c r="D837" s="73">
        <v>1.0</v>
      </c>
      <c r="E837" s="83">
        <v>1.0</v>
      </c>
      <c r="F837" s="96">
        <v>927.0</v>
      </c>
      <c r="G837">
        <f>AVERAGE(F837:F838)</f>
        <v>463.5</v>
      </c>
    </row>
    <row r="838" hidden="1">
      <c r="A838" s="69">
        <v>2002.0</v>
      </c>
      <c r="B838" s="70" t="s">
        <v>99</v>
      </c>
      <c r="C838" s="71">
        <v>48.97</v>
      </c>
      <c r="D838" s="69">
        <v>1.0</v>
      </c>
      <c r="E838" s="72">
        <v>0.0</v>
      </c>
      <c r="F838" s="72">
        <v>0.0</v>
      </c>
    </row>
    <row r="839">
      <c r="A839" s="73">
        <v>2018.0</v>
      </c>
      <c r="B839" s="85" t="s">
        <v>94</v>
      </c>
      <c r="C839" s="81">
        <v>42.6</v>
      </c>
      <c r="D839" s="73">
        <v>1.0</v>
      </c>
      <c r="E839" s="88">
        <v>1.0</v>
      </c>
      <c r="F839" s="76">
        <v>0.0</v>
      </c>
    </row>
    <row r="840">
      <c r="A840" s="73">
        <v>2003.0</v>
      </c>
      <c r="B840" s="74" t="s">
        <v>95</v>
      </c>
      <c r="C840" s="75">
        <v>12.54</v>
      </c>
      <c r="D840" s="73">
        <v>0.0</v>
      </c>
      <c r="E840" s="76">
        <v>0.0</v>
      </c>
      <c r="F840" s="76">
        <v>0.0</v>
      </c>
      <c r="G840">
        <f>AVERAGE(F840:F844)</f>
        <v>91.2</v>
      </c>
    </row>
    <row r="841">
      <c r="A841" s="73">
        <v>2004.0</v>
      </c>
      <c r="B841" s="74" t="s">
        <v>95</v>
      </c>
      <c r="C841" s="75">
        <v>12.54</v>
      </c>
      <c r="D841" s="73">
        <v>0.0</v>
      </c>
      <c r="E841" s="77">
        <v>0.0</v>
      </c>
      <c r="F841" s="76">
        <v>0.0</v>
      </c>
    </row>
    <row r="842">
      <c r="A842" s="73">
        <v>2005.0</v>
      </c>
      <c r="B842" s="74" t="s">
        <v>95</v>
      </c>
      <c r="C842" s="75">
        <v>12.54</v>
      </c>
      <c r="D842" s="73">
        <v>0.0</v>
      </c>
      <c r="E842" s="78">
        <v>0.0</v>
      </c>
      <c r="F842" s="76">
        <v>456.0</v>
      </c>
    </row>
    <row r="843">
      <c r="A843" s="73">
        <v>2006.0</v>
      </c>
      <c r="B843" s="74" t="s">
        <v>95</v>
      </c>
      <c r="C843" s="75">
        <v>12.54</v>
      </c>
      <c r="D843" s="73">
        <v>0.0</v>
      </c>
      <c r="E843" s="78">
        <v>0.0</v>
      </c>
      <c r="F843" s="76">
        <v>0.0</v>
      </c>
    </row>
    <row r="844">
      <c r="A844" s="73">
        <v>2007.0</v>
      </c>
      <c r="B844" s="74" t="s">
        <v>95</v>
      </c>
      <c r="C844" s="75">
        <v>20.17</v>
      </c>
      <c r="D844" s="73">
        <v>0.0</v>
      </c>
      <c r="E844" s="78">
        <v>0.0</v>
      </c>
      <c r="F844" s="76">
        <v>0.0</v>
      </c>
    </row>
    <row r="845">
      <c r="A845" s="73">
        <v>2008.0</v>
      </c>
      <c r="B845" s="74" t="s">
        <v>95</v>
      </c>
      <c r="C845" s="75">
        <v>20.17</v>
      </c>
      <c r="D845" s="73">
        <v>0.0</v>
      </c>
      <c r="E845" s="78">
        <v>0.0</v>
      </c>
      <c r="F845" s="76">
        <v>0.0</v>
      </c>
      <c r="G845">
        <f>AVERAGE(F845:F848)</f>
        <v>0</v>
      </c>
    </row>
    <row r="846">
      <c r="A846" s="73">
        <v>2009.0</v>
      </c>
      <c r="B846" s="74" t="s">
        <v>95</v>
      </c>
      <c r="C846" s="75">
        <v>20.17</v>
      </c>
      <c r="D846" s="73">
        <v>0.0</v>
      </c>
      <c r="E846" s="79">
        <v>0.0</v>
      </c>
      <c r="F846" s="76">
        <v>0.0</v>
      </c>
    </row>
    <row r="847">
      <c r="A847" s="73">
        <v>2010.0</v>
      </c>
      <c r="B847" s="74" t="s">
        <v>95</v>
      </c>
      <c r="C847" s="75">
        <v>20.17</v>
      </c>
      <c r="D847" s="73">
        <v>0.0</v>
      </c>
      <c r="E847" s="82">
        <v>0.0</v>
      </c>
      <c r="F847" s="76">
        <v>0.0</v>
      </c>
    </row>
    <row r="848">
      <c r="A848" s="73">
        <v>2011.0</v>
      </c>
      <c r="B848" s="74" t="s">
        <v>95</v>
      </c>
      <c r="C848" s="81">
        <v>27.4</v>
      </c>
      <c r="D848" s="73">
        <v>0.0</v>
      </c>
      <c r="E848" s="82">
        <v>0.0</v>
      </c>
      <c r="F848" s="76">
        <v>0.0</v>
      </c>
    </row>
    <row r="849">
      <c r="A849" s="73">
        <v>2012.0</v>
      </c>
      <c r="B849" s="74" t="s">
        <v>95</v>
      </c>
      <c r="C849" s="81">
        <v>27.4</v>
      </c>
      <c r="D849" s="73">
        <v>0.0</v>
      </c>
      <c r="E849" s="82">
        <v>0.0</v>
      </c>
      <c r="F849" s="76">
        <v>0.0</v>
      </c>
      <c r="G849">
        <f>AVERAGE(F849:F852)</f>
        <v>0</v>
      </c>
    </row>
    <row r="850">
      <c r="A850" s="73">
        <v>2013.0</v>
      </c>
      <c r="B850" s="74" t="s">
        <v>95</v>
      </c>
      <c r="C850" s="81">
        <v>27.4</v>
      </c>
      <c r="D850" s="73">
        <v>0.0</v>
      </c>
      <c r="E850" s="82">
        <v>0.0</v>
      </c>
      <c r="F850" s="76">
        <v>0.0</v>
      </c>
    </row>
    <row r="851">
      <c r="A851" s="73">
        <v>2014.0</v>
      </c>
      <c r="B851" s="74" t="s">
        <v>95</v>
      </c>
      <c r="C851" s="81">
        <v>27.4</v>
      </c>
      <c r="D851" s="73">
        <v>0.0</v>
      </c>
      <c r="E851" s="83">
        <v>0.0</v>
      </c>
      <c r="F851" s="76">
        <v>0.0</v>
      </c>
    </row>
    <row r="852">
      <c r="A852" s="73">
        <v>2015.0</v>
      </c>
      <c r="B852" s="85" t="s">
        <v>95</v>
      </c>
      <c r="C852" s="81"/>
      <c r="D852" s="73"/>
      <c r="E852" s="83"/>
      <c r="F852" s="76">
        <v>0.0</v>
      </c>
    </row>
    <row r="853">
      <c r="A853" s="73">
        <v>2016.0</v>
      </c>
      <c r="B853" s="85" t="s">
        <v>95</v>
      </c>
      <c r="C853" s="81">
        <v>27.7</v>
      </c>
      <c r="D853" s="73">
        <v>0.0</v>
      </c>
      <c r="E853" s="83">
        <v>0.0</v>
      </c>
      <c r="F853" s="76">
        <v>0.0</v>
      </c>
      <c r="G853">
        <f>AVERAGE(F853)</f>
        <v>0</v>
      </c>
    </row>
    <row r="854">
      <c r="A854" s="73">
        <v>2017.0</v>
      </c>
      <c r="B854" s="85" t="s">
        <v>95</v>
      </c>
      <c r="C854" s="81">
        <v>27.7</v>
      </c>
      <c r="D854" s="73">
        <v>0.0</v>
      </c>
      <c r="E854" s="83">
        <v>0.0</v>
      </c>
      <c r="F854" s="76">
        <v>680.0</v>
      </c>
      <c r="G854">
        <f>AVERAGE(F854:F855)</f>
        <v>399.5</v>
      </c>
    </row>
    <row r="855">
      <c r="A855" s="73">
        <v>2018.0</v>
      </c>
      <c r="B855" s="85" t="s">
        <v>95</v>
      </c>
      <c r="C855" s="81">
        <v>25.8</v>
      </c>
      <c r="D855" s="73">
        <v>0.0</v>
      </c>
      <c r="E855" s="88">
        <v>1.0</v>
      </c>
      <c r="F855" s="76">
        <v>119.0</v>
      </c>
    </row>
    <row r="856" hidden="1">
      <c r="A856" s="69">
        <v>2002.0</v>
      </c>
      <c r="B856" s="70" t="s">
        <v>100</v>
      </c>
      <c r="C856" s="71">
        <v>50.65</v>
      </c>
      <c r="D856" s="69">
        <v>1.0</v>
      </c>
      <c r="E856" s="72">
        <v>0.0</v>
      </c>
      <c r="F856" s="72">
        <v>0.0</v>
      </c>
    </row>
    <row r="857">
      <c r="A857" s="73">
        <v>2003.0</v>
      </c>
      <c r="B857" s="74" t="s">
        <v>96</v>
      </c>
      <c r="C857" s="75">
        <v>31.16</v>
      </c>
      <c r="D857" s="73">
        <v>0.0</v>
      </c>
      <c r="E857" s="76">
        <v>0.0</v>
      </c>
      <c r="F857" s="76">
        <v>0.0</v>
      </c>
      <c r="G857">
        <f>AVERAGE(F857:F861)</f>
        <v>140.8</v>
      </c>
    </row>
    <row r="858">
      <c r="A858" s="73">
        <v>2004.0</v>
      </c>
      <c r="B858" s="74" t="s">
        <v>96</v>
      </c>
      <c r="C858" s="75">
        <v>31.16</v>
      </c>
      <c r="D858" s="73">
        <v>0.0</v>
      </c>
      <c r="E858" s="77">
        <v>1.0</v>
      </c>
      <c r="F858" s="76">
        <v>320.0</v>
      </c>
    </row>
    <row r="859">
      <c r="A859" s="73">
        <v>2005.0</v>
      </c>
      <c r="B859" s="74" t="s">
        <v>96</v>
      </c>
      <c r="C859" s="75">
        <v>31.16</v>
      </c>
      <c r="D859" s="73">
        <v>0.0</v>
      </c>
      <c r="E859" s="78">
        <v>1.0</v>
      </c>
      <c r="F859" s="76">
        <v>384.0</v>
      </c>
    </row>
    <row r="860">
      <c r="A860" s="73">
        <v>2006.0</v>
      </c>
      <c r="B860" s="74" t="s">
        <v>96</v>
      </c>
      <c r="C860" s="75">
        <v>31.16</v>
      </c>
      <c r="D860" s="73">
        <v>0.0</v>
      </c>
      <c r="E860" s="78">
        <v>1.0</v>
      </c>
      <c r="F860" s="76">
        <v>0.0</v>
      </c>
    </row>
    <row r="861">
      <c r="A861" s="73">
        <v>2007.0</v>
      </c>
      <c r="B861" s="74" t="s">
        <v>96</v>
      </c>
      <c r="C861" s="75">
        <v>44.26</v>
      </c>
      <c r="D861" s="73">
        <v>1.0</v>
      </c>
      <c r="E861" s="78">
        <v>1.0</v>
      </c>
      <c r="F861" s="76">
        <v>0.0</v>
      </c>
    </row>
    <row r="862">
      <c r="A862" s="73">
        <v>2008.0</v>
      </c>
      <c r="B862" s="74" t="s">
        <v>96</v>
      </c>
      <c r="C862" s="75">
        <v>44.26</v>
      </c>
      <c r="D862" s="73">
        <v>1.0</v>
      </c>
      <c r="E862" s="78">
        <v>1.0</v>
      </c>
      <c r="F862" s="76">
        <v>192.0</v>
      </c>
      <c r="G862">
        <f>AVERAGE(F862:F865)</f>
        <v>342</v>
      </c>
    </row>
    <row r="863">
      <c r="A863" s="73">
        <v>2009.0</v>
      </c>
      <c r="B863" s="74" t="s">
        <v>96</v>
      </c>
      <c r="C863" s="75">
        <v>44.26</v>
      </c>
      <c r="D863" s="73">
        <v>1.0</v>
      </c>
      <c r="E863" s="79">
        <v>1.0</v>
      </c>
      <c r="F863" s="76">
        <v>116.0</v>
      </c>
    </row>
    <row r="864">
      <c r="A864" s="73">
        <v>2010.0</v>
      </c>
      <c r="B864" s="74" t="s">
        <v>96</v>
      </c>
      <c r="C864" s="75">
        <v>44.26</v>
      </c>
      <c r="D864" s="73">
        <v>1.0</v>
      </c>
      <c r="E864" s="82">
        <v>1.0</v>
      </c>
      <c r="F864" s="76">
        <v>292.0</v>
      </c>
    </row>
    <row r="865">
      <c r="A865" s="73">
        <v>2011.0</v>
      </c>
      <c r="B865" s="74" t="s">
        <v>96</v>
      </c>
      <c r="C865" s="81">
        <v>50.2</v>
      </c>
      <c r="D865" s="73">
        <v>1.0</v>
      </c>
      <c r="E865" s="82">
        <v>1.0</v>
      </c>
      <c r="F865" s="76">
        <v>768.0</v>
      </c>
    </row>
    <row r="866">
      <c r="A866" s="73">
        <v>2012.0</v>
      </c>
      <c r="B866" s="74" t="s">
        <v>96</v>
      </c>
      <c r="C866" s="81">
        <v>50.2</v>
      </c>
      <c r="D866" s="73">
        <v>1.0</v>
      </c>
      <c r="E866" s="82">
        <v>1.0</v>
      </c>
      <c r="F866" s="76">
        <v>760.0</v>
      </c>
      <c r="G866">
        <f>AVERAGE(F866:F869)</f>
        <v>267</v>
      </c>
    </row>
    <row r="867">
      <c r="A867" s="73">
        <v>2013.0</v>
      </c>
      <c r="B867" s="74" t="s">
        <v>96</v>
      </c>
      <c r="C867" s="81">
        <v>50.2</v>
      </c>
      <c r="D867" s="73">
        <v>1.0</v>
      </c>
      <c r="E867" s="82">
        <v>1.0</v>
      </c>
      <c r="F867" s="76">
        <v>228.0</v>
      </c>
    </row>
    <row r="868">
      <c r="A868" s="73">
        <v>2014.0</v>
      </c>
      <c r="B868" s="74" t="s">
        <v>96</v>
      </c>
      <c r="C868" s="81">
        <v>50.2</v>
      </c>
      <c r="D868" s="73">
        <v>1.0</v>
      </c>
      <c r="E868" s="83">
        <v>1.0</v>
      </c>
      <c r="F868" s="76">
        <v>80.0</v>
      </c>
    </row>
    <row r="869">
      <c r="A869" s="84">
        <v>2015.0</v>
      </c>
      <c r="B869" s="85" t="s">
        <v>96</v>
      </c>
      <c r="C869" s="81">
        <v>39.6</v>
      </c>
      <c r="D869" s="73">
        <v>0.0</v>
      </c>
      <c r="E869" s="83">
        <v>1.0</v>
      </c>
      <c r="F869" s="76">
        <v>0.0</v>
      </c>
    </row>
    <row r="870">
      <c r="A870" s="73">
        <v>2016.0</v>
      </c>
      <c r="B870" s="85" t="s">
        <v>96</v>
      </c>
      <c r="C870" s="81">
        <v>50.7</v>
      </c>
      <c r="D870" s="73">
        <v>1.0</v>
      </c>
      <c r="E870" s="83">
        <v>1.0</v>
      </c>
      <c r="F870" s="76">
        <v>0.0</v>
      </c>
      <c r="G870">
        <f>AVERAGE(F870)</f>
        <v>0</v>
      </c>
    </row>
    <row r="871">
      <c r="A871" s="73">
        <v>2017.0</v>
      </c>
      <c r="B871" s="85" t="s">
        <v>96</v>
      </c>
      <c r="C871" s="81">
        <v>50.7</v>
      </c>
      <c r="D871" s="73">
        <v>1.0</v>
      </c>
      <c r="E871" s="83">
        <v>1.0</v>
      </c>
      <c r="F871" s="76">
        <v>1491.0</v>
      </c>
      <c r="G871">
        <f>AVERAGE(F871:F872)</f>
        <v>745.5</v>
      </c>
    </row>
    <row r="872">
      <c r="A872" s="73">
        <v>2018.0</v>
      </c>
      <c r="B872" s="85" t="s">
        <v>96</v>
      </c>
      <c r="C872" s="81">
        <v>40.1</v>
      </c>
      <c r="D872" s="73">
        <v>1.0</v>
      </c>
      <c r="E872" s="88">
        <v>1.0</v>
      </c>
      <c r="F872" s="76">
        <v>0.0</v>
      </c>
    </row>
    <row r="873" hidden="1">
      <c r="A873" s="69">
        <v>2002.0</v>
      </c>
      <c r="B873" s="70" t="s">
        <v>101</v>
      </c>
      <c r="C873" s="71">
        <v>30.14</v>
      </c>
      <c r="D873" s="69">
        <v>0.0</v>
      </c>
      <c r="E873" s="72">
        <v>0.0</v>
      </c>
      <c r="F873" s="72">
        <v>0.0</v>
      </c>
    </row>
    <row r="874">
      <c r="A874" s="73">
        <v>2003.0</v>
      </c>
      <c r="B874" s="74" t="s">
        <v>97</v>
      </c>
      <c r="C874" s="75">
        <v>42.85</v>
      </c>
      <c r="D874" s="73">
        <v>1.0</v>
      </c>
      <c r="E874" s="76">
        <v>0.0</v>
      </c>
      <c r="F874" s="76">
        <v>0.0</v>
      </c>
      <c r="G874">
        <f>AVERAGE(F874:F878)</f>
        <v>1149.6</v>
      </c>
    </row>
    <row r="875">
      <c r="A875" s="73">
        <v>2004.0</v>
      </c>
      <c r="B875" s="74" t="s">
        <v>97</v>
      </c>
      <c r="C875" s="75">
        <v>42.85</v>
      </c>
      <c r="D875" s="73">
        <v>1.0</v>
      </c>
      <c r="E875" s="77">
        <v>1.0</v>
      </c>
      <c r="F875" s="76">
        <v>682.0</v>
      </c>
    </row>
    <row r="876">
      <c r="A876" s="73">
        <v>2005.0</v>
      </c>
      <c r="B876" s="74" t="s">
        <v>97</v>
      </c>
      <c r="C876" s="75">
        <v>42.85</v>
      </c>
      <c r="D876" s="73">
        <v>1.0</v>
      </c>
      <c r="E876" s="78">
        <v>1.0</v>
      </c>
      <c r="F876" s="76">
        <v>2264.0</v>
      </c>
    </row>
    <row r="877">
      <c r="A877" s="73">
        <v>2006.0</v>
      </c>
      <c r="B877" s="74" t="s">
        <v>97</v>
      </c>
      <c r="C877" s="75">
        <v>42.85</v>
      </c>
      <c r="D877" s="73">
        <v>1.0</v>
      </c>
      <c r="E877" s="78">
        <v>1.0</v>
      </c>
      <c r="F877" s="76">
        <v>1678.0</v>
      </c>
    </row>
    <row r="878">
      <c r="A878" s="73">
        <v>2007.0</v>
      </c>
      <c r="B878" s="74" t="s">
        <v>97</v>
      </c>
      <c r="C878" s="75">
        <v>49.26</v>
      </c>
      <c r="D878" s="73">
        <v>1.0</v>
      </c>
      <c r="E878" s="78">
        <v>1.0</v>
      </c>
      <c r="F878" s="76">
        <v>1124.0</v>
      </c>
    </row>
    <row r="879">
      <c r="A879" s="73">
        <v>2008.0</v>
      </c>
      <c r="B879" s="74" t="s">
        <v>97</v>
      </c>
      <c r="C879" s="75">
        <v>49.26</v>
      </c>
      <c r="D879" s="73">
        <v>1.0</v>
      </c>
      <c r="E879" s="78">
        <v>1.0</v>
      </c>
      <c r="F879" s="76">
        <v>0.0</v>
      </c>
      <c r="G879">
        <f>AVERAGE(F879:F882)</f>
        <v>538.5</v>
      </c>
    </row>
    <row r="880">
      <c r="A880" s="73">
        <v>2009.0</v>
      </c>
      <c r="B880" s="74" t="s">
        <v>97</v>
      </c>
      <c r="C880" s="75">
        <v>49.26</v>
      </c>
      <c r="D880" s="73">
        <v>1.0</v>
      </c>
      <c r="E880" s="79">
        <v>1.0</v>
      </c>
      <c r="F880" s="76">
        <v>1242.0</v>
      </c>
    </row>
    <row r="881">
      <c r="A881" s="73">
        <v>2010.0</v>
      </c>
      <c r="B881" s="74" t="s">
        <v>97</v>
      </c>
      <c r="C881" s="75">
        <v>49.26</v>
      </c>
      <c r="D881" s="73">
        <v>1.0</v>
      </c>
      <c r="E881" s="82">
        <v>1.0</v>
      </c>
      <c r="F881" s="76">
        <v>912.0</v>
      </c>
    </row>
    <row r="882">
      <c r="A882" s="73">
        <v>2011.0</v>
      </c>
      <c r="B882" s="74" t="s">
        <v>97</v>
      </c>
      <c r="C882" s="81">
        <v>52.7</v>
      </c>
      <c r="D882" s="73">
        <v>1.0</v>
      </c>
      <c r="E882" s="82">
        <v>1.0</v>
      </c>
      <c r="F882" s="76">
        <v>0.0</v>
      </c>
    </row>
    <row r="883">
      <c r="A883" s="73">
        <v>2012.0</v>
      </c>
      <c r="B883" s="74" t="s">
        <v>97</v>
      </c>
      <c r="C883" s="81">
        <v>52.7</v>
      </c>
      <c r="D883" s="73">
        <v>1.0</v>
      </c>
      <c r="E883" s="82">
        <v>1.0</v>
      </c>
      <c r="F883" s="76">
        <v>0.0</v>
      </c>
      <c r="G883">
        <f>AVERAGE(F883:F886)</f>
        <v>400.25</v>
      </c>
    </row>
    <row r="884">
      <c r="A884" s="73">
        <v>2013.0</v>
      </c>
      <c r="B884" s="74" t="s">
        <v>97</v>
      </c>
      <c r="C884" s="81">
        <v>52.7</v>
      </c>
      <c r="D884" s="73">
        <v>1.0</v>
      </c>
      <c r="E884" s="82">
        <v>1.0</v>
      </c>
      <c r="F884" s="76">
        <v>385.0</v>
      </c>
    </row>
    <row r="885">
      <c r="A885" s="73">
        <v>2014.0</v>
      </c>
      <c r="B885" s="74" t="s">
        <v>97</v>
      </c>
      <c r="C885" s="81">
        <v>52.7</v>
      </c>
      <c r="D885" s="73">
        <v>1.0</v>
      </c>
      <c r="E885" s="83">
        <v>1.0</v>
      </c>
      <c r="F885" s="76">
        <v>0.0</v>
      </c>
    </row>
    <row r="886">
      <c r="A886" s="84">
        <v>2015.0</v>
      </c>
      <c r="B886" s="85" t="s">
        <v>97</v>
      </c>
      <c r="C886" s="81">
        <v>46.3</v>
      </c>
      <c r="D886" s="73">
        <v>1.0</v>
      </c>
      <c r="E886" s="83">
        <v>1.0</v>
      </c>
      <c r="F886" s="76">
        <v>1216.0</v>
      </c>
    </row>
    <row r="887">
      <c r="A887" s="73">
        <v>2016.0</v>
      </c>
      <c r="B887" s="85" t="s">
        <v>97</v>
      </c>
      <c r="C887" s="81">
        <v>56.5</v>
      </c>
      <c r="D887" s="73">
        <v>1.0</v>
      </c>
      <c r="E887" s="83">
        <v>1.0</v>
      </c>
      <c r="F887" s="76">
        <v>138.0</v>
      </c>
      <c r="G887">
        <f>AVERAGE(F887)</f>
        <v>138</v>
      </c>
    </row>
    <row r="888">
      <c r="A888" s="73">
        <v>2017.0</v>
      </c>
      <c r="B888" s="85" t="s">
        <v>97</v>
      </c>
      <c r="C888" s="81">
        <v>56.5</v>
      </c>
      <c r="D888" s="73">
        <v>1.0</v>
      </c>
      <c r="E888" s="83">
        <v>1.0</v>
      </c>
      <c r="F888" s="76">
        <v>811.0</v>
      </c>
      <c r="G888">
        <f>AVERAGE(F888:F889)</f>
        <v>405.5</v>
      </c>
    </row>
    <row r="889">
      <c r="A889" s="73">
        <v>2018.0</v>
      </c>
      <c r="B889" s="85" t="s">
        <v>97</v>
      </c>
      <c r="C889" s="81">
        <v>47.3</v>
      </c>
      <c r="D889" s="73">
        <v>1.0</v>
      </c>
      <c r="E889" s="88">
        <v>0.0</v>
      </c>
      <c r="F889" s="76">
        <v>0.0</v>
      </c>
    </row>
    <row r="890" hidden="1">
      <c r="A890" s="69">
        <v>2002.0</v>
      </c>
      <c r="B890" s="70" t="s">
        <v>102</v>
      </c>
      <c r="C890" s="71">
        <v>15.43</v>
      </c>
      <c r="D890" s="69">
        <v>0.0</v>
      </c>
      <c r="E890" s="72">
        <v>0.0</v>
      </c>
      <c r="F890" s="72">
        <v>0.0</v>
      </c>
    </row>
    <row r="891">
      <c r="A891" s="73">
        <v>2003.0</v>
      </c>
      <c r="B891" s="74" t="s">
        <v>98</v>
      </c>
      <c r="C891" s="75">
        <v>54.94</v>
      </c>
      <c r="D891" s="73">
        <v>1.0</v>
      </c>
      <c r="E891" s="76">
        <v>0.0</v>
      </c>
      <c r="F891" s="76">
        <v>0.0</v>
      </c>
      <c r="G891">
        <f>AVERAGE(F891:F895)</f>
        <v>1360</v>
      </c>
    </row>
    <row r="892">
      <c r="A892" s="73">
        <v>2004.0</v>
      </c>
      <c r="B892" s="74" t="s">
        <v>98</v>
      </c>
      <c r="C892" s="75">
        <v>54.94</v>
      </c>
      <c r="D892" s="73">
        <v>1.0</v>
      </c>
      <c r="E892" s="77">
        <v>1.0</v>
      </c>
      <c r="F892" s="76">
        <v>1984.0</v>
      </c>
    </row>
    <row r="893">
      <c r="A893" s="73">
        <v>2005.0</v>
      </c>
      <c r="B893" s="74" t="s">
        <v>98</v>
      </c>
      <c r="C893" s="75">
        <v>54.94</v>
      </c>
      <c r="D893" s="73">
        <v>1.0</v>
      </c>
      <c r="E893" s="78">
        <v>1.0</v>
      </c>
      <c r="F893" s="76">
        <v>2016.0</v>
      </c>
    </row>
    <row r="894">
      <c r="A894" s="73">
        <v>2006.0</v>
      </c>
      <c r="B894" s="74" t="s">
        <v>98</v>
      </c>
      <c r="C894" s="75">
        <v>54.94</v>
      </c>
      <c r="D894" s="73">
        <v>1.0</v>
      </c>
      <c r="E894" s="78">
        <v>1.0</v>
      </c>
      <c r="F894" s="76">
        <v>420.0</v>
      </c>
    </row>
    <row r="895">
      <c r="A895" s="73">
        <v>2007.0</v>
      </c>
      <c r="B895" s="74" t="s">
        <v>98</v>
      </c>
      <c r="C895" s="75">
        <v>65.31</v>
      </c>
      <c r="D895" s="73">
        <v>1.0</v>
      </c>
      <c r="E895" s="78">
        <v>1.0</v>
      </c>
      <c r="F895" s="76">
        <v>2380.0</v>
      </c>
    </row>
    <row r="896">
      <c r="A896" s="73">
        <v>2008.0</v>
      </c>
      <c r="B896" s="74" t="s">
        <v>98</v>
      </c>
      <c r="C896" s="75">
        <v>65.31</v>
      </c>
      <c r="D896" s="73">
        <v>1.0</v>
      </c>
      <c r="E896" s="78">
        <v>1.0</v>
      </c>
      <c r="F896" s="76">
        <v>2266.0</v>
      </c>
      <c r="G896">
        <f>AVERAGE(F896:F899)</f>
        <v>1601.5</v>
      </c>
    </row>
    <row r="897">
      <c r="A897" s="73">
        <v>2009.0</v>
      </c>
      <c r="B897" s="74" t="s">
        <v>98</v>
      </c>
      <c r="C897" s="75">
        <v>65.31</v>
      </c>
      <c r="D897" s="73">
        <v>1.0</v>
      </c>
      <c r="E897" s="79">
        <v>1.0</v>
      </c>
      <c r="F897" s="76">
        <v>1584.0</v>
      </c>
    </row>
    <row r="898">
      <c r="A898" s="73">
        <v>2010.0</v>
      </c>
      <c r="B898" s="74" t="s">
        <v>98</v>
      </c>
      <c r="C898" s="75">
        <v>65.31</v>
      </c>
      <c r="D898" s="73">
        <v>1.0</v>
      </c>
      <c r="E898" s="82">
        <v>1.0</v>
      </c>
      <c r="F898" s="76">
        <v>692.0</v>
      </c>
    </row>
    <row r="899">
      <c r="A899" s="73">
        <v>2011.0</v>
      </c>
      <c r="B899" s="74" t="s">
        <v>98</v>
      </c>
      <c r="C899" s="81">
        <v>69.6</v>
      </c>
      <c r="D899" s="73">
        <v>1.0</v>
      </c>
      <c r="E899" s="82">
        <v>1.0</v>
      </c>
      <c r="F899" s="76">
        <v>1864.0</v>
      </c>
    </row>
    <row r="900">
      <c r="A900" s="73">
        <v>2012.0</v>
      </c>
      <c r="B900" s="74" t="s">
        <v>98</v>
      </c>
      <c r="C900" s="81">
        <v>69.6</v>
      </c>
      <c r="D900" s="73">
        <v>1.0</v>
      </c>
      <c r="E900" s="82">
        <v>1.0</v>
      </c>
      <c r="F900" s="76">
        <v>792.0</v>
      </c>
      <c r="G900">
        <f>AVERAGE(F900:F903)</f>
        <v>974</v>
      </c>
    </row>
    <row r="901">
      <c r="A901" s="73">
        <v>2013.0</v>
      </c>
      <c r="B901" s="74" t="s">
        <v>98</v>
      </c>
      <c r="C901" s="81">
        <v>69.6</v>
      </c>
      <c r="D901" s="73">
        <v>1.0</v>
      </c>
      <c r="E901" s="82">
        <v>1.0</v>
      </c>
      <c r="F901" s="76">
        <v>707.0</v>
      </c>
    </row>
    <row r="902">
      <c r="A902" s="73">
        <v>2014.0</v>
      </c>
      <c r="B902" s="74" t="s">
        <v>98</v>
      </c>
      <c r="C902" s="81">
        <v>69.6</v>
      </c>
      <c r="D902" s="73">
        <v>1.0</v>
      </c>
      <c r="E902" s="83">
        <v>1.0</v>
      </c>
      <c r="F902" s="76">
        <v>988.0</v>
      </c>
    </row>
    <row r="903">
      <c r="A903" s="84">
        <v>2015.0</v>
      </c>
      <c r="B903" s="85" t="s">
        <v>98</v>
      </c>
      <c r="C903" s="81">
        <v>65.4</v>
      </c>
      <c r="D903" s="73">
        <v>1.0</v>
      </c>
      <c r="E903" s="83">
        <v>1.0</v>
      </c>
      <c r="F903" s="76">
        <v>1409.0</v>
      </c>
    </row>
    <row r="904">
      <c r="A904" s="73">
        <v>2016.0</v>
      </c>
      <c r="B904" s="85" t="s">
        <v>98</v>
      </c>
      <c r="C904" s="81">
        <v>74.5</v>
      </c>
      <c r="D904" s="73">
        <v>1.0</v>
      </c>
      <c r="E904" s="83">
        <v>1.0</v>
      </c>
      <c r="F904" s="76">
        <v>2531.0</v>
      </c>
      <c r="G904">
        <f>AVERAGE(F904)</f>
        <v>2531</v>
      </c>
    </row>
    <row r="905">
      <c r="A905" s="73">
        <v>2017.0</v>
      </c>
      <c r="B905" s="85" t="s">
        <v>98</v>
      </c>
      <c r="C905" s="81">
        <v>74.5</v>
      </c>
      <c r="D905" s="73">
        <v>1.0</v>
      </c>
      <c r="E905" s="83">
        <v>1.0</v>
      </c>
      <c r="F905" s="76">
        <v>1629.0</v>
      </c>
      <c r="G905">
        <f>AVERAGE(F905:F906)</f>
        <v>909.5</v>
      </c>
    </row>
    <row r="906">
      <c r="A906" s="73">
        <v>2018.0</v>
      </c>
      <c r="B906" s="85" t="s">
        <v>98</v>
      </c>
      <c r="C906" s="81">
        <v>58.8</v>
      </c>
      <c r="D906" s="73">
        <v>1.0</v>
      </c>
      <c r="E906" s="88">
        <v>1.0</v>
      </c>
      <c r="F906" s="76">
        <v>190.0</v>
      </c>
    </row>
    <row r="907" hidden="1">
      <c r="A907" s="69">
        <v>2002.0</v>
      </c>
      <c r="B907" s="70" t="s">
        <v>103</v>
      </c>
      <c r="C907" s="71">
        <v>18.07</v>
      </c>
      <c r="D907" s="69">
        <v>0.0</v>
      </c>
      <c r="E907" s="72">
        <v>0.0</v>
      </c>
      <c r="F907" s="72">
        <v>0.0</v>
      </c>
    </row>
    <row r="908">
      <c r="A908" s="73">
        <v>2003.0</v>
      </c>
      <c r="B908" s="74" t="s">
        <v>99</v>
      </c>
      <c r="C908" s="75">
        <v>48.97</v>
      </c>
      <c r="D908" s="73">
        <v>1.0</v>
      </c>
      <c r="E908" s="76">
        <v>0.0</v>
      </c>
      <c r="F908" s="76">
        <v>0.0</v>
      </c>
      <c r="G908">
        <f>AVERAGE(F908:F912)</f>
        <v>520</v>
      </c>
    </row>
    <row r="909">
      <c r="A909" s="73">
        <v>2004.0</v>
      </c>
      <c r="B909" s="74" t="s">
        <v>99</v>
      </c>
      <c r="C909" s="75">
        <v>48.97</v>
      </c>
      <c r="D909" s="73">
        <v>1.0</v>
      </c>
      <c r="E909" s="77">
        <v>1.0</v>
      </c>
      <c r="F909" s="76">
        <v>192.0</v>
      </c>
    </row>
    <row r="910">
      <c r="A910" s="73">
        <v>2005.0</v>
      </c>
      <c r="B910" s="74" t="s">
        <v>99</v>
      </c>
      <c r="C910" s="75">
        <v>48.97</v>
      </c>
      <c r="D910" s="73">
        <v>1.0</v>
      </c>
      <c r="E910" s="78">
        <v>1.0</v>
      </c>
      <c r="F910" s="76">
        <v>1728.0</v>
      </c>
    </row>
    <row r="911">
      <c r="A911" s="73">
        <v>2006.0</v>
      </c>
      <c r="B911" s="74" t="s">
        <v>99</v>
      </c>
      <c r="C911" s="75">
        <v>48.97</v>
      </c>
      <c r="D911" s="73">
        <v>1.0</v>
      </c>
      <c r="E911" s="78">
        <v>1.0</v>
      </c>
      <c r="F911" s="76">
        <v>584.0</v>
      </c>
    </row>
    <row r="912">
      <c r="A912" s="73">
        <v>2007.0</v>
      </c>
      <c r="B912" s="74" t="s">
        <v>99</v>
      </c>
      <c r="C912" s="75">
        <v>62.35</v>
      </c>
      <c r="D912" s="73">
        <v>1.0</v>
      </c>
      <c r="E912" s="78">
        <v>1.0</v>
      </c>
      <c r="F912" s="76">
        <v>96.0</v>
      </c>
    </row>
    <row r="913">
      <c r="A913" s="73">
        <v>2008.0</v>
      </c>
      <c r="B913" s="74" t="s">
        <v>99</v>
      </c>
      <c r="C913" s="75">
        <v>62.35</v>
      </c>
      <c r="D913" s="73">
        <v>1.0</v>
      </c>
      <c r="E913" s="78">
        <v>1.0</v>
      </c>
      <c r="F913" s="76">
        <v>1610.0</v>
      </c>
      <c r="G913">
        <f>AVERAGE(F913:F916)</f>
        <v>838.5</v>
      </c>
    </row>
    <row r="914">
      <c r="A914" s="73">
        <v>2009.0</v>
      </c>
      <c r="B914" s="74" t="s">
        <v>99</v>
      </c>
      <c r="C914" s="75">
        <v>62.35</v>
      </c>
      <c r="D914" s="73">
        <v>1.0</v>
      </c>
      <c r="E914" s="79">
        <v>1.0</v>
      </c>
      <c r="F914" s="76">
        <v>336.0</v>
      </c>
    </row>
    <row r="915">
      <c r="A915" s="73">
        <v>2010.0</v>
      </c>
      <c r="B915" s="74" t="s">
        <v>99</v>
      </c>
      <c r="C915" s="75">
        <v>62.35</v>
      </c>
      <c r="D915" s="73">
        <v>1.0</v>
      </c>
      <c r="E915" s="82">
        <v>1.0</v>
      </c>
      <c r="F915" s="76">
        <v>736.0</v>
      </c>
    </row>
    <row r="916">
      <c r="A916" s="73">
        <v>2011.0</v>
      </c>
      <c r="B916" s="74" t="s">
        <v>99</v>
      </c>
      <c r="C916" s="81">
        <v>64.6</v>
      </c>
      <c r="D916" s="73">
        <v>1.0</v>
      </c>
      <c r="E916" s="82">
        <v>1.0</v>
      </c>
      <c r="F916" s="76">
        <v>672.0</v>
      </c>
    </row>
    <row r="917">
      <c r="A917" s="73">
        <v>2012.0</v>
      </c>
      <c r="B917" s="74" t="s">
        <v>99</v>
      </c>
      <c r="C917" s="81">
        <v>64.6</v>
      </c>
      <c r="D917" s="73">
        <v>1.0</v>
      </c>
      <c r="E917" s="82">
        <v>1.0</v>
      </c>
      <c r="F917" s="76">
        <v>932.0</v>
      </c>
      <c r="G917">
        <f>AVERAGE(F917:F920)</f>
        <v>775</v>
      </c>
    </row>
    <row r="918">
      <c r="A918" s="73">
        <v>2013.0</v>
      </c>
      <c r="B918" s="74" t="s">
        <v>99</v>
      </c>
      <c r="C918" s="81">
        <v>64.6</v>
      </c>
      <c r="D918" s="73">
        <v>1.0</v>
      </c>
      <c r="E918" s="82">
        <v>1.0</v>
      </c>
      <c r="F918" s="76">
        <v>460.0</v>
      </c>
    </row>
    <row r="919">
      <c r="A919" s="73">
        <v>2014.0</v>
      </c>
      <c r="B919" s="74" t="s">
        <v>99</v>
      </c>
      <c r="C919" s="81">
        <v>64.6</v>
      </c>
      <c r="D919" s="73">
        <v>1.0</v>
      </c>
      <c r="E919" s="83">
        <v>1.0</v>
      </c>
      <c r="F919" s="76">
        <v>80.0</v>
      </c>
    </row>
    <row r="920">
      <c r="A920" s="84">
        <v>2015.0</v>
      </c>
      <c r="B920" s="85" t="s">
        <v>99</v>
      </c>
      <c r="C920" s="81">
        <v>54.6</v>
      </c>
      <c r="D920" s="73">
        <v>1.0</v>
      </c>
      <c r="E920" s="83">
        <v>1.0</v>
      </c>
      <c r="F920" s="76">
        <v>1628.0</v>
      </c>
    </row>
    <row r="921">
      <c r="A921" s="73">
        <v>2016.0</v>
      </c>
      <c r="B921" s="85" t="s">
        <v>99</v>
      </c>
      <c r="C921" s="81">
        <v>67.6</v>
      </c>
      <c r="D921" s="73">
        <v>1.0</v>
      </c>
      <c r="E921" s="83">
        <v>1.0</v>
      </c>
      <c r="F921" s="76">
        <v>848.0</v>
      </c>
      <c r="G921">
        <f>AVERAGE(F921)</f>
        <v>848</v>
      </c>
    </row>
    <row r="922">
      <c r="A922" s="73">
        <v>2017.0</v>
      </c>
      <c r="B922" s="85" t="s">
        <v>99</v>
      </c>
      <c r="C922" s="81">
        <v>67.6</v>
      </c>
      <c r="D922" s="73">
        <v>1.0</v>
      </c>
      <c r="E922" s="83">
        <v>1.0</v>
      </c>
      <c r="F922" s="76">
        <v>219.0</v>
      </c>
      <c r="G922">
        <f>AVERAGE(F922:F923)</f>
        <v>109.5</v>
      </c>
    </row>
    <row r="923">
      <c r="A923" s="73">
        <v>2018.0</v>
      </c>
      <c r="B923" s="85" t="s">
        <v>99</v>
      </c>
      <c r="C923" s="81">
        <v>54.0</v>
      </c>
      <c r="D923" s="73">
        <v>1.0</v>
      </c>
      <c r="E923" s="88">
        <v>1.0</v>
      </c>
      <c r="F923" s="76">
        <v>0.0</v>
      </c>
    </row>
    <row r="924" hidden="1">
      <c r="A924" s="69">
        <v>2002.0</v>
      </c>
      <c r="B924" s="70" t="s">
        <v>104</v>
      </c>
      <c r="C924" s="71">
        <v>13.17</v>
      </c>
      <c r="D924" s="69">
        <v>0.0</v>
      </c>
      <c r="E924" s="72">
        <v>0.0</v>
      </c>
      <c r="F924" s="72">
        <v>0.0</v>
      </c>
    </row>
    <row r="925">
      <c r="A925" s="73">
        <v>2003.0</v>
      </c>
      <c r="B925" s="74" t="s">
        <v>100</v>
      </c>
      <c r="C925" s="75">
        <v>50.65</v>
      </c>
      <c r="D925" s="73">
        <v>1.0</v>
      </c>
      <c r="E925" s="76">
        <v>0.0</v>
      </c>
      <c r="F925" s="76">
        <v>0.0</v>
      </c>
      <c r="G925">
        <f>AVERAGE(F925:F929)</f>
        <v>405.6</v>
      </c>
    </row>
    <row r="926">
      <c r="A926" s="73">
        <v>2004.0</v>
      </c>
      <c r="B926" s="74" t="s">
        <v>100</v>
      </c>
      <c r="C926" s="75">
        <v>50.65</v>
      </c>
      <c r="D926" s="73">
        <v>1.0</v>
      </c>
      <c r="E926" s="77">
        <v>1.0</v>
      </c>
      <c r="F926" s="76">
        <v>1060.0</v>
      </c>
    </row>
    <row r="927">
      <c r="A927" s="73">
        <v>2005.0</v>
      </c>
      <c r="B927" s="74" t="s">
        <v>100</v>
      </c>
      <c r="C927" s="75">
        <v>50.65</v>
      </c>
      <c r="D927" s="73">
        <v>1.0</v>
      </c>
      <c r="E927" s="78">
        <v>1.0</v>
      </c>
      <c r="F927" s="76">
        <v>968.0</v>
      </c>
    </row>
    <row r="928">
      <c r="A928" s="73">
        <v>2006.0</v>
      </c>
      <c r="B928" s="74" t="s">
        <v>100</v>
      </c>
      <c r="C928" s="75">
        <v>50.65</v>
      </c>
      <c r="D928" s="73">
        <v>1.0</v>
      </c>
      <c r="E928" s="78">
        <v>1.0</v>
      </c>
      <c r="F928" s="76">
        <v>0.0</v>
      </c>
    </row>
    <row r="929">
      <c r="A929" s="73">
        <v>2007.0</v>
      </c>
      <c r="B929" s="74" t="s">
        <v>100</v>
      </c>
      <c r="C929" s="75">
        <v>66.72</v>
      </c>
      <c r="D929" s="73">
        <v>1.0</v>
      </c>
      <c r="E929" s="78">
        <v>1.0</v>
      </c>
      <c r="F929" s="76">
        <v>0.0</v>
      </c>
    </row>
    <row r="930">
      <c r="A930" s="73">
        <v>2008.0</v>
      </c>
      <c r="B930" s="74" t="s">
        <v>100</v>
      </c>
      <c r="C930" s="75">
        <v>66.72</v>
      </c>
      <c r="D930" s="73">
        <v>1.0</v>
      </c>
      <c r="E930" s="78">
        <v>1.0</v>
      </c>
      <c r="F930" s="76">
        <v>904.0</v>
      </c>
      <c r="G930">
        <f>AVERAGE(F930:F933)</f>
        <v>1089.5</v>
      </c>
    </row>
    <row r="931">
      <c r="A931" s="73">
        <v>2009.0</v>
      </c>
      <c r="B931" s="74" t="s">
        <v>100</v>
      </c>
      <c r="C931" s="75">
        <v>66.72</v>
      </c>
      <c r="D931" s="73">
        <v>1.0</v>
      </c>
      <c r="E931" s="79">
        <v>1.0</v>
      </c>
      <c r="F931" s="76">
        <v>408.0</v>
      </c>
    </row>
    <row r="932">
      <c r="A932" s="73">
        <v>2010.0</v>
      </c>
      <c r="B932" s="74" t="s">
        <v>100</v>
      </c>
      <c r="C932" s="75">
        <v>66.72</v>
      </c>
      <c r="D932" s="73">
        <v>1.0</v>
      </c>
      <c r="E932" s="82">
        <v>1.0</v>
      </c>
      <c r="F932" s="76">
        <v>90.0</v>
      </c>
    </row>
    <row r="933">
      <c r="A933" s="73">
        <v>2011.0</v>
      </c>
      <c r="B933" s="74" t="s">
        <v>100</v>
      </c>
      <c r="C933" s="81">
        <v>68.0</v>
      </c>
      <c r="D933" s="73">
        <v>1.0</v>
      </c>
      <c r="E933" s="82">
        <v>1.0</v>
      </c>
      <c r="F933" s="76">
        <v>2956.0</v>
      </c>
    </row>
    <row r="934">
      <c r="A934" s="73">
        <v>2012.0</v>
      </c>
      <c r="B934" s="74" t="s">
        <v>100</v>
      </c>
      <c r="C934" s="81">
        <v>68.0</v>
      </c>
      <c r="D934" s="73">
        <v>1.0</v>
      </c>
      <c r="E934" s="82">
        <v>1.0</v>
      </c>
      <c r="F934" s="76">
        <v>590.0</v>
      </c>
      <c r="G934">
        <f>AVERAGE(F934:F937)</f>
        <v>1190</v>
      </c>
    </row>
    <row r="935">
      <c r="A935" s="73">
        <v>2013.0</v>
      </c>
      <c r="B935" s="74" t="s">
        <v>100</v>
      </c>
      <c r="C935" s="81">
        <v>68.0</v>
      </c>
      <c r="D935" s="73">
        <v>1.0</v>
      </c>
      <c r="E935" s="82">
        <v>1.0</v>
      </c>
      <c r="F935" s="76">
        <v>4016.0</v>
      </c>
    </row>
    <row r="936">
      <c r="A936" s="73">
        <v>2014.0</v>
      </c>
      <c r="B936" s="74" t="s">
        <v>100</v>
      </c>
      <c r="C936" s="81">
        <v>68.0</v>
      </c>
      <c r="D936" s="73">
        <v>1.0</v>
      </c>
      <c r="E936" s="83">
        <v>1.0</v>
      </c>
      <c r="F936" s="76">
        <v>120.0</v>
      </c>
    </row>
    <row r="937">
      <c r="A937" s="84">
        <v>2015.0</v>
      </c>
      <c r="B937" s="85" t="s">
        <v>100</v>
      </c>
      <c r="C937" s="81">
        <v>58.6</v>
      </c>
      <c r="D937" s="73">
        <v>1.0</v>
      </c>
      <c r="E937" s="83">
        <v>1.0</v>
      </c>
      <c r="F937" s="76">
        <v>34.0</v>
      </c>
    </row>
    <row r="938">
      <c r="A938" s="73">
        <v>2016.0</v>
      </c>
      <c r="B938" s="85" t="s">
        <v>100</v>
      </c>
      <c r="C938" s="81">
        <v>67.9</v>
      </c>
      <c r="D938" s="73">
        <v>1.0</v>
      </c>
      <c r="E938" s="83">
        <v>1.0</v>
      </c>
      <c r="F938" s="76">
        <v>652.0</v>
      </c>
      <c r="G938">
        <f>AVERAGE(F938)</f>
        <v>652</v>
      </c>
    </row>
    <row r="939">
      <c r="A939" s="73">
        <v>2017.0</v>
      </c>
      <c r="B939" s="85" t="s">
        <v>100</v>
      </c>
      <c r="C939" s="81">
        <v>67.9</v>
      </c>
      <c r="D939" s="73">
        <v>1.0</v>
      </c>
      <c r="E939" s="83">
        <v>1.0</v>
      </c>
      <c r="F939" s="76">
        <v>72.0</v>
      </c>
      <c r="G939">
        <f>AVERAGE(F939:F940)</f>
        <v>227.5</v>
      </c>
    </row>
    <row r="940">
      <c r="A940" s="73">
        <v>2018.0</v>
      </c>
      <c r="B940" s="85" t="s">
        <v>100</v>
      </c>
      <c r="C940" s="81">
        <v>53.3</v>
      </c>
      <c r="D940" s="73">
        <v>1.0</v>
      </c>
      <c r="E940" s="88">
        <v>1.0</v>
      </c>
      <c r="F940" s="76">
        <v>383.0</v>
      </c>
    </row>
    <row r="941" hidden="1">
      <c r="A941" s="69">
        <v>2002.0</v>
      </c>
      <c r="B941" s="70" t="s">
        <v>105</v>
      </c>
      <c r="C941" s="71">
        <v>16.9</v>
      </c>
      <c r="D941" s="69">
        <v>0.0</v>
      </c>
      <c r="E941" s="72">
        <v>0.0</v>
      </c>
      <c r="F941" s="72">
        <v>0.0</v>
      </c>
    </row>
    <row r="942">
      <c r="A942" s="73">
        <v>2003.0</v>
      </c>
      <c r="B942" s="74" t="s">
        <v>101</v>
      </c>
      <c r="C942" s="75">
        <v>30.14</v>
      </c>
      <c r="D942" s="73">
        <v>0.0</v>
      </c>
      <c r="E942" s="76">
        <v>0.0</v>
      </c>
      <c r="F942" s="76">
        <v>0.0</v>
      </c>
      <c r="G942">
        <f>AVERAGE(F942:F946)</f>
        <v>351.2</v>
      </c>
    </row>
    <row r="943">
      <c r="A943" s="73">
        <v>2004.0</v>
      </c>
      <c r="B943" s="74" t="s">
        <v>101</v>
      </c>
      <c r="C943" s="75">
        <v>30.14</v>
      </c>
      <c r="D943" s="73">
        <v>0.0</v>
      </c>
      <c r="E943" s="77">
        <v>1.0</v>
      </c>
      <c r="F943" s="76">
        <v>0.0</v>
      </c>
    </row>
    <row r="944">
      <c r="A944" s="73">
        <v>2005.0</v>
      </c>
      <c r="B944" s="74" t="s">
        <v>101</v>
      </c>
      <c r="C944" s="75">
        <v>30.14</v>
      </c>
      <c r="D944" s="73">
        <v>0.0</v>
      </c>
      <c r="E944" s="78">
        <v>1.0</v>
      </c>
      <c r="F944" s="76">
        <v>416.0</v>
      </c>
    </row>
    <row r="945">
      <c r="A945" s="73">
        <v>2006.0</v>
      </c>
      <c r="B945" s="74" t="s">
        <v>101</v>
      </c>
      <c r="C945" s="75">
        <v>30.14</v>
      </c>
      <c r="D945" s="73">
        <v>0.0</v>
      </c>
      <c r="E945" s="78">
        <v>1.0</v>
      </c>
      <c r="F945" s="76">
        <v>0.0</v>
      </c>
    </row>
    <row r="946">
      <c r="A946" s="73">
        <v>2007.0</v>
      </c>
      <c r="B946" s="74" t="s">
        <v>101</v>
      </c>
      <c r="C946" s="75">
        <v>40.94</v>
      </c>
      <c r="D946" s="73">
        <v>1.0</v>
      </c>
      <c r="E946" s="78">
        <v>1.0</v>
      </c>
      <c r="F946" s="76">
        <v>1340.0</v>
      </c>
    </row>
    <row r="947">
      <c r="A947" s="73">
        <v>2008.0</v>
      </c>
      <c r="B947" s="74" t="s">
        <v>101</v>
      </c>
      <c r="C947" s="75">
        <v>40.94</v>
      </c>
      <c r="D947" s="73">
        <v>1.0</v>
      </c>
      <c r="E947" s="78">
        <v>1.0</v>
      </c>
      <c r="F947" s="76">
        <v>0.0</v>
      </c>
      <c r="G947">
        <f>AVERAGE(F947:F950)</f>
        <v>162</v>
      </c>
    </row>
    <row r="948">
      <c r="A948" s="73">
        <v>2009.0</v>
      </c>
      <c r="B948" s="74" t="s">
        <v>101</v>
      </c>
      <c r="C948" s="75">
        <v>40.94</v>
      </c>
      <c r="D948" s="73">
        <v>1.0</v>
      </c>
      <c r="E948" s="79">
        <v>0.0</v>
      </c>
      <c r="F948" s="76">
        <v>0.0</v>
      </c>
    </row>
    <row r="949">
      <c r="A949" s="73">
        <v>2010.0</v>
      </c>
      <c r="B949" s="74" t="s">
        <v>101</v>
      </c>
      <c r="C949" s="75">
        <v>40.94</v>
      </c>
      <c r="D949" s="73">
        <v>1.0</v>
      </c>
      <c r="E949" s="82">
        <v>0.0</v>
      </c>
      <c r="F949" s="76">
        <v>192.0</v>
      </c>
    </row>
    <row r="950">
      <c r="A950" s="73">
        <v>2011.0</v>
      </c>
      <c r="B950" s="74" t="s">
        <v>101</v>
      </c>
      <c r="C950" s="81">
        <v>47.0</v>
      </c>
      <c r="D950" s="73">
        <v>1.0</v>
      </c>
      <c r="E950" s="82">
        <v>0.0</v>
      </c>
      <c r="F950" s="76">
        <v>456.0</v>
      </c>
    </row>
    <row r="951">
      <c r="A951" s="73">
        <v>2012.0</v>
      </c>
      <c r="B951" s="74" t="s">
        <v>101</v>
      </c>
      <c r="C951" s="81">
        <v>47.0</v>
      </c>
      <c r="D951" s="73">
        <v>1.0</v>
      </c>
      <c r="E951" s="82">
        <v>0.0</v>
      </c>
      <c r="F951" s="76">
        <v>102.0</v>
      </c>
      <c r="G951">
        <f>AVERAGE(F951:F954)</f>
        <v>561.5</v>
      </c>
    </row>
    <row r="952">
      <c r="A952" s="73">
        <v>2013.0</v>
      </c>
      <c r="B952" s="74" t="s">
        <v>101</v>
      </c>
      <c r="C952" s="81">
        <v>47.0</v>
      </c>
      <c r="D952" s="73">
        <v>1.0</v>
      </c>
      <c r="E952" s="82">
        <v>0.0</v>
      </c>
      <c r="F952" s="76">
        <v>282.0</v>
      </c>
    </row>
    <row r="953">
      <c r="A953" s="73">
        <v>2014.0</v>
      </c>
      <c r="B953" s="74" t="s">
        <v>101</v>
      </c>
      <c r="C953" s="81">
        <v>47.0</v>
      </c>
      <c r="D953" s="73">
        <v>1.0</v>
      </c>
      <c r="E953" s="83">
        <v>0.0</v>
      </c>
      <c r="F953" s="76">
        <v>141.0</v>
      </c>
    </row>
    <row r="954">
      <c r="A954" s="84">
        <v>2015.0</v>
      </c>
      <c r="B954" s="85" t="s">
        <v>101</v>
      </c>
      <c r="C954" s="81">
        <v>36.8</v>
      </c>
      <c r="D954" s="73">
        <v>0.0</v>
      </c>
      <c r="E954" s="83">
        <v>0.0</v>
      </c>
      <c r="F954" s="76">
        <v>1721.0</v>
      </c>
    </row>
    <row r="955">
      <c r="A955" s="73">
        <v>2016.0</v>
      </c>
      <c r="B955" s="85" t="s">
        <v>101</v>
      </c>
      <c r="C955" s="81">
        <v>44.0</v>
      </c>
      <c r="D955" s="73">
        <v>1.0</v>
      </c>
      <c r="E955" s="83">
        <v>0.0</v>
      </c>
      <c r="F955" s="76">
        <v>0.0</v>
      </c>
      <c r="G955">
        <f>AVERAGE(F955)</f>
        <v>0</v>
      </c>
    </row>
    <row r="956">
      <c r="A956" s="73">
        <v>2017.0</v>
      </c>
      <c r="B956" s="85" t="s">
        <v>101</v>
      </c>
      <c r="C956" s="81">
        <v>44.0</v>
      </c>
      <c r="D956" s="73">
        <v>1.0</v>
      </c>
      <c r="E956" s="83">
        <v>0.0</v>
      </c>
      <c r="F956" s="76">
        <v>1978.0</v>
      </c>
      <c r="G956">
        <f>AVERAGE(F956:F957)</f>
        <v>1106</v>
      </c>
    </row>
    <row r="957">
      <c r="A957" s="73">
        <v>2018.0</v>
      </c>
      <c r="B957" s="85" t="s">
        <v>101</v>
      </c>
      <c r="C957" s="81">
        <v>39.1</v>
      </c>
      <c r="D957" s="73">
        <v>0.0</v>
      </c>
      <c r="E957" s="88">
        <v>1.0</v>
      </c>
      <c r="F957" s="76">
        <v>234.0</v>
      </c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</row>
    <row r="958" hidden="1">
      <c r="A958" s="69">
        <v>2002.0</v>
      </c>
      <c r="B958" s="70" t="s">
        <v>106</v>
      </c>
      <c r="C958" s="71">
        <v>43.63</v>
      </c>
      <c r="D958" s="69">
        <v>1.0</v>
      </c>
      <c r="E958" s="72">
        <v>0.0</v>
      </c>
      <c r="F958" s="72">
        <v>0.0</v>
      </c>
    </row>
    <row r="959">
      <c r="A959" s="73">
        <v>2003.0</v>
      </c>
      <c r="B959" s="74" t="s">
        <v>102</v>
      </c>
      <c r="C959" s="75">
        <v>15.43</v>
      </c>
      <c r="D959" s="73">
        <v>0.0</v>
      </c>
      <c r="E959" s="76">
        <v>0.0</v>
      </c>
      <c r="F959" s="76">
        <v>0.0</v>
      </c>
      <c r="G959">
        <f>AVERAGE(F959:F963)</f>
        <v>217.6</v>
      </c>
    </row>
    <row r="960">
      <c r="A960" s="73">
        <v>2004.0</v>
      </c>
      <c r="B960" s="74" t="s">
        <v>102</v>
      </c>
      <c r="C960" s="75">
        <v>15.43</v>
      </c>
      <c r="D960" s="73">
        <v>0.0</v>
      </c>
      <c r="E960" s="77">
        <v>0.0</v>
      </c>
      <c r="F960" s="76">
        <v>0.0</v>
      </c>
    </row>
    <row r="961">
      <c r="A961" s="73">
        <v>2005.0</v>
      </c>
      <c r="B961" s="74" t="s">
        <v>102</v>
      </c>
      <c r="C961" s="75">
        <v>15.43</v>
      </c>
      <c r="D961" s="73">
        <v>0.0</v>
      </c>
      <c r="E961" s="78">
        <v>0.0</v>
      </c>
      <c r="F961" s="76">
        <v>1088.0</v>
      </c>
    </row>
    <row r="962">
      <c r="A962" s="73">
        <v>2006.0</v>
      </c>
      <c r="B962" s="74" t="s">
        <v>102</v>
      </c>
      <c r="C962" s="75">
        <v>15.43</v>
      </c>
      <c r="D962" s="73">
        <v>0.0</v>
      </c>
      <c r="E962" s="78">
        <v>0.0</v>
      </c>
      <c r="F962" s="76">
        <v>0.0</v>
      </c>
    </row>
    <row r="963">
      <c r="A963" s="73">
        <v>2007.0</v>
      </c>
      <c r="B963" s="74" t="s">
        <v>102</v>
      </c>
      <c r="C963" s="75">
        <v>44.06</v>
      </c>
      <c r="D963" s="73">
        <v>1.0</v>
      </c>
      <c r="E963" s="78">
        <v>0.0</v>
      </c>
      <c r="F963" s="76">
        <v>0.0</v>
      </c>
    </row>
    <row r="964">
      <c r="A964" s="73">
        <v>2008.0</v>
      </c>
      <c r="B964" s="74" t="s">
        <v>102</v>
      </c>
      <c r="C964" s="75">
        <v>44.06</v>
      </c>
      <c r="D964" s="73">
        <v>1.0</v>
      </c>
      <c r="E964" s="78">
        <v>0.0</v>
      </c>
      <c r="F964" s="76">
        <v>0.0</v>
      </c>
      <c r="G964">
        <f>AVERAGE(F964:F967)</f>
        <v>94</v>
      </c>
    </row>
    <row r="965">
      <c r="A965" s="73">
        <v>2009.0</v>
      </c>
      <c r="B965" s="74" t="s">
        <v>102</v>
      </c>
      <c r="C965" s="75">
        <v>44.06</v>
      </c>
      <c r="D965" s="73">
        <v>1.0</v>
      </c>
      <c r="E965" s="79">
        <v>1.0</v>
      </c>
      <c r="F965" s="76">
        <v>68.0</v>
      </c>
    </row>
    <row r="966">
      <c r="A966" s="73">
        <v>2010.0</v>
      </c>
      <c r="B966" s="74" t="s">
        <v>102</v>
      </c>
      <c r="C966" s="75">
        <v>44.06</v>
      </c>
      <c r="D966" s="73">
        <v>1.0</v>
      </c>
      <c r="E966" s="82">
        <v>1.0</v>
      </c>
      <c r="F966" s="76">
        <v>304.0</v>
      </c>
    </row>
    <row r="967">
      <c r="A967" s="73">
        <v>2011.0</v>
      </c>
      <c r="B967" s="74" t="s">
        <v>102</v>
      </c>
      <c r="C967" s="81">
        <v>32.2</v>
      </c>
      <c r="D967" s="73">
        <v>0.0</v>
      </c>
      <c r="E967" s="82">
        <v>1.0</v>
      </c>
      <c r="F967" s="76">
        <v>4.0</v>
      </c>
    </row>
    <row r="968">
      <c r="A968" s="73">
        <v>2012.0</v>
      </c>
      <c r="B968" s="74" t="s">
        <v>102</v>
      </c>
      <c r="C968" s="81">
        <v>32.2</v>
      </c>
      <c r="D968" s="73">
        <v>0.0</v>
      </c>
      <c r="E968" s="82">
        <v>1.0</v>
      </c>
      <c r="F968" s="76">
        <v>44.0</v>
      </c>
      <c r="G968">
        <f>AVERAGE(F968:F971)</f>
        <v>513</v>
      </c>
    </row>
    <row r="969">
      <c r="A969" s="73">
        <v>2013.0</v>
      </c>
      <c r="B969" s="74" t="s">
        <v>102</v>
      </c>
      <c r="C969" s="81">
        <v>32.2</v>
      </c>
      <c r="D969" s="73">
        <v>0.0</v>
      </c>
      <c r="E969" s="82">
        <v>1.0</v>
      </c>
      <c r="F969" s="76">
        <v>1453.0</v>
      </c>
    </row>
    <row r="970">
      <c r="A970" s="73">
        <v>2014.0</v>
      </c>
      <c r="B970" s="74" t="s">
        <v>102</v>
      </c>
      <c r="C970" s="81">
        <v>32.2</v>
      </c>
      <c r="D970" s="73">
        <v>0.0</v>
      </c>
      <c r="E970" s="83">
        <v>0.0</v>
      </c>
      <c r="F970" s="76">
        <v>555.0</v>
      </c>
    </row>
    <row r="971">
      <c r="A971" s="84">
        <v>2015.0</v>
      </c>
      <c r="B971" s="85" t="s">
        <v>102</v>
      </c>
      <c r="C971" s="81">
        <v>19.2</v>
      </c>
      <c r="D971" s="73">
        <v>0.0</v>
      </c>
      <c r="E971" s="83">
        <v>0.0</v>
      </c>
      <c r="F971" s="76">
        <v>0.0</v>
      </c>
    </row>
    <row r="972">
      <c r="A972" s="73">
        <v>2016.0</v>
      </c>
      <c r="B972" s="85" t="s">
        <v>102</v>
      </c>
      <c r="C972" s="81">
        <v>28.5</v>
      </c>
      <c r="D972" s="73">
        <v>0.0</v>
      </c>
      <c r="E972" s="83">
        <v>0.0</v>
      </c>
      <c r="F972" s="76">
        <v>0.0</v>
      </c>
      <c r="G972">
        <f>AVERAGE(F972)</f>
        <v>0</v>
      </c>
    </row>
    <row r="973">
      <c r="A973" s="73">
        <v>2017.0</v>
      </c>
      <c r="B973" s="85" t="s">
        <v>102</v>
      </c>
      <c r="C973" s="81">
        <v>28.5</v>
      </c>
      <c r="D973" s="73">
        <v>0.0</v>
      </c>
      <c r="E973" s="83">
        <v>0.0</v>
      </c>
      <c r="F973" s="76">
        <v>0.0</v>
      </c>
      <c r="G973">
        <f>AVERAGE(F973:F974)</f>
        <v>0</v>
      </c>
    </row>
    <row r="974">
      <c r="A974" s="73">
        <v>2018.0</v>
      </c>
      <c r="B974" s="85" t="s">
        <v>102</v>
      </c>
      <c r="C974" s="81">
        <v>29.5</v>
      </c>
      <c r="D974" s="73">
        <v>0.0</v>
      </c>
      <c r="E974" s="88">
        <v>1.0</v>
      </c>
      <c r="F974" s="76">
        <v>0.0</v>
      </c>
    </row>
    <row r="975" hidden="1">
      <c r="A975" s="69">
        <v>2002.0</v>
      </c>
      <c r="B975" s="70" t="s">
        <v>107</v>
      </c>
      <c r="C975" s="71">
        <v>42.17</v>
      </c>
      <c r="D975" s="69">
        <v>1.0</v>
      </c>
      <c r="E975" s="72">
        <v>0.0</v>
      </c>
      <c r="F975" s="72">
        <v>0.0</v>
      </c>
    </row>
    <row r="976">
      <c r="A976" s="73">
        <v>2003.0</v>
      </c>
      <c r="B976" s="74" t="s">
        <v>103</v>
      </c>
      <c r="C976" s="75">
        <v>18.07</v>
      </c>
      <c r="D976" s="73">
        <v>0.0</v>
      </c>
      <c r="E976" s="76">
        <v>0.0</v>
      </c>
      <c r="F976" s="76">
        <v>0.0</v>
      </c>
      <c r="G976">
        <f>AVERAGE(F976:F980)</f>
        <v>587</v>
      </c>
    </row>
    <row r="977">
      <c r="A977" s="73">
        <v>2004.0</v>
      </c>
      <c r="B977" s="74" t="s">
        <v>103</v>
      </c>
      <c r="C977" s="75">
        <v>18.07</v>
      </c>
      <c r="D977" s="73">
        <v>0.0</v>
      </c>
      <c r="E977" s="77">
        <v>0.0</v>
      </c>
      <c r="F977" s="76">
        <v>0.0</v>
      </c>
    </row>
    <row r="978">
      <c r="A978" s="73">
        <v>2005.0</v>
      </c>
      <c r="B978" s="74" t="s">
        <v>103</v>
      </c>
      <c r="C978" s="75">
        <v>18.07</v>
      </c>
      <c r="D978" s="73">
        <v>0.0</v>
      </c>
      <c r="E978" s="78">
        <v>0.0</v>
      </c>
      <c r="F978" s="87">
        <v>480.0</v>
      </c>
    </row>
    <row r="979">
      <c r="A979" s="73">
        <v>2006.0</v>
      </c>
      <c r="B979" s="74" t="s">
        <v>103</v>
      </c>
      <c r="C979" s="75">
        <v>18.07</v>
      </c>
      <c r="D979" s="73">
        <v>0.0</v>
      </c>
      <c r="E979" s="78">
        <v>0.0</v>
      </c>
      <c r="F979" s="87">
        <f>560+
407</f>
        <v>967</v>
      </c>
    </row>
    <row r="980">
      <c r="A980" s="73">
        <v>2007.0</v>
      </c>
      <c r="B980" s="74" t="s">
        <v>103</v>
      </c>
      <c r="C980" s="75">
        <v>27.16</v>
      </c>
      <c r="D980" s="73">
        <v>0.0</v>
      </c>
      <c r="E980" s="78">
        <v>0.0</v>
      </c>
      <c r="F980" s="76">
        <f>612+
340+
536</f>
        <v>1488</v>
      </c>
    </row>
    <row r="981">
      <c r="A981" s="73">
        <v>2008.0</v>
      </c>
      <c r="B981" s="74" t="s">
        <v>103</v>
      </c>
      <c r="C981" s="75">
        <v>27.16</v>
      </c>
      <c r="D981" s="73">
        <v>0.0</v>
      </c>
      <c r="E981" s="78">
        <v>0.0</v>
      </c>
      <c r="F981" s="76">
        <f>160+
80+
63</f>
        <v>303</v>
      </c>
      <c r="G981">
        <f>AVERAGE(F981:F984)</f>
        <v>195.75</v>
      </c>
    </row>
    <row r="982">
      <c r="A982" s="73">
        <v>2009.0</v>
      </c>
      <c r="B982" s="74" t="s">
        <v>103</v>
      </c>
      <c r="C982" s="75">
        <v>27.16</v>
      </c>
      <c r="D982" s="73">
        <v>0.0</v>
      </c>
      <c r="E982" s="79">
        <v>0.0</v>
      </c>
      <c r="F982" s="76">
        <v>0.0</v>
      </c>
    </row>
    <row r="983">
      <c r="A983" s="73">
        <v>2010.0</v>
      </c>
      <c r="B983" s="74" t="s">
        <v>103</v>
      </c>
      <c r="C983" s="75">
        <v>27.16</v>
      </c>
      <c r="D983" s="73">
        <v>0.0</v>
      </c>
      <c r="E983" s="82">
        <v>0.0</v>
      </c>
      <c r="F983" s="87">
        <v>384.0</v>
      </c>
    </row>
    <row r="984">
      <c r="A984" s="73">
        <v>2011.0</v>
      </c>
      <c r="B984" s="74" t="s">
        <v>103</v>
      </c>
      <c r="C984" s="81">
        <v>32.0</v>
      </c>
      <c r="D984" s="73">
        <v>0.0</v>
      </c>
      <c r="E984" s="82">
        <v>0.0</v>
      </c>
      <c r="F984" s="87">
        <v>96.0</v>
      </c>
    </row>
    <row r="985">
      <c r="A985" s="73">
        <v>2012.0</v>
      </c>
      <c r="B985" s="74" t="s">
        <v>103</v>
      </c>
      <c r="C985" s="81">
        <v>32.0</v>
      </c>
      <c r="D985" s="73">
        <v>0.0</v>
      </c>
      <c r="E985" s="82">
        <v>0.0</v>
      </c>
      <c r="F985" s="76">
        <v>0.0</v>
      </c>
      <c r="G985">
        <f>AVERAGE(F985:F988)</f>
        <v>0</v>
      </c>
    </row>
    <row r="986">
      <c r="A986" s="73">
        <v>2013.0</v>
      </c>
      <c r="B986" s="74" t="s">
        <v>103</v>
      </c>
      <c r="C986" s="81">
        <v>32.0</v>
      </c>
      <c r="D986" s="73">
        <v>0.0</v>
      </c>
      <c r="E986" s="82">
        <v>0.0</v>
      </c>
      <c r="F986" s="76">
        <v>0.0</v>
      </c>
    </row>
    <row r="987">
      <c r="A987" s="73">
        <v>2014.0</v>
      </c>
      <c r="B987" s="74" t="s">
        <v>103</v>
      </c>
      <c r="C987" s="81">
        <v>32.0</v>
      </c>
      <c r="D987" s="73">
        <v>0.0</v>
      </c>
      <c r="E987" s="83">
        <v>0.0</v>
      </c>
      <c r="F987" s="76">
        <v>0.0</v>
      </c>
    </row>
    <row r="988">
      <c r="A988" s="84">
        <v>2015.0</v>
      </c>
      <c r="B988" s="85" t="s">
        <v>103</v>
      </c>
      <c r="C988" s="81">
        <v>25.9</v>
      </c>
      <c r="D988" s="73">
        <v>0.0</v>
      </c>
      <c r="E988" s="83">
        <v>0.0</v>
      </c>
      <c r="F988" s="76">
        <v>0.0</v>
      </c>
    </row>
    <row r="989">
      <c r="A989" s="73">
        <v>2016.0</v>
      </c>
      <c r="B989" s="85" t="s">
        <v>103</v>
      </c>
      <c r="C989" s="81">
        <v>31.1</v>
      </c>
      <c r="D989" s="73">
        <v>0.0</v>
      </c>
      <c r="E989" s="83">
        <v>0.0</v>
      </c>
      <c r="F989" s="76">
        <v>0.0</v>
      </c>
      <c r="G989">
        <f>AVERAGE(F989)</f>
        <v>0</v>
      </c>
    </row>
    <row r="990">
      <c r="A990" s="73">
        <v>2017.0</v>
      </c>
      <c r="B990" s="85" t="s">
        <v>103</v>
      </c>
      <c r="C990" s="81">
        <v>31.1</v>
      </c>
      <c r="D990" s="73">
        <v>0.0</v>
      </c>
      <c r="E990" s="83">
        <v>0.0</v>
      </c>
      <c r="F990" s="76">
        <v>0.0</v>
      </c>
      <c r="G990">
        <f>AVERAGE(F990:F991)</f>
        <v>102.5</v>
      </c>
    </row>
    <row r="991">
      <c r="A991" s="73">
        <v>2018.0</v>
      </c>
      <c r="B991" s="85" t="s">
        <v>103</v>
      </c>
      <c r="C991" s="81">
        <v>27.4</v>
      </c>
      <c r="D991" s="73">
        <v>0.0</v>
      </c>
      <c r="E991" s="88">
        <v>0.0</v>
      </c>
      <c r="F991" s="96">
        <v>205.0</v>
      </c>
    </row>
    <row r="992" hidden="1">
      <c r="A992" s="69">
        <v>2002.0</v>
      </c>
      <c r="B992" s="70" t="s">
        <v>108</v>
      </c>
      <c r="C992" s="71">
        <v>41.5</v>
      </c>
      <c r="D992" s="69">
        <v>1.0</v>
      </c>
      <c r="E992" s="72">
        <v>0.0</v>
      </c>
      <c r="F992" s="72">
        <v>0.0</v>
      </c>
    </row>
    <row r="993">
      <c r="A993" s="73">
        <v>2003.0</v>
      </c>
      <c r="B993" s="74" t="s">
        <v>104</v>
      </c>
      <c r="C993" s="75">
        <v>13.17</v>
      </c>
      <c r="D993" s="73">
        <v>0.0</v>
      </c>
      <c r="E993" s="76">
        <v>0.0</v>
      </c>
      <c r="F993" s="76">
        <v>0.0</v>
      </c>
      <c r="G993">
        <f>AVERAGE(F993:F997)</f>
        <v>199.2</v>
      </c>
    </row>
    <row r="994">
      <c r="A994" s="73">
        <v>2004.0</v>
      </c>
      <c r="B994" s="74" t="s">
        <v>104</v>
      </c>
      <c r="C994" s="75">
        <v>13.17</v>
      </c>
      <c r="D994" s="73">
        <v>0.0</v>
      </c>
      <c r="E994" s="77">
        <v>0.0</v>
      </c>
      <c r="F994" s="76">
        <v>0.0</v>
      </c>
    </row>
    <row r="995">
      <c r="A995" s="73">
        <v>2005.0</v>
      </c>
      <c r="B995" s="74" t="s">
        <v>104</v>
      </c>
      <c r="C995" s="75">
        <v>13.17</v>
      </c>
      <c r="D995" s="73">
        <v>0.0</v>
      </c>
      <c r="E995" s="78">
        <v>0.0</v>
      </c>
      <c r="F995" s="76">
        <v>880.0</v>
      </c>
    </row>
    <row r="996">
      <c r="A996" s="73">
        <v>2006.0</v>
      </c>
      <c r="B996" s="74" t="s">
        <v>104</v>
      </c>
      <c r="C996" s="75">
        <v>13.17</v>
      </c>
      <c r="D996" s="73">
        <v>0.0</v>
      </c>
      <c r="E996" s="78">
        <v>0.0</v>
      </c>
      <c r="F996" s="76">
        <v>0.0</v>
      </c>
    </row>
    <row r="997">
      <c r="A997" s="73">
        <v>2007.0</v>
      </c>
      <c r="B997" s="74" t="s">
        <v>104</v>
      </c>
      <c r="C997" s="75">
        <v>26.33</v>
      </c>
      <c r="D997" s="73">
        <v>0.0</v>
      </c>
      <c r="E997" s="78">
        <v>0.0</v>
      </c>
      <c r="F997" s="76">
        <v>116.0</v>
      </c>
    </row>
    <row r="998">
      <c r="A998" s="73">
        <v>2008.0</v>
      </c>
      <c r="B998" s="74" t="s">
        <v>104</v>
      </c>
      <c r="C998" s="75">
        <v>26.33</v>
      </c>
      <c r="D998" s="73">
        <v>0.0</v>
      </c>
      <c r="E998" s="78">
        <v>0.0</v>
      </c>
      <c r="F998" s="76">
        <v>127.0</v>
      </c>
      <c r="G998">
        <f>AVERAGE(F998:F1001)</f>
        <v>106.75</v>
      </c>
    </row>
    <row r="999">
      <c r="A999" s="73">
        <v>2009.0</v>
      </c>
      <c r="B999" s="74" t="s">
        <v>104</v>
      </c>
      <c r="C999" s="75">
        <v>26.33</v>
      </c>
      <c r="D999" s="73">
        <v>0.0</v>
      </c>
      <c r="E999" s="79">
        <v>0.0</v>
      </c>
      <c r="F999" s="76">
        <v>0.0</v>
      </c>
    </row>
    <row r="1000">
      <c r="A1000" s="73">
        <v>2010.0</v>
      </c>
      <c r="B1000" s="74" t="s">
        <v>104</v>
      </c>
      <c r="C1000" s="75">
        <v>26.33</v>
      </c>
      <c r="D1000" s="73">
        <v>0.0</v>
      </c>
      <c r="E1000" s="82">
        <v>0.0</v>
      </c>
      <c r="F1000" s="76">
        <v>0.0</v>
      </c>
    </row>
    <row r="1001">
      <c r="A1001" s="73">
        <v>2011.0</v>
      </c>
      <c r="B1001" s="74" t="s">
        <v>104</v>
      </c>
      <c r="C1001" s="81">
        <v>32.7</v>
      </c>
      <c r="D1001" s="73">
        <v>0.0</v>
      </c>
      <c r="E1001" s="82">
        <v>0.0</v>
      </c>
      <c r="F1001" s="76">
        <v>300.0</v>
      </c>
    </row>
    <row r="1002">
      <c r="A1002" s="73">
        <v>2012.0</v>
      </c>
      <c r="B1002" s="74" t="s">
        <v>104</v>
      </c>
      <c r="C1002" s="81">
        <v>32.7</v>
      </c>
      <c r="D1002" s="73">
        <v>0.0</v>
      </c>
      <c r="E1002" s="82">
        <v>0.0</v>
      </c>
      <c r="F1002" s="76">
        <v>112.0</v>
      </c>
      <c r="G1002">
        <f>AVERAGE(F1002:F1005)</f>
        <v>91.5</v>
      </c>
    </row>
    <row r="1003">
      <c r="A1003" s="73">
        <v>2013.0</v>
      </c>
      <c r="B1003" s="74" t="s">
        <v>104</v>
      </c>
      <c r="C1003" s="81">
        <v>32.7</v>
      </c>
      <c r="D1003" s="73">
        <v>0.0</v>
      </c>
      <c r="E1003" s="82">
        <v>0.0</v>
      </c>
      <c r="F1003" s="76">
        <v>254.0</v>
      </c>
    </row>
    <row r="1004">
      <c r="A1004" s="73">
        <v>2014.0</v>
      </c>
      <c r="B1004" s="74" t="s">
        <v>104</v>
      </c>
      <c r="C1004" s="81">
        <v>32.7</v>
      </c>
      <c r="D1004" s="73">
        <v>0.0</v>
      </c>
      <c r="E1004" s="83">
        <v>0.0</v>
      </c>
      <c r="F1004" s="76">
        <v>0.0</v>
      </c>
    </row>
    <row r="1005">
      <c r="A1005" s="84">
        <v>2015.0</v>
      </c>
      <c r="B1005" s="85" t="s">
        <v>104</v>
      </c>
      <c r="C1005" s="81">
        <v>26.4</v>
      </c>
      <c r="D1005" s="73">
        <v>0.0</v>
      </c>
      <c r="E1005" s="83">
        <v>0.0</v>
      </c>
      <c r="F1005" s="76">
        <v>0.0</v>
      </c>
    </row>
    <row r="1006">
      <c r="A1006" s="73">
        <v>2016.0</v>
      </c>
      <c r="B1006" s="85" t="s">
        <v>104</v>
      </c>
      <c r="C1006" s="81">
        <v>29.9</v>
      </c>
      <c r="D1006" s="73">
        <v>0.0</v>
      </c>
      <c r="E1006" s="83">
        <v>0.0</v>
      </c>
      <c r="F1006" s="76">
        <v>1515.0</v>
      </c>
      <c r="G1006">
        <f>AVERAGE(F1006)</f>
        <v>1515</v>
      </c>
    </row>
    <row r="1007">
      <c r="A1007" s="73">
        <v>2017.0</v>
      </c>
      <c r="B1007" s="85" t="s">
        <v>104</v>
      </c>
      <c r="C1007" s="81">
        <v>29.9</v>
      </c>
      <c r="D1007" s="73">
        <v>0.0</v>
      </c>
      <c r="E1007" s="83">
        <v>0.0</v>
      </c>
      <c r="F1007" s="76">
        <v>0.0</v>
      </c>
      <c r="G1007">
        <f>AVERAGE(F1007:F1008)</f>
        <v>0</v>
      </c>
    </row>
    <row r="1008">
      <c r="A1008" s="73">
        <v>2018.0</v>
      </c>
      <c r="B1008" s="85" t="s">
        <v>104</v>
      </c>
      <c r="C1008" s="81">
        <v>27.0</v>
      </c>
      <c r="D1008" s="73">
        <v>0.0</v>
      </c>
      <c r="E1008" s="88">
        <v>0.0</v>
      </c>
      <c r="F1008" s="76">
        <v>0.0</v>
      </c>
    </row>
    <row r="1009" hidden="1">
      <c r="A1009" s="69">
        <v>2002.0</v>
      </c>
      <c r="B1009" s="70" t="s">
        <v>109</v>
      </c>
      <c r="C1009" s="71">
        <v>31.18</v>
      </c>
      <c r="D1009" s="69">
        <v>0.0</v>
      </c>
      <c r="E1009" s="72">
        <v>0.0</v>
      </c>
      <c r="F1009" s="72">
        <v>0.0</v>
      </c>
    </row>
    <row r="1010">
      <c r="A1010" s="73">
        <v>2003.0</v>
      </c>
      <c r="B1010" s="74" t="s">
        <v>105</v>
      </c>
      <c r="C1010" s="75">
        <v>16.9</v>
      </c>
      <c r="D1010" s="73">
        <v>0.0</v>
      </c>
      <c r="E1010" s="76">
        <v>0.0</v>
      </c>
      <c r="F1010" s="76">
        <v>0.0</v>
      </c>
      <c r="G1010">
        <f>AVERAGE(F1010:F1014)</f>
        <v>28.8</v>
      </c>
    </row>
    <row r="1011">
      <c r="A1011" s="73">
        <v>2004.0</v>
      </c>
      <c r="B1011" s="74" t="s">
        <v>105</v>
      </c>
      <c r="C1011" s="75">
        <v>16.9</v>
      </c>
      <c r="D1011" s="73">
        <v>0.0</v>
      </c>
      <c r="E1011" s="77">
        <v>1.0</v>
      </c>
      <c r="F1011" s="76">
        <v>0.0</v>
      </c>
    </row>
    <row r="1012">
      <c r="A1012" s="73">
        <v>2005.0</v>
      </c>
      <c r="B1012" s="74" t="s">
        <v>105</v>
      </c>
      <c r="C1012" s="75">
        <v>16.9</v>
      </c>
      <c r="D1012" s="73">
        <v>0.0</v>
      </c>
      <c r="E1012" s="78">
        <v>1.0</v>
      </c>
      <c r="F1012" s="76">
        <v>144.0</v>
      </c>
    </row>
    <row r="1013">
      <c r="A1013" s="73">
        <v>2006.0</v>
      </c>
      <c r="B1013" s="74" t="s">
        <v>105</v>
      </c>
      <c r="C1013" s="75">
        <v>16.9</v>
      </c>
      <c r="D1013" s="73">
        <v>0.0</v>
      </c>
      <c r="E1013" s="78">
        <v>1.0</v>
      </c>
      <c r="F1013" s="76">
        <v>0.0</v>
      </c>
    </row>
    <row r="1014">
      <c r="A1014" s="73">
        <v>2007.0</v>
      </c>
      <c r="B1014" s="74" t="s">
        <v>105</v>
      </c>
      <c r="C1014" s="75">
        <v>38.6</v>
      </c>
      <c r="D1014" s="73">
        <v>0.0</v>
      </c>
      <c r="E1014" s="78">
        <v>1.0</v>
      </c>
      <c r="F1014" s="76">
        <v>0.0</v>
      </c>
    </row>
    <row r="1015">
      <c r="A1015" s="73">
        <v>2008.0</v>
      </c>
      <c r="B1015" s="74" t="s">
        <v>105</v>
      </c>
      <c r="C1015" s="75">
        <v>38.6</v>
      </c>
      <c r="D1015" s="73">
        <v>0.0</v>
      </c>
      <c r="E1015" s="78">
        <v>1.0</v>
      </c>
      <c r="F1015" s="76">
        <v>0.0</v>
      </c>
      <c r="G1015">
        <f>AVERAGE(F1015:F1018)</f>
        <v>40</v>
      </c>
    </row>
    <row r="1016">
      <c r="A1016" s="73">
        <v>2009.0</v>
      </c>
      <c r="B1016" s="74" t="s">
        <v>105</v>
      </c>
      <c r="C1016" s="75">
        <v>38.6</v>
      </c>
      <c r="D1016" s="73">
        <v>0.0</v>
      </c>
      <c r="E1016" s="79">
        <v>1.0</v>
      </c>
      <c r="F1016" s="76">
        <v>160.0</v>
      </c>
    </row>
    <row r="1017">
      <c r="A1017" s="73">
        <v>2010.0</v>
      </c>
      <c r="B1017" s="74" t="s">
        <v>105</v>
      </c>
      <c r="C1017" s="75">
        <v>38.6</v>
      </c>
      <c r="D1017" s="73">
        <v>0.0</v>
      </c>
      <c r="E1017" s="82">
        <v>1.0</v>
      </c>
      <c r="F1017" s="76">
        <v>0.0</v>
      </c>
    </row>
    <row r="1018">
      <c r="A1018" s="73">
        <v>2011.0</v>
      </c>
      <c r="B1018" s="74" t="s">
        <v>105</v>
      </c>
      <c r="C1018" s="81">
        <v>42.8</v>
      </c>
      <c r="D1018" s="73">
        <v>1.0</v>
      </c>
      <c r="E1018" s="82">
        <v>1.0</v>
      </c>
      <c r="F1018" s="76">
        <v>0.0</v>
      </c>
    </row>
    <row r="1019">
      <c r="A1019" s="73">
        <v>2012.0</v>
      </c>
      <c r="B1019" s="74" t="s">
        <v>105</v>
      </c>
      <c r="C1019" s="81">
        <v>42.8</v>
      </c>
      <c r="D1019" s="73">
        <v>1.0</v>
      </c>
      <c r="E1019" s="82">
        <v>1.0</v>
      </c>
      <c r="F1019" s="76">
        <v>0.0</v>
      </c>
      <c r="G1019">
        <f>AVERAGE(F1019:F1022)</f>
        <v>178.75</v>
      </c>
    </row>
    <row r="1020">
      <c r="A1020" s="73">
        <v>2013.0</v>
      </c>
      <c r="B1020" s="74" t="s">
        <v>105</v>
      </c>
      <c r="C1020" s="81">
        <v>42.8</v>
      </c>
      <c r="D1020" s="73">
        <v>1.0</v>
      </c>
      <c r="E1020" s="82">
        <v>1.0</v>
      </c>
      <c r="F1020" s="76">
        <v>0.0</v>
      </c>
    </row>
    <row r="1021">
      <c r="A1021" s="73">
        <v>2014.0</v>
      </c>
      <c r="B1021" s="74" t="s">
        <v>105</v>
      </c>
      <c r="C1021" s="81">
        <v>42.8</v>
      </c>
      <c r="D1021" s="73">
        <v>1.0</v>
      </c>
      <c r="E1021" s="83">
        <v>1.0</v>
      </c>
      <c r="F1021" s="76">
        <v>715.0</v>
      </c>
    </row>
    <row r="1022">
      <c r="A1022" s="84">
        <v>2015.0</v>
      </c>
      <c r="B1022" s="85" t="s">
        <v>105</v>
      </c>
      <c r="C1022" s="81">
        <v>24.3</v>
      </c>
      <c r="D1022" s="73">
        <v>0.0</v>
      </c>
      <c r="E1022" s="83">
        <v>1.0</v>
      </c>
      <c r="F1022" s="76">
        <v>0.0</v>
      </c>
    </row>
    <row r="1023">
      <c r="A1023" s="73">
        <v>2016.0</v>
      </c>
      <c r="B1023" s="85" t="s">
        <v>105</v>
      </c>
      <c r="C1023" s="81">
        <v>33.9</v>
      </c>
      <c r="D1023" s="73">
        <v>0.0</v>
      </c>
      <c r="E1023" s="83">
        <v>1.0</v>
      </c>
      <c r="F1023" s="76">
        <v>0.0</v>
      </c>
      <c r="G1023">
        <f>AVERAGE(F1023)</f>
        <v>0</v>
      </c>
    </row>
    <row r="1024">
      <c r="A1024" s="73">
        <v>2017.0</v>
      </c>
      <c r="B1024" s="85" t="s">
        <v>105</v>
      </c>
      <c r="C1024" s="81">
        <v>33.9</v>
      </c>
      <c r="D1024" s="73">
        <v>0.0</v>
      </c>
      <c r="E1024" s="83">
        <v>1.0</v>
      </c>
      <c r="F1024" s="76">
        <v>381.0</v>
      </c>
      <c r="G1024">
        <f>AVERAGE(F1024:F1026)</f>
        <v>127</v>
      </c>
    </row>
    <row r="1025">
      <c r="A1025" s="73">
        <v>2018.0</v>
      </c>
      <c r="B1025" s="85" t="s">
        <v>105</v>
      </c>
      <c r="C1025" s="81"/>
      <c r="D1025" s="73"/>
      <c r="E1025" s="83"/>
      <c r="F1025" s="76">
        <v>0.0</v>
      </c>
    </row>
    <row r="1026">
      <c r="A1026" s="73">
        <v>2003.0</v>
      </c>
      <c r="B1026" s="74" t="s">
        <v>106</v>
      </c>
      <c r="C1026" s="75">
        <v>43.63</v>
      </c>
      <c r="D1026" s="73">
        <v>1.0</v>
      </c>
      <c r="E1026" s="76">
        <v>0.0</v>
      </c>
      <c r="F1026" s="76">
        <v>0.0</v>
      </c>
      <c r="G1026">
        <f>AVERAGE(F1026:F1030)</f>
        <v>337.6</v>
      </c>
    </row>
    <row r="1027" hidden="1">
      <c r="A1027" s="69">
        <v>2002.0</v>
      </c>
      <c r="B1027" s="70" t="s">
        <v>110</v>
      </c>
      <c r="C1027" s="71">
        <v>44.19</v>
      </c>
      <c r="D1027" s="69">
        <v>1.0</v>
      </c>
      <c r="E1027" s="72">
        <v>0.0</v>
      </c>
      <c r="F1027" s="72">
        <v>0.0</v>
      </c>
    </row>
    <row r="1028">
      <c r="A1028" s="73">
        <v>2004.0</v>
      </c>
      <c r="B1028" s="74" t="s">
        <v>106</v>
      </c>
      <c r="C1028" s="75">
        <v>43.63</v>
      </c>
      <c r="D1028" s="73">
        <v>1.0</v>
      </c>
      <c r="E1028" s="77">
        <v>1.0</v>
      </c>
      <c r="F1028" s="76">
        <v>920.0</v>
      </c>
    </row>
    <row r="1029">
      <c r="A1029" s="73">
        <v>2005.0</v>
      </c>
      <c r="B1029" s="74" t="s">
        <v>106</v>
      </c>
      <c r="C1029" s="75">
        <v>43.63</v>
      </c>
      <c r="D1029" s="73">
        <v>1.0</v>
      </c>
      <c r="E1029" s="78">
        <v>1.0</v>
      </c>
      <c r="F1029" s="76">
        <v>432.0</v>
      </c>
    </row>
    <row r="1030">
      <c r="A1030" s="73">
        <v>2006.0</v>
      </c>
      <c r="B1030" s="74" t="s">
        <v>106</v>
      </c>
      <c r="C1030" s="75">
        <v>43.63</v>
      </c>
      <c r="D1030" s="73">
        <v>1.0</v>
      </c>
      <c r="E1030" s="78">
        <v>1.0</v>
      </c>
      <c r="F1030" s="76">
        <v>336.0</v>
      </c>
    </row>
    <row r="1031">
      <c r="A1031" s="73">
        <v>2007.0</v>
      </c>
      <c r="B1031" s="74" t="s">
        <v>106</v>
      </c>
      <c r="C1031" s="75">
        <v>55.72</v>
      </c>
      <c r="D1031" s="73">
        <v>1.0</v>
      </c>
      <c r="E1031" s="78">
        <v>1.0</v>
      </c>
      <c r="F1031" s="76">
        <v>0.0</v>
      </c>
    </row>
    <row r="1032">
      <c r="A1032" s="73">
        <v>2008.0</v>
      </c>
      <c r="B1032" s="74" t="s">
        <v>106</v>
      </c>
      <c r="C1032" s="75">
        <v>55.72</v>
      </c>
      <c r="D1032" s="73">
        <v>1.0</v>
      </c>
      <c r="E1032" s="78">
        <v>1.0</v>
      </c>
      <c r="F1032" s="76">
        <v>704.0</v>
      </c>
      <c r="G1032">
        <f>AVERAGE(F1032:F1035)</f>
        <v>722</v>
      </c>
    </row>
    <row r="1033">
      <c r="A1033" s="73">
        <v>2009.0</v>
      </c>
      <c r="B1033" s="74" t="s">
        <v>106</v>
      </c>
      <c r="C1033" s="75">
        <v>55.72</v>
      </c>
      <c r="D1033" s="73">
        <v>1.0</v>
      </c>
      <c r="E1033" s="79">
        <v>1.0</v>
      </c>
      <c r="F1033" s="76">
        <v>1896.0</v>
      </c>
    </row>
    <row r="1034">
      <c r="A1034" s="73">
        <v>2010.0</v>
      </c>
      <c r="B1034" s="74" t="s">
        <v>106</v>
      </c>
      <c r="C1034" s="75">
        <v>55.72</v>
      </c>
      <c r="D1034" s="73">
        <v>1.0</v>
      </c>
      <c r="E1034" s="82">
        <v>1.0</v>
      </c>
      <c r="F1034" s="76">
        <v>0.0</v>
      </c>
    </row>
    <row r="1035">
      <c r="A1035" s="73">
        <v>2011.0</v>
      </c>
      <c r="B1035" s="74" t="s">
        <v>106</v>
      </c>
      <c r="C1035" s="81">
        <v>60.2</v>
      </c>
      <c r="D1035" s="73">
        <v>1.0</v>
      </c>
      <c r="E1035" s="82">
        <v>1.0</v>
      </c>
      <c r="F1035" s="76">
        <v>288.0</v>
      </c>
    </row>
    <row r="1036">
      <c r="A1036" s="73">
        <v>2012.0</v>
      </c>
      <c r="B1036" s="74" t="s">
        <v>106</v>
      </c>
      <c r="C1036" s="81">
        <v>60.2</v>
      </c>
      <c r="D1036" s="73">
        <v>1.0</v>
      </c>
      <c r="E1036" s="82">
        <v>1.0</v>
      </c>
      <c r="F1036" s="76">
        <v>545.0</v>
      </c>
      <c r="G1036">
        <f>AVERAGE(F1036:F1039)</f>
        <v>630.5</v>
      </c>
    </row>
    <row r="1037">
      <c r="A1037" s="73">
        <v>2013.0</v>
      </c>
      <c r="B1037" s="74" t="s">
        <v>106</v>
      </c>
      <c r="C1037" s="81">
        <v>60.2</v>
      </c>
      <c r="D1037" s="73">
        <v>1.0</v>
      </c>
      <c r="E1037" s="82">
        <v>1.0</v>
      </c>
      <c r="F1037" s="76">
        <v>518.0</v>
      </c>
    </row>
    <row r="1038">
      <c r="A1038" s="73">
        <v>2014.0</v>
      </c>
      <c r="B1038" s="74" t="s">
        <v>106</v>
      </c>
      <c r="C1038" s="81">
        <v>60.2</v>
      </c>
      <c r="D1038" s="73">
        <v>1.0</v>
      </c>
      <c r="E1038" s="83">
        <v>1.0</v>
      </c>
      <c r="F1038" s="76">
        <v>1459.0</v>
      </c>
    </row>
    <row r="1039">
      <c r="A1039" s="84">
        <v>2015.0</v>
      </c>
      <c r="B1039" s="85" t="s">
        <v>106</v>
      </c>
      <c r="C1039" s="81">
        <v>52.5</v>
      </c>
      <c r="D1039" s="73">
        <v>1.0</v>
      </c>
      <c r="E1039" s="83">
        <v>1.0</v>
      </c>
      <c r="F1039" s="76">
        <v>0.0</v>
      </c>
    </row>
    <row r="1040">
      <c r="A1040" s="73">
        <v>2016.0</v>
      </c>
      <c r="B1040" s="85" t="s">
        <v>106</v>
      </c>
      <c r="C1040" s="81">
        <v>62.8</v>
      </c>
      <c r="D1040" s="73">
        <v>1.0</v>
      </c>
      <c r="E1040" s="83">
        <v>1.0</v>
      </c>
      <c r="F1040" s="76">
        <v>0.0</v>
      </c>
      <c r="G1040">
        <f>AVERAGE(F1040)</f>
        <v>0</v>
      </c>
    </row>
    <row r="1041">
      <c r="A1041" s="73">
        <v>2017.0</v>
      </c>
      <c r="B1041" s="85" t="s">
        <v>106</v>
      </c>
      <c r="C1041" s="81">
        <v>62.8</v>
      </c>
      <c r="D1041" s="73">
        <v>1.0</v>
      </c>
      <c r="E1041" s="83">
        <v>1.0</v>
      </c>
      <c r="F1041" s="76">
        <v>549.0</v>
      </c>
      <c r="G1041">
        <f>AVERAGE(F1041:F1043)</f>
        <v>653</v>
      </c>
    </row>
    <row r="1042">
      <c r="A1042" s="73">
        <v>2018.0</v>
      </c>
      <c r="B1042" s="85" t="s">
        <v>106</v>
      </c>
      <c r="C1042" s="81">
        <v>52.3</v>
      </c>
      <c r="D1042" s="73">
        <v>1.0</v>
      </c>
      <c r="E1042" s="88">
        <v>0.0</v>
      </c>
      <c r="F1042" s="76">
        <v>1410.0</v>
      </c>
    </row>
    <row r="1043">
      <c r="A1043" s="73">
        <v>2003.0</v>
      </c>
      <c r="B1043" s="74" t="s">
        <v>107</v>
      </c>
      <c r="C1043" s="75">
        <v>42.17</v>
      </c>
      <c r="D1043" s="73">
        <v>1.0</v>
      </c>
      <c r="E1043" s="76">
        <v>0.0</v>
      </c>
      <c r="F1043" s="76">
        <v>0.0</v>
      </c>
      <c r="G1043">
        <f>AVERAGE(F1043:F1047)</f>
        <v>332.8</v>
      </c>
    </row>
    <row r="1044" hidden="1">
      <c r="A1044" s="69">
        <v>2002.0</v>
      </c>
      <c r="B1044" s="70" t="s">
        <v>111</v>
      </c>
      <c r="C1044" s="71">
        <v>43.84</v>
      </c>
      <c r="D1044" s="69">
        <v>1.0</v>
      </c>
      <c r="E1044" s="72">
        <v>0.0</v>
      </c>
      <c r="F1044" s="72">
        <v>0.0</v>
      </c>
    </row>
    <row r="1045">
      <c r="A1045" s="73">
        <v>2004.0</v>
      </c>
      <c r="B1045" s="74" t="s">
        <v>107</v>
      </c>
      <c r="C1045" s="75">
        <v>42.17</v>
      </c>
      <c r="D1045" s="73">
        <v>1.0</v>
      </c>
      <c r="E1045" s="77">
        <v>0.0</v>
      </c>
      <c r="F1045" s="76">
        <v>512.0</v>
      </c>
    </row>
    <row r="1046">
      <c r="A1046" s="73">
        <v>2005.0</v>
      </c>
      <c r="B1046" s="74" t="s">
        <v>107</v>
      </c>
      <c r="C1046" s="75">
        <v>42.17</v>
      </c>
      <c r="D1046" s="73">
        <v>1.0</v>
      </c>
      <c r="E1046" s="78">
        <v>0.0</v>
      </c>
      <c r="F1046" s="76">
        <v>1152.0</v>
      </c>
    </row>
    <row r="1047">
      <c r="A1047" s="73">
        <v>2006.0</v>
      </c>
      <c r="B1047" s="74" t="s">
        <v>107</v>
      </c>
      <c r="C1047" s="75">
        <v>42.17</v>
      </c>
      <c r="D1047" s="73">
        <v>1.0</v>
      </c>
      <c r="E1047" s="78">
        <v>0.0</v>
      </c>
      <c r="F1047" s="76">
        <v>0.0</v>
      </c>
    </row>
    <row r="1048">
      <c r="A1048" s="73">
        <v>2007.0</v>
      </c>
      <c r="B1048" s="74" t="s">
        <v>107</v>
      </c>
      <c r="C1048" s="75">
        <v>48.6</v>
      </c>
      <c r="D1048" s="73">
        <v>1.0</v>
      </c>
      <c r="E1048" s="78">
        <v>0.0</v>
      </c>
      <c r="F1048" s="76">
        <v>512.0</v>
      </c>
    </row>
    <row r="1049">
      <c r="A1049" s="73">
        <v>2008.0</v>
      </c>
      <c r="B1049" s="74" t="s">
        <v>107</v>
      </c>
      <c r="C1049" s="75">
        <v>48.6</v>
      </c>
      <c r="D1049" s="73">
        <v>1.0</v>
      </c>
      <c r="E1049" s="78">
        <v>0.0</v>
      </c>
      <c r="F1049" s="76">
        <v>80.0</v>
      </c>
      <c r="G1049">
        <f>AVERAGE(F1049:F1052)</f>
        <v>320</v>
      </c>
    </row>
    <row r="1050">
      <c r="A1050" s="73">
        <v>2009.0</v>
      </c>
      <c r="B1050" s="74" t="s">
        <v>107</v>
      </c>
      <c r="C1050" s="75">
        <v>48.6</v>
      </c>
      <c r="D1050" s="73">
        <v>1.0</v>
      </c>
      <c r="E1050" s="79">
        <v>1.0</v>
      </c>
      <c r="F1050" s="76">
        <v>0.0</v>
      </c>
    </row>
    <row r="1051">
      <c r="A1051" s="73">
        <v>2010.0</v>
      </c>
      <c r="B1051" s="74" t="s">
        <v>107</v>
      </c>
      <c r="C1051" s="75">
        <v>48.6</v>
      </c>
      <c r="D1051" s="73">
        <v>1.0</v>
      </c>
      <c r="E1051" s="82">
        <v>1.0</v>
      </c>
      <c r="F1051" s="76">
        <v>672.0</v>
      </c>
    </row>
    <row r="1052">
      <c r="A1052" s="73">
        <v>2011.0</v>
      </c>
      <c r="B1052" s="74" t="s">
        <v>107</v>
      </c>
      <c r="C1052" s="81">
        <v>54.2</v>
      </c>
      <c r="D1052" s="73">
        <v>1.0</v>
      </c>
      <c r="E1052" s="82">
        <v>1.0</v>
      </c>
      <c r="F1052" s="76">
        <v>528.0</v>
      </c>
    </row>
    <row r="1053">
      <c r="A1053" s="73">
        <v>2012.0</v>
      </c>
      <c r="B1053" s="74" t="s">
        <v>107</v>
      </c>
      <c r="C1053" s="81">
        <v>54.2</v>
      </c>
      <c r="D1053" s="73">
        <v>1.0</v>
      </c>
      <c r="E1053" s="82">
        <v>1.0</v>
      </c>
      <c r="F1053" s="76">
        <v>220.0</v>
      </c>
      <c r="G1053">
        <f>AVERAGE(F1053:F1056)</f>
        <v>980.75</v>
      </c>
    </row>
    <row r="1054">
      <c r="A1054" s="73">
        <v>2013.0</v>
      </c>
      <c r="B1054" s="74" t="s">
        <v>107</v>
      </c>
      <c r="C1054" s="81">
        <v>54.2</v>
      </c>
      <c r="D1054" s="73">
        <v>1.0</v>
      </c>
      <c r="E1054" s="82">
        <v>1.0</v>
      </c>
      <c r="F1054" s="76">
        <v>403.0</v>
      </c>
    </row>
    <row r="1055">
      <c r="A1055" s="73">
        <v>2014.0</v>
      </c>
      <c r="B1055" s="74" t="s">
        <v>107</v>
      </c>
      <c r="C1055" s="81">
        <v>54.2</v>
      </c>
      <c r="D1055" s="73">
        <v>1.0</v>
      </c>
      <c r="E1055" s="83">
        <v>1.0</v>
      </c>
      <c r="F1055" s="76">
        <v>1079.0</v>
      </c>
    </row>
    <row r="1056">
      <c r="A1056" s="84">
        <v>2015.0</v>
      </c>
      <c r="B1056" s="85" t="s">
        <v>107</v>
      </c>
      <c r="C1056" s="81">
        <v>47.8</v>
      </c>
      <c r="D1056" s="73">
        <v>1.0</v>
      </c>
      <c r="E1056" s="83">
        <v>1.0</v>
      </c>
      <c r="F1056" s="76">
        <v>2221.0</v>
      </c>
    </row>
    <row r="1057">
      <c r="A1057" s="73">
        <v>2016.0</v>
      </c>
      <c r="B1057" s="85" t="s">
        <v>107</v>
      </c>
      <c r="C1057" s="81">
        <v>57.1</v>
      </c>
      <c r="D1057" s="73">
        <v>1.0</v>
      </c>
      <c r="E1057" s="83">
        <v>1.0</v>
      </c>
      <c r="F1057" s="76">
        <v>531.0</v>
      </c>
      <c r="G1057">
        <f>AVERAGE(F1057)</f>
        <v>531</v>
      </c>
    </row>
    <row r="1058">
      <c r="A1058" s="73">
        <v>2017.0</v>
      </c>
      <c r="B1058" s="85" t="s">
        <v>107</v>
      </c>
      <c r="C1058" s="81">
        <v>57.1</v>
      </c>
      <c r="D1058" s="73">
        <v>1.0</v>
      </c>
      <c r="E1058" s="83">
        <v>1.0</v>
      </c>
      <c r="F1058" s="76">
        <v>1101.0</v>
      </c>
      <c r="G1058">
        <f>AVERAGE(F1058:F1060)</f>
        <v>659.3333333</v>
      </c>
    </row>
    <row r="1059">
      <c r="A1059" s="73">
        <v>2018.0</v>
      </c>
      <c r="B1059" s="85" t="s">
        <v>107</v>
      </c>
      <c r="C1059" s="81">
        <v>42.7</v>
      </c>
      <c r="D1059" s="73">
        <v>1.0</v>
      </c>
      <c r="E1059" s="88">
        <v>0.0</v>
      </c>
      <c r="F1059" s="76">
        <v>877.0</v>
      </c>
    </row>
    <row r="1060">
      <c r="A1060" s="73">
        <v>2003.0</v>
      </c>
      <c r="B1060" s="74" t="s">
        <v>108</v>
      </c>
      <c r="C1060" s="75">
        <v>41.5</v>
      </c>
      <c r="D1060" s="73">
        <v>1.0</v>
      </c>
      <c r="E1060" s="76">
        <v>0.0</v>
      </c>
      <c r="F1060" s="76">
        <v>0.0</v>
      </c>
      <c r="G1060">
        <f>AVERAGE(F1060:F1064)</f>
        <v>212.4</v>
      </c>
    </row>
    <row r="1061" hidden="1">
      <c r="A1061" s="69">
        <v>2002.0</v>
      </c>
      <c r="B1061" s="70" t="s">
        <v>112</v>
      </c>
      <c r="C1061" s="71">
        <v>44.84</v>
      </c>
      <c r="D1061" s="69">
        <v>1.0</v>
      </c>
      <c r="E1061" s="72">
        <v>0.0</v>
      </c>
      <c r="F1061" s="72">
        <v>0.0</v>
      </c>
    </row>
    <row r="1062">
      <c r="A1062" s="73">
        <v>2004.0</v>
      </c>
      <c r="B1062" s="74" t="s">
        <v>108</v>
      </c>
      <c r="C1062" s="75">
        <v>41.5</v>
      </c>
      <c r="D1062" s="73">
        <v>1.0</v>
      </c>
      <c r="E1062" s="77">
        <v>0.0</v>
      </c>
      <c r="F1062" s="76">
        <v>0.0</v>
      </c>
    </row>
    <row r="1063">
      <c r="A1063" s="73">
        <v>2005.0</v>
      </c>
      <c r="B1063" s="74" t="s">
        <v>108</v>
      </c>
      <c r="C1063" s="75">
        <v>41.5</v>
      </c>
      <c r="D1063" s="73">
        <v>1.0</v>
      </c>
      <c r="E1063" s="78">
        <v>0.0</v>
      </c>
      <c r="F1063" s="76">
        <v>320.0</v>
      </c>
    </row>
    <row r="1064">
      <c r="A1064" s="73">
        <v>2006.0</v>
      </c>
      <c r="B1064" s="74" t="s">
        <v>108</v>
      </c>
      <c r="C1064" s="75">
        <v>41.5</v>
      </c>
      <c r="D1064" s="73">
        <v>1.0</v>
      </c>
      <c r="E1064" s="78">
        <v>0.0</v>
      </c>
      <c r="F1064" s="76">
        <v>742.0</v>
      </c>
    </row>
    <row r="1065">
      <c r="A1065" s="73">
        <v>2007.0</v>
      </c>
      <c r="B1065" s="74" t="s">
        <v>108</v>
      </c>
      <c r="C1065" s="75">
        <v>55.79</v>
      </c>
      <c r="D1065" s="73">
        <v>1.0</v>
      </c>
      <c r="E1065" s="78">
        <v>0.0</v>
      </c>
      <c r="F1065" s="76">
        <v>0.0</v>
      </c>
    </row>
    <row r="1066">
      <c r="A1066" s="73">
        <v>2008.0</v>
      </c>
      <c r="B1066" s="74" t="s">
        <v>108</v>
      </c>
      <c r="C1066" s="75">
        <v>55.79</v>
      </c>
      <c r="D1066" s="73">
        <v>1.0</v>
      </c>
      <c r="E1066" s="78">
        <v>0.0</v>
      </c>
      <c r="F1066" s="76">
        <v>0.0</v>
      </c>
      <c r="G1066">
        <f>AVERAGE(F1066:F1069)</f>
        <v>555</v>
      </c>
    </row>
    <row r="1067">
      <c r="A1067" s="73">
        <v>2009.0</v>
      </c>
      <c r="B1067" s="74" t="s">
        <v>108</v>
      </c>
      <c r="C1067" s="75">
        <v>55.79</v>
      </c>
      <c r="D1067" s="73">
        <v>1.0</v>
      </c>
      <c r="E1067" s="79">
        <v>0.0</v>
      </c>
      <c r="F1067" s="76">
        <v>1318.0</v>
      </c>
    </row>
    <row r="1068">
      <c r="A1068" s="73">
        <v>2010.0</v>
      </c>
      <c r="B1068" s="74" t="s">
        <v>108</v>
      </c>
      <c r="C1068" s="75">
        <v>55.79</v>
      </c>
      <c r="D1068" s="73">
        <v>1.0</v>
      </c>
      <c r="E1068" s="82">
        <v>0.0</v>
      </c>
      <c r="F1068" s="76">
        <v>254.0</v>
      </c>
    </row>
    <row r="1069">
      <c r="A1069" s="73">
        <v>2011.0</v>
      </c>
      <c r="B1069" s="74" t="s">
        <v>108</v>
      </c>
      <c r="C1069" s="81">
        <v>60.2</v>
      </c>
      <c r="D1069" s="73">
        <v>1.0</v>
      </c>
      <c r="E1069" s="82">
        <v>0.0</v>
      </c>
      <c r="F1069" s="76">
        <v>648.0</v>
      </c>
    </row>
    <row r="1070">
      <c r="A1070" s="73">
        <v>2012.0</v>
      </c>
      <c r="B1070" s="74" t="s">
        <v>108</v>
      </c>
      <c r="C1070" s="81">
        <v>60.2</v>
      </c>
      <c r="D1070" s="73">
        <v>1.0</v>
      </c>
      <c r="E1070" s="82">
        <v>0.0</v>
      </c>
      <c r="F1070" s="76">
        <v>0.0</v>
      </c>
      <c r="G1070">
        <f>AVERAGE(F1070:F1073)</f>
        <v>191</v>
      </c>
    </row>
    <row r="1071">
      <c r="A1071" s="73">
        <v>2013.0</v>
      </c>
      <c r="B1071" s="74" t="s">
        <v>108</v>
      </c>
      <c r="C1071" s="81">
        <v>60.2</v>
      </c>
      <c r="D1071" s="73">
        <v>1.0</v>
      </c>
      <c r="E1071" s="82">
        <v>0.0</v>
      </c>
      <c r="F1071" s="76">
        <v>764.0</v>
      </c>
    </row>
    <row r="1072">
      <c r="A1072" s="73">
        <v>2014.0</v>
      </c>
      <c r="B1072" s="74" t="s">
        <v>108</v>
      </c>
      <c r="C1072" s="81">
        <v>60.2</v>
      </c>
      <c r="D1072" s="73">
        <v>1.0</v>
      </c>
      <c r="E1072" s="83">
        <v>1.0</v>
      </c>
      <c r="F1072" s="76">
        <v>0.0</v>
      </c>
    </row>
    <row r="1073">
      <c r="A1073" s="84">
        <v>2015.0</v>
      </c>
      <c r="B1073" s="85" t="s">
        <v>108</v>
      </c>
      <c r="C1073" s="81">
        <v>53.0</v>
      </c>
      <c r="D1073" s="73">
        <v>1.0</v>
      </c>
      <c r="E1073" s="83">
        <v>1.0</v>
      </c>
      <c r="F1073" s="76">
        <v>0.0</v>
      </c>
    </row>
    <row r="1074">
      <c r="A1074" s="73">
        <v>2016.0</v>
      </c>
      <c r="B1074" s="85" t="s">
        <v>108</v>
      </c>
      <c r="C1074" s="81">
        <v>63.3</v>
      </c>
      <c r="D1074" s="73">
        <v>1.0</v>
      </c>
      <c r="E1074" s="83">
        <v>1.0</v>
      </c>
      <c r="F1074" s="76">
        <v>311.0</v>
      </c>
      <c r="G1074">
        <f>AVERAGE(F1074)</f>
        <v>311</v>
      </c>
    </row>
    <row r="1075">
      <c r="A1075" s="73">
        <v>2017.0</v>
      </c>
      <c r="B1075" s="85" t="s">
        <v>108</v>
      </c>
      <c r="C1075" s="81">
        <v>63.3</v>
      </c>
      <c r="D1075" s="73">
        <v>1.0</v>
      </c>
      <c r="E1075" s="83">
        <v>1.0</v>
      </c>
      <c r="F1075" s="76">
        <v>0.0</v>
      </c>
      <c r="G1075">
        <f>AVERAGE(F1075:F1077)</f>
        <v>0</v>
      </c>
    </row>
    <row r="1076">
      <c r="A1076" s="73">
        <v>2018.0</v>
      </c>
      <c r="B1076" s="85" t="s">
        <v>108</v>
      </c>
      <c r="C1076" s="81">
        <v>47.5</v>
      </c>
      <c r="D1076" s="73">
        <v>1.0</v>
      </c>
      <c r="E1076" s="88">
        <v>1.0</v>
      </c>
      <c r="F1076" s="76">
        <v>0.0</v>
      </c>
    </row>
    <row r="1077">
      <c r="A1077" s="73">
        <v>2003.0</v>
      </c>
      <c r="B1077" s="74" t="s">
        <v>109</v>
      </c>
      <c r="C1077" s="75">
        <v>31.18</v>
      </c>
      <c r="D1077" s="73">
        <v>0.0</v>
      </c>
      <c r="E1077" s="76">
        <v>0.0</v>
      </c>
      <c r="F1077" s="76">
        <v>0.0</v>
      </c>
      <c r="G1077">
        <f>AVERAGE(F1077:F1081)</f>
        <v>108</v>
      </c>
    </row>
    <row r="1078" hidden="1">
      <c r="A1078" s="69">
        <v>2002.0</v>
      </c>
      <c r="B1078" s="70" t="s">
        <v>113</v>
      </c>
      <c r="C1078" s="71">
        <v>22.9</v>
      </c>
      <c r="D1078" s="69">
        <v>0.0</v>
      </c>
      <c r="E1078" s="72">
        <v>0.0</v>
      </c>
      <c r="F1078" s="72">
        <v>0.0</v>
      </c>
    </row>
    <row r="1079">
      <c r="A1079" s="73">
        <v>2004.0</v>
      </c>
      <c r="B1079" s="74" t="s">
        <v>109</v>
      </c>
      <c r="C1079" s="75">
        <v>31.18</v>
      </c>
      <c r="D1079" s="73">
        <v>0.0</v>
      </c>
      <c r="E1079" s="77">
        <v>1.0</v>
      </c>
      <c r="F1079" s="76">
        <v>192.0</v>
      </c>
    </row>
    <row r="1080">
      <c r="A1080" s="73">
        <v>2005.0</v>
      </c>
      <c r="B1080" s="74" t="s">
        <v>109</v>
      </c>
      <c r="C1080" s="75">
        <v>31.18</v>
      </c>
      <c r="D1080" s="73">
        <v>0.0</v>
      </c>
      <c r="E1080" s="78">
        <v>1.0</v>
      </c>
      <c r="F1080" s="76">
        <v>348.0</v>
      </c>
    </row>
    <row r="1081">
      <c r="A1081" s="73">
        <v>2006.0</v>
      </c>
      <c r="B1081" s="74" t="s">
        <v>109</v>
      </c>
      <c r="C1081" s="75">
        <v>31.18</v>
      </c>
      <c r="D1081" s="73">
        <v>0.0</v>
      </c>
      <c r="E1081" s="78">
        <v>1.0</v>
      </c>
      <c r="F1081" s="76">
        <v>0.0</v>
      </c>
    </row>
    <row r="1082">
      <c r="A1082" s="73">
        <v>2007.0</v>
      </c>
      <c r="B1082" s="74" t="s">
        <v>109</v>
      </c>
      <c r="C1082" s="75">
        <v>38.71</v>
      </c>
      <c r="D1082" s="73">
        <v>0.0</v>
      </c>
      <c r="E1082" s="78">
        <v>1.0</v>
      </c>
      <c r="F1082" s="76">
        <v>0.0</v>
      </c>
    </row>
    <row r="1083">
      <c r="A1083" s="73">
        <v>2008.0</v>
      </c>
      <c r="B1083" s="74" t="s">
        <v>109</v>
      </c>
      <c r="C1083" s="75">
        <v>38.71</v>
      </c>
      <c r="D1083" s="73">
        <v>0.0</v>
      </c>
      <c r="E1083" s="78">
        <v>1.0</v>
      </c>
      <c r="F1083" s="76">
        <v>0.0</v>
      </c>
      <c r="G1083">
        <f>AVERAGE(F1083:F1086)</f>
        <v>154</v>
      </c>
    </row>
    <row r="1084">
      <c r="A1084" s="73">
        <v>2009.0</v>
      </c>
      <c r="B1084" s="74" t="s">
        <v>109</v>
      </c>
      <c r="C1084" s="75">
        <v>38.71</v>
      </c>
      <c r="D1084" s="73">
        <v>0.0</v>
      </c>
      <c r="E1084" s="79">
        <v>0.0</v>
      </c>
      <c r="F1084" s="76">
        <v>128.0</v>
      </c>
    </row>
    <row r="1085">
      <c r="A1085" s="73">
        <v>2010.0</v>
      </c>
      <c r="B1085" s="74" t="s">
        <v>109</v>
      </c>
      <c r="C1085" s="75">
        <v>38.71</v>
      </c>
      <c r="D1085" s="73">
        <v>0.0</v>
      </c>
      <c r="E1085" s="82">
        <v>0.0</v>
      </c>
      <c r="F1085" s="76">
        <v>0.0</v>
      </c>
    </row>
    <row r="1086">
      <c r="A1086" s="73">
        <v>2011.0</v>
      </c>
      <c r="B1086" s="74" t="s">
        <v>109</v>
      </c>
      <c r="C1086" s="81">
        <v>43.1</v>
      </c>
      <c r="D1086" s="73">
        <v>1.0</v>
      </c>
      <c r="E1086" s="82">
        <v>0.0</v>
      </c>
      <c r="F1086" s="76">
        <v>488.0</v>
      </c>
    </row>
    <row r="1087">
      <c r="A1087" s="73">
        <v>2012.0</v>
      </c>
      <c r="B1087" s="74" t="s">
        <v>109</v>
      </c>
      <c r="C1087" s="81">
        <v>43.1</v>
      </c>
      <c r="D1087" s="73">
        <v>1.0</v>
      </c>
      <c r="E1087" s="82">
        <v>0.0</v>
      </c>
      <c r="F1087" s="76">
        <v>0.0</v>
      </c>
      <c r="G1087">
        <f>AVERAGE(F1087:F1090)</f>
        <v>64</v>
      </c>
    </row>
    <row r="1088">
      <c r="A1088" s="73">
        <v>2013.0</v>
      </c>
      <c r="B1088" s="74" t="s">
        <v>109</v>
      </c>
      <c r="C1088" s="81">
        <v>43.1</v>
      </c>
      <c r="D1088" s="73">
        <v>1.0</v>
      </c>
      <c r="E1088" s="82">
        <v>0.0</v>
      </c>
      <c r="F1088" s="76">
        <v>256.0</v>
      </c>
    </row>
    <row r="1089">
      <c r="A1089" s="73">
        <v>2014.0</v>
      </c>
      <c r="B1089" s="74" t="s">
        <v>109</v>
      </c>
      <c r="C1089" s="81">
        <v>43.1</v>
      </c>
      <c r="D1089" s="73">
        <v>1.0</v>
      </c>
      <c r="E1089" s="83">
        <v>0.0</v>
      </c>
      <c r="F1089" s="76">
        <v>0.0</v>
      </c>
    </row>
    <row r="1090">
      <c r="A1090" s="84">
        <v>2015.0</v>
      </c>
      <c r="B1090" s="85" t="s">
        <v>109</v>
      </c>
      <c r="C1090" s="81">
        <v>38.9</v>
      </c>
      <c r="D1090" s="73">
        <v>0.0</v>
      </c>
      <c r="E1090" s="83">
        <v>0.0</v>
      </c>
      <c r="F1090" s="76">
        <v>0.0</v>
      </c>
    </row>
    <row r="1091">
      <c r="A1091" s="73">
        <v>2016.0</v>
      </c>
      <c r="B1091" s="85" t="s">
        <v>109</v>
      </c>
      <c r="C1091" s="81">
        <v>46.7</v>
      </c>
      <c r="D1091" s="73">
        <v>1.0</v>
      </c>
      <c r="E1091" s="83">
        <v>0.0</v>
      </c>
      <c r="F1091" s="76">
        <v>0.0</v>
      </c>
      <c r="G1091">
        <f>AVERAGE(F1091)</f>
        <v>0</v>
      </c>
    </row>
    <row r="1092">
      <c r="A1092" s="73">
        <v>2017.0</v>
      </c>
      <c r="B1092" s="85" t="s">
        <v>109</v>
      </c>
      <c r="C1092" s="81">
        <v>46.7</v>
      </c>
      <c r="D1092" s="73">
        <v>1.0</v>
      </c>
      <c r="E1092" s="83">
        <v>0.0</v>
      </c>
      <c r="F1092" s="76">
        <v>63.0</v>
      </c>
      <c r="G1092">
        <f>AVERAGE(F1092:F1094)</f>
        <v>63</v>
      </c>
    </row>
    <row r="1093">
      <c r="A1093" s="73">
        <v>2018.0</v>
      </c>
      <c r="B1093" s="85" t="s">
        <v>109</v>
      </c>
      <c r="C1093" s="81">
        <v>34.9</v>
      </c>
      <c r="D1093" s="73">
        <v>0.0</v>
      </c>
      <c r="E1093" s="88">
        <v>1.0</v>
      </c>
      <c r="F1093" s="76">
        <v>126.0</v>
      </c>
    </row>
    <row r="1094">
      <c r="A1094" s="73">
        <v>2003.0</v>
      </c>
      <c r="B1094" s="74" t="s">
        <v>110</v>
      </c>
      <c r="C1094" s="75">
        <v>44.19</v>
      </c>
      <c r="D1094" s="73">
        <v>1.0</v>
      </c>
      <c r="E1094" s="76">
        <v>0.0</v>
      </c>
      <c r="F1094" s="76">
        <v>0.0</v>
      </c>
      <c r="G1094">
        <f>AVERAGE(F1094:F1098)</f>
        <v>136</v>
      </c>
    </row>
    <row r="1095" hidden="1">
      <c r="A1095" s="69">
        <v>2002.0</v>
      </c>
      <c r="B1095" s="70" t="s">
        <v>114</v>
      </c>
      <c r="C1095" s="71">
        <v>84.82</v>
      </c>
      <c r="D1095" s="69">
        <v>1.0</v>
      </c>
      <c r="E1095" s="72">
        <v>0.0</v>
      </c>
      <c r="F1095" s="72">
        <v>0.0</v>
      </c>
    </row>
    <row r="1096">
      <c r="A1096" s="73">
        <v>2004.0</v>
      </c>
      <c r="B1096" s="74" t="s">
        <v>110</v>
      </c>
      <c r="C1096" s="75">
        <v>44.19</v>
      </c>
      <c r="D1096" s="73">
        <v>1.0</v>
      </c>
      <c r="E1096" s="77">
        <v>1.0</v>
      </c>
      <c r="F1096" s="76">
        <v>168.0</v>
      </c>
    </row>
    <row r="1097">
      <c r="A1097" s="73">
        <v>2005.0</v>
      </c>
      <c r="B1097" s="74" t="s">
        <v>110</v>
      </c>
      <c r="C1097" s="75">
        <v>44.19</v>
      </c>
      <c r="D1097" s="73">
        <v>1.0</v>
      </c>
      <c r="E1097" s="78">
        <v>1.0</v>
      </c>
      <c r="F1097" s="76">
        <v>416.0</v>
      </c>
    </row>
    <row r="1098">
      <c r="A1098" s="73">
        <v>2006.0</v>
      </c>
      <c r="B1098" s="74" t="s">
        <v>110</v>
      </c>
      <c r="C1098" s="75">
        <v>44.19</v>
      </c>
      <c r="D1098" s="73">
        <v>1.0</v>
      </c>
      <c r="E1098" s="78">
        <v>1.0</v>
      </c>
      <c r="F1098" s="76">
        <v>96.0</v>
      </c>
    </row>
    <row r="1099">
      <c r="A1099" s="73">
        <v>2007.0</v>
      </c>
      <c r="B1099" s="74" t="s">
        <v>110</v>
      </c>
      <c r="C1099" s="75">
        <v>53.66</v>
      </c>
      <c r="D1099" s="73">
        <v>1.0</v>
      </c>
      <c r="E1099" s="78">
        <v>1.0</v>
      </c>
      <c r="F1099" s="76">
        <v>56.0</v>
      </c>
    </row>
    <row r="1100">
      <c r="A1100" s="73">
        <v>2008.0</v>
      </c>
      <c r="B1100" s="74" t="s">
        <v>110</v>
      </c>
      <c r="C1100" s="75">
        <v>53.66</v>
      </c>
      <c r="D1100" s="73">
        <v>1.0</v>
      </c>
      <c r="E1100" s="78">
        <v>1.0</v>
      </c>
      <c r="F1100" s="76">
        <v>96.0</v>
      </c>
      <c r="G1100">
        <f>AVERAGE(F1100:F1103)</f>
        <v>67</v>
      </c>
    </row>
    <row r="1101">
      <c r="A1101" s="73">
        <v>2009.0</v>
      </c>
      <c r="B1101" s="74" t="s">
        <v>110</v>
      </c>
      <c r="C1101" s="75">
        <v>53.66</v>
      </c>
      <c r="D1101" s="73">
        <v>1.0</v>
      </c>
      <c r="E1101" s="79">
        <v>1.0</v>
      </c>
      <c r="F1101" s="76">
        <v>0.0</v>
      </c>
    </row>
    <row r="1102">
      <c r="A1102" s="73">
        <v>2010.0</v>
      </c>
      <c r="B1102" s="74" t="s">
        <v>110</v>
      </c>
      <c r="C1102" s="75">
        <v>53.66</v>
      </c>
      <c r="D1102" s="73">
        <v>1.0</v>
      </c>
      <c r="E1102" s="82">
        <v>1.0</v>
      </c>
      <c r="F1102" s="76">
        <v>172.0</v>
      </c>
    </row>
    <row r="1103">
      <c r="A1103" s="73">
        <v>2011.0</v>
      </c>
      <c r="B1103" s="74" t="s">
        <v>110</v>
      </c>
      <c r="C1103" s="81">
        <v>68.9</v>
      </c>
      <c r="D1103" s="73">
        <v>1.0</v>
      </c>
      <c r="E1103" s="82">
        <v>1.0</v>
      </c>
      <c r="F1103" s="76">
        <v>0.0</v>
      </c>
    </row>
    <row r="1104">
      <c r="A1104" s="73">
        <v>2012.0</v>
      </c>
      <c r="B1104" s="74" t="s">
        <v>110</v>
      </c>
      <c r="C1104" s="81">
        <v>68.9</v>
      </c>
      <c r="D1104" s="73">
        <v>1.0</v>
      </c>
      <c r="E1104" s="82">
        <v>1.0</v>
      </c>
      <c r="F1104" s="76">
        <v>0.0</v>
      </c>
      <c r="G1104">
        <f>AVERAGE(F1104:F1107)</f>
        <v>199.5</v>
      </c>
    </row>
    <row r="1105">
      <c r="A1105" s="73">
        <v>2013.0</v>
      </c>
      <c r="B1105" s="74" t="s">
        <v>110</v>
      </c>
      <c r="C1105" s="81">
        <v>68.9</v>
      </c>
      <c r="D1105" s="73">
        <v>1.0</v>
      </c>
      <c r="E1105" s="82">
        <v>1.0</v>
      </c>
      <c r="F1105" s="76">
        <v>39.0</v>
      </c>
    </row>
    <row r="1106">
      <c r="A1106" s="73">
        <v>2014.0</v>
      </c>
      <c r="B1106" s="74" t="s">
        <v>110</v>
      </c>
      <c r="C1106" s="81">
        <v>68.9</v>
      </c>
      <c r="D1106" s="73">
        <v>1.0</v>
      </c>
      <c r="E1106" s="83">
        <v>1.0</v>
      </c>
      <c r="F1106" s="76">
        <v>759.0</v>
      </c>
    </row>
    <row r="1107">
      <c r="A1107" s="84">
        <v>2015.0</v>
      </c>
      <c r="B1107" s="85" t="s">
        <v>110</v>
      </c>
      <c r="C1107" s="81">
        <v>66.8</v>
      </c>
      <c r="D1107" s="73">
        <v>1.0</v>
      </c>
      <c r="E1107" s="83">
        <v>1.0</v>
      </c>
      <c r="F1107" s="76">
        <v>0.0</v>
      </c>
    </row>
    <row r="1108">
      <c r="A1108" s="73">
        <v>2016.0</v>
      </c>
      <c r="B1108" s="85" t="s">
        <v>110</v>
      </c>
      <c r="C1108" s="81">
        <v>75.9</v>
      </c>
      <c r="D1108" s="73">
        <v>1.0</v>
      </c>
      <c r="E1108" s="83">
        <v>1.0</v>
      </c>
      <c r="F1108" s="76">
        <v>0.0</v>
      </c>
      <c r="G1108">
        <f>AVERAGE(F1108)</f>
        <v>0</v>
      </c>
    </row>
    <row r="1109">
      <c r="A1109" s="73">
        <v>2017.0</v>
      </c>
      <c r="B1109" s="85" t="s">
        <v>110</v>
      </c>
      <c r="C1109" s="81">
        <v>75.9</v>
      </c>
      <c r="D1109" s="73">
        <v>1.0</v>
      </c>
      <c r="E1109" s="83">
        <v>1.0</v>
      </c>
      <c r="F1109" s="76">
        <v>0.0</v>
      </c>
      <c r="G1109">
        <f>AVERAGE(F1109:F1111)</f>
        <v>178</v>
      </c>
    </row>
    <row r="1110">
      <c r="A1110" s="73">
        <v>2018.0</v>
      </c>
      <c r="B1110" s="85" t="s">
        <v>110</v>
      </c>
      <c r="C1110" s="81">
        <v>64.3</v>
      </c>
      <c r="D1110" s="73">
        <v>1.0</v>
      </c>
      <c r="E1110" s="88">
        <v>1.0</v>
      </c>
      <c r="F1110" s="76">
        <v>534.0</v>
      </c>
    </row>
    <row r="1111">
      <c r="A1111" s="73">
        <v>2003.0</v>
      </c>
      <c r="B1111" s="74" t="s">
        <v>111</v>
      </c>
      <c r="C1111" s="75">
        <v>43.84</v>
      </c>
      <c r="D1111" s="73">
        <v>1.0</v>
      </c>
      <c r="E1111" s="76">
        <v>0.0</v>
      </c>
      <c r="F1111" s="76">
        <v>0.0</v>
      </c>
      <c r="G1111">
        <f>AVERAGE(F1111:F1115)</f>
        <v>302.4</v>
      </c>
    </row>
    <row r="1112" hidden="1">
      <c r="A1112" s="69">
        <v>2002.0</v>
      </c>
      <c r="B1112" s="70" t="s">
        <v>115</v>
      </c>
      <c r="C1112" s="71">
        <v>32.46</v>
      </c>
      <c r="D1112" s="69">
        <v>0.0</v>
      </c>
      <c r="E1112" s="72">
        <v>0.0</v>
      </c>
      <c r="F1112" s="72">
        <v>0.0</v>
      </c>
    </row>
    <row r="1113">
      <c r="A1113" s="73">
        <v>2004.0</v>
      </c>
      <c r="B1113" s="74" t="s">
        <v>111</v>
      </c>
      <c r="C1113" s="75">
        <v>43.84</v>
      </c>
      <c r="D1113" s="73">
        <v>1.0</v>
      </c>
      <c r="E1113" s="77">
        <v>1.0</v>
      </c>
      <c r="F1113" s="76">
        <v>0.0</v>
      </c>
    </row>
    <row r="1114">
      <c r="A1114" s="73">
        <v>2005.0</v>
      </c>
      <c r="B1114" s="74" t="s">
        <v>111</v>
      </c>
      <c r="C1114" s="75">
        <v>43.84</v>
      </c>
      <c r="D1114" s="73">
        <v>1.0</v>
      </c>
      <c r="E1114" s="78">
        <v>1.0</v>
      </c>
      <c r="F1114" s="76">
        <v>0.0</v>
      </c>
    </row>
    <row r="1115">
      <c r="A1115" s="73">
        <v>2006.0</v>
      </c>
      <c r="B1115" s="74" t="s">
        <v>111</v>
      </c>
      <c r="C1115" s="75">
        <v>43.84</v>
      </c>
      <c r="D1115" s="73">
        <v>1.0</v>
      </c>
      <c r="E1115" s="78">
        <v>1.0</v>
      </c>
      <c r="F1115" s="76">
        <v>1512.0</v>
      </c>
    </row>
    <row r="1116">
      <c r="A1116" s="73">
        <v>2007.0</v>
      </c>
      <c r="B1116" s="74" t="s">
        <v>111</v>
      </c>
      <c r="C1116" s="75">
        <v>53.14</v>
      </c>
      <c r="D1116" s="73">
        <v>1.0</v>
      </c>
      <c r="E1116" s="78">
        <v>1.0</v>
      </c>
      <c r="F1116" s="76">
        <v>0.0</v>
      </c>
    </row>
    <row r="1117">
      <c r="A1117" s="73">
        <v>2008.0</v>
      </c>
      <c r="B1117" s="74" t="s">
        <v>111</v>
      </c>
      <c r="C1117" s="75">
        <v>53.14</v>
      </c>
      <c r="D1117" s="73">
        <v>1.0</v>
      </c>
      <c r="E1117" s="78">
        <v>1.0</v>
      </c>
      <c r="F1117" s="76">
        <v>240.0</v>
      </c>
      <c r="G1117">
        <f>AVERAGE(F1117:F1120)</f>
        <v>280</v>
      </c>
    </row>
    <row r="1118">
      <c r="A1118" s="73">
        <v>2009.0</v>
      </c>
      <c r="B1118" s="74" t="s">
        <v>111</v>
      </c>
      <c r="C1118" s="75">
        <v>53.14</v>
      </c>
      <c r="D1118" s="73">
        <v>1.0</v>
      </c>
      <c r="E1118" s="79">
        <v>1.0</v>
      </c>
      <c r="F1118" s="76">
        <v>496.0</v>
      </c>
    </row>
    <row r="1119">
      <c r="A1119" s="73">
        <v>2010.0</v>
      </c>
      <c r="B1119" s="74" t="s">
        <v>111</v>
      </c>
      <c r="C1119" s="75">
        <v>53.14</v>
      </c>
      <c r="D1119" s="73">
        <v>1.0</v>
      </c>
      <c r="E1119" s="82">
        <v>1.0</v>
      </c>
      <c r="F1119" s="76">
        <v>384.0</v>
      </c>
    </row>
    <row r="1120">
      <c r="A1120" s="73">
        <v>2011.0</v>
      </c>
      <c r="B1120" s="74" t="s">
        <v>111</v>
      </c>
      <c r="C1120" s="81">
        <v>61.6</v>
      </c>
      <c r="D1120" s="73">
        <v>1.0</v>
      </c>
      <c r="E1120" s="82">
        <v>1.0</v>
      </c>
      <c r="F1120" s="76">
        <v>0.0</v>
      </c>
    </row>
    <row r="1121">
      <c r="A1121" s="73">
        <v>2012.0</v>
      </c>
      <c r="B1121" s="74" t="s">
        <v>111</v>
      </c>
      <c r="C1121" s="81">
        <v>61.6</v>
      </c>
      <c r="D1121" s="73">
        <v>1.0</v>
      </c>
      <c r="E1121" s="82">
        <v>1.0</v>
      </c>
      <c r="F1121" s="76">
        <v>850.0</v>
      </c>
      <c r="G1121">
        <f>AVERAGE(F1121:F1124)</f>
        <v>433.5</v>
      </c>
    </row>
    <row r="1122">
      <c r="A1122" s="73">
        <v>2013.0</v>
      </c>
      <c r="B1122" s="74" t="s">
        <v>111</v>
      </c>
      <c r="C1122" s="81">
        <v>61.6</v>
      </c>
      <c r="D1122" s="73">
        <v>1.0</v>
      </c>
      <c r="E1122" s="82">
        <v>1.0</v>
      </c>
      <c r="F1122" s="76">
        <v>48.0</v>
      </c>
    </row>
    <row r="1123">
      <c r="A1123" s="73">
        <v>2014.0</v>
      </c>
      <c r="B1123" s="74" t="s">
        <v>111</v>
      </c>
      <c r="C1123" s="81">
        <v>61.6</v>
      </c>
      <c r="D1123" s="73">
        <v>1.0</v>
      </c>
      <c r="E1123" s="83">
        <v>1.0</v>
      </c>
      <c r="F1123" s="76">
        <v>96.0</v>
      </c>
    </row>
    <row r="1124">
      <c r="A1124" s="84">
        <v>2015.0</v>
      </c>
      <c r="B1124" s="85" t="s">
        <v>111</v>
      </c>
      <c r="C1124" s="81">
        <v>56.6</v>
      </c>
      <c r="D1124" s="73">
        <v>1.0</v>
      </c>
      <c r="E1124" s="83">
        <v>1.0</v>
      </c>
      <c r="F1124" s="76">
        <v>740.0</v>
      </c>
    </row>
    <row r="1125">
      <c r="A1125" s="73">
        <v>2016.0</v>
      </c>
      <c r="B1125" s="85" t="s">
        <v>111</v>
      </c>
      <c r="C1125" s="81">
        <v>67.6</v>
      </c>
      <c r="D1125" s="73">
        <v>1.0</v>
      </c>
      <c r="E1125" s="83">
        <v>1.0</v>
      </c>
      <c r="F1125" s="76">
        <v>448.0</v>
      </c>
      <c r="G1125">
        <f>AVERAGE(F1125)</f>
        <v>448</v>
      </c>
    </row>
    <row r="1126">
      <c r="A1126" s="73">
        <v>2017.0</v>
      </c>
      <c r="B1126" s="85" t="s">
        <v>111</v>
      </c>
      <c r="C1126" s="81">
        <v>67.6</v>
      </c>
      <c r="D1126" s="73">
        <v>1.0</v>
      </c>
      <c r="E1126" s="83">
        <v>1.0</v>
      </c>
      <c r="F1126" s="76">
        <v>0.0</v>
      </c>
      <c r="G1126">
        <f>AVERAGE(F1126:F1128)</f>
        <v>0</v>
      </c>
    </row>
    <row r="1127">
      <c r="A1127" s="73">
        <v>2018.0</v>
      </c>
      <c r="B1127" s="85" t="s">
        <v>111</v>
      </c>
      <c r="C1127" s="81">
        <v>57.4</v>
      </c>
      <c r="D1127" s="73">
        <v>1.0</v>
      </c>
      <c r="E1127" s="88">
        <v>1.0</v>
      </c>
      <c r="F1127" s="76">
        <v>0.0</v>
      </c>
    </row>
    <row r="1128">
      <c r="A1128" s="73">
        <v>2003.0</v>
      </c>
      <c r="B1128" s="74" t="s">
        <v>112</v>
      </c>
      <c r="C1128" s="75">
        <v>44.84</v>
      </c>
      <c r="D1128" s="73">
        <v>1.0</v>
      </c>
      <c r="E1128" s="76">
        <v>0.0</v>
      </c>
      <c r="F1128" s="76">
        <v>0.0</v>
      </c>
      <c r="G1128">
        <f>AVERAGE(F1128:F1132)</f>
        <v>431.6</v>
      </c>
    </row>
    <row r="1129" hidden="1">
      <c r="A1129" s="69">
        <v>2002.0</v>
      </c>
      <c r="B1129" s="70" t="s">
        <v>116</v>
      </c>
      <c r="C1129" s="71">
        <v>45.06</v>
      </c>
      <c r="D1129" s="69">
        <v>1.0</v>
      </c>
      <c r="E1129" s="72">
        <v>0.0</v>
      </c>
      <c r="F1129" s="72">
        <v>0.0</v>
      </c>
    </row>
    <row r="1130">
      <c r="A1130" s="73">
        <v>2004.0</v>
      </c>
      <c r="B1130" s="74" t="s">
        <v>112</v>
      </c>
      <c r="C1130" s="75">
        <v>44.84</v>
      </c>
      <c r="D1130" s="73">
        <v>1.0</v>
      </c>
      <c r="E1130" s="77">
        <v>1.0</v>
      </c>
      <c r="F1130" s="76">
        <v>644.0</v>
      </c>
    </row>
    <row r="1131">
      <c r="A1131" s="73">
        <v>2005.0</v>
      </c>
      <c r="B1131" s="74" t="s">
        <v>112</v>
      </c>
      <c r="C1131" s="75">
        <v>44.84</v>
      </c>
      <c r="D1131" s="73">
        <v>1.0</v>
      </c>
      <c r="E1131" s="78">
        <v>1.0</v>
      </c>
      <c r="F1131" s="76">
        <v>1192.0</v>
      </c>
    </row>
    <row r="1132">
      <c r="A1132" s="73">
        <v>2006.0</v>
      </c>
      <c r="B1132" s="74" t="s">
        <v>112</v>
      </c>
      <c r="C1132" s="75">
        <v>44.84</v>
      </c>
      <c r="D1132" s="73">
        <v>1.0</v>
      </c>
      <c r="E1132" s="78">
        <v>1.0</v>
      </c>
      <c r="F1132" s="76">
        <v>322.0</v>
      </c>
    </row>
    <row r="1133">
      <c r="A1133" s="73">
        <v>2007.0</v>
      </c>
      <c r="B1133" s="74" t="s">
        <v>112</v>
      </c>
      <c r="C1133" s="75">
        <v>57.9</v>
      </c>
      <c r="D1133" s="73">
        <v>1.0</v>
      </c>
      <c r="E1133" s="78">
        <v>1.0</v>
      </c>
      <c r="F1133" s="76">
        <v>672.0</v>
      </c>
    </row>
    <row r="1134">
      <c r="A1134" s="73">
        <v>2008.0</v>
      </c>
      <c r="B1134" s="74" t="s">
        <v>112</v>
      </c>
      <c r="C1134" s="75">
        <v>57.9</v>
      </c>
      <c r="D1134" s="73">
        <v>1.0</v>
      </c>
      <c r="E1134" s="78">
        <v>1.0</v>
      </c>
      <c r="F1134" s="76">
        <v>960.0</v>
      </c>
      <c r="G1134">
        <f>AVERAGE(F1134:F1137)</f>
        <v>1037</v>
      </c>
    </row>
    <row r="1135">
      <c r="A1135" s="73">
        <v>2009.0</v>
      </c>
      <c r="B1135" s="74" t="s">
        <v>112</v>
      </c>
      <c r="C1135" s="75">
        <v>57.9</v>
      </c>
      <c r="D1135" s="73">
        <v>1.0</v>
      </c>
      <c r="E1135" s="79">
        <v>1.0</v>
      </c>
      <c r="F1135" s="76">
        <v>360.0</v>
      </c>
    </row>
    <row r="1136">
      <c r="A1136" s="73">
        <v>2010.0</v>
      </c>
      <c r="B1136" s="74" t="s">
        <v>112</v>
      </c>
      <c r="C1136" s="75">
        <v>57.9</v>
      </c>
      <c r="D1136" s="73">
        <v>1.0</v>
      </c>
      <c r="E1136" s="82">
        <v>1.0</v>
      </c>
      <c r="F1136" s="76">
        <v>112.0</v>
      </c>
    </row>
    <row r="1137">
      <c r="A1137" s="73">
        <v>2011.0</v>
      </c>
      <c r="B1137" s="74" t="s">
        <v>112</v>
      </c>
      <c r="C1137" s="81">
        <v>61.5</v>
      </c>
      <c r="D1137" s="73">
        <v>1.0</v>
      </c>
      <c r="E1137" s="82">
        <v>1.0</v>
      </c>
      <c r="F1137" s="76">
        <v>2716.0</v>
      </c>
    </row>
    <row r="1138">
      <c r="A1138" s="73">
        <v>2012.0</v>
      </c>
      <c r="B1138" s="74" t="s">
        <v>112</v>
      </c>
      <c r="C1138" s="81">
        <v>61.5</v>
      </c>
      <c r="D1138" s="73">
        <v>1.0</v>
      </c>
      <c r="E1138" s="82">
        <v>1.0</v>
      </c>
      <c r="F1138" s="76">
        <v>48.0</v>
      </c>
      <c r="G1138">
        <f>AVERAGE(F1138:F1141)</f>
        <v>286</v>
      </c>
    </row>
    <row r="1139">
      <c r="A1139" s="73">
        <v>2013.0</v>
      </c>
      <c r="B1139" s="74" t="s">
        <v>112</v>
      </c>
      <c r="C1139" s="81">
        <v>61.5</v>
      </c>
      <c r="D1139" s="73">
        <v>1.0</v>
      </c>
      <c r="E1139" s="82">
        <v>1.0</v>
      </c>
      <c r="F1139" s="76">
        <v>0.0</v>
      </c>
    </row>
    <row r="1140">
      <c r="A1140" s="73">
        <v>2014.0</v>
      </c>
      <c r="B1140" s="74" t="s">
        <v>112</v>
      </c>
      <c r="C1140" s="81">
        <v>61.5</v>
      </c>
      <c r="D1140" s="73">
        <v>1.0</v>
      </c>
      <c r="E1140" s="83">
        <v>1.0</v>
      </c>
      <c r="F1140" s="76">
        <v>143.0</v>
      </c>
    </row>
    <row r="1141">
      <c r="A1141" s="84">
        <v>2015.0</v>
      </c>
      <c r="B1141" s="85" t="s">
        <v>112</v>
      </c>
      <c r="C1141" s="81">
        <v>52.9</v>
      </c>
      <c r="D1141" s="73">
        <v>1.0</v>
      </c>
      <c r="E1141" s="83">
        <v>1.0</v>
      </c>
      <c r="F1141" s="76">
        <v>953.0</v>
      </c>
    </row>
    <row r="1142">
      <c r="A1142" s="73">
        <v>2016.0</v>
      </c>
      <c r="B1142" s="85" t="s">
        <v>112</v>
      </c>
      <c r="C1142" s="81">
        <v>63.7</v>
      </c>
      <c r="D1142" s="73">
        <v>1.0</v>
      </c>
      <c r="E1142" s="83">
        <v>1.0</v>
      </c>
      <c r="F1142" s="76">
        <v>403.0</v>
      </c>
      <c r="G1142">
        <f>AVERAGE(F1142)</f>
        <v>403</v>
      </c>
    </row>
    <row r="1143">
      <c r="A1143" s="73">
        <v>2017.0</v>
      </c>
      <c r="B1143" s="85" t="s">
        <v>112</v>
      </c>
      <c r="C1143" s="81">
        <v>63.7</v>
      </c>
      <c r="D1143" s="73">
        <v>1.0</v>
      </c>
      <c r="E1143" s="83">
        <v>1.0</v>
      </c>
      <c r="F1143" s="76">
        <v>926.0</v>
      </c>
      <c r="G1143">
        <f>AVERAGE(F1143:F1145)</f>
        <v>308.6666667</v>
      </c>
    </row>
    <row r="1144">
      <c r="A1144" s="73">
        <v>2018.0</v>
      </c>
      <c r="B1144" s="85" t="s">
        <v>112</v>
      </c>
      <c r="C1144" s="81">
        <v>51.0</v>
      </c>
      <c r="D1144" s="73">
        <v>1.0</v>
      </c>
      <c r="E1144" s="88">
        <v>0.0</v>
      </c>
      <c r="F1144" s="76">
        <v>0.0</v>
      </c>
    </row>
    <row r="1145">
      <c r="A1145" s="73">
        <v>2003.0</v>
      </c>
      <c r="B1145" s="74" t="s">
        <v>113</v>
      </c>
      <c r="C1145" s="75">
        <v>22.9</v>
      </c>
      <c r="D1145" s="73">
        <v>0.0</v>
      </c>
      <c r="E1145" s="76">
        <v>0.0</v>
      </c>
      <c r="F1145" s="76">
        <v>0.0</v>
      </c>
      <c r="G1145">
        <f>AVERAGE(F1145:F1149)</f>
        <v>424</v>
      </c>
    </row>
    <row r="1146" hidden="1">
      <c r="A1146" s="69">
        <v>2002.0</v>
      </c>
      <c r="B1146" s="70" t="s">
        <v>117</v>
      </c>
      <c r="C1146" s="71">
        <v>14.02</v>
      </c>
      <c r="D1146" s="69">
        <v>0.0</v>
      </c>
      <c r="E1146" s="72">
        <v>0.0</v>
      </c>
      <c r="F1146" s="72">
        <v>0.0</v>
      </c>
    </row>
    <row r="1147">
      <c r="A1147" s="73">
        <v>2004.0</v>
      </c>
      <c r="B1147" s="74" t="s">
        <v>113</v>
      </c>
      <c r="C1147" s="75">
        <v>22.9</v>
      </c>
      <c r="D1147" s="73">
        <v>0.0</v>
      </c>
      <c r="E1147" s="77">
        <v>1.0</v>
      </c>
      <c r="F1147" s="76">
        <v>158.0</v>
      </c>
    </row>
    <row r="1148">
      <c r="A1148" s="73">
        <v>2005.0</v>
      </c>
      <c r="B1148" s="74" t="s">
        <v>113</v>
      </c>
      <c r="C1148" s="75">
        <v>22.9</v>
      </c>
      <c r="D1148" s="73">
        <v>0.0</v>
      </c>
      <c r="E1148" s="78">
        <v>1.0</v>
      </c>
      <c r="F1148" s="76">
        <v>1866.0</v>
      </c>
    </row>
    <row r="1149">
      <c r="A1149" s="73">
        <v>2006.0</v>
      </c>
      <c r="B1149" s="74" t="s">
        <v>113</v>
      </c>
      <c r="C1149" s="75">
        <v>22.9</v>
      </c>
      <c r="D1149" s="73">
        <v>0.0</v>
      </c>
      <c r="E1149" s="78">
        <v>1.0</v>
      </c>
      <c r="F1149" s="76">
        <v>96.0</v>
      </c>
    </row>
    <row r="1150">
      <c r="A1150" s="73">
        <v>2007.0</v>
      </c>
      <c r="B1150" s="74" t="s">
        <v>113</v>
      </c>
      <c r="C1150" s="75">
        <v>59.78</v>
      </c>
      <c r="D1150" s="73">
        <v>1.0</v>
      </c>
      <c r="E1150" s="78">
        <v>1.0</v>
      </c>
      <c r="F1150" s="76">
        <v>1326.0</v>
      </c>
    </row>
    <row r="1151">
      <c r="A1151" s="73">
        <v>2008.0</v>
      </c>
      <c r="B1151" s="74" t="s">
        <v>113</v>
      </c>
      <c r="C1151" s="75">
        <v>59.78</v>
      </c>
      <c r="D1151" s="73">
        <v>1.0</v>
      </c>
      <c r="E1151" s="78">
        <v>1.0</v>
      </c>
      <c r="F1151" s="76">
        <v>755.0</v>
      </c>
      <c r="G1151">
        <f>AVERAGE(F1151:F1154)</f>
        <v>340.75</v>
      </c>
    </row>
    <row r="1152">
      <c r="A1152" s="73">
        <v>2009.0</v>
      </c>
      <c r="B1152" s="74" t="s">
        <v>113</v>
      </c>
      <c r="C1152" s="75">
        <v>59.78</v>
      </c>
      <c r="D1152" s="73">
        <v>1.0</v>
      </c>
      <c r="E1152" s="79">
        <v>0.0</v>
      </c>
      <c r="F1152" s="76">
        <v>0.0</v>
      </c>
    </row>
    <row r="1153">
      <c r="A1153" s="73">
        <v>2010.0</v>
      </c>
      <c r="B1153" s="74" t="s">
        <v>113</v>
      </c>
      <c r="C1153" s="75">
        <v>59.78</v>
      </c>
      <c r="D1153" s="73">
        <v>1.0</v>
      </c>
      <c r="E1153" s="82">
        <v>0.0</v>
      </c>
      <c r="F1153" s="76">
        <v>0.0</v>
      </c>
    </row>
    <row r="1154">
      <c r="A1154" s="73">
        <v>2011.0</v>
      </c>
      <c r="B1154" s="74" t="s">
        <v>113</v>
      </c>
      <c r="C1154" s="81">
        <v>63.5</v>
      </c>
      <c r="D1154" s="73">
        <v>1.0</v>
      </c>
      <c r="E1154" s="82">
        <v>0.0</v>
      </c>
      <c r="F1154" s="76">
        <v>608.0</v>
      </c>
    </row>
    <row r="1155">
      <c r="A1155" s="73">
        <v>2012.0</v>
      </c>
      <c r="B1155" s="74" t="s">
        <v>113</v>
      </c>
      <c r="C1155" s="81">
        <v>63.5</v>
      </c>
      <c r="D1155" s="73">
        <v>1.0</v>
      </c>
      <c r="E1155" s="82">
        <v>0.0</v>
      </c>
      <c r="F1155" s="76">
        <v>0.0</v>
      </c>
      <c r="G1155">
        <f>AVERAGE(F1155:F1158)</f>
        <v>1497.75</v>
      </c>
    </row>
    <row r="1156">
      <c r="A1156" s="73">
        <v>2013.0</v>
      </c>
      <c r="B1156" s="74" t="s">
        <v>113</v>
      </c>
      <c r="C1156" s="81">
        <v>63.5</v>
      </c>
      <c r="D1156" s="73">
        <v>1.0</v>
      </c>
      <c r="E1156" s="82">
        <v>0.0</v>
      </c>
      <c r="F1156" s="76">
        <v>3379.0</v>
      </c>
    </row>
    <row r="1157">
      <c r="A1157" s="73">
        <v>2014.0</v>
      </c>
      <c r="B1157" s="74" t="s">
        <v>113</v>
      </c>
      <c r="C1157" s="81">
        <v>63.5</v>
      </c>
      <c r="D1157" s="73">
        <v>1.0</v>
      </c>
      <c r="E1157" s="83">
        <v>1.0</v>
      </c>
      <c r="F1157" s="76">
        <v>776.0</v>
      </c>
    </row>
    <row r="1158">
      <c r="A1158" s="73">
        <v>2015.0</v>
      </c>
      <c r="B1158" s="85" t="s">
        <v>113</v>
      </c>
      <c r="C1158" s="81">
        <v>64.6</v>
      </c>
      <c r="D1158" s="73">
        <v>1.0</v>
      </c>
      <c r="E1158" s="83">
        <v>0.0</v>
      </c>
      <c r="F1158" s="76">
        <v>1836.0</v>
      </c>
    </row>
    <row r="1159">
      <c r="A1159" s="73">
        <v>2016.0</v>
      </c>
      <c r="B1159" s="85" t="s">
        <v>113</v>
      </c>
      <c r="C1159" s="81">
        <v>64.6</v>
      </c>
      <c r="D1159" s="73">
        <v>1.0</v>
      </c>
      <c r="E1159" s="83">
        <v>1.0</v>
      </c>
      <c r="F1159" s="76">
        <v>1939.0</v>
      </c>
      <c r="G1159">
        <f>AVERAGE(F1159)</f>
        <v>1939</v>
      </c>
    </row>
    <row r="1160">
      <c r="A1160" s="73">
        <v>2017.0</v>
      </c>
      <c r="B1160" s="85" t="s">
        <v>113</v>
      </c>
      <c r="C1160" s="81">
        <v>64.6</v>
      </c>
      <c r="D1160" s="73">
        <v>1.0</v>
      </c>
      <c r="E1160" s="83">
        <v>1.0</v>
      </c>
      <c r="F1160" s="76">
        <v>98.0</v>
      </c>
      <c r="G1160">
        <f>AVERAGE(F1160:F1162)</f>
        <v>32.66666667</v>
      </c>
    </row>
    <row r="1161">
      <c r="A1161" s="73">
        <v>2018.0</v>
      </c>
      <c r="B1161" s="85" t="s">
        <v>113</v>
      </c>
      <c r="C1161" s="81">
        <v>52.2</v>
      </c>
      <c r="D1161" s="73">
        <v>1.0</v>
      </c>
      <c r="E1161" s="88">
        <v>1.0</v>
      </c>
      <c r="F1161" s="76">
        <v>0.0</v>
      </c>
    </row>
    <row r="1162">
      <c r="A1162" s="73">
        <v>2003.0</v>
      </c>
      <c r="B1162" s="74" t="s">
        <v>114</v>
      </c>
      <c r="C1162" s="75">
        <v>84.82</v>
      </c>
      <c r="D1162" s="73">
        <v>1.0</v>
      </c>
      <c r="E1162" s="76">
        <v>0.0</v>
      </c>
      <c r="F1162" s="76">
        <v>0.0</v>
      </c>
      <c r="G1162">
        <f>AVERAGE(F1162:F1166)</f>
        <v>77.2</v>
      </c>
    </row>
    <row r="1163" hidden="1">
      <c r="A1163" s="69">
        <v>2002.0</v>
      </c>
      <c r="B1163" s="70" t="s">
        <v>118</v>
      </c>
      <c r="C1163" s="71">
        <v>17.01</v>
      </c>
      <c r="D1163" s="69">
        <v>0.0</v>
      </c>
      <c r="E1163" s="72">
        <v>0.0</v>
      </c>
      <c r="F1163" s="72">
        <v>0.0</v>
      </c>
    </row>
    <row r="1164">
      <c r="A1164" s="73">
        <v>2004.0</v>
      </c>
      <c r="B1164" s="74" t="s">
        <v>114</v>
      </c>
      <c r="C1164" s="75">
        <v>84.82</v>
      </c>
      <c r="D1164" s="73">
        <v>1.0</v>
      </c>
      <c r="E1164" s="77">
        <v>1.0</v>
      </c>
      <c r="F1164" s="76">
        <v>324.0</v>
      </c>
    </row>
    <row r="1165">
      <c r="A1165" s="73">
        <v>2005.0</v>
      </c>
      <c r="B1165" s="74" t="s">
        <v>114</v>
      </c>
      <c r="C1165" s="75">
        <v>84.82</v>
      </c>
      <c r="D1165" s="73">
        <v>1.0</v>
      </c>
      <c r="E1165" s="78">
        <v>1.0</v>
      </c>
      <c r="F1165" s="76">
        <v>62.0</v>
      </c>
    </row>
    <row r="1166">
      <c r="A1166" s="73">
        <v>2006.0</v>
      </c>
      <c r="B1166" s="74" t="s">
        <v>114</v>
      </c>
      <c r="C1166" s="75">
        <v>84.82</v>
      </c>
      <c r="D1166" s="73">
        <v>1.0</v>
      </c>
      <c r="E1166" s="78">
        <v>1.0</v>
      </c>
      <c r="F1166" s="76">
        <v>0.0</v>
      </c>
    </row>
    <row r="1167">
      <c r="A1167" s="73">
        <v>2007.0</v>
      </c>
      <c r="B1167" s="74" t="s">
        <v>114</v>
      </c>
      <c r="C1167" s="75">
        <v>48.78</v>
      </c>
      <c r="D1167" s="73">
        <v>1.0</v>
      </c>
      <c r="E1167" s="78">
        <v>1.0</v>
      </c>
      <c r="F1167" s="76">
        <v>0.0</v>
      </c>
    </row>
    <row r="1168">
      <c r="A1168" s="73">
        <v>2008.0</v>
      </c>
      <c r="B1168" s="74" t="s">
        <v>114</v>
      </c>
      <c r="C1168" s="75">
        <v>48.78</v>
      </c>
      <c r="D1168" s="73">
        <v>1.0</v>
      </c>
      <c r="E1168" s="78">
        <v>1.0</v>
      </c>
      <c r="F1168" s="76">
        <v>227.0</v>
      </c>
      <c r="G1168">
        <f>AVERAGE(F1168:F1171)</f>
        <v>120.75</v>
      </c>
    </row>
    <row r="1169">
      <c r="A1169" s="73">
        <v>2009.0</v>
      </c>
      <c r="B1169" s="74" t="s">
        <v>114</v>
      </c>
      <c r="C1169" s="75">
        <v>48.78</v>
      </c>
      <c r="D1169" s="73">
        <v>1.0</v>
      </c>
      <c r="E1169" s="79">
        <v>0.0</v>
      </c>
      <c r="F1169" s="76">
        <v>0.0</v>
      </c>
    </row>
    <row r="1170">
      <c r="A1170" s="73">
        <v>2010.0</v>
      </c>
      <c r="B1170" s="74" t="s">
        <v>114</v>
      </c>
      <c r="C1170" s="75">
        <v>48.78</v>
      </c>
      <c r="D1170" s="73">
        <v>1.0</v>
      </c>
      <c r="E1170" s="82">
        <v>0.0</v>
      </c>
      <c r="F1170" s="76">
        <v>0.0</v>
      </c>
    </row>
    <row r="1171">
      <c r="A1171" s="73">
        <v>2011.0</v>
      </c>
      <c r="B1171" s="74" t="s">
        <v>114</v>
      </c>
      <c r="C1171" s="81">
        <v>48.0</v>
      </c>
      <c r="D1171" s="73">
        <v>1.0</v>
      </c>
      <c r="E1171" s="82">
        <v>0.0</v>
      </c>
      <c r="F1171" s="76">
        <v>256.0</v>
      </c>
    </row>
    <row r="1172">
      <c r="A1172" s="73">
        <v>2012.0</v>
      </c>
      <c r="B1172" s="74" t="s">
        <v>114</v>
      </c>
      <c r="C1172" s="81">
        <v>48.0</v>
      </c>
      <c r="D1172" s="73">
        <v>1.0</v>
      </c>
      <c r="E1172" s="82">
        <v>0.0</v>
      </c>
      <c r="F1172" s="76">
        <v>0.0</v>
      </c>
      <c r="G1172">
        <f>AVERAGE(F1172:F1175)</f>
        <v>88.75</v>
      </c>
    </row>
    <row r="1173">
      <c r="A1173" s="73">
        <v>2013.0</v>
      </c>
      <c r="B1173" s="74" t="s">
        <v>114</v>
      </c>
      <c r="C1173" s="81">
        <v>48.0</v>
      </c>
      <c r="D1173" s="73">
        <v>1.0</v>
      </c>
      <c r="E1173" s="82">
        <v>0.0</v>
      </c>
      <c r="F1173" s="76">
        <v>0.0</v>
      </c>
    </row>
    <row r="1174">
      <c r="A1174" s="73">
        <v>2014.0</v>
      </c>
      <c r="B1174" s="74" t="s">
        <v>114</v>
      </c>
      <c r="C1174" s="81">
        <v>48.0</v>
      </c>
      <c r="D1174" s="73">
        <v>1.0</v>
      </c>
      <c r="E1174" s="83">
        <v>0.0</v>
      </c>
      <c r="F1174" s="76">
        <v>355.0</v>
      </c>
    </row>
    <row r="1175">
      <c r="A1175" s="84">
        <v>2015.0</v>
      </c>
      <c r="B1175" s="85" t="s">
        <v>114</v>
      </c>
      <c r="C1175" s="81">
        <v>28.2</v>
      </c>
      <c r="D1175" s="73">
        <v>0.0</v>
      </c>
      <c r="E1175" s="83">
        <v>1.0</v>
      </c>
      <c r="F1175" s="76">
        <v>0.0</v>
      </c>
    </row>
    <row r="1176">
      <c r="A1176" s="73">
        <v>2016.0</v>
      </c>
      <c r="B1176" s="85" t="s">
        <v>114</v>
      </c>
      <c r="C1176" s="81">
        <v>36.7</v>
      </c>
      <c r="D1176" s="73">
        <v>0.0</v>
      </c>
      <c r="E1176" s="83">
        <v>0.0</v>
      </c>
      <c r="F1176" s="76">
        <v>55.0</v>
      </c>
      <c r="G1176">
        <f>AVERAGE(F1176)</f>
        <v>55</v>
      </c>
    </row>
    <row r="1177">
      <c r="A1177" s="73">
        <v>2017.0</v>
      </c>
      <c r="B1177" s="85" t="s">
        <v>114</v>
      </c>
      <c r="C1177" s="81">
        <v>36.7</v>
      </c>
      <c r="D1177" s="73">
        <v>0.0</v>
      </c>
      <c r="E1177" s="83">
        <v>0.0</v>
      </c>
      <c r="F1177" s="76">
        <v>0.0</v>
      </c>
      <c r="G1177">
        <f>AVERAGE(F1177:F1179)</f>
        <v>0</v>
      </c>
    </row>
    <row r="1178">
      <c r="A1178" s="73">
        <v>2018.0</v>
      </c>
      <c r="B1178" s="85" t="s">
        <v>114</v>
      </c>
      <c r="C1178" s="81">
        <v>38.2</v>
      </c>
      <c r="D1178" s="73">
        <v>0.0</v>
      </c>
      <c r="E1178" s="88">
        <v>1.0</v>
      </c>
      <c r="F1178" s="76">
        <v>0.0</v>
      </c>
    </row>
    <row r="1179">
      <c r="A1179" s="73">
        <v>2003.0</v>
      </c>
      <c r="B1179" s="74" t="s">
        <v>115</v>
      </c>
      <c r="C1179" s="75">
        <v>32.46</v>
      </c>
      <c r="D1179" s="73">
        <v>0.0</v>
      </c>
      <c r="E1179" s="76">
        <v>0.0</v>
      </c>
      <c r="F1179" s="76">
        <v>0.0</v>
      </c>
      <c r="G1179">
        <f>AVERAGE(F1179:F1183)</f>
        <v>54.4</v>
      </c>
    </row>
    <row r="1180" hidden="1">
      <c r="A1180" s="69">
        <v>2002.0</v>
      </c>
      <c r="B1180" s="70" t="s">
        <v>119</v>
      </c>
      <c r="C1180" s="71">
        <v>43.97</v>
      </c>
      <c r="D1180" s="69">
        <v>1.0</v>
      </c>
      <c r="E1180" s="72">
        <v>0.0</v>
      </c>
      <c r="F1180" s="72">
        <v>0.0</v>
      </c>
    </row>
    <row r="1181">
      <c r="A1181" s="73">
        <v>2004.0</v>
      </c>
      <c r="B1181" s="74" t="s">
        <v>115</v>
      </c>
      <c r="C1181" s="75">
        <v>32.46</v>
      </c>
      <c r="D1181" s="73">
        <v>0.0</v>
      </c>
      <c r="E1181" s="77">
        <v>1.0</v>
      </c>
      <c r="F1181" s="76">
        <v>0.0</v>
      </c>
    </row>
    <row r="1182">
      <c r="A1182" s="73">
        <v>2005.0</v>
      </c>
      <c r="B1182" s="74" t="s">
        <v>115</v>
      </c>
      <c r="C1182" s="75">
        <v>32.46</v>
      </c>
      <c r="D1182" s="73">
        <v>0.0</v>
      </c>
      <c r="E1182" s="78">
        <v>1.0</v>
      </c>
      <c r="F1182" s="76">
        <v>0.0</v>
      </c>
    </row>
    <row r="1183">
      <c r="A1183" s="73">
        <v>2006.0</v>
      </c>
      <c r="B1183" s="74" t="s">
        <v>115</v>
      </c>
      <c r="C1183" s="75">
        <v>32.46</v>
      </c>
      <c r="D1183" s="73">
        <v>0.0</v>
      </c>
      <c r="E1183" s="78">
        <v>1.0</v>
      </c>
      <c r="F1183" s="76">
        <v>272.0</v>
      </c>
    </row>
    <row r="1184">
      <c r="A1184" s="73">
        <v>2007.0</v>
      </c>
      <c r="B1184" s="74" t="s">
        <v>115</v>
      </c>
      <c r="C1184" s="75">
        <v>44.04</v>
      </c>
      <c r="D1184" s="73">
        <v>1.0</v>
      </c>
      <c r="E1184" s="78">
        <v>1.0</v>
      </c>
      <c r="F1184" s="76">
        <v>0.0</v>
      </c>
    </row>
    <row r="1185">
      <c r="A1185" s="73">
        <v>2008.0</v>
      </c>
      <c r="B1185" s="74" t="s">
        <v>115</v>
      </c>
      <c r="C1185" s="75">
        <v>44.04</v>
      </c>
      <c r="D1185" s="73">
        <v>1.0</v>
      </c>
      <c r="E1185" s="78">
        <v>1.0</v>
      </c>
      <c r="F1185" s="76">
        <v>4.0</v>
      </c>
      <c r="G1185">
        <f>AVERAGE(F1185:F1188)</f>
        <v>19.5</v>
      </c>
    </row>
    <row r="1186">
      <c r="A1186" s="73">
        <v>2009.0</v>
      </c>
      <c r="B1186" s="74" t="s">
        <v>115</v>
      </c>
      <c r="C1186" s="75">
        <v>44.04</v>
      </c>
      <c r="D1186" s="73">
        <v>1.0</v>
      </c>
      <c r="E1186" s="79">
        <v>0.0</v>
      </c>
      <c r="F1186" s="76">
        <v>74.0</v>
      </c>
    </row>
    <row r="1187">
      <c r="A1187" s="73">
        <v>2010.0</v>
      </c>
      <c r="B1187" s="74" t="s">
        <v>115</v>
      </c>
      <c r="C1187" s="75">
        <v>44.04</v>
      </c>
      <c r="D1187" s="73">
        <v>1.0</v>
      </c>
      <c r="E1187" s="82">
        <v>0.0</v>
      </c>
      <c r="F1187" s="76">
        <v>0.0</v>
      </c>
    </row>
    <row r="1188">
      <c r="A1188" s="73">
        <v>2011.0</v>
      </c>
      <c r="B1188" s="74" t="s">
        <v>115</v>
      </c>
      <c r="C1188" s="81">
        <v>54.9</v>
      </c>
      <c r="D1188" s="73">
        <v>1.0</v>
      </c>
      <c r="E1188" s="82">
        <v>0.0</v>
      </c>
      <c r="F1188" s="76">
        <v>0.0</v>
      </c>
    </row>
    <row r="1189">
      <c r="A1189" s="73">
        <v>2012.0</v>
      </c>
      <c r="B1189" s="74" t="s">
        <v>115</v>
      </c>
      <c r="C1189" s="81">
        <v>54.9</v>
      </c>
      <c r="D1189" s="73">
        <v>1.0</v>
      </c>
      <c r="E1189" s="82">
        <v>0.0</v>
      </c>
      <c r="F1189" s="76">
        <v>0.0</v>
      </c>
      <c r="G1189">
        <f>AVERAGE(F1189:F1192)</f>
        <v>0</v>
      </c>
    </row>
    <row r="1190">
      <c r="A1190" s="73">
        <v>2013.0</v>
      </c>
      <c r="B1190" s="74" t="s">
        <v>115</v>
      </c>
      <c r="C1190" s="81">
        <v>54.9</v>
      </c>
      <c r="D1190" s="73">
        <v>1.0</v>
      </c>
      <c r="E1190" s="82">
        <v>0.0</v>
      </c>
      <c r="F1190" s="76">
        <v>0.0</v>
      </c>
    </row>
    <row r="1191">
      <c r="A1191" s="73">
        <v>2014.0</v>
      </c>
      <c r="B1191" s="74" t="s">
        <v>115</v>
      </c>
      <c r="C1191" s="81">
        <v>54.9</v>
      </c>
      <c r="D1191" s="73">
        <v>1.0</v>
      </c>
      <c r="E1191" s="83">
        <v>0.0</v>
      </c>
      <c r="F1191" s="76">
        <v>0.0</v>
      </c>
    </row>
    <row r="1192">
      <c r="A1192" s="84">
        <v>2015.0</v>
      </c>
      <c r="B1192" s="85" t="s">
        <v>115</v>
      </c>
      <c r="C1192" s="81">
        <v>47.5</v>
      </c>
      <c r="D1192" s="73">
        <v>1.0</v>
      </c>
      <c r="E1192" s="83">
        <v>0.0</v>
      </c>
      <c r="F1192" s="76">
        <v>0.0</v>
      </c>
    </row>
    <row r="1193">
      <c r="A1193" s="73">
        <v>2016.0</v>
      </c>
      <c r="B1193" s="85" t="s">
        <v>115</v>
      </c>
      <c r="C1193" s="81">
        <v>56.3</v>
      </c>
      <c r="D1193" s="73">
        <v>1.0</v>
      </c>
      <c r="E1193" s="83">
        <v>0.0</v>
      </c>
      <c r="F1193" s="76">
        <v>0.0</v>
      </c>
      <c r="G1193">
        <f>AVERAGE(F1193)</f>
        <v>0</v>
      </c>
    </row>
    <row r="1194">
      <c r="A1194" s="73">
        <v>2017.0</v>
      </c>
      <c r="B1194" s="85" t="s">
        <v>115</v>
      </c>
      <c r="C1194" s="81">
        <v>56.3</v>
      </c>
      <c r="D1194" s="73">
        <v>1.0</v>
      </c>
      <c r="E1194" s="83">
        <v>0.0</v>
      </c>
      <c r="F1194" s="76">
        <v>94.0</v>
      </c>
      <c r="G1194">
        <f>AVERAGE(F1194:F1196)</f>
        <v>31.33333333</v>
      </c>
    </row>
    <row r="1195">
      <c r="A1195" s="73">
        <v>2018.0</v>
      </c>
      <c r="B1195" s="85" t="s">
        <v>115</v>
      </c>
      <c r="C1195" s="81">
        <v>54.4</v>
      </c>
      <c r="D1195" s="73">
        <v>1.0</v>
      </c>
      <c r="E1195" s="88">
        <v>1.0</v>
      </c>
      <c r="F1195" s="76">
        <v>0.0</v>
      </c>
    </row>
    <row r="1196">
      <c r="A1196" s="73">
        <v>2003.0</v>
      </c>
      <c r="B1196" s="74" t="s">
        <v>116</v>
      </c>
      <c r="C1196" s="75">
        <v>45.06</v>
      </c>
      <c r="D1196" s="73">
        <v>1.0</v>
      </c>
      <c r="E1196" s="76">
        <v>0.0</v>
      </c>
      <c r="F1196" s="76">
        <v>0.0</v>
      </c>
      <c r="G1196">
        <f>AVERAGE(F1196:F1200)</f>
        <v>329.6</v>
      </c>
    </row>
    <row r="1197" hidden="1">
      <c r="A1197" s="69">
        <v>2002.0</v>
      </c>
      <c r="B1197" s="70" t="s">
        <v>120</v>
      </c>
      <c r="C1197" s="71">
        <v>43.93</v>
      </c>
      <c r="D1197" s="69">
        <v>1.0</v>
      </c>
      <c r="E1197" s="72">
        <v>0.0</v>
      </c>
      <c r="F1197" s="72">
        <v>0.0</v>
      </c>
    </row>
    <row r="1198">
      <c r="A1198" s="73">
        <v>2004.0</v>
      </c>
      <c r="B1198" s="74" t="s">
        <v>116</v>
      </c>
      <c r="C1198" s="75">
        <v>45.06</v>
      </c>
      <c r="D1198" s="73">
        <v>1.0</v>
      </c>
      <c r="E1198" s="77">
        <v>1.0</v>
      </c>
      <c r="F1198" s="76">
        <v>384.0</v>
      </c>
    </row>
    <row r="1199">
      <c r="A1199" s="73">
        <v>2005.0</v>
      </c>
      <c r="B1199" s="74" t="s">
        <v>116</v>
      </c>
      <c r="C1199" s="75">
        <v>45.06</v>
      </c>
      <c r="D1199" s="73">
        <v>1.0</v>
      </c>
      <c r="E1199" s="78">
        <v>1.0</v>
      </c>
      <c r="F1199" s="76">
        <v>1264.0</v>
      </c>
    </row>
    <row r="1200">
      <c r="A1200" s="73">
        <v>2006.0</v>
      </c>
      <c r="B1200" s="74" t="s">
        <v>116</v>
      </c>
      <c r="C1200" s="75">
        <v>45.06</v>
      </c>
      <c r="D1200" s="73">
        <v>1.0</v>
      </c>
      <c r="E1200" s="78">
        <v>1.0</v>
      </c>
      <c r="F1200" s="76">
        <v>0.0</v>
      </c>
    </row>
    <row r="1201">
      <c r="A1201" s="73">
        <v>2007.0</v>
      </c>
      <c r="B1201" s="74" t="s">
        <v>116</v>
      </c>
      <c r="C1201" s="75">
        <v>55.47</v>
      </c>
      <c r="D1201" s="73">
        <v>1.0</v>
      </c>
      <c r="E1201" s="78">
        <v>1.0</v>
      </c>
      <c r="F1201" s="76">
        <v>576.0</v>
      </c>
    </row>
    <row r="1202">
      <c r="A1202" s="73">
        <v>2008.0</v>
      </c>
      <c r="B1202" s="74" t="s">
        <v>116</v>
      </c>
      <c r="C1202" s="75">
        <v>55.47</v>
      </c>
      <c r="D1202" s="73">
        <v>1.0</v>
      </c>
      <c r="E1202" s="78">
        <v>1.0</v>
      </c>
      <c r="F1202" s="76">
        <v>96.0</v>
      </c>
      <c r="G1202">
        <f>AVERAGE(F1202:F1205)</f>
        <v>257</v>
      </c>
    </row>
    <row r="1203">
      <c r="A1203" s="73">
        <v>2009.0</v>
      </c>
      <c r="B1203" s="74" t="s">
        <v>116</v>
      </c>
      <c r="C1203" s="75">
        <v>55.47</v>
      </c>
      <c r="D1203" s="73">
        <v>1.0</v>
      </c>
      <c r="E1203" s="79">
        <v>0.0</v>
      </c>
      <c r="F1203" s="76">
        <v>696.0</v>
      </c>
    </row>
    <row r="1204">
      <c r="A1204" s="73">
        <v>2010.0</v>
      </c>
      <c r="B1204" s="74" t="s">
        <v>116</v>
      </c>
      <c r="C1204" s="75">
        <v>55.47</v>
      </c>
      <c r="D1204" s="73">
        <v>1.0</v>
      </c>
      <c r="E1204" s="82">
        <v>0.0</v>
      </c>
      <c r="F1204" s="76">
        <v>164.0</v>
      </c>
    </row>
    <row r="1205">
      <c r="A1205" s="73">
        <v>2011.0</v>
      </c>
      <c r="B1205" s="74" t="s">
        <v>116</v>
      </c>
      <c r="C1205" s="81">
        <v>63.3</v>
      </c>
      <c r="D1205" s="73">
        <v>1.0</v>
      </c>
      <c r="E1205" s="82">
        <v>0.0</v>
      </c>
      <c r="F1205" s="76">
        <v>72.0</v>
      </c>
    </row>
    <row r="1206">
      <c r="A1206" s="73">
        <v>2012.0</v>
      </c>
      <c r="B1206" s="74" t="s">
        <v>116</v>
      </c>
      <c r="C1206" s="81">
        <v>63.3</v>
      </c>
      <c r="D1206" s="73">
        <v>1.0</v>
      </c>
      <c r="E1206" s="82">
        <v>0.0</v>
      </c>
      <c r="F1206" s="76">
        <v>488.0</v>
      </c>
      <c r="G1206">
        <f>AVERAGE(F1206:F1209)</f>
        <v>677</v>
      </c>
    </row>
    <row r="1207">
      <c r="A1207" s="73">
        <v>2013.0</v>
      </c>
      <c r="B1207" s="74" t="s">
        <v>116</v>
      </c>
      <c r="C1207" s="81">
        <v>63.3</v>
      </c>
      <c r="D1207" s="73">
        <v>1.0</v>
      </c>
      <c r="E1207" s="82">
        <v>0.0</v>
      </c>
      <c r="F1207" s="76">
        <v>1010.0</v>
      </c>
    </row>
    <row r="1208">
      <c r="A1208" s="73">
        <v>2014.0</v>
      </c>
      <c r="B1208" s="74" t="s">
        <v>116</v>
      </c>
      <c r="C1208" s="81">
        <v>63.3</v>
      </c>
      <c r="D1208" s="73">
        <v>1.0</v>
      </c>
      <c r="E1208" s="83">
        <v>1.0</v>
      </c>
      <c r="F1208" s="76">
        <v>288.0</v>
      </c>
    </row>
    <row r="1209">
      <c r="A1209" s="84">
        <v>2015.0</v>
      </c>
      <c r="B1209" s="85" t="s">
        <v>116</v>
      </c>
      <c r="C1209" s="81">
        <v>57.7</v>
      </c>
      <c r="D1209" s="73">
        <v>1.0</v>
      </c>
      <c r="E1209" s="83">
        <v>0.0</v>
      </c>
      <c r="F1209" s="76">
        <v>922.0</v>
      </c>
    </row>
    <row r="1210">
      <c r="A1210" s="73">
        <v>2016.0</v>
      </c>
      <c r="B1210" s="85" t="s">
        <v>116</v>
      </c>
      <c r="C1210" s="81">
        <v>68.7</v>
      </c>
      <c r="D1210" s="73">
        <v>1.0</v>
      </c>
      <c r="E1210" s="83">
        <v>1.0</v>
      </c>
      <c r="F1210" s="76">
        <v>610.0</v>
      </c>
      <c r="G1210">
        <f>AVERAGE(F1210)</f>
        <v>610</v>
      </c>
    </row>
    <row r="1211">
      <c r="A1211" s="73">
        <v>2017.0</v>
      </c>
      <c r="B1211" s="85" t="s">
        <v>116</v>
      </c>
      <c r="C1211" s="81">
        <v>68.7</v>
      </c>
      <c r="D1211" s="73">
        <v>1.0</v>
      </c>
      <c r="E1211" s="83">
        <v>1.0</v>
      </c>
      <c r="F1211" s="76">
        <v>1222.0</v>
      </c>
      <c r="G1211">
        <f>AVERAGE(F1211:F1213)</f>
        <v>438.6666667</v>
      </c>
    </row>
    <row r="1212">
      <c r="A1212" s="73">
        <v>2018.0</v>
      </c>
      <c r="B1212" s="85" t="s">
        <v>116</v>
      </c>
      <c r="C1212" s="81">
        <v>53.8</v>
      </c>
      <c r="D1212" s="73">
        <v>1.0</v>
      </c>
      <c r="E1212" s="88">
        <v>1.0</v>
      </c>
      <c r="F1212" s="76">
        <v>94.0</v>
      </c>
    </row>
    <row r="1213">
      <c r="A1213" s="73">
        <v>2003.0</v>
      </c>
      <c r="B1213" s="74" t="s">
        <v>117</v>
      </c>
      <c r="C1213" s="75">
        <v>14.02</v>
      </c>
      <c r="D1213" s="73">
        <v>0.0</v>
      </c>
      <c r="E1213" s="76">
        <v>0.0</v>
      </c>
      <c r="F1213" s="76">
        <v>0.0</v>
      </c>
      <c r="G1213">
        <f>AVERAGE(F1213:F1217)</f>
        <v>95.2</v>
      </c>
    </row>
    <row r="1214" hidden="1">
      <c r="A1214" s="69">
        <v>2002.0</v>
      </c>
      <c r="B1214" s="70" t="s">
        <v>121</v>
      </c>
      <c r="C1214" s="71">
        <v>6.67</v>
      </c>
      <c r="D1214" s="69">
        <v>0.0</v>
      </c>
      <c r="E1214" s="72">
        <v>0.0</v>
      </c>
      <c r="F1214" s="72">
        <v>0.0</v>
      </c>
    </row>
    <row r="1215">
      <c r="A1215" s="73">
        <v>2004.0</v>
      </c>
      <c r="B1215" s="74" t="s">
        <v>117</v>
      </c>
      <c r="C1215" s="75">
        <v>14.02</v>
      </c>
      <c r="D1215" s="73">
        <v>0.0</v>
      </c>
      <c r="E1215" s="77">
        <v>0.0</v>
      </c>
      <c r="F1215" s="76">
        <v>220.0</v>
      </c>
    </row>
    <row r="1216">
      <c r="A1216" s="73">
        <v>2005.0</v>
      </c>
      <c r="B1216" s="74" t="s">
        <v>117</v>
      </c>
      <c r="C1216" s="75">
        <v>14.02</v>
      </c>
      <c r="D1216" s="73">
        <v>0.0</v>
      </c>
      <c r="E1216" s="78">
        <v>0.0</v>
      </c>
      <c r="F1216" s="76">
        <v>0.0</v>
      </c>
    </row>
    <row r="1217">
      <c r="A1217" s="73">
        <v>2006.0</v>
      </c>
      <c r="B1217" s="74" t="s">
        <v>117</v>
      </c>
      <c r="C1217" s="75">
        <v>14.02</v>
      </c>
      <c r="D1217" s="73">
        <v>0.0</v>
      </c>
      <c r="E1217" s="78">
        <v>0.0</v>
      </c>
      <c r="F1217" s="76">
        <v>256.0</v>
      </c>
    </row>
    <row r="1218">
      <c r="A1218" s="73">
        <v>2007.0</v>
      </c>
      <c r="B1218" s="74" t="s">
        <v>117</v>
      </c>
      <c r="C1218" s="75">
        <v>26.93</v>
      </c>
      <c r="D1218" s="73">
        <v>0.0</v>
      </c>
      <c r="E1218" s="78">
        <v>0.0</v>
      </c>
      <c r="F1218" s="76">
        <v>48.0</v>
      </c>
    </row>
    <row r="1219">
      <c r="A1219" s="73">
        <v>2008.0</v>
      </c>
      <c r="B1219" s="74" t="s">
        <v>117</v>
      </c>
      <c r="C1219" s="75">
        <v>26.93</v>
      </c>
      <c r="D1219" s="73">
        <v>0.0</v>
      </c>
      <c r="E1219" s="78">
        <v>0.0</v>
      </c>
      <c r="F1219" s="76">
        <v>0.0</v>
      </c>
      <c r="G1219">
        <f>AVERAGE(F1219:F1222)</f>
        <v>205</v>
      </c>
    </row>
    <row r="1220">
      <c r="A1220" s="73">
        <v>2009.0</v>
      </c>
      <c r="B1220" s="74" t="s">
        <v>117</v>
      </c>
      <c r="C1220" s="75">
        <v>26.93</v>
      </c>
      <c r="D1220" s="73">
        <v>0.0</v>
      </c>
      <c r="E1220" s="79">
        <v>0.0</v>
      </c>
      <c r="F1220" s="76">
        <v>0.0</v>
      </c>
    </row>
    <row r="1221">
      <c r="A1221" s="73">
        <v>2010.0</v>
      </c>
      <c r="B1221" s="74" t="s">
        <v>117</v>
      </c>
      <c r="C1221" s="75">
        <v>26.93</v>
      </c>
      <c r="D1221" s="73">
        <v>0.0</v>
      </c>
      <c r="E1221" s="82">
        <v>0.0</v>
      </c>
      <c r="F1221" s="76">
        <v>820.0</v>
      </c>
    </row>
    <row r="1222">
      <c r="A1222" s="73">
        <v>2011.0</v>
      </c>
      <c r="B1222" s="74" t="s">
        <v>117</v>
      </c>
      <c r="C1222" s="81">
        <v>20.6</v>
      </c>
      <c r="D1222" s="73">
        <v>0.0</v>
      </c>
      <c r="E1222" s="82">
        <v>0.0</v>
      </c>
      <c r="F1222" s="76">
        <v>0.0</v>
      </c>
    </row>
    <row r="1223">
      <c r="A1223" s="73">
        <v>2012.0</v>
      </c>
      <c r="B1223" s="74" t="s">
        <v>117</v>
      </c>
      <c r="C1223" s="81">
        <v>20.6</v>
      </c>
      <c r="D1223" s="73">
        <v>0.0</v>
      </c>
      <c r="E1223" s="82">
        <v>0.0</v>
      </c>
      <c r="F1223" s="76">
        <v>44.0</v>
      </c>
      <c r="G1223">
        <f>AVERAGE(F1223:F1226)</f>
        <v>11</v>
      </c>
    </row>
    <row r="1224">
      <c r="A1224" s="73">
        <v>2013.0</v>
      </c>
      <c r="B1224" s="74" t="s">
        <v>117</v>
      </c>
      <c r="C1224" s="81">
        <v>20.6</v>
      </c>
      <c r="D1224" s="73">
        <v>0.0</v>
      </c>
      <c r="E1224" s="82">
        <v>0.0</v>
      </c>
      <c r="F1224" s="76">
        <v>0.0</v>
      </c>
    </row>
    <row r="1225">
      <c r="A1225" s="73">
        <v>2014.0</v>
      </c>
      <c r="B1225" s="74" t="s">
        <v>117</v>
      </c>
      <c r="C1225" s="81">
        <v>20.6</v>
      </c>
      <c r="D1225" s="73">
        <v>0.0</v>
      </c>
      <c r="E1225" s="83">
        <v>0.0</v>
      </c>
      <c r="F1225" s="76">
        <v>0.0</v>
      </c>
    </row>
    <row r="1226">
      <c r="A1226" s="84">
        <v>2015.0</v>
      </c>
      <c r="B1226" s="85" t="s">
        <v>117</v>
      </c>
      <c r="C1226" s="81">
        <v>8.8</v>
      </c>
      <c r="D1226" s="73">
        <v>0.0</v>
      </c>
      <c r="E1226" s="83">
        <v>1.0</v>
      </c>
      <c r="F1226" s="76">
        <v>0.0</v>
      </c>
    </row>
    <row r="1227">
      <c r="A1227" s="73">
        <v>2016.0</v>
      </c>
      <c r="B1227" s="85" t="s">
        <v>117</v>
      </c>
      <c r="C1227" s="81">
        <v>11.1</v>
      </c>
      <c r="D1227" s="73">
        <v>0.0</v>
      </c>
      <c r="E1227" s="83">
        <v>0.0</v>
      </c>
      <c r="F1227" s="76">
        <v>0.0</v>
      </c>
      <c r="G1227">
        <f>AVERAGE(F1227)</f>
        <v>0</v>
      </c>
    </row>
    <row r="1228">
      <c r="A1228" s="73">
        <v>2017.0</v>
      </c>
      <c r="B1228" s="85" t="s">
        <v>117</v>
      </c>
      <c r="C1228" s="81">
        <v>11.1</v>
      </c>
      <c r="D1228" s="73">
        <v>0.0</v>
      </c>
      <c r="E1228" s="83">
        <v>0.0</v>
      </c>
      <c r="F1228" s="76">
        <v>5676.0</v>
      </c>
      <c r="G1228">
        <f>AVERAGE(F1228:F1230)</f>
        <v>1892</v>
      </c>
    </row>
    <row r="1229">
      <c r="A1229" s="73">
        <v>2018.0</v>
      </c>
      <c r="B1229" s="85" t="s">
        <v>117</v>
      </c>
      <c r="C1229" s="81">
        <v>17.0</v>
      </c>
      <c r="D1229" s="73">
        <v>0.0</v>
      </c>
      <c r="E1229" s="88">
        <v>0.0</v>
      </c>
      <c r="F1229" s="76">
        <v>0.0</v>
      </c>
    </row>
    <row r="1230">
      <c r="A1230" s="73">
        <v>2003.0</v>
      </c>
      <c r="B1230" s="74" t="s">
        <v>118</v>
      </c>
      <c r="C1230" s="75">
        <v>17.01</v>
      </c>
      <c r="D1230" s="73">
        <v>0.0</v>
      </c>
      <c r="E1230" s="76">
        <v>0.0</v>
      </c>
      <c r="F1230" s="76">
        <v>0.0</v>
      </c>
      <c r="G1230">
        <f>AVERAGE(F1230:F1234)</f>
        <v>142.4</v>
      </c>
    </row>
    <row r="1231" hidden="1">
      <c r="A1231" s="69">
        <v>2002.0</v>
      </c>
      <c r="B1231" s="70" t="s">
        <v>122</v>
      </c>
      <c r="C1231" s="71">
        <v>26.95</v>
      </c>
      <c r="D1231" s="69">
        <v>0.0</v>
      </c>
      <c r="E1231" s="72">
        <v>0.0</v>
      </c>
      <c r="F1231" s="72">
        <v>0.0</v>
      </c>
    </row>
    <row r="1232">
      <c r="A1232" s="73">
        <v>2004.0</v>
      </c>
      <c r="B1232" s="74" t="s">
        <v>118</v>
      </c>
      <c r="C1232" s="75">
        <v>17.01</v>
      </c>
      <c r="D1232" s="73">
        <v>0.0</v>
      </c>
      <c r="E1232" s="77">
        <v>1.0</v>
      </c>
      <c r="F1232" s="76">
        <v>0.0</v>
      </c>
    </row>
    <row r="1233">
      <c r="A1233" s="73">
        <v>2005.0</v>
      </c>
      <c r="B1233" s="74" t="s">
        <v>118</v>
      </c>
      <c r="C1233" s="75">
        <v>17.01</v>
      </c>
      <c r="D1233" s="73">
        <v>0.0</v>
      </c>
      <c r="E1233" s="78">
        <v>1.0</v>
      </c>
      <c r="F1233" s="76">
        <v>132.0</v>
      </c>
    </row>
    <row r="1234">
      <c r="A1234" s="73">
        <v>2006.0</v>
      </c>
      <c r="B1234" s="74" t="s">
        <v>118</v>
      </c>
      <c r="C1234" s="75">
        <v>17.01</v>
      </c>
      <c r="D1234" s="73">
        <v>0.0</v>
      </c>
      <c r="E1234" s="78">
        <v>1.0</v>
      </c>
      <c r="F1234" s="76">
        <v>580.0</v>
      </c>
    </row>
    <row r="1235">
      <c r="A1235" s="73">
        <v>2007.0</v>
      </c>
      <c r="B1235" s="74" t="s">
        <v>118</v>
      </c>
      <c r="C1235" s="75">
        <v>29.34</v>
      </c>
      <c r="D1235" s="73">
        <v>0.0</v>
      </c>
      <c r="E1235" s="78">
        <v>1.0</v>
      </c>
      <c r="F1235" s="76">
        <v>320.0</v>
      </c>
    </row>
    <row r="1236">
      <c r="A1236" s="73">
        <v>2008.0</v>
      </c>
      <c r="B1236" s="74" t="s">
        <v>118</v>
      </c>
      <c r="C1236" s="75">
        <v>29.34</v>
      </c>
      <c r="D1236" s="73">
        <v>0.0</v>
      </c>
      <c r="E1236" s="78">
        <v>1.0</v>
      </c>
      <c r="F1236" s="76">
        <v>0.0</v>
      </c>
      <c r="G1236">
        <f>AVERAGE(F1236:F1239)</f>
        <v>261</v>
      </c>
    </row>
    <row r="1237">
      <c r="A1237" s="73">
        <v>2009.0</v>
      </c>
      <c r="B1237" s="74" t="s">
        <v>118</v>
      </c>
      <c r="C1237" s="75">
        <v>29.34</v>
      </c>
      <c r="D1237" s="73">
        <v>0.0</v>
      </c>
      <c r="E1237" s="79">
        <v>0.0</v>
      </c>
      <c r="F1237" s="76">
        <v>624.0</v>
      </c>
    </row>
    <row r="1238">
      <c r="A1238" s="73">
        <v>2010.0</v>
      </c>
      <c r="B1238" s="74" t="s">
        <v>118</v>
      </c>
      <c r="C1238" s="75">
        <v>29.34</v>
      </c>
      <c r="D1238" s="73">
        <v>0.0</v>
      </c>
      <c r="E1238" s="82">
        <v>0.0</v>
      </c>
      <c r="F1238" s="76">
        <v>400.0</v>
      </c>
    </row>
    <row r="1239">
      <c r="A1239" s="73">
        <v>2011.0</v>
      </c>
      <c r="B1239" s="74" t="s">
        <v>118</v>
      </c>
      <c r="C1239" s="81">
        <v>35.9</v>
      </c>
      <c r="D1239" s="73">
        <v>0.0</v>
      </c>
      <c r="E1239" s="82">
        <v>0.0</v>
      </c>
      <c r="F1239" s="76">
        <v>20.0</v>
      </c>
    </row>
    <row r="1240">
      <c r="A1240" s="73">
        <v>2012.0</v>
      </c>
      <c r="B1240" s="74" t="s">
        <v>118</v>
      </c>
      <c r="C1240" s="81">
        <v>35.9</v>
      </c>
      <c r="D1240" s="73">
        <v>0.0</v>
      </c>
      <c r="E1240" s="82">
        <v>0.0</v>
      </c>
      <c r="F1240" s="76">
        <v>10.0</v>
      </c>
      <c r="G1240">
        <f>AVERAGE(F1240:F1243)</f>
        <v>162.5</v>
      </c>
    </row>
    <row r="1241">
      <c r="A1241" s="73">
        <v>2013.0</v>
      </c>
      <c r="B1241" s="74" t="s">
        <v>118</v>
      </c>
      <c r="C1241" s="81">
        <v>35.9</v>
      </c>
      <c r="D1241" s="73">
        <v>0.0</v>
      </c>
      <c r="E1241" s="82">
        <v>0.0</v>
      </c>
      <c r="F1241" s="76">
        <v>0.0</v>
      </c>
    </row>
    <row r="1242">
      <c r="A1242" s="73">
        <v>2014.0</v>
      </c>
      <c r="B1242" s="74" t="s">
        <v>118</v>
      </c>
      <c r="C1242" s="81">
        <v>35.9</v>
      </c>
      <c r="D1242" s="73">
        <v>0.0</v>
      </c>
      <c r="E1242" s="83">
        <v>0.0</v>
      </c>
      <c r="F1242" s="76">
        <v>640.0</v>
      </c>
    </row>
    <row r="1243">
      <c r="A1243" s="84">
        <v>2015.0</v>
      </c>
      <c r="B1243" s="85" t="s">
        <v>118</v>
      </c>
      <c r="C1243" s="81">
        <v>31.2</v>
      </c>
      <c r="D1243" s="73">
        <v>0.0</v>
      </c>
      <c r="E1243" s="83">
        <v>0.0</v>
      </c>
      <c r="F1243" s="76">
        <v>0.0</v>
      </c>
    </row>
    <row r="1244">
      <c r="A1244" s="73">
        <v>2016.0</v>
      </c>
      <c r="B1244" s="85" t="s">
        <v>118</v>
      </c>
      <c r="C1244" s="81">
        <v>37.2</v>
      </c>
      <c r="D1244" s="73">
        <v>0.0</v>
      </c>
      <c r="E1244" s="83">
        <v>0.0</v>
      </c>
      <c r="F1244" s="76">
        <v>0.0</v>
      </c>
      <c r="G1244">
        <f>AVERAGE(F1244)</f>
        <v>0</v>
      </c>
    </row>
    <row r="1245">
      <c r="A1245" s="73">
        <v>2017.0</v>
      </c>
      <c r="B1245" s="85" t="s">
        <v>118</v>
      </c>
      <c r="C1245" s="81">
        <v>37.2</v>
      </c>
      <c r="D1245" s="73">
        <v>0.0</v>
      </c>
      <c r="E1245" s="83">
        <v>0.0</v>
      </c>
      <c r="F1245" s="76">
        <v>0.0</v>
      </c>
      <c r="G1245">
        <f>AVERAGE(F1245:F1247)</f>
        <v>0</v>
      </c>
    </row>
    <row r="1246">
      <c r="A1246" s="73">
        <v>2018.0</v>
      </c>
      <c r="B1246" s="85" t="s">
        <v>118</v>
      </c>
      <c r="C1246" s="81">
        <v>33.6</v>
      </c>
      <c r="D1246" s="73">
        <v>0.0</v>
      </c>
      <c r="E1246" s="88">
        <v>0.0</v>
      </c>
      <c r="F1246" s="76">
        <v>0.0</v>
      </c>
    </row>
    <row r="1247">
      <c r="A1247" s="73">
        <v>2003.0</v>
      </c>
      <c r="B1247" s="74" t="s">
        <v>119</v>
      </c>
      <c r="C1247" s="75">
        <v>43.97</v>
      </c>
      <c r="D1247" s="73">
        <v>1.0</v>
      </c>
      <c r="E1247" s="76">
        <v>0.0</v>
      </c>
      <c r="F1247" s="76">
        <v>0.0</v>
      </c>
      <c r="G1247">
        <f>AVERAGE(F1247:F1251)</f>
        <v>178.8</v>
      </c>
    </row>
    <row r="1248" hidden="1">
      <c r="A1248" s="69">
        <v>2002.0</v>
      </c>
      <c r="B1248" s="70" t="s">
        <v>123</v>
      </c>
      <c r="C1248" s="71">
        <v>25.86</v>
      </c>
      <c r="D1248" s="69">
        <v>0.0</v>
      </c>
      <c r="E1248" s="72">
        <v>0.0</v>
      </c>
      <c r="F1248" s="72">
        <v>0.0</v>
      </c>
    </row>
    <row r="1249">
      <c r="A1249" s="73">
        <v>2004.0</v>
      </c>
      <c r="B1249" s="74" t="s">
        <v>119</v>
      </c>
      <c r="C1249" s="75">
        <v>43.97</v>
      </c>
      <c r="D1249" s="73">
        <v>1.0</v>
      </c>
      <c r="E1249" s="77">
        <v>1.0</v>
      </c>
      <c r="F1249" s="76">
        <v>240.0</v>
      </c>
    </row>
    <row r="1250">
      <c r="A1250" s="73">
        <v>2005.0</v>
      </c>
      <c r="B1250" s="74" t="s">
        <v>119</v>
      </c>
      <c r="C1250" s="75">
        <v>43.97</v>
      </c>
      <c r="D1250" s="73">
        <v>1.0</v>
      </c>
      <c r="E1250" s="78">
        <v>1.0</v>
      </c>
      <c r="F1250" s="76">
        <v>654.0</v>
      </c>
    </row>
    <row r="1251">
      <c r="A1251" s="73">
        <v>2006.0</v>
      </c>
      <c r="B1251" s="74" t="s">
        <v>119</v>
      </c>
      <c r="C1251" s="75">
        <v>43.97</v>
      </c>
      <c r="D1251" s="73">
        <v>1.0</v>
      </c>
      <c r="E1251" s="78">
        <v>1.0</v>
      </c>
      <c r="F1251" s="76">
        <v>0.0</v>
      </c>
    </row>
    <row r="1252">
      <c r="A1252" s="73">
        <v>2007.0</v>
      </c>
      <c r="B1252" s="74" t="s">
        <v>119</v>
      </c>
      <c r="C1252" s="75">
        <v>51.95</v>
      </c>
      <c r="D1252" s="73">
        <v>1.0</v>
      </c>
      <c r="E1252" s="78">
        <v>1.0</v>
      </c>
      <c r="F1252" s="76">
        <v>400.0</v>
      </c>
    </row>
    <row r="1253">
      <c r="A1253" s="73">
        <v>2008.0</v>
      </c>
      <c r="B1253" s="74" t="s">
        <v>119</v>
      </c>
      <c r="C1253" s="75">
        <v>51.95</v>
      </c>
      <c r="D1253" s="73">
        <v>1.0</v>
      </c>
      <c r="E1253" s="78">
        <v>1.0</v>
      </c>
      <c r="F1253" s="76">
        <v>0.0</v>
      </c>
      <c r="G1253">
        <f>AVERAGE(F1253:F1256)</f>
        <v>248</v>
      </c>
    </row>
    <row r="1254">
      <c r="A1254" s="73">
        <v>2009.0</v>
      </c>
      <c r="B1254" s="74" t="s">
        <v>119</v>
      </c>
      <c r="C1254" s="75">
        <v>51.95</v>
      </c>
      <c r="D1254" s="73">
        <v>1.0</v>
      </c>
      <c r="E1254" s="79">
        <v>1.0</v>
      </c>
      <c r="F1254" s="76">
        <v>328.0</v>
      </c>
    </row>
    <row r="1255">
      <c r="A1255" s="73">
        <v>2010.0</v>
      </c>
      <c r="B1255" s="74" t="s">
        <v>119</v>
      </c>
      <c r="C1255" s="75">
        <v>51.95</v>
      </c>
      <c r="D1255" s="73">
        <v>1.0</v>
      </c>
      <c r="E1255" s="82">
        <v>1.0</v>
      </c>
      <c r="F1255" s="76">
        <v>344.0</v>
      </c>
    </row>
    <row r="1256">
      <c r="A1256" s="73">
        <v>2011.0</v>
      </c>
      <c r="B1256" s="74" t="s">
        <v>119</v>
      </c>
      <c r="C1256" s="81">
        <v>55.9</v>
      </c>
      <c r="D1256" s="73">
        <v>1.0</v>
      </c>
      <c r="E1256" s="82">
        <v>1.0</v>
      </c>
      <c r="F1256" s="76">
        <v>320.0</v>
      </c>
    </row>
    <row r="1257">
      <c r="A1257" s="73">
        <v>2012.0</v>
      </c>
      <c r="B1257" s="74" t="s">
        <v>119</v>
      </c>
      <c r="C1257" s="81">
        <v>55.9</v>
      </c>
      <c r="D1257" s="73">
        <v>1.0</v>
      </c>
      <c r="E1257" s="82">
        <v>1.0</v>
      </c>
      <c r="F1257" s="76">
        <v>0.0</v>
      </c>
      <c r="G1257">
        <f>AVERAGE(F1257:F1260)</f>
        <v>130.5</v>
      </c>
    </row>
    <row r="1258">
      <c r="A1258" s="73">
        <v>2013.0</v>
      </c>
      <c r="B1258" s="74" t="s">
        <v>119</v>
      </c>
      <c r="C1258" s="81">
        <v>55.9</v>
      </c>
      <c r="D1258" s="73">
        <v>1.0</v>
      </c>
      <c r="E1258" s="82">
        <v>1.0</v>
      </c>
      <c r="F1258" s="76">
        <v>0.0</v>
      </c>
    </row>
    <row r="1259">
      <c r="A1259" s="73">
        <v>2014.0</v>
      </c>
      <c r="B1259" s="74" t="s">
        <v>119</v>
      </c>
      <c r="C1259" s="81">
        <v>55.9</v>
      </c>
      <c r="D1259" s="73">
        <v>1.0</v>
      </c>
      <c r="E1259" s="83">
        <v>1.0</v>
      </c>
      <c r="F1259" s="76">
        <v>332.0</v>
      </c>
    </row>
    <row r="1260">
      <c r="A1260" s="84">
        <v>2015.0</v>
      </c>
      <c r="B1260" s="85" t="s">
        <v>119</v>
      </c>
      <c r="C1260" s="81">
        <v>51.6</v>
      </c>
      <c r="D1260" s="73">
        <v>1.0</v>
      </c>
      <c r="E1260" s="83">
        <v>1.0</v>
      </c>
      <c r="F1260" s="76">
        <v>190.0</v>
      </c>
    </row>
    <row r="1261">
      <c r="A1261" s="73">
        <v>2016.0</v>
      </c>
      <c r="B1261" s="85" t="s">
        <v>119</v>
      </c>
      <c r="C1261" s="81">
        <v>59.6</v>
      </c>
      <c r="D1261" s="73">
        <v>1.0</v>
      </c>
      <c r="E1261" s="83">
        <v>1.0</v>
      </c>
      <c r="F1261" s="76">
        <v>436.0</v>
      </c>
      <c r="G1261">
        <f>AVERAGE(F1261)</f>
        <v>436</v>
      </c>
    </row>
    <row r="1262">
      <c r="A1262" s="73">
        <v>2017.0</v>
      </c>
      <c r="B1262" s="85" t="s">
        <v>119</v>
      </c>
      <c r="C1262" s="81">
        <v>59.6</v>
      </c>
      <c r="D1262" s="73">
        <v>1.0</v>
      </c>
      <c r="E1262" s="83">
        <v>1.0</v>
      </c>
      <c r="F1262" s="76">
        <v>967.0</v>
      </c>
      <c r="G1262">
        <f>AVERAGE(F1262:F1264)</f>
        <v>322.3333333</v>
      </c>
    </row>
    <row r="1263">
      <c r="A1263" s="73">
        <v>2018.0</v>
      </c>
      <c r="B1263" s="85" t="s">
        <v>119</v>
      </c>
      <c r="C1263" s="81">
        <v>48.9</v>
      </c>
      <c r="D1263" s="73">
        <v>1.0</v>
      </c>
      <c r="E1263" s="88">
        <v>1.0</v>
      </c>
      <c r="F1263" s="76">
        <v>0.0</v>
      </c>
    </row>
    <row r="1264">
      <c r="A1264" s="73">
        <v>2003.0</v>
      </c>
      <c r="B1264" s="74" t="s">
        <v>120</v>
      </c>
      <c r="C1264" s="75">
        <v>43.93</v>
      </c>
      <c r="D1264" s="73">
        <v>1.0</v>
      </c>
      <c r="E1264" s="76">
        <v>0.0</v>
      </c>
      <c r="F1264" s="76">
        <v>0.0</v>
      </c>
      <c r="G1264">
        <f>AVERAGE(F1264:F1268)</f>
        <v>322</v>
      </c>
    </row>
    <row r="1265" hidden="1">
      <c r="A1265" s="69">
        <v>2002.0</v>
      </c>
      <c r="B1265" s="70" t="s">
        <v>124</v>
      </c>
      <c r="C1265" s="71">
        <v>34.57</v>
      </c>
      <c r="D1265" s="69">
        <v>0.0</v>
      </c>
      <c r="E1265" s="72">
        <v>0.0</v>
      </c>
      <c r="F1265" s="72">
        <v>0.0</v>
      </c>
    </row>
    <row r="1266">
      <c r="A1266" s="73">
        <v>2004.0</v>
      </c>
      <c r="B1266" s="74" t="s">
        <v>120</v>
      </c>
      <c r="C1266" s="75">
        <v>43.93</v>
      </c>
      <c r="D1266" s="73">
        <v>1.0</v>
      </c>
      <c r="E1266" s="77">
        <v>0.0</v>
      </c>
      <c r="F1266" s="76">
        <v>0.0</v>
      </c>
    </row>
    <row r="1267">
      <c r="A1267" s="73">
        <v>2005.0</v>
      </c>
      <c r="B1267" s="74" t="s">
        <v>120</v>
      </c>
      <c r="C1267" s="75">
        <v>43.93</v>
      </c>
      <c r="D1267" s="73">
        <v>1.0</v>
      </c>
      <c r="E1267" s="78">
        <v>0.0</v>
      </c>
      <c r="F1267" s="76">
        <v>844.0</v>
      </c>
    </row>
    <row r="1268">
      <c r="A1268" s="73">
        <v>2006.0</v>
      </c>
      <c r="B1268" s="74" t="s">
        <v>120</v>
      </c>
      <c r="C1268" s="75">
        <v>43.93</v>
      </c>
      <c r="D1268" s="73">
        <v>1.0</v>
      </c>
      <c r="E1268" s="78">
        <v>0.0</v>
      </c>
      <c r="F1268" s="76">
        <v>766.0</v>
      </c>
    </row>
    <row r="1269">
      <c r="A1269" s="73">
        <v>2007.0</v>
      </c>
      <c r="B1269" s="74" t="s">
        <v>120</v>
      </c>
      <c r="C1269" s="75">
        <v>56.76</v>
      </c>
      <c r="D1269" s="73">
        <v>1.0</v>
      </c>
      <c r="E1269" s="78">
        <v>0.0</v>
      </c>
      <c r="F1269" s="76">
        <v>40.0</v>
      </c>
    </row>
    <row r="1270">
      <c r="A1270" s="73">
        <v>2008.0</v>
      </c>
      <c r="B1270" s="74" t="s">
        <v>120</v>
      </c>
      <c r="C1270" s="75">
        <v>56.76</v>
      </c>
      <c r="D1270" s="73">
        <v>1.0</v>
      </c>
      <c r="E1270" s="78">
        <v>0.0</v>
      </c>
      <c r="F1270" s="76">
        <v>4012.0</v>
      </c>
      <c r="G1270">
        <f>AVERAGE(F1270:F1273)</f>
        <v>1741.5</v>
      </c>
    </row>
    <row r="1271">
      <c r="A1271" s="73">
        <v>2009.0</v>
      </c>
      <c r="B1271" s="74" t="s">
        <v>120</v>
      </c>
      <c r="C1271" s="75">
        <v>56.76</v>
      </c>
      <c r="D1271" s="73">
        <v>1.0</v>
      </c>
      <c r="E1271" s="79">
        <v>1.0</v>
      </c>
      <c r="F1271" s="76">
        <v>770.0</v>
      </c>
    </row>
    <row r="1272">
      <c r="A1272" s="73">
        <v>2010.0</v>
      </c>
      <c r="B1272" s="74" t="s">
        <v>120</v>
      </c>
      <c r="C1272" s="75">
        <v>56.76</v>
      </c>
      <c r="D1272" s="73">
        <v>1.0</v>
      </c>
      <c r="E1272" s="82">
        <v>1.0</v>
      </c>
      <c r="F1272" s="76">
        <v>300.0</v>
      </c>
    </row>
    <row r="1273">
      <c r="A1273" s="73">
        <v>2011.0</v>
      </c>
      <c r="B1273" s="74" t="s">
        <v>120</v>
      </c>
      <c r="C1273" s="81">
        <v>58.7</v>
      </c>
      <c r="D1273" s="73">
        <v>1.0</v>
      </c>
      <c r="E1273" s="82">
        <v>1.0</v>
      </c>
      <c r="F1273" s="76">
        <v>1884.0</v>
      </c>
    </row>
    <row r="1274">
      <c r="A1274" s="73">
        <v>2012.0</v>
      </c>
      <c r="B1274" s="74" t="s">
        <v>120</v>
      </c>
      <c r="C1274" s="81">
        <v>58.7</v>
      </c>
      <c r="D1274" s="73">
        <v>1.0</v>
      </c>
      <c r="E1274" s="82">
        <v>1.0</v>
      </c>
      <c r="F1274" s="76">
        <v>391.0</v>
      </c>
      <c r="G1274">
        <f>AVERAGE(F1274:F1277)</f>
        <v>539.75</v>
      </c>
    </row>
    <row r="1275">
      <c r="A1275" s="73">
        <v>2013.0</v>
      </c>
      <c r="B1275" s="74" t="s">
        <v>120</v>
      </c>
      <c r="C1275" s="81">
        <v>58.7</v>
      </c>
      <c r="D1275" s="73">
        <v>1.0</v>
      </c>
      <c r="E1275" s="82">
        <v>1.0</v>
      </c>
      <c r="F1275" s="76">
        <v>487.0</v>
      </c>
    </row>
    <row r="1276">
      <c r="A1276" s="73">
        <v>2014.0</v>
      </c>
      <c r="B1276" s="74" t="s">
        <v>120</v>
      </c>
      <c r="C1276" s="81">
        <v>58.7</v>
      </c>
      <c r="D1276" s="73">
        <v>1.0</v>
      </c>
      <c r="E1276" s="83">
        <v>1.0</v>
      </c>
      <c r="F1276" s="76">
        <v>517.0</v>
      </c>
    </row>
    <row r="1277">
      <c r="A1277" s="84">
        <v>2015.0</v>
      </c>
      <c r="B1277" s="85" t="s">
        <v>120</v>
      </c>
      <c r="C1277" s="81">
        <v>55.4</v>
      </c>
      <c r="D1277" s="73">
        <v>1.0</v>
      </c>
      <c r="E1277" s="83">
        <v>1.0</v>
      </c>
      <c r="F1277" s="76">
        <v>764.0</v>
      </c>
    </row>
    <row r="1278">
      <c r="A1278" s="73">
        <v>2016.0</v>
      </c>
      <c r="B1278" s="85" t="s">
        <v>120</v>
      </c>
      <c r="C1278" s="81">
        <v>66.8</v>
      </c>
      <c r="D1278" s="73">
        <v>1.0</v>
      </c>
      <c r="E1278" s="83">
        <v>1.0</v>
      </c>
      <c r="F1278" s="76">
        <v>301.0</v>
      </c>
      <c r="G1278">
        <f>AVERAGE(F1278)</f>
        <v>301</v>
      </c>
    </row>
    <row r="1279">
      <c r="A1279" s="73">
        <v>2017.0</v>
      </c>
      <c r="B1279" s="85" t="s">
        <v>120</v>
      </c>
      <c r="C1279" s="81">
        <v>66.8</v>
      </c>
      <c r="D1279" s="73">
        <v>1.0</v>
      </c>
      <c r="E1279" s="83">
        <v>1.0</v>
      </c>
      <c r="F1279" s="76">
        <v>511.0</v>
      </c>
      <c r="G1279">
        <f>AVERAGE(F1279:F1281)</f>
        <v>217.6666667</v>
      </c>
    </row>
    <row r="1280">
      <c r="A1280" s="73">
        <v>2018.0</v>
      </c>
      <c r="B1280" s="85" t="s">
        <v>120</v>
      </c>
      <c r="C1280" s="81">
        <v>55.1</v>
      </c>
      <c r="D1280" s="73">
        <v>1.0</v>
      </c>
      <c r="E1280" s="88">
        <v>0.0</v>
      </c>
      <c r="F1280" s="76">
        <v>142.0</v>
      </c>
    </row>
    <row r="1281">
      <c r="A1281" s="73">
        <v>2003.0</v>
      </c>
      <c r="B1281" s="74" t="s">
        <v>121</v>
      </c>
      <c r="C1281" s="75">
        <v>6.67</v>
      </c>
      <c r="D1281" s="73">
        <v>0.0</v>
      </c>
      <c r="E1281" s="76">
        <v>0.0</v>
      </c>
      <c r="F1281" s="76">
        <v>0.0</v>
      </c>
      <c r="G1281">
        <f>AVERAGE(F1281:F1285)</f>
        <v>56.8</v>
      </c>
    </row>
    <row r="1282" hidden="1">
      <c r="A1282" s="69">
        <v>2002.0</v>
      </c>
      <c r="B1282" s="70" t="s">
        <v>125</v>
      </c>
      <c r="C1282" s="71">
        <v>51.13</v>
      </c>
      <c r="D1282" s="69">
        <v>1.0</v>
      </c>
      <c r="E1282" s="72">
        <v>0.0</v>
      </c>
      <c r="F1282" s="72">
        <v>0.0</v>
      </c>
    </row>
    <row r="1283">
      <c r="A1283" s="73">
        <v>2004.0</v>
      </c>
      <c r="B1283" s="74" t="s">
        <v>121</v>
      </c>
      <c r="C1283" s="75">
        <v>6.67</v>
      </c>
      <c r="D1283" s="73">
        <v>0.0</v>
      </c>
      <c r="E1283" s="77">
        <v>0.0</v>
      </c>
      <c r="F1283" s="76">
        <v>0.0</v>
      </c>
    </row>
    <row r="1284">
      <c r="A1284" s="73">
        <v>2005.0</v>
      </c>
      <c r="B1284" s="74" t="s">
        <v>121</v>
      </c>
      <c r="C1284" s="75">
        <v>6.67</v>
      </c>
      <c r="D1284" s="73">
        <v>0.0</v>
      </c>
      <c r="E1284" s="78">
        <v>0.0</v>
      </c>
      <c r="F1284" s="76">
        <v>128.0</v>
      </c>
    </row>
    <row r="1285">
      <c r="A1285" s="73">
        <v>2006.0</v>
      </c>
      <c r="B1285" s="74" t="s">
        <v>121</v>
      </c>
      <c r="C1285" s="75">
        <v>6.67</v>
      </c>
      <c r="D1285" s="73">
        <v>0.0</v>
      </c>
      <c r="E1285" s="78">
        <v>0.0</v>
      </c>
      <c r="F1285" s="76">
        <v>156.0</v>
      </c>
    </row>
    <row r="1286">
      <c r="A1286" s="73">
        <v>2007.0</v>
      </c>
      <c r="B1286" s="74" t="s">
        <v>121</v>
      </c>
      <c r="C1286" s="75">
        <v>12.27</v>
      </c>
      <c r="D1286" s="73">
        <v>0.0</v>
      </c>
      <c r="E1286" s="78">
        <v>0.0</v>
      </c>
      <c r="F1286" s="76">
        <v>102.0</v>
      </c>
    </row>
    <row r="1287">
      <c r="A1287" s="73">
        <v>2008.0</v>
      </c>
      <c r="B1287" s="74" t="s">
        <v>121</v>
      </c>
      <c r="C1287" s="75">
        <v>12.27</v>
      </c>
      <c r="D1287" s="73">
        <v>0.0</v>
      </c>
      <c r="E1287" s="78">
        <v>0.0</v>
      </c>
      <c r="F1287" s="76">
        <v>80.0</v>
      </c>
      <c r="G1287">
        <f>AVERAGE(F1287:F1290)</f>
        <v>170</v>
      </c>
    </row>
    <row r="1288">
      <c r="A1288" s="73">
        <v>2009.0</v>
      </c>
      <c r="B1288" s="74" t="s">
        <v>121</v>
      </c>
      <c r="C1288" s="75">
        <v>12.27</v>
      </c>
      <c r="D1288" s="73">
        <v>0.0</v>
      </c>
      <c r="E1288" s="79">
        <v>0.0</v>
      </c>
      <c r="F1288" s="76">
        <v>200.0</v>
      </c>
    </row>
    <row r="1289">
      <c r="A1289" s="73">
        <v>2010.0</v>
      </c>
      <c r="B1289" s="74" t="s">
        <v>121</v>
      </c>
      <c r="C1289" s="75">
        <v>12.27</v>
      </c>
      <c r="D1289" s="73">
        <v>0.0</v>
      </c>
      <c r="E1289" s="82">
        <v>0.0</v>
      </c>
      <c r="F1289" s="76">
        <v>0.0</v>
      </c>
    </row>
    <row r="1290">
      <c r="A1290" s="73">
        <v>2011.0</v>
      </c>
      <c r="B1290" s="74" t="s">
        <v>121</v>
      </c>
      <c r="C1290" s="81">
        <v>15.8</v>
      </c>
      <c r="D1290" s="73">
        <v>0.0</v>
      </c>
      <c r="E1290" s="82">
        <v>0.0</v>
      </c>
      <c r="F1290" s="76">
        <v>400.0</v>
      </c>
    </row>
    <row r="1291">
      <c r="A1291" s="73">
        <v>2012.0</v>
      </c>
      <c r="B1291" s="74" t="s">
        <v>121</v>
      </c>
      <c r="C1291" s="81">
        <v>15.8</v>
      </c>
      <c r="D1291" s="73">
        <v>0.0</v>
      </c>
      <c r="E1291" s="82">
        <v>0.0</v>
      </c>
      <c r="F1291" s="76">
        <v>200.0</v>
      </c>
      <c r="G1291">
        <f>AVERAGE(F1291:F1294)</f>
        <v>103.25</v>
      </c>
    </row>
    <row r="1292">
      <c r="A1292" s="73">
        <v>2013.0</v>
      </c>
      <c r="B1292" s="74" t="s">
        <v>121</v>
      </c>
      <c r="C1292" s="81">
        <v>15.8</v>
      </c>
      <c r="D1292" s="73">
        <v>0.0</v>
      </c>
      <c r="E1292" s="82">
        <v>0.0</v>
      </c>
      <c r="F1292" s="76">
        <v>85.0</v>
      </c>
    </row>
    <row r="1293">
      <c r="A1293" s="73">
        <v>2014.0</v>
      </c>
      <c r="B1293" s="74" t="s">
        <v>121</v>
      </c>
      <c r="C1293" s="81">
        <v>15.8</v>
      </c>
      <c r="D1293" s="73">
        <v>0.0</v>
      </c>
      <c r="E1293" s="83">
        <v>0.0</v>
      </c>
      <c r="F1293" s="76">
        <v>59.0</v>
      </c>
    </row>
    <row r="1294">
      <c r="A1294" s="84">
        <v>2015.0</v>
      </c>
      <c r="B1294" s="85" t="s">
        <v>121</v>
      </c>
      <c r="C1294" s="81">
        <v>10.6</v>
      </c>
      <c r="D1294" s="73">
        <v>0.0</v>
      </c>
      <c r="E1294" s="83">
        <v>0.0</v>
      </c>
      <c r="F1294" s="76">
        <v>69.0</v>
      </c>
    </row>
    <row r="1295">
      <c r="A1295" s="73">
        <v>2016.0</v>
      </c>
      <c r="B1295" s="85" t="s">
        <v>121</v>
      </c>
      <c r="C1295" s="81">
        <v>11.7</v>
      </c>
      <c r="D1295" s="73">
        <v>0.0</v>
      </c>
      <c r="E1295" s="83">
        <v>0.0</v>
      </c>
      <c r="F1295" s="76">
        <v>0.0</v>
      </c>
      <c r="G1295">
        <f>AVERAGE(F1295)</f>
        <v>0</v>
      </c>
    </row>
    <row r="1296">
      <c r="A1296" s="73">
        <v>2017.0</v>
      </c>
      <c r="B1296" s="85" t="s">
        <v>121</v>
      </c>
      <c r="C1296" s="81">
        <v>11.7</v>
      </c>
      <c r="D1296" s="73">
        <v>0.0</v>
      </c>
      <c r="E1296" s="83">
        <v>0.0</v>
      </c>
      <c r="F1296" s="76">
        <v>314.0</v>
      </c>
      <c r="G1296">
        <f>AVERAGE(F1296:F1298)</f>
        <v>194.3333333</v>
      </c>
    </row>
    <row r="1297">
      <c r="A1297" s="73">
        <v>2018.0</v>
      </c>
      <c r="B1297" s="85" t="s">
        <v>121</v>
      </c>
      <c r="C1297" s="81">
        <v>13.3</v>
      </c>
      <c r="D1297" s="73">
        <v>0.0</v>
      </c>
      <c r="E1297" s="88">
        <v>0.0</v>
      </c>
      <c r="F1297" s="76">
        <v>269.0</v>
      </c>
    </row>
    <row r="1298">
      <c r="A1298" s="73">
        <v>2003.0</v>
      </c>
      <c r="B1298" s="74" t="s">
        <v>122</v>
      </c>
      <c r="C1298" s="75">
        <v>26.95</v>
      </c>
      <c r="D1298" s="73">
        <v>0.0</v>
      </c>
      <c r="E1298" s="76">
        <v>0.0</v>
      </c>
      <c r="F1298" s="76">
        <v>0.0</v>
      </c>
      <c r="G1298">
        <f>AVERAGE(F1298:F1302)</f>
        <v>216.8</v>
      </c>
    </row>
    <row r="1299" hidden="1">
      <c r="A1299" s="69">
        <v>2002.0</v>
      </c>
      <c r="B1299" s="70" t="s">
        <v>126</v>
      </c>
      <c r="C1299" s="71">
        <v>30.53</v>
      </c>
      <c r="D1299" s="69">
        <v>0.0</v>
      </c>
      <c r="E1299" s="72">
        <v>0.0</v>
      </c>
      <c r="F1299" s="72">
        <v>0.0</v>
      </c>
    </row>
    <row r="1300">
      <c r="A1300" s="73">
        <v>2004.0</v>
      </c>
      <c r="B1300" s="74" t="s">
        <v>122</v>
      </c>
      <c r="C1300" s="75">
        <v>26.95</v>
      </c>
      <c r="D1300" s="73">
        <v>0.0</v>
      </c>
      <c r="E1300" s="77">
        <v>1.0</v>
      </c>
      <c r="F1300" s="76">
        <v>300.0</v>
      </c>
    </row>
    <row r="1301">
      <c r="A1301" s="73">
        <v>2005.0</v>
      </c>
      <c r="B1301" s="74" t="s">
        <v>122</v>
      </c>
      <c r="C1301" s="75">
        <v>26.95</v>
      </c>
      <c r="D1301" s="73">
        <v>0.0</v>
      </c>
      <c r="E1301" s="78">
        <v>1.0</v>
      </c>
      <c r="F1301" s="76">
        <v>0.0</v>
      </c>
    </row>
    <row r="1302">
      <c r="A1302" s="73">
        <v>2006.0</v>
      </c>
      <c r="B1302" s="74" t="s">
        <v>122</v>
      </c>
      <c r="C1302" s="75">
        <v>26.95</v>
      </c>
      <c r="D1302" s="73">
        <v>0.0</v>
      </c>
      <c r="E1302" s="78">
        <v>1.0</v>
      </c>
      <c r="F1302" s="76">
        <v>784.0</v>
      </c>
    </row>
    <row r="1303">
      <c r="A1303" s="73">
        <v>2007.0</v>
      </c>
      <c r="B1303" s="74" t="s">
        <v>122</v>
      </c>
      <c r="C1303" s="75">
        <v>43.28</v>
      </c>
      <c r="D1303" s="73">
        <v>1.0</v>
      </c>
      <c r="E1303" s="78">
        <v>1.0</v>
      </c>
      <c r="F1303" s="76">
        <v>0.0</v>
      </c>
    </row>
    <row r="1304">
      <c r="A1304" s="73">
        <v>2008.0</v>
      </c>
      <c r="B1304" s="74" t="s">
        <v>122</v>
      </c>
      <c r="C1304" s="75">
        <v>43.28</v>
      </c>
      <c r="D1304" s="73">
        <v>1.0</v>
      </c>
      <c r="E1304" s="78">
        <v>1.0</v>
      </c>
      <c r="F1304" s="76">
        <v>696.0</v>
      </c>
      <c r="G1304">
        <f>AVERAGE(F1304:F1307)</f>
        <v>272</v>
      </c>
    </row>
    <row r="1305">
      <c r="A1305" s="73">
        <v>2009.0</v>
      </c>
      <c r="B1305" s="74" t="s">
        <v>122</v>
      </c>
      <c r="C1305" s="75">
        <v>43.28</v>
      </c>
      <c r="D1305" s="73">
        <v>1.0</v>
      </c>
      <c r="E1305" s="79">
        <v>0.0</v>
      </c>
      <c r="F1305" s="76">
        <v>0.0</v>
      </c>
    </row>
    <row r="1306">
      <c r="A1306" s="73">
        <v>2010.0</v>
      </c>
      <c r="B1306" s="74" t="s">
        <v>122</v>
      </c>
      <c r="C1306" s="75">
        <v>43.28</v>
      </c>
      <c r="D1306" s="73">
        <v>1.0</v>
      </c>
      <c r="E1306" s="82">
        <v>0.0</v>
      </c>
      <c r="F1306" s="76">
        <v>176.0</v>
      </c>
    </row>
    <row r="1307">
      <c r="A1307" s="73">
        <v>2011.0</v>
      </c>
      <c r="B1307" s="74" t="s">
        <v>122</v>
      </c>
      <c r="C1307" s="81">
        <v>49.7</v>
      </c>
      <c r="D1307" s="73">
        <v>1.0</v>
      </c>
      <c r="E1307" s="82">
        <v>0.0</v>
      </c>
      <c r="F1307" s="76">
        <v>216.0</v>
      </c>
    </row>
    <row r="1308">
      <c r="A1308" s="73">
        <v>2012.0</v>
      </c>
      <c r="B1308" s="74" t="s">
        <v>122</v>
      </c>
      <c r="C1308" s="81">
        <v>49.7</v>
      </c>
      <c r="D1308" s="73">
        <v>1.0</v>
      </c>
      <c r="E1308" s="82">
        <v>0.0</v>
      </c>
      <c r="F1308" s="76">
        <v>0.0</v>
      </c>
      <c r="G1308">
        <f>AVERAGE(F1308:F1311)</f>
        <v>336.25</v>
      </c>
    </row>
    <row r="1309">
      <c r="A1309" s="73">
        <v>2013.0</v>
      </c>
      <c r="B1309" s="74" t="s">
        <v>122</v>
      </c>
      <c r="C1309" s="81">
        <v>49.7</v>
      </c>
      <c r="D1309" s="73">
        <v>1.0</v>
      </c>
      <c r="E1309" s="82">
        <v>0.0</v>
      </c>
      <c r="F1309" s="76">
        <v>294.0</v>
      </c>
    </row>
    <row r="1310">
      <c r="A1310" s="73">
        <v>2014.0</v>
      </c>
      <c r="B1310" s="74" t="s">
        <v>122</v>
      </c>
      <c r="C1310" s="81">
        <v>49.7</v>
      </c>
      <c r="D1310" s="73">
        <v>1.0</v>
      </c>
      <c r="E1310" s="83">
        <v>1.0</v>
      </c>
      <c r="F1310" s="76">
        <v>1051.0</v>
      </c>
    </row>
    <row r="1311">
      <c r="A1311" s="84">
        <v>2015.0</v>
      </c>
      <c r="B1311" s="85" t="s">
        <v>122</v>
      </c>
      <c r="C1311" s="81">
        <v>38.0</v>
      </c>
      <c r="D1311" s="73">
        <v>0.0</v>
      </c>
      <c r="E1311" s="83">
        <v>1.0</v>
      </c>
      <c r="F1311" s="76">
        <v>0.0</v>
      </c>
    </row>
    <row r="1312">
      <c r="A1312" s="73">
        <v>2016.0</v>
      </c>
      <c r="B1312" s="85" t="s">
        <v>122</v>
      </c>
      <c r="C1312" s="81">
        <v>46.6</v>
      </c>
      <c r="D1312" s="73">
        <v>1.0</v>
      </c>
      <c r="E1312" s="83">
        <v>1.0</v>
      </c>
      <c r="F1312" s="76">
        <v>511.0</v>
      </c>
      <c r="G1312">
        <f>AVERAGE(F1312)</f>
        <v>511</v>
      </c>
    </row>
    <row r="1313">
      <c r="A1313" s="73">
        <v>2017.0</v>
      </c>
      <c r="B1313" s="85" t="s">
        <v>122</v>
      </c>
      <c r="C1313" s="81">
        <v>46.6</v>
      </c>
      <c r="D1313" s="73">
        <v>1.0</v>
      </c>
      <c r="E1313" s="83">
        <v>1.0</v>
      </c>
      <c r="F1313" s="76">
        <v>263.0</v>
      </c>
      <c r="G1313">
        <f>AVERAGE(F1313:F1315)</f>
        <v>87.66666667</v>
      </c>
    </row>
    <row r="1314">
      <c r="A1314" s="73">
        <v>2018.0</v>
      </c>
      <c r="B1314" s="85" t="s">
        <v>122</v>
      </c>
      <c r="C1314" s="81">
        <v>42.5</v>
      </c>
      <c r="D1314" s="73">
        <v>1.0</v>
      </c>
      <c r="E1314" s="88">
        <v>1.0</v>
      </c>
      <c r="F1314" s="76">
        <v>0.0</v>
      </c>
    </row>
    <row r="1315">
      <c r="A1315" s="73">
        <v>2003.0</v>
      </c>
      <c r="B1315" s="74" t="s">
        <v>123</v>
      </c>
      <c r="C1315" s="75">
        <v>25.86</v>
      </c>
      <c r="D1315" s="73">
        <v>0.0</v>
      </c>
      <c r="E1315" s="76">
        <v>0.0</v>
      </c>
      <c r="F1315" s="76">
        <v>0.0</v>
      </c>
      <c r="G1315">
        <f>AVERAGE(F1315:F1319)</f>
        <v>476.8</v>
      </c>
    </row>
    <row r="1316">
      <c r="A1316" s="73">
        <v>2004.0</v>
      </c>
      <c r="B1316" s="74" t="s">
        <v>123</v>
      </c>
      <c r="C1316" s="75">
        <v>25.86</v>
      </c>
      <c r="D1316" s="73">
        <v>0.0</v>
      </c>
      <c r="E1316" s="77">
        <v>1.0</v>
      </c>
      <c r="F1316" s="76">
        <v>1916.0</v>
      </c>
    </row>
    <row r="1317">
      <c r="A1317" s="73">
        <v>2005.0</v>
      </c>
      <c r="B1317" s="74" t="s">
        <v>123</v>
      </c>
      <c r="C1317" s="75">
        <v>25.86</v>
      </c>
      <c r="D1317" s="73">
        <v>0.0</v>
      </c>
      <c r="E1317" s="78">
        <v>1.0</v>
      </c>
      <c r="F1317" s="76">
        <v>0.0</v>
      </c>
    </row>
    <row r="1318">
      <c r="A1318" s="73">
        <v>2006.0</v>
      </c>
      <c r="B1318" s="74" t="s">
        <v>123</v>
      </c>
      <c r="C1318" s="75">
        <v>25.86</v>
      </c>
      <c r="D1318" s="73">
        <v>0.0</v>
      </c>
      <c r="E1318" s="78">
        <v>1.0</v>
      </c>
      <c r="F1318" s="76">
        <v>78.0</v>
      </c>
    </row>
    <row r="1319">
      <c r="A1319" s="73">
        <v>2007.0</v>
      </c>
      <c r="B1319" s="74" t="s">
        <v>123</v>
      </c>
      <c r="C1319" s="75">
        <v>53.22</v>
      </c>
      <c r="D1319" s="73">
        <v>1.0</v>
      </c>
      <c r="E1319" s="78">
        <v>1.0</v>
      </c>
      <c r="F1319" s="76">
        <v>390.0</v>
      </c>
    </row>
    <row r="1320">
      <c r="A1320" s="73">
        <v>2008.0</v>
      </c>
      <c r="B1320" s="74" t="s">
        <v>123</v>
      </c>
      <c r="C1320" s="75">
        <v>53.22</v>
      </c>
      <c r="D1320" s="73">
        <v>1.0</v>
      </c>
      <c r="E1320" s="78">
        <v>1.0</v>
      </c>
      <c r="F1320" s="76">
        <v>1148.0</v>
      </c>
      <c r="G1320">
        <f>AVERAGE(F1320:F1323)</f>
        <v>1795</v>
      </c>
    </row>
    <row r="1321">
      <c r="A1321" s="73">
        <v>2009.0</v>
      </c>
      <c r="B1321" s="74" t="s">
        <v>123</v>
      </c>
      <c r="C1321" s="75">
        <v>53.22</v>
      </c>
      <c r="D1321" s="73">
        <v>1.0</v>
      </c>
      <c r="E1321" s="79">
        <v>0.0</v>
      </c>
      <c r="F1321" s="76">
        <v>1168.0</v>
      </c>
    </row>
    <row r="1322">
      <c r="A1322" s="73">
        <v>2010.0</v>
      </c>
      <c r="B1322" s="74" t="s">
        <v>123</v>
      </c>
      <c r="C1322" s="75">
        <v>53.22</v>
      </c>
      <c r="D1322" s="73">
        <v>1.0</v>
      </c>
      <c r="E1322" s="82">
        <v>0.0</v>
      </c>
      <c r="F1322" s="76">
        <v>758.0</v>
      </c>
    </row>
    <row r="1323">
      <c r="A1323" s="73">
        <v>2011.0</v>
      </c>
      <c r="B1323" s="74" t="s">
        <v>123</v>
      </c>
      <c r="C1323" s="81">
        <v>40.2</v>
      </c>
      <c r="D1323" s="73">
        <v>1.0</v>
      </c>
      <c r="E1323" s="82">
        <v>0.0</v>
      </c>
      <c r="F1323" s="76">
        <v>4106.0</v>
      </c>
    </row>
    <row r="1324">
      <c r="A1324" s="73">
        <v>2012.0</v>
      </c>
      <c r="B1324" s="74" t="s">
        <v>123</v>
      </c>
      <c r="C1324" s="81">
        <v>40.2</v>
      </c>
      <c r="D1324" s="73">
        <v>1.0</v>
      </c>
      <c r="E1324" s="82">
        <v>0.0</v>
      </c>
      <c r="F1324" s="76">
        <v>14523.0</v>
      </c>
      <c r="G1324">
        <f>AVERAGE(F1324:F1327)</f>
        <v>3843.75</v>
      </c>
    </row>
    <row r="1325">
      <c r="A1325" s="73">
        <v>2013.0</v>
      </c>
      <c r="B1325" s="74" t="s">
        <v>123</v>
      </c>
      <c r="C1325" s="81">
        <v>40.2</v>
      </c>
      <c r="D1325" s="73">
        <v>1.0</v>
      </c>
      <c r="E1325" s="82">
        <v>0.0</v>
      </c>
      <c r="F1325" s="76">
        <v>852.0</v>
      </c>
    </row>
    <row r="1326">
      <c r="A1326" s="73">
        <v>2014.0</v>
      </c>
      <c r="B1326" s="74" t="s">
        <v>123</v>
      </c>
      <c r="C1326" s="81">
        <v>40.2</v>
      </c>
      <c r="D1326" s="73">
        <v>1.0</v>
      </c>
      <c r="E1326" s="83">
        <v>0.0</v>
      </c>
      <c r="F1326" s="76">
        <v>0.0</v>
      </c>
    </row>
    <row r="1327">
      <c r="A1327" s="84">
        <v>2015.0</v>
      </c>
      <c r="B1327" s="85" t="s">
        <v>123</v>
      </c>
      <c r="C1327" s="81">
        <v>19.4</v>
      </c>
      <c r="D1327" s="73">
        <v>0.0</v>
      </c>
      <c r="E1327" s="83">
        <v>0.0</v>
      </c>
      <c r="F1327" s="76">
        <v>0.0</v>
      </c>
    </row>
    <row r="1328">
      <c r="A1328" s="73">
        <v>2016.0</v>
      </c>
      <c r="B1328" s="85" t="s">
        <v>123</v>
      </c>
      <c r="C1328" s="81">
        <v>30.0</v>
      </c>
      <c r="D1328" s="73">
        <v>0.0</v>
      </c>
      <c r="E1328" s="83">
        <v>0.0</v>
      </c>
      <c r="F1328" s="76">
        <v>0.0</v>
      </c>
      <c r="G1328">
        <f>AVERAGE(F1328)</f>
        <v>0</v>
      </c>
    </row>
    <row r="1329">
      <c r="A1329" s="73">
        <v>2017.0</v>
      </c>
      <c r="B1329" s="85" t="s">
        <v>123</v>
      </c>
      <c r="C1329" s="81">
        <v>30.0</v>
      </c>
      <c r="D1329" s="73">
        <v>0.0</v>
      </c>
      <c r="E1329" s="83">
        <v>0.0</v>
      </c>
      <c r="F1329" s="76">
        <v>0.0</v>
      </c>
      <c r="G1329">
        <f>AVERAGE(F1329:F1331)</f>
        <v>0</v>
      </c>
    </row>
    <row r="1330">
      <c r="A1330" s="73">
        <v>2018.0</v>
      </c>
      <c r="B1330" s="85" t="s">
        <v>123</v>
      </c>
      <c r="C1330" s="81">
        <v>30.8</v>
      </c>
      <c r="D1330" s="73">
        <v>0.0</v>
      </c>
      <c r="E1330" s="88">
        <v>1.0</v>
      </c>
      <c r="F1330" s="76">
        <v>0.0</v>
      </c>
    </row>
    <row r="1331">
      <c r="A1331" s="73">
        <v>2003.0</v>
      </c>
      <c r="B1331" s="74" t="s">
        <v>124</v>
      </c>
      <c r="C1331" s="75">
        <v>34.57</v>
      </c>
      <c r="D1331" s="73">
        <v>0.0</v>
      </c>
      <c r="E1331" s="76">
        <v>0.0</v>
      </c>
      <c r="F1331" s="76">
        <v>0.0</v>
      </c>
      <c r="G1331">
        <f>AVERAGE(F1331:F1335)</f>
        <v>256</v>
      </c>
    </row>
    <row r="1332">
      <c r="A1332" s="73">
        <v>2004.0</v>
      </c>
      <c r="B1332" s="74" t="s">
        <v>124</v>
      </c>
      <c r="C1332" s="75">
        <v>34.57</v>
      </c>
      <c r="D1332" s="73">
        <v>0.0</v>
      </c>
      <c r="E1332" s="77">
        <v>1.0</v>
      </c>
      <c r="F1332" s="76">
        <v>0.0</v>
      </c>
    </row>
    <row r="1333">
      <c r="A1333" s="73">
        <v>2005.0</v>
      </c>
      <c r="B1333" s="74" t="s">
        <v>124</v>
      </c>
      <c r="C1333" s="75">
        <v>34.57</v>
      </c>
      <c r="D1333" s="73">
        <v>0.0</v>
      </c>
      <c r="E1333" s="78">
        <v>1.0</v>
      </c>
      <c r="F1333" s="76">
        <v>0.0</v>
      </c>
    </row>
    <row r="1334">
      <c r="A1334" s="73">
        <v>2006.0</v>
      </c>
      <c r="B1334" s="74" t="s">
        <v>124</v>
      </c>
      <c r="C1334" s="75">
        <v>34.57</v>
      </c>
      <c r="D1334" s="73">
        <v>0.0</v>
      </c>
      <c r="E1334" s="78">
        <v>1.0</v>
      </c>
      <c r="F1334" s="76">
        <v>1280.0</v>
      </c>
    </row>
    <row r="1335">
      <c r="A1335" s="73">
        <v>2007.0</v>
      </c>
      <c r="B1335" s="74" t="s">
        <v>124</v>
      </c>
      <c r="C1335" s="75">
        <v>40.64</v>
      </c>
      <c r="D1335" s="73">
        <v>1.0</v>
      </c>
      <c r="E1335" s="78">
        <v>1.0</v>
      </c>
      <c r="F1335" s="76">
        <v>0.0</v>
      </c>
    </row>
    <row r="1336">
      <c r="A1336" s="73">
        <v>2008.0</v>
      </c>
      <c r="B1336" s="74" t="s">
        <v>124</v>
      </c>
      <c r="C1336" s="75">
        <v>40.64</v>
      </c>
      <c r="D1336" s="73">
        <v>1.0</v>
      </c>
      <c r="E1336" s="78">
        <v>1.0</v>
      </c>
      <c r="F1336" s="76">
        <v>0.0</v>
      </c>
      <c r="G1336">
        <f>AVERAGE(F1336:F1339)</f>
        <v>0</v>
      </c>
    </row>
    <row r="1337">
      <c r="A1337" s="73">
        <v>2009.0</v>
      </c>
      <c r="B1337" s="74" t="s">
        <v>124</v>
      </c>
      <c r="C1337" s="75">
        <v>40.64</v>
      </c>
      <c r="D1337" s="73">
        <v>1.0</v>
      </c>
      <c r="E1337" s="79">
        <v>0.0</v>
      </c>
      <c r="F1337" s="76">
        <v>0.0</v>
      </c>
    </row>
    <row r="1338">
      <c r="A1338" s="73">
        <v>2010.0</v>
      </c>
      <c r="B1338" s="74" t="s">
        <v>124</v>
      </c>
      <c r="C1338" s="75">
        <v>40.64</v>
      </c>
      <c r="D1338" s="73">
        <v>1.0</v>
      </c>
      <c r="E1338" s="82">
        <v>0.0</v>
      </c>
      <c r="F1338" s="76">
        <v>0.0</v>
      </c>
    </row>
    <row r="1339">
      <c r="A1339" s="73">
        <v>2011.0</v>
      </c>
      <c r="B1339" s="74" t="s">
        <v>124</v>
      </c>
      <c r="C1339" s="81">
        <v>47.2</v>
      </c>
      <c r="D1339" s="73">
        <v>1.0</v>
      </c>
      <c r="E1339" s="82">
        <v>0.0</v>
      </c>
      <c r="F1339" s="76">
        <v>0.0</v>
      </c>
    </row>
    <row r="1340">
      <c r="A1340" s="73">
        <v>2012.0</v>
      </c>
      <c r="B1340" s="74" t="s">
        <v>124</v>
      </c>
      <c r="C1340" s="81">
        <v>47.2</v>
      </c>
      <c r="D1340" s="73">
        <v>1.0</v>
      </c>
      <c r="E1340" s="82">
        <v>0.0</v>
      </c>
      <c r="F1340" s="76">
        <v>0.0</v>
      </c>
      <c r="G1340">
        <f>AVERAGE(F1340:F1343)</f>
        <v>0</v>
      </c>
    </row>
    <row r="1341">
      <c r="A1341" s="73">
        <v>2013.0</v>
      </c>
      <c r="B1341" s="74" t="s">
        <v>124</v>
      </c>
      <c r="C1341" s="81">
        <v>47.2</v>
      </c>
      <c r="D1341" s="73">
        <v>1.0</v>
      </c>
      <c r="E1341" s="82">
        <v>0.0</v>
      </c>
      <c r="F1341" s="76">
        <v>0.0</v>
      </c>
    </row>
    <row r="1342">
      <c r="A1342" s="73">
        <v>2014.0</v>
      </c>
      <c r="B1342" s="74" t="s">
        <v>124</v>
      </c>
      <c r="C1342" s="81">
        <v>47.2</v>
      </c>
      <c r="D1342" s="73">
        <v>1.0</v>
      </c>
      <c r="E1342" s="83">
        <v>0.0</v>
      </c>
      <c r="F1342" s="76">
        <v>0.0</v>
      </c>
    </row>
    <row r="1343">
      <c r="A1343" s="84">
        <v>2015.0</v>
      </c>
      <c r="B1343" s="85" t="s">
        <v>124</v>
      </c>
      <c r="C1343" s="81">
        <v>39.5</v>
      </c>
      <c r="D1343" s="73">
        <v>0.0</v>
      </c>
      <c r="E1343" s="83">
        <v>0.0</v>
      </c>
      <c r="F1343" s="76">
        <v>0.0</v>
      </c>
    </row>
    <row r="1344">
      <c r="A1344" s="73">
        <v>2016.0</v>
      </c>
      <c r="B1344" s="85" t="s">
        <v>124</v>
      </c>
      <c r="C1344" s="81">
        <v>49.1</v>
      </c>
      <c r="D1344" s="73">
        <v>1.0</v>
      </c>
      <c r="E1344" s="83">
        <v>0.0</v>
      </c>
      <c r="F1344" s="76">
        <v>130.0</v>
      </c>
      <c r="G1344">
        <f>AVERAGE(F1344)</f>
        <v>130</v>
      </c>
    </row>
    <row r="1345">
      <c r="A1345" s="73">
        <v>2017.0</v>
      </c>
      <c r="B1345" s="85" t="s">
        <v>124</v>
      </c>
      <c r="C1345" s="81">
        <v>49.1</v>
      </c>
      <c r="D1345" s="73">
        <v>1.0</v>
      </c>
      <c r="E1345" s="83">
        <v>0.0</v>
      </c>
      <c r="F1345" s="76">
        <v>0.0</v>
      </c>
      <c r="G1345">
        <f>AVERAGE(F1345:F1347)</f>
        <v>43.33333333</v>
      </c>
    </row>
    <row r="1346">
      <c r="A1346" s="73">
        <v>2018.0</v>
      </c>
      <c r="B1346" s="85" t="s">
        <v>124</v>
      </c>
      <c r="C1346" s="81">
        <v>43.1</v>
      </c>
      <c r="D1346" s="73">
        <v>1.0</v>
      </c>
      <c r="E1346" s="88">
        <v>0.0</v>
      </c>
      <c r="F1346" s="76">
        <v>130.0</v>
      </c>
    </row>
    <row r="1347">
      <c r="A1347" s="73">
        <v>2003.0</v>
      </c>
      <c r="B1347" s="74" t="s">
        <v>125</v>
      </c>
      <c r="C1347" s="75">
        <v>51.13</v>
      </c>
      <c r="D1347" s="73">
        <v>1.0</v>
      </c>
      <c r="E1347" s="76">
        <v>0.0</v>
      </c>
      <c r="F1347" s="76">
        <v>0.0</v>
      </c>
      <c r="G1347">
        <f>AVERAGE(F1347:F1351)</f>
        <v>378.4</v>
      </c>
    </row>
    <row r="1348">
      <c r="A1348" s="73">
        <v>2004.0</v>
      </c>
      <c r="B1348" s="74" t="s">
        <v>125</v>
      </c>
      <c r="C1348" s="75">
        <v>51.13</v>
      </c>
      <c r="D1348" s="73">
        <v>1.0</v>
      </c>
      <c r="E1348" s="77">
        <v>1.0</v>
      </c>
      <c r="F1348" s="76">
        <v>720.0</v>
      </c>
    </row>
    <row r="1349">
      <c r="A1349" s="73">
        <v>2005.0</v>
      </c>
      <c r="B1349" s="74" t="s">
        <v>125</v>
      </c>
      <c r="C1349" s="75">
        <v>51.13</v>
      </c>
      <c r="D1349" s="73">
        <v>1.0</v>
      </c>
      <c r="E1349" s="78">
        <v>1.0</v>
      </c>
      <c r="F1349" s="76">
        <v>752.0</v>
      </c>
    </row>
    <row r="1350">
      <c r="A1350" s="73">
        <v>2006.0</v>
      </c>
      <c r="B1350" s="74" t="s">
        <v>125</v>
      </c>
      <c r="C1350" s="75">
        <v>51.13</v>
      </c>
      <c r="D1350" s="73">
        <v>1.0</v>
      </c>
      <c r="E1350" s="78">
        <v>1.0</v>
      </c>
      <c r="F1350" s="76">
        <v>360.0</v>
      </c>
    </row>
    <row r="1351">
      <c r="A1351" s="73">
        <v>2007.0</v>
      </c>
      <c r="B1351" s="74" t="s">
        <v>125</v>
      </c>
      <c r="C1351" s="75">
        <v>62.43</v>
      </c>
      <c r="D1351" s="73">
        <v>1.0</v>
      </c>
      <c r="E1351" s="78">
        <v>1.0</v>
      </c>
      <c r="F1351" s="76">
        <v>60.0</v>
      </c>
    </row>
    <row r="1352">
      <c r="A1352" s="73">
        <v>2008.0</v>
      </c>
      <c r="B1352" s="74" t="s">
        <v>125</v>
      </c>
      <c r="C1352" s="75">
        <v>62.43</v>
      </c>
      <c r="D1352" s="73">
        <v>1.0</v>
      </c>
      <c r="E1352" s="78">
        <v>1.0</v>
      </c>
      <c r="F1352" s="76">
        <v>320.0</v>
      </c>
      <c r="G1352">
        <f>AVERAGE(F1352:F1355)</f>
        <v>645.5</v>
      </c>
    </row>
    <row r="1353">
      <c r="A1353" s="73">
        <v>2009.0</v>
      </c>
      <c r="B1353" s="74" t="s">
        <v>125</v>
      </c>
      <c r="C1353" s="75">
        <v>62.43</v>
      </c>
      <c r="D1353" s="73">
        <v>1.0</v>
      </c>
      <c r="E1353" s="79">
        <v>1.0</v>
      </c>
      <c r="F1353" s="76">
        <v>1684.0</v>
      </c>
    </row>
    <row r="1354">
      <c r="A1354" s="73">
        <v>2010.0</v>
      </c>
      <c r="B1354" s="74" t="s">
        <v>125</v>
      </c>
      <c r="C1354" s="75">
        <v>62.43</v>
      </c>
      <c r="D1354" s="73">
        <v>1.0</v>
      </c>
      <c r="E1354" s="82">
        <v>1.0</v>
      </c>
      <c r="F1354" s="76">
        <v>96.0</v>
      </c>
    </row>
    <row r="1355">
      <c r="A1355" s="73">
        <v>2011.0</v>
      </c>
      <c r="B1355" s="74" t="s">
        <v>125</v>
      </c>
      <c r="C1355" s="81">
        <v>66.4</v>
      </c>
      <c r="D1355" s="73">
        <v>1.0</v>
      </c>
      <c r="E1355" s="82">
        <v>1.0</v>
      </c>
      <c r="F1355" s="76">
        <v>482.0</v>
      </c>
    </row>
    <row r="1356">
      <c r="A1356" s="73">
        <v>2012.0</v>
      </c>
      <c r="B1356" s="74" t="s">
        <v>125</v>
      </c>
      <c r="C1356" s="81">
        <v>66.4</v>
      </c>
      <c r="D1356" s="73">
        <v>1.0</v>
      </c>
      <c r="E1356" s="82">
        <v>1.0</v>
      </c>
      <c r="F1356" s="76">
        <v>0.0</v>
      </c>
      <c r="G1356">
        <f>AVERAGE(F1356:F1359)</f>
        <v>394</v>
      </c>
    </row>
    <row r="1357">
      <c r="A1357" s="73">
        <v>2013.0</v>
      </c>
      <c r="B1357" s="74" t="s">
        <v>125</v>
      </c>
      <c r="C1357" s="81">
        <v>66.4</v>
      </c>
      <c r="D1357" s="73">
        <v>1.0</v>
      </c>
      <c r="E1357" s="82">
        <v>1.0</v>
      </c>
      <c r="F1357" s="76">
        <v>585.0</v>
      </c>
    </row>
    <row r="1358">
      <c r="A1358" s="73">
        <v>2014.0</v>
      </c>
      <c r="B1358" s="74" t="s">
        <v>125</v>
      </c>
      <c r="C1358" s="81">
        <v>66.4</v>
      </c>
      <c r="D1358" s="73">
        <v>1.0</v>
      </c>
      <c r="E1358" s="83">
        <v>1.0</v>
      </c>
      <c r="F1358" s="76">
        <v>165.0</v>
      </c>
    </row>
    <row r="1359">
      <c r="A1359" s="84">
        <v>2015.0</v>
      </c>
      <c r="B1359" s="85" t="s">
        <v>125</v>
      </c>
      <c r="C1359" s="81">
        <v>58.3</v>
      </c>
      <c r="D1359" s="73">
        <v>1.0</v>
      </c>
      <c r="E1359" s="83">
        <v>1.0</v>
      </c>
      <c r="F1359" s="76">
        <v>826.0</v>
      </c>
    </row>
    <row r="1360">
      <c r="A1360" s="73">
        <v>2016.0</v>
      </c>
      <c r="B1360" s="85" t="s">
        <v>125</v>
      </c>
      <c r="C1360" s="81">
        <v>64.8</v>
      </c>
      <c r="D1360" s="73">
        <v>1.0</v>
      </c>
      <c r="E1360" s="83">
        <v>1.0</v>
      </c>
      <c r="F1360" s="76">
        <v>184.0</v>
      </c>
      <c r="G1360">
        <f>AVERAGE(F1360)</f>
        <v>184</v>
      </c>
    </row>
    <row r="1361">
      <c r="A1361" s="73">
        <v>2017.0</v>
      </c>
      <c r="B1361" s="85" t="s">
        <v>125</v>
      </c>
      <c r="C1361" s="81">
        <v>64.8</v>
      </c>
      <c r="D1361" s="73">
        <v>1.0</v>
      </c>
      <c r="E1361" s="83">
        <v>1.0</v>
      </c>
      <c r="F1361" s="76">
        <v>348.0</v>
      </c>
      <c r="G1361">
        <f>AVERAGE(F1361:F1363)</f>
        <v>116</v>
      </c>
    </row>
    <row r="1362">
      <c r="A1362" s="73">
        <v>2018.0</v>
      </c>
      <c r="B1362" s="85" t="s">
        <v>125</v>
      </c>
      <c r="C1362" s="81">
        <v>52.3</v>
      </c>
      <c r="D1362" s="73">
        <v>1.0</v>
      </c>
      <c r="E1362" s="88">
        <v>1.0</v>
      </c>
      <c r="F1362" s="76">
        <v>0.0</v>
      </c>
    </row>
    <row r="1363">
      <c r="A1363" s="73">
        <v>2003.0</v>
      </c>
      <c r="B1363" s="74" t="s">
        <v>126</v>
      </c>
      <c r="C1363" s="75">
        <v>30.53</v>
      </c>
      <c r="D1363" s="73">
        <v>0.0</v>
      </c>
      <c r="E1363" s="76">
        <v>0.0</v>
      </c>
      <c r="F1363" s="76">
        <v>0.0</v>
      </c>
      <c r="G1363">
        <f>AVERAGE(F1363:F1367)</f>
        <v>186</v>
      </c>
    </row>
    <row r="1364">
      <c r="A1364" s="73">
        <v>2004.0</v>
      </c>
      <c r="B1364" s="74" t="s">
        <v>126</v>
      </c>
      <c r="C1364" s="75">
        <v>30.53</v>
      </c>
      <c r="D1364" s="73">
        <v>0.0</v>
      </c>
      <c r="E1364" s="77">
        <v>1.0</v>
      </c>
      <c r="F1364" s="76">
        <v>0.0</v>
      </c>
    </row>
    <row r="1365">
      <c r="A1365" s="73">
        <v>2005.0</v>
      </c>
      <c r="B1365" s="74" t="s">
        <v>126</v>
      </c>
      <c r="C1365" s="75">
        <v>30.53</v>
      </c>
      <c r="D1365" s="73">
        <v>0.0</v>
      </c>
      <c r="E1365" s="78">
        <v>1.0</v>
      </c>
      <c r="F1365" s="76">
        <v>250.0</v>
      </c>
    </row>
    <row r="1366">
      <c r="A1366" s="73">
        <v>2006.0</v>
      </c>
      <c r="B1366" s="74" t="s">
        <v>126</v>
      </c>
      <c r="C1366" s="75">
        <v>30.53</v>
      </c>
      <c r="D1366" s="73">
        <v>0.0</v>
      </c>
      <c r="E1366" s="78">
        <v>1.0</v>
      </c>
      <c r="F1366" s="76">
        <v>0.0</v>
      </c>
    </row>
    <row r="1367">
      <c r="A1367" s="73">
        <v>2007.0</v>
      </c>
      <c r="B1367" s="74" t="s">
        <v>126</v>
      </c>
      <c r="C1367" s="75">
        <v>41.02</v>
      </c>
      <c r="D1367" s="73">
        <v>1.0</v>
      </c>
      <c r="E1367" s="78">
        <v>1.0</v>
      </c>
      <c r="F1367" s="76">
        <v>680.0</v>
      </c>
    </row>
    <row r="1368">
      <c r="A1368" s="73">
        <v>2008.0</v>
      </c>
      <c r="B1368" s="74" t="s">
        <v>126</v>
      </c>
      <c r="C1368" s="75">
        <v>41.02</v>
      </c>
      <c r="D1368" s="73">
        <v>1.0</v>
      </c>
      <c r="E1368" s="78">
        <v>1.0</v>
      </c>
      <c r="F1368" s="76">
        <v>0.0</v>
      </c>
      <c r="G1368">
        <f>AVERAGE(F1368:F1371)</f>
        <v>78</v>
      </c>
    </row>
    <row r="1369">
      <c r="A1369" s="73">
        <v>2009.0</v>
      </c>
      <c r="B1369" s="74" t="s">
        <v>126</v>
      </c>
      <c r="C1369" s="75">
        <v>41.02</v>
      </c>
      <c r="D1369" s="73">
        <v>1.0</v>
      </c>
      <c r="E1369" s="79">
        <v>0.0</v>
      </c>
      <c r="F1369" s="76">
        <v>120.0</v>
      </c>
    </row>
    <row r="1370">
      <c r="A1370" s="73">
        <v>2010.0</v>
      </c>
      <c r="B1370" s="74" t="s">
        <v>126</v>
      </c>
      <c r="C1370" s="75">
        <v>41.02</v>
      </c>
      <c r="D1370" s="73">
        <v>1.0</v>
      </c>
      <c r="E1370" s="82">
        <v>0.0</v>
      </c>
      <c r="F1370" s="76">
        <v>0.0</v>
      </c>
    </row>
    <row r="1371">
      <c r="A1371" s="73">
        <v>2011.0</v>
      </c>
      <c r="B1371" s="74" t="s">
        <v>126</v>
      </c>
      <c r="C1371" s="81">
        <v>47.2</v>
      </c>
      <c r="D1371" s="73">
        <v>1.0</v>
      </c>
      <c r="E1371" s="82">
        <v>0.0</v>
      </c>
      <c r="F1371" s="76">
        <v>192.0</v>
      </c>
    </row>
    <row r="1372">
      <c r="A1372" s="73">
        <v>2012.0</v>
      </c>
      <c r="B1372" s="74" t="s">
        <v>126</v>
      </c>
      <c r="C1372" s="81">
        <v>47.2</v>
      </c>
      <c r="D1372" s="73">
        <v>1.0</v>
      </c>
      <c r="E1372" s="82">
        <v>0.0</v>
      </c>
      <c r="F1372" s="76">
        <v>256.0</v>
      </c>
      <c r="G1372">
        <f>AVERAGE(F1372:F1375)</f>
        <v>367.75</v>
      </c>
    </row>
    <row r="1373">
      <c r="A1373" s="73">
        <v>2013.0</v>
      </c>
      <c r="B1373" s="74" t="s">
        <v>126</v>
      </c>
      <c r="C1373" s="81">
        <v>47.2</v>
      </c>
      <c r="D1373" s="73">
        <v>1.0</v>
      </c>
      <c r="E1373" s="82">
        <v>0.0</v>
      </c>
      <c r="F1373" s="76">
        <v>0.0</v>
      </c>
    </row>
    <row r="1374">
      <c r="A1374" s="73">
        <v>2014.0</v>
      </c>
      <c r="B1374" s="74" t="s">
        <v>126</v>
      </c>
      <c r="C1374" s="81">
        <v>47.2</v>
      </c>
      <c r="D1374" s="73">
        <v>1.0</v>
      </c>
      <c r="E1374" s="83">
        <v>0.0</v>
      </c>
      <c r="F1374" s="76">
        <v>566.0</v>
      </c>
    </row>
    <row r="1375">
      <c r="A1375" s="73">
        <v>2015.0</v>
      </c>
      <c r="B1375" s="85" t="s">
        <v>126</v>
      </c>
      <c r="C1375" s="81">
        <v>38.0</v>
      </c>
      <c r="D1375" s="73">
        <v>0.0</v>
      </c>
      <c r="E1375" s="83">
        <v>0.0</v>
      </c>
      <c r="F1375" s="76">
        <v>649.0</v>
      </c>
    </row>
    <row r="1376">
      <c r="A1376" s="73">
        <v>2016.0</v>
      </c>
      <c r="B1376" s="85" t="s">
        <v>126</v>
      </c>
      <c r="C1376" s="81">
        <v>49.4</v>
      </c>
      <c r="D1376" s="73">
        <v>1.0</v>
      </c>
      <c r="E1376" s="83">
        <v>0.0</v>
      </c>
      <c r="F1376" s="76">
        <v>1037.0</v>
      </c>
      <c r="G1376">
        <f>AVERAGE(F1376)</f>
        <v>1037</v>
      </c>
    </row>
    <row r="1377">
      <c r="A1377" s="73">
        <v>2017.0</v>
      </c>
      <c r="B1377" s="85" t="s">
        <v>126</v>
      </c>
      <c r="C1377" s="81">
        <v>49.4</v>
      </c>
      <c r="D1377" s="73">
        <v>1.0</v>
      </c>
      <c r="E1377" s="83">
        <v>0.0</v>
      </c>
      <c r="F1377" s="76">
        <v>917.0</v>
      </c>
      <c r="G1377">
        <f>AVERAGE(F1377:F1379)</f>
        <v>458.5</v>
      </c>
    </row>
    <row r="1378">
      <c r="A1378" s="73">
        <v>2018.0</v>
      </c>
      <c r="B1378" s="85" t="s">
        <v>126</v>
      </c>
      <c r="C1378" s="81">
        <v>45.1</v>
      </c>
      <c r="D1378" s="73">
        <v>1.0</v>
      </c>
      <c r="E1378" s="88">
        <v>0.0</v>
      </c>
      <c r="F1378" s="76">
        <v>0.0</v>
      </c>
    </row>
  </sheetData>
  <autoFilter ref="$A$1:$F$1378">
    <filterColumn colId="0">
      <filters>
        <filter val="2012"/>
        <filter val="2011"/>
        <filter val="2010"/>
        <filter val="2009"/>
        <filter val="2008"/>
        <filter val="2007"/>
        <filter val="2018"/>
        <filter val="2006"/>
        <filter val="2017"/>
        <filter val="2005"/>
        <filter val="2016"/>
        <filter val="2004"/>
        <filter val="2015"/>
        <filter val="2003"/>
        <filter val="2014"/>
        <filter val="2013"/>
      </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>
        <v>1796.8</v>
      </c>
    </row>
    <row r="3" hidden="1"/>
    <row r="4" hidden="1"/>
    <row r="5" hidden="1"/>
    <row r="6" hidden="1"/>
    <row r="7">
      <c r="A7">
        <v>628.5</v>
      </c>
    </row>
    <row r="8" hidden="1"/>
    <row r="9" hidden="1"/>
    <row r="10" hidden="1"/>
    <row r="11">
      <c r="A11">
        <v>844.0</v>
      </c>
    </row>
    <row r="12" hidden="1"/>
    <row r="13" hidden="1"/>
    <row r="14" hidden="1"/>
    <row r="15">
      <c r="A15">
        <v>3092.0</v>
      </c>
    </row>
    <row r="16">
      <c r="A16">
        <v>775.0</v>
      </c>
    </row>
    <row r="17" hidden="1"/>
    <row r="18">
      <c r="A18">
        <v>267.2</v>
      </c>
    </row>
    <row r="19" hidden="1"/>
    <row r="20" hidden="1"/>
    <row r="21" hidden="1"/>
    <row r="22" hidden="1"/>
    <row r="23">
      <c r="A23">
        <v>361.0</v>
      </c>
    </row>
    <row r="24" hidden="1"/>
    <row r="25" hidden="1"/>
    <row r="26" hidden="1"/>
    <row r="27">
      <c r="A27">
        <v>208.75</v>
      </c>
    </row>
    <row r="28" hidden="1"/>
    <row r="29" hidden="1"/>
    <row r="30" hidden="1"/>
    <row r="31">
      <c r="A31">
        <v>252.0</v>
      </c>
    </row>
    <row r="32">
      <c r="A32">
        <v>55.0</v>
      </c>
    </row>
    <row r="33" hidden="1"/>
    <row r="34">
      <c r="A34">
        <v>454.0</v>
      </c>
    </row>
    <row r="35" hidden="1"/>
    <row r="36" hidden="1"/>
    <row r="37" hidden="1"/>
    <row r="38" hidden="1"/>
    <row r="39">
      <c r="A39">
        <v>434.75</v>
      </c>
    </row>
    <row r="40" hidden="1"/>
    <row r="41" hidden="1"/>
    <row r="42" hidden="1"/>
    <row r="43">
      <c r="A43">
        <v>247.5</v>
      </c>
    </row>
    <row r="44" hidden="1"/>
    <row r="45" hidden="1"/>
    <row r="46" hidden="1"/>
    <row r="47">
      <c r="A47">
        <v>2072.0</v>
      </c>
    </row>
    <row r="48">
      <c r="A48">
        <v>788.5</v>
      </c>
    </row>
    <row r="49" hidden="1"/>
    <row r="50">
      <c r="A50">
        <v>45.8</v>
      </c>
    </row>
    <row r="51" hidden="1"/>
    <row r="52" hidden="1"/>
    <row r="53" hidden="1"/>
    <row r="54" hidden="1"/>
    <row r="55">
      <c r="A55">
        <v>628.75</v>
      </c>
    </row>
    <row r="56" hidden="1"/>
    <row r="57" hidden="1"/>
    <row r="58" hidden="1"/>
    <row r="59">
      <c r="A59">
        <v>28.0</v>
      </c>
    </row>
    <row r="60" hidden="1"/>
    <row r="61" hidden="1"/>
    <row r="62" hidden="1"/>
    <row r="63">
      <c r="A63">
        <v>0.0</v>
      </c>
    </row>
    <row r="64">
      <c r="A64">
        <v>0.0</v>
      </c>
    </row>
    <row r="65" hidden="1"/>
    <row r="66">
      <c r="A66">
        <v>189.2</v>
      </c>
    </row>
    <row r="67" hidden="1"/>
    <row r="68" hidden="1"/>
    <row r="69" hidden="1"/>
    <row r="70" hidden="1"/>
    <row r="71">
      <c r="A71">
        <v>340.5</v>
      </c>
    </row>
    <row r="72" hidden="1"/>
    <row r="73" hidden="1"/>
    <row r="74" hidden="1"/>
    <row r="75">
      <c r="A75">
        <v>235.0</v>
      </c>
    </row>
    <row r="76" hidden="1"/>
    <row r="77" hidden="1"/>
    <row r="78" hidden="1"/>
    <row r="79">
      <c r="A79">
        <v>1088.0</v>
      </c>
    </row>
    <row r="80">
      <c r="A80">
        <v>0.0</v>
      </c>
    </row>
    <row r="81" hidden="1"/>
    <row r="82">
      <c r="A82">
        <v>212.0</v>
      </c>
    </row>
    <row r="83" hidden="1"/>
    <row r="84" hidden="1"/>
    <row r="85" hidden="1"/>
    <row r="86" hidden="1"/>
    <row r="87">
      <c r="A87">
        <v>203.0</v>
      </c>
    </row>
    <row r="88" hidden="1"/>
    <row r="89" hidden="1"/>
    <row r="90" hidden="1"/>
    <row r="91">
      <c r="A91">
        <v>399.25</v>
      </c>
    </row>
    <row r="92" hidden="1"/>
    <row r="93" hidden="1"/>
    <row r="94" hidden="1"/>
    <row r="95">
      <c r="A95">
        <v>1021.0</v>
      </c>
    </row>
    <row r="96">
      <c r="A96">
        <v>118.5</v>
      </c>
    </row>
    <row r="97" hidden="1"/>
    <row r="98">
      <c r="A98">
        <v>6022.6</v>
      </c>
    </row>
    <row r="99" hidden="1"/>
    <row r="100" hidden="1"/>
    <row r="101" hidden="1"/>
    <row r="102" hidden="1"/>
    <row r="103">
      <c r="A103">
        <v>7698.25</v>
      </c>
    </row>
    <row r="104" hidden="1"/>
    <row r="105" hidden="1"/>
    <row r="106" hidden="1"/>
    <row r="107">
      <c r="A107">
        <v>3097.25</v>
      </c>
    </row>
    <row r="108" hidden="1"/>
    <row r="109" hidden="1"/>
    <row r="110" hidden="1"/>
    <row r="111">
      <c r="A111">
        <v>10286.0</v>
      </c>
    </row>
    <row r="112">
      <c r="A112">
        <v>1479.0</v>
      </c>
    </row>
    <row r="113" hidden="1"/>
    <row r="114">
      <c r="A114">
        <v>268.0</v>
      </c>
    </row>
    <row r="115" hidden="1"/>
    <row r="116" hidden="1"/>
    <row r="117" hidden="1"/>
    <row r="118" hidden="1"/>
    <row r="119">
      <c r="A119">
        <v>525.0</v>
      </c>
    </row>
    <row r="120" hidden="1"/>
    <row r="121" hidden="1"/>
    <row r="122" hidden="1"/>
    <row r="123">
      <c r="A123">
        <v>0.0</v>
      </c>
    </row>
    <row r="124" hidden="1"/>
    <row r="125" hidden="1"/>
    <row r="126" hidden="1"/>
    <row r="127">
      <c r="A127">
        <v>409.0</v>
      </c>
    </row>
    <row r="128">
      <c r="A128">
        <v>0.0</v>
      </c>
    </row>
    <row r="129" hidden="1"/>
    <row r="130">
      <c r="A130">
        <v>0.0</v>
      </c>
    </row>
    <row r="131" hidden="1"/>
    <row r="132" hidden="1"/>
    <row r="133" hidden="1"/>
    <row r="134" hidden="1"/>
    <row r="135">
      <c r="A135">
        <v>213.0</v>
      </c>
    </row>
    <row r="136" hidden="1"/>
    <row r="137" hidden="1"/>
    <row r="138" hidden="1"/>
    <row r="139">
      <c r="A139">
        <v>78.5</v>
      </c>
    </row>
    <row r="140" hidden="1"/>
    <row r="141" hidden="1"/>
    <row r="142" hidden="1"/>
    <row r="143">
      <c r="A143">
        <v>92.0</v>
      </c>
    </row>
    <row r="144">
      <c r="A144">
        <v>0.0</v>
      </c>
    </row>
    <row r="145" hidden="1"/>
    <row r="146">
      <c r="A146">
        <v>0.0</v>
      </c>
    </row>
    <row r="147" hidden="1"/>
    <row r="148" hidden="1"/>
    <row r="149" hidden="1"/>
    <row r="150" hidden="1"/>
    <row r="151">
      <c r="A151">
        <v>8.0</v>
      </c>
    </row>
    <row r="152" hidden="1"/>
    <row r="153" hidden="1"/>
    <row r="154" hidden="1"/>
    <row r="155">
      <c r="A155">
        <v>0.0</v>
      </c>
    </row>
    <row r="156" hidden="1"/>
    <row r="157" hidden="1"/>
    <row r="158" hidden="1"/>
    <row r="159">
      <c r="A159">
        <v>0.0</v>
      </c>
    </row>
    <row r="160">
      <c r="A160">
        <v>38.5</v>
      </c>
    </row>
    <row r="161" hidden="1"/>
    <row r="162">
      <c r="A162">
        <v>212.8</v>
      </c>
    </row>
    <row r="163" hidden="1"/>
    <row r="164" hidden="1"/>
    <row r="165" hidden="1"/>
    <row r="166" hidden="1"/>
    <row r="167">
      <c r="A167">
        <v>35.0</v>
      </c>
    </row>
    <row r="168" hidden="1"/>
    <row r="169" hidden="1"/>
    <row r="170" hidden="1"/>
    <row r="171">
      <c r="A171">
        <v>0.0</v>
      </c>
    </row>
    <row r="172" hidden="1"/>
    <row r="173" hidden="1"/>
    <row r="174" hidden="1"/>
    <row r="175">
      <c r="A175">
        <v>177.0</v>
      </c>
    </row>
    <row r="176">
      <c r="A176">
        <v>0.0</v>
      </c>
    </row>
    <row r="177" hidden="1"/>
    <row r="178">
      <c r="A178">
        <v>887.2</v>
      </c>
    </row>
    <row r="179" hidden="1"/>
    <row r="180" hidden="1"/>
    <row r="181" hidden="1"/>
    <row r="182" hidden="1"/>
    <row r="183">
      <c r="A183">
        <v>210.0</v>
      </c>
    </row>
    <row r="184" hidden="1"/>
    <row r="185" hidden="1"/>
    <row r="186" hidden="1"/>
    <row r="187">
      <c r="A187">
        <v>205.0</v>
      </c>
    </row>
    <row r="188" hidden="1"/>
    <row r="189" hidden="1"/>
    <row r="190" hidden="1"/>
    <row r="191">
      <c r="A191">
        <v>780.0</v>
      </c>
    </row>
    <row r="192">
      <c r="A192">
        <v>55.0</v>
      </c>
    </row>
    <row r="193" hidden="1"/>
    <row r="194">
      <c r="A194">
        <v>139.6</v>
      </c>
    </row>
    <row r="195" hidden="1"/>
    <row r="196" hidden="1"/>
    <row r="197" hidden="1"/>
    <row r="198" hidden="1"/>
    <row r="199">
      <c r="A199">
        <v>48.0</v>
      </c>
    </row>
    <row r="200" hidden="1"/>
    <row r="201" hidden="1"/>
    <row r="202" hidden="1"/>
    <row r="203">
      <c r="A203">
        <v>0.0</v>
      </c>
    </row>
    <row r="204" hidden="1"/>
    <row r="205" hidden="1"/>
    <row r="206" hidden="1"/>
    <row r="207">
      <c r="A207">
        <v>0.0</v>
      </c>
    </row>
    <row r="208">
      <c r="A208">
        <v>160.0</v>
      </c>
    </row>
    <row r="209" hidden="1"/>
    <row r="210">
      <c r="A210">
        <v>279.6</v>
      </c>
    </row>
    <row r="211" hidden="1"/>
    <row r="212" hidden="1"/>
    <row r="213" hidden="1"/>
    <row r="214" hidden="1"/>
    <row r="215">
      <c r="A215">
        <v>186.5</v>
      </c>
    </row>
    <row r="216" hidden="1"/>
    <row r="217" hidden="1"/>
    <row r="218" hidden="1"/>
    <row r="219">
      <c r="A219">
        <v>423.75</v>
      </c>
    </row>
    <row r="220" hidden="1"/>
    <row r="221" hidden="1"/>
    <row r="222" hidden="1"/>
    <row r="223">
      <c r="A223">
        <v>320.0</v>
      </c>
    </row>
    <row r="224">
      <c r="A224">
        <v>195.0</v>
      </c>
    </row>
    <row r="225" hidden="1"/>
    <row r="226">
      <c r="A226">
        <v>32.8</v>
      </c>
    </row>
    <row r="227" hidden="1"/>
    <row r="228" hidden="1"/>
    <row r="229" hidden="1"/>
    <row r="230" hidden="1"/>
    <row r="231">
      <c r="A231">
        <v>105.0</v>
      </c>
    </row>
    <row r="232" hidden="1"/>
    <row r="233" hidden="1"/>
    <row r="234" hidden="1"/>
    <row r="235">
      <c r="A235">
        <v>15.0</v>
      </c>
    </row>
    <row r="236" hidden="1"/>
    <row r="237" hidden="1"/>
    <row r="238" hidden="1"/>
    <row r="239">
      <c r="A239">
        <v>0.0</v>
      </c>
    </row>
    <row r="240">
      <c r="A240">
        <v>0.0</v>
      </c>
    </row>
    <row r="241" hidden="1"/>
    <row r="242">
      <c r="A242">
        <v>266.4</v>
      </c>
    </row>
    <row r="243" hidden="1"/>
    <row r="244" hidden="1"/>
    <row r="245" hidden="1"/>
    <row r="246" hidden="1"/>
    <row r="247">
      <c r="A247">
        <v>45.0</v>
      </c>
    </row>
    <row r="248" hidden="1"/>
    <row r="249" hidden="1"/>
    <row r="250" hidden="1"/>
    <row r="251">
      <c r="A251">
        <v>181.0</v>
      </c>
    </row>
    <row r="252" hidden="1"/>
    <row r="253" hidden="1"/>
    <row r="254" hidden="1"/>
    <row r="255">
      <c r="A255">
        <v>0.0</v>
      </c>
    </row>
    <row r="256">
      <c r="A256">
        <v>50.0</v>
      </c>
    </row>
    <row r="257" hidden="1"/>
    <row r="258">
      <c r="A258">
        <v>249.6</v>
      </c>
    </row>
    <row r="259" hidden="1"/>
    <row r="260" hidden="1"/>
    <row r="261" hidden="1"/>
    <row r="262" hidden="1"/>
    <row r="263">
      <c r="A263">
        <v>245.0</v>
      </c>
    </row>
    <row r="264" hidden="1"/>
    <row r="265" hidden="1"/>
    <row r="266" hidden="1"/>
    <row r="267">
      <c r="A267">
        <v>510.75</v>
      </c>
    </row>
    <row r="268" hidden="1"/>
    <row r="269" hidden="1"/>
    <row r="270" hidden="1"/>
    <row r="271">
      <c r="A271">
        <v>0.0</v>
      </c>
    </row>
    <row r="272">
      <c r="A272">
        <v>0.0</v>
      </c>
    </row>
    <row r="273" hidden="1"/>
    <row r="274">
      <c r="A274">
        <v>232.8</v>
      </c>
    </row>
    <row r="275" hidden="1"/>
    <row r="276" hidden="1"/>
    <row r="277" hidden="1"/>
    <row r="278" hidden="1"/>
    <row r="279">
      <c r="A279">
        <v>252.0</v>
      </c>
    </row>
    <row r="280" hidden="1"/>
    <row r="281" hidden="1"/>
    <row r="282" hidden="1"/>
    <row r="283">
      <c r="A283">
        <v>312.5</v>
      </c>
    </row>
    <row r="284" hidden="1"/>
    <row r="285" hidden="1"/>
    <row r="286" hidden="1"/>
    <row r="287">
      <c r="A287">
        <v>0.0</v>
      </c>
    </row>
    <row r="288">
      <c r="A288">
        <v>0.0</v>
      </c>
    </row>
    <row r="289" hidden="1"/>
    <row r="290">
      <c r="A290">
        <v>441.6</v>
      </c>
    </row>
    <row r="291" hidden="1"/>
    <row r="292" hidden="1"/>
    <row r="293" hidden="1"/>
    <row r="294" hidden="1"/>
    <row r="295">
      <c r="A295">
        <v>269.5</v>
      </c>
    </row>
    <row r="296" hidden="1"/>
    <row r="297" hidden="1"/>
    <row r="298" hidden="1"/>
    <row r="299">
      <c r="A299">
        <v>266.25</v>
      </c>
    </row>
    <row r="300" hidden="1"/>
    <row r="301" hidden="1"/>
    <row r="302" hidden="1"/>
    <row r="303">
      <c r="A303">
        <v>360.0</v>
      </c>
    </row>
    <row r="304">
      <c r="A304">
        <v>0.0</v>
      </c>
    </row>
    <row r="305" hidden="1"/>
    <row r="306">
      <c r="A306">
        <v>273.6</v>
      </c>
    </row>
    <row r="307" hidden="1"/>
    <row r="308" hidden="1"/>
    <row r="309" hidden="1"/>
    <row r="310" hidden="1"/>
    <row r="311">
      <c r="A311">
        <v>48.0</v>
      </c>
    </row>
    <row r="312" hidden="1"/>
    <row r="313" hidden="1"/>
    <row r="314" hidden="1"/>
    <row r="315">
      <c r="A315">
        <v>134.0</v>
      </c>
    </row>
    <row r="316" hidden="1"/>
    <row r="317" hidden="1"/>
    <row r="318" hidden="1"/>
    <row r="319">
      <c r="A319">
        <v>575.0</v>
      </c>
    </row>
    <row r="320">
      <c r="A320">
        <v>0.0</v>
      </c>
    </row>
    <row r="321" hidden="1"/>
    <row r="322">
      <c r="A322">
        <v>1460.8</v>
      </c>
    </row>
    <row r="323" hidden="1"/>
    <row r="324" hidden="1"/>
    <row r="325" hidden="1"/>
    <row r="326" hidden="1"/>
    <row r="327">
      <c r="A327">
        <v>2411.75</v>
      </c>
    </row>
    <row r="328" hidden="1"/>
    <row r="329" hidden="1"/>
    <row r="330" hidden="1"/>
    <row r="331">
      <c r="A331">
        <v>424.0</v>
      </c>
    </row>
    <row r="332" hidden="1"/>
    <row r="333" hidden="1"/>
    <row r="334" hidden="1"/>
    <row r="335">
      <c r="A335">
        <v>1444.0</v>
      </c>
    </row>
    <row r="336">
      <c r="A336">
        <v>0.0</v>
      </c>
    </row>
    <row r="337" hidden="1"/>
    <row r="338">
      <c r="A338">
        <v>114.4</v>
      </c>
    </row>
    <row r="339" hidden="1"/>
    <row r="340" hidden="1"/>
    <row r="341" hidden="1"/>
    <row r="342" hidden="1"/>
    <row r="343">
      <c r="A343">
        <v>458.25</v>
      </c>
    </row>
    <row r="344" hidden="1"/>
    <row r="345" hidden="1"/>
    <row r="346" hidden="1"/>
    <row r="347">
      <c r="A347">
        <v>64.0</v>
      </c>
    </row>
    <row r="348" hidden="1"/>
    <row r="349" hidden="1"/>
    <row r="350" hidden="1"/>
    <row r="351">
      <c r="A351">
        <v>0.0</v>
      </c>
    </row>
    <row r="352">
      <c r="A352">
        <v>0.0</v>
      </c>
    </row>
    <row r="353" hidden="1"/>
    <row r="354">
      <c r="A354">
        <v>38.2</v>
      </c>
    </row>
    <row r="355" hidden="1"/>
    <row r="356" hidden="1"/>
    <row r="357" hidden="1"/>
    <row r="358" hidden="1"/>
    <row r="359">
      <c r="A359">
        <v>328.5</v>
      </c>
    </row>
    <row r="360" hidden="1"/>
    <row r="361" hidden="1"/>
    <row r="362" hidden="1"/>
    <row r="363">
      <c r="A363">
        <v>418.25</v>
      </c>
    </row>
    <row r="364" hidden="1"/>
    <row r="365" hidden="1"/>
    <row r="366" hidden="1"/>
    <row r="367">
      <c r="A367">
        <v>673.0</v>
      </c>
    </row>
    <row r="368">
      <c r="A368">
        <v>0.0</v>
      </c>
    </row>
    <row r="369" hidden="1"/>
    <row r="370">
      <c r="A370">
        <v>463.2</v>
      </c>
    </row>
    <row r="371" hidden="1"/>
    <row r="372" hidden="1"/>
    <row r="373" hidden="1"/>
    <row r="374" hidden="1"/>
    <row r="375">
      <c r="A375">
        <v>148.0</v>
      </c>
    </row>
    <row r="376" hidden="1"/>
    <row r="377" hidden="1"/>
    <row r="378" hidden="1"/>
    <row r="379">
      <c r="A379">
        <v>255.75</v>
      </c>
    </row>
    <row r="380" hidden="1"/>
    <row r="381" hidden="1"/>
    <row r="382" hidden="1"/>
    <row r="383">
      <c r="A383">
        <v>538.0</v>
      </c>
    </row>
    <row r="384">
      <c r="A384">
        <v>0.0</v>
      </c>
    </row>
    <row r="385" hidden="1"/>
    <row r="386">
      <c r="A386">
        <v>575.6</v>
      </c>
    </row>
    <row r="387" hidden="1"/>
    <row r="388" hidden="1"/>
    <row r="389" hidden="1"/>
    <row r="390" hidden="1"/>
    <row r="391">
      <c r="A391">
        <v>429.5</v>
      </c>
    </row>
    <row r="392" hidden="1"/>
    <row r="393" hidden="1"/>
    <row r="394" hidden="1"/>
    <row r="395">
      <c r="A395">
        <v>259.75</v>
      </c>
    </row>
    <row r="396" hidden="1"/>
    <row r="397" hidden="1"/>
    <row r="398" hidden="1"/>
    <row r="399">
      <c r="A399">
        <v>0.0</v>
      </c>
    </row>
    <row r="400">
      <c r="A400">
        <v>0.0</v>
      </c>
    </row>
    <row r="401" hidden="1"/>
    <row r="402">
      <c r="A402">
        <v>1042.4</v>
      </c>
    </row>
    <row r="403" hidden="1"/>
    <row r="404" hidden="1"/>
    <row r="405" hidden="1"/>
    <row r="406" hidden="1"/>
    <row r="407">
      <c r="A407">
        <v>1113.0</v>
      </c>
    </row>
    <row r="408" hidden="1"/>
    <row r="409" hidden="1"/>
    <row r="410" hidden="1"/>
    <row r="411">
      <c r="A411">
        <v>100.0</v>
      </c>
    </row>
    <row r="412" hidden="1"/>
    <row r="413" hidden="1"/>
    <row r="414" hidden="1"/>
    <row r="415">
      <c r="A415">
        <v>2312.0</v>
      </c>
    </row>
    <row r="416">
      <c r="A416">
        <v>0.0</v>
      </c>
    </row>
    <row r="417" hidden="1"/>
    <row r="418">
      <c r="A418">
        <v>717.2</v>
      </c>
    </row>
    <row r="419" hidden="1"/>
    <row r="420" hidden="1"/>
    <row r="421" hidden="1"/>
    <row r="422" hidden="1"/>
    <row r="423">
      <c r="A423">
        <v>111.5</v>
      </c>
    </row>
    <row r="424" hidden="1"/>
    <row r="425" hidden="1"/>
    <row r="426" hidden="1"/>
    <row r="427">
      <c r="A427">
        <v>355.5</v>
      </c>
    </row>
    <row r="428" hidden="1"/>
    <row r="429" hidden="1"/>
    <row r="430" hidden="1"/>
    <row r="431">
      <c r="A431">
        <v>0.0</v>
      </c>
    </row>
    <row r="432">
      <c r="A432">
        <v>49.0</v>
      </c>
    </row>
    <row r="433" hidden="1"/>
    <row r="434">
      <c r="A434">
        <v>296.0</v>
      </c>
    </row>
    <row r="435" hidden="1"/>
    <row r="436" hidden="1"/>
    <row r="437" hidden="1"/>
    <row r="438" hidden="1"/>
    <row r="439">
      <c r="A439">
        <v>735.5</v>
      </c>
    </row>
    <row r="440" hidden="1"/>
    <row r="441" hidden="1"/>
    <row r="442" hidden="1"/>
    <row r="443">
      <c r="A443">
        <v>129.25</v>
      </c>
    </row>
    <row r="444" hidden="1"/>
    <row r="445" hidden="1"/>
    <row r="446" hidden="1"/>
    <row r="447">
      <c r="A447">
        <v>0.0</v>
      </c>
    </row>
    <row r="448">
      <c r="A448">
        <v>0.0</v>
      </c>
    </row>
    <row r="449" hidden="1"/>
    <row r="450">
      <c r="A450">
        <v>197.6</v>
      </c>
    </row>
    <row r="451" hidden="1"/>
    <row r="452" hidden="1"/>
    <row r="453" hidden="1"/>
    <row r="454" hidden="1"/>
    <row r="455">
      <c r="A455">
        <v>1353.5</v>
      </c>
    </row>
    <row r="456" hidden="1"/>
    <row r="457" hidden="1"/>
    <row r="458" hidden="1"/>
    <row r="459">
      <c r="A459">
        <v>227.5</v>
      </c>
    </row>
    <row r="460" hidden="1"/>
    <row r="461" hidden="1"/>
    <row r="462" hidden="1"/>
    <row r="463">
      <c r="A463">
        <v>385.0</v>
      </c>
    </row>
    <row r="464">
      <c r="A464">
        <v>682.5</v>
      </c>
    </row>
    <row r="465" hidden="1"/>
    <row r="466">
      <c r="A466">
        <v>413.4</v>
      </c>
    </row>
    <row r="467" hidden="1"/>
    <row r="468" hidden="1"/>
    <row r="469" hidden="1"/>
    <row r="470" hidden="1"/>
    <row r="471">
      <c r="A471">
        <v>496.75</v>
      </c>
    </row>
    <row r="472" hidden="1"/>
    <row r="473" hidden="1"/>
    <row r="474" hidden="1"/>
    <row r="475">
      <c r="A475">
        <v>1550.75</v>
      </c>
    </row>
    <row r="476" hidden="1"/>
    <row r="477" hidden="1"/>
    <row r="478" hidden="1"/>
    <row r="479">
      <c r="A479">
        <v>352.0</v>
      </c>
    </row>
    <row r="480">
      <c r="A480">
        <v>157.0</v>
      </c>
    </row>
    <row r="481" hidden="1"/>
    <row r="482">
      <c r="A482">
        <v>537.6</v>
      </c>
    </row>
    <row r="483" hidden="1"/>
    <row r="484" hidden="1"/>
    <row r="485" hidden="1"/>
    <row r="486" hidden="1"/>
    <row r="487">
      <c r="A487">
        <v>565.5</v>
      </c>
    </row>
    <row r="488" hidden="1"/>
    <row r="489" hidden="1"/>
    <row r="490" hidden="1"/>
    <row r="491">
      <c r="A491">
        <v>671.25</v>
      </c>
    </row>
    <row r="492" hidden="1"/>
    <row r="493" hidden="1"/>
    <row r="494" hidden="1"/>
    <row r="495">
      <c r="A495">
        <v>2229.0</v>
      </c>
    </row>
    <row r="496">
      <c r="A496">
        <v>0.0</v>
      </c>
    </row>
    <row r="497" hidden="1"/>
    <row r="498">
      <c r="A498">
        <v>1109.4</v>
      </c>
    </row>
    <row r="499" hidden="1"/>
    <row r="500" hidden="1"/>
    <row r="501" hidden="1"/>
    <row r="502" hidden="1"/>
    <row r="503">
      <c r="A503">
        <v>855.0</v>
      </c>
    </row>
    <row r="504" hidden="1"/>
    <row r="505" hidden="1"/>
    <row r="506" hidden="1"/>
    <row r="507">
      <c r="A507">
        <v>28.75</v>
      </c>
    </row>
    <row r="508" hidden="1"/>
    <row r="509" hidden="1"/>
    <row r="510" hidden="1"/>
    <row r="511">
      <c r="A511">
        <v>484.0</v>
      </c>
    </row>
    <row r="512">
      <c r="A512">
        <v>0.0</v>
      </c>
    </row>
    <row r="513" hidden="1"/>
    <row r="514">
      <c r="A514">
        <v>1300.4</v>
      </c>
    </row>
    <row r="515" hidden="1"/>
    <row r="516" hidden="1"/>
    <row r="517" hidden="1"/>
    <row r="518" hidden="1"/>
    <row r="519">
      <c r="A519">
        <v>705.0</v>
      </c>
    </row>
    <row r="520" hidden="1"/>
    <row r="521" hidden="1"/>
    <row r="522" hidden="1"/>
    <row r="523">
      <c r="A523">
        <v>1546.0</v>
      </c>
    </row>
    <row r="524" hidden="1"/>
    <row r="525" hidden="1"/>
    <row r="526" hidden="1"/>
    <row r="527">
      <c r="A527">
        <v>4711.0</v>
      </c>
    </row>
    <row r="528">
      <c r="A528">
        <v>250.0</v>
      </c>
    </row>
    <row r="529" hidden="1"/>
    <row r="530">
      <c r="A530">
        <v>115.2</v>
      </c>
    </row>
    <row r="531" hidden="1"/>
    <row r="532" hidden="1"/>
    <row r="533" hidden="1"/>
    <row r="534" hidden="1"/>
    <row r="535">
      <c r="A535">
        <v>118.0</v>
      </c>
    </row>
    <row r="536" hidden="1"/>
    <row r="537" hidden="1"/>
    <row r="538" hidden="1"/>
    <row r="539">
      <c r="A539">
        <v>245.0</v>
      </c>
    </row>
    <row r="540" hidden="1"/>
    <row r="541" hidden="1"/>
    <row r="542" hidden="1"/>
    <row r="543">
      <c r="A543">
        <v>342.0</v>
      </c>
    </row>
    <row r="544">
      <c r="A544">
        <v>41.0</v>
      </c>
    </row>
    <row r="545" hidden="1"/>
    <row r="546">
      <c r="A546">
        <v>175.6</v>
      </c>
    </row>
    <row r="547" hidden="1"/>
    <row r="548" hidden="1"/>
    <row r="549" hidden="1"/>
    <row r="550" hidden="1"/>
    <row r="551">
      <c r="A551">
        <v>78.5</v>
      </c>
    </row>
    <row r="552" hidden="1"/>
    <row r="553" hidden="1"/>
    <row r="554" hidden="1"/>
    <row r="555">
      <c r="A555">
        <v>21.0</v>
      </c>
    </row>
    <row r="556" hidden="1"/>
    <row r="557" hidden="1"/>
    <row r="558" hidden="1"/>
    <row r="559">
      <c r="A559">
        <v>528.0</v>
      </c>
    </row>
    <row r="560">
      <c r="A560">
        <v>0.0</v>
      </c>
    </row>
    <row r="561" hidden="1"/>
    <row r="562">
      <c r="A562">
        <v>32.0</v>
      </c>
    </row>
    <row r="563" hidden="1"/>
    <row r="564" hidden="1"/>
    <row r="565" hidden="1"/>
    <row r="566" hidden="1"/>
    <row r="567">
      <c r="A567">
        <v>25.5</v>
      </c>
    </row>
    <row r="568" hidden="1"/>
    <row r="569" hidden="1"/>
    <row r="570" hidden="1"/>
    <row r="571">
      <c r="A571">
        <v>0.0</v>
      </c>
    </row>
    <row r="572" hidden="1"/>
    <row r="573" hidden="1"/>
    <row r="574" hidden="1"/>
    <row r="575">
      <c r="A575">
        <v>0.0</v>
      </c>
    </row>
    <row r="576">
      <c r="A576">
        <v>0.0</v>
      </c>
    </row>
    <row r="577" hidden="1"/>
    <row r="578">
      <c r="A578">
        <v>189.8</v>
      </c>
    </row>
    <row r="579" hidden="1"/>
    <row r="580" hidden="1"/>
    <row r="581" hidden="1"/>
    <row r="582" hidden="1"/>
    <row r="583">
      <c r="A583">
        <v>719.5</v>
      </c>
    </row>
    <row r="584" hidden="1"/>
    <row r="585" hidden="1"/>
    <row r="586" hidden="1"/>
    <row r="587">
      <c r="A587">
        <v>100.75</v>
      </c>
    </row>
    <row r="588" hidden="1"/>
    <row r="589" hidden="1"/>
    <row r="590" hidden="1"/>
    <row r="591">
      <c r="A591">
        <v>2404.0</v>
      </c>
    </row>
    <row r="592">
      <c r="A592">
        <v>192.0</v>
      </c>
    </row>
    <row r="593" hidden="1"/>
    <row r="594">
      <c r="A594">
        <v>57.6</v>
      </c>
    </row>
    <row r="595" hidden="1"/>
    <row r="596" hidden="1"/>
    <row r="597" hidden="1"/>
    <row r="598" hidden="1"/>
    <row r="599">
      <c r="A599">
        <v>81.0</v>
      </c>
    </row>
    <row r="600" hidden="1"/>
    <row r="601" hidden="1"/>
    <row r="602" hidden="1"/>
    <row r="603">
      <c r="A603">
        <v>21.5</v>
      </c>
    </row>
    <row r="604" hidden="1"/>
    <row r="605" hidden="1"/>
    <row r="606" hidden="1"/>
    <row r="607">
      <c r="A607">
        <v>0.0</v>
      </c>
    </row>
    <row r="608">
      <c r="A608">
        <v>0.0</v>
      </c>
    </row>
    <row r="609" hidden="1"/>
    <row r="610">
      <c r="A610">
        <v>309.8</v>
      </c>
    </row>
    <row r="611" hidden="1"/>
    <row r="612" hidden="1"/>
    <row r="613" hidden="1"/>
    <row r="614" hidden="1"/>
    <row r="615">
      <c r="A615">
        <v>406.0</v>
      </c>
    </row>
    <row r="616" hidden="1"/>
    <row r="617" hidden="1"/>
    <row r="618" hidden="1"/>
    <row r="619">
      <c r="A619">
        <v>123.0</v>
      </c>
    </row>
    <row r="620" hidden="1"/>
    <row r="621" hidden="1"/>
    <row r="622" hidden="1"/>
    <row r="623">
      <c r="A623">
        <v>345.0</v>
      </c>
    </row>
    <row r="624">
      <c r="A624">
        <v>188.5</v>
      </c>
    </row>
    <row r="625" hidden="1"/>
    <row r="626">
      <c r="A626">
        <v>4960.6</v>
      </c>
    </row>
    <row r="627" hidden="1"/>
    <row r="628" hidden="1"/>
    <row r="629" hidden="1"/>
    <row r="630" hidden="1"/>
    <row r="631">
      <c r="A631">
        <v>6426.5</v>
      </c>
    </row>
    <row r="632" hidden="1"/>
    <row r="633" hidden="1"/>
    <row r="634" hidden="1"/>
    <row r="635">
      <c r="A635">
        <v>1465.0</v>
      </c>
    </row>
    <row r="636" hidden="1"/>
    <row r="637" hidden="1"/>
    <row r="638" hidden="1"/>
    <row r="639">
      <c r="A639">
        <v>757.0</v>
      </c>
    </row>
    <row r="640">
      <c r="A640">
        <v>2543.0</v>
      </c>
    </row>
    <row r="641" hidden="1"/>
    <row r="642">
      <c r="A642">
        <v>1395.6</v>
      </c>
    </row>
    <row r="643" hidden="1"/>
    <row r="644" hidden="1"/>
    <row r="645" hidden="1"/>
    <row r="646" hidden="1"/>
    <row r="647">
      <c r="A647">
        <v>607.0</v>
      </c>
    </row>
    <row r="648" hidden="1"/>
    <row r="649" hidden="1"/>
    <row r="650" hidden="1"/>
    <row r="651">
      <c r="A651">
        <v>371.0</v>
      </c>
    </row>
    <row r="652" hidden="1"/>
    <row r="653" hidden="1"/>
    <row r="654" hidden="1"/>
    <row r="655">
      <c r="A655">
        <v>1190.0</v>
      </c>
    </row>
    <row r="656">
      <c r="A656">
        <v>731.0</v>
      </c>
    </row>
    <row r="657" hidden="1"/>
    <row r="658">
      <c r="A658">
        <v>155.2</v>
      </c>
    </row>
    <row r="659" hidden="1"/>
    <row r="660" hidden="1"/>
    <row r="661" hidden="1"/>
    <row r="662" hidden="1"/>
    <row r="663">
      <c r="A663">
        <v>332.25</v>
      </c>
    </row>
    <row r="664" hidden="1"/>
    <row r="665" hidden="1"/>
    <row r="666" hidden="1"/>
    <row r="667">
      <c r="A667">
        <v>0.0</v>
      </c>
    </row>
    <row r="668" hidden="1"/>
    <row r="669" hidden="1"/>
    <row r="670" hidden="1"/>
    <row r="671">
      <c r="A671">
        <v>190.0</v>
      </c>
    </row>
    <row r="672">
      <c r="A672">
        <v>382.5</v>
      </c>
    </row>
    <row r="673" hidden="1"/>
    <row r="674">
      <c r="A674">
        <v>258.4</v>
      </c>
    </row>
    <row r="675" hidden="1"/>
    <row r="676" hidden="1"/>
    <row r="677" hidden="1"/>
    <row r="678" hidden="1"/>
    <row r="679">
      <c r="A679">
        <v>247.0</v>
      </c>
    </row>
    <row r="680" hidden="1"/>
    <row r="681" hidden="1"/>
    <row r="682" hidden="1"/>
    <row r="683">
      <c r="A683">
        <v>410.75</v>
      </c>
    </row>
    <row r="684" hidden="1"/>
    <row r="685" hidden="1"/>
    <row r="686" hidden="1"/>
    <row r="687">
      <c r="A687">
        <v>831.0</v>
      </c>
    </row>
    <row r="688">
      <c r="A688">
        <v>572.0</v>
      </c>
    </row>
    <row r="689" hidden="1"/>
    <row r="690">
      <c r="A690">
        <v>144.0</v>
      </c>
    </row>
    <row r="691" hidden="1"/>
    <row r="692" hidden="1"/>
    <row r="693" hidden="1"/>
    <row r="694" hidden="1"/>
    <row r="695">
      <c r="A695">
        <v>357.75</v>
      </c>
    </row>
    <row r="696" hidden="1"/>
    <row r="697" hidden="1"/>
    <row r="698" hidden="1"/>
    <row r="699">
      <c r="A699">
        <v>183.25</v>
      </c>
    </row>
    <row r="700" hidden="1"/>
    <row r="701" hidden="1"/>
    <row r="702" hidden="1"/>
    <row r="703">
      <c r="A703">
        <v>1941.0</v>
      </c>
    </row>
    <row r="704">
      <c r="A704">
        <v>0.0</v>
      </c>
    </row>
    <row r="705" hidden="1"/>
    <row r="706">
      <c r="A706">
        <v>201.6</v>
      </c>
    </row>
    <row r="707" hidden="1"/>
    <row r="708" hidden="1"/>
    <row r="709" hidden="1"/>
    <row r="710" hidden="1"/>
    <row r="711">
      <c r="A711">
        <v>168.0</v>
      </c>
    </row>
    <row r="712" hidden="1"/>
    <row r="713" hidden="1"/>
    <row r="714" hidden="1"/>
    <row r="715">
      <c r="A715">
        <v>259.0</v>
      </c>
    </row>
    <row r="716" hidden="1"/>
    <row r="717" hidden="1"/>
    <row r="718" hidden="1"/>
    <row r="719">
      <c r="A719">
        <v>316.0</v>
      </c>
    </row>
    <row r="720">
      <c r="A720">
        <v>0.0</v>
      </c>
    </row>
    <row r="721" hidden="1"/>
    <row r="722">
      <c r="A722">
        <v>244.8</v>
      </c>
    </row>
    <row r="723" hidden="1"/>
    <row r="724" hidden="1"/>
    <row r="725" hidden="1"/>
    <row r="726" hidden="1"/>
    <row r="727">
      <c r="A727">
        <v>118.0</v>
      </c>
    </row>
    <row r="728" hidden="1"/>
    <row r="729" hidden="1"/>
    <row r="730" hidden="1"/>
    <row r="731">
      <c r="A731">
        <v>105.75</v>
      </c>
    </row>
    <row r="732" hidden="1"/>
    <row r="733" hidden="1"/>
    <row r="734" hidden="1"/>
    <row r="735">
      <c r="A735">
        <v>262.0</v>
      </c>
    </row>
    <row r="736">
      <c r="A736">
        <v>437.5</v>
      </c>
    </row>
    <row r="737" hidden="1"/>
    <row r="738">
      <c r="A738">
        <v>1347.6</v>
      </c>
    </row>
    <row r="739" hidden="1"/>
    <row r="740" hidden="1"/>
    <row r="741" hidden="1"/>
    <row r="742" hidden="1"/>
    <row r="743">
      <c r="A743">
        <v>1014.5</v>
      </c>
    </row>
    <row r="744" hidden="1"/>
    <row r="745" hidden="1"/>
    <row r="746" hidden="1"/>
    <row r="747">
      <c r="A747">
        <v>696.0</v>
      </c>
    </row>
    <row r="748" hidden="1"/>
    <row r="749" hidden="1"/>
    <row r="750" hidden="1"/>
    <row r="751">
      <c r="A751">
        <v>3220.0</v>
      </c>
    </row>
    <row r="752">
      <c r="A752">
        <v>495.0</v>
      </c>
    </row>
    <row r="753" hidden="1"/>
    <row r="754">
      <c r="A754">
        <v>128.0</v>
      </c>
    </row>
    <row r="755" hidden="1"/>
    <row r="756" hidden="1"/>
    <row r="757" hidden="1"/>
    <row r="758" hidden="1"/>
    <row r="759">
      <c r="A759">
        <v>72.0</v>
      </c>
    </row>
    <row r="760" hidden="1"/>
    <row r="761" hidden="1"/>
    <row r="762" hidden="1"/>
    <row r="763">
      <c r="A763">
        <v>0.0</v>
      </c>
    </row>
    <row r="764" hidden="1"/>
    <row r="765" hidden="1"/>
    <row r="766" hidden="1"/>
    <row r="767">
      <c r="A767">
        <v>0.0</v>
      </c>
    </row>
    <row r="768">
      <c r="A768">
        <v>0.0</v>
      </c>
    </row>
    <row r="769" hidden="1"/>
    <row r="770">
      <c r="A770">
        <v>361.2</v>
      </c>
    </row>
    <row r="771" hidden="1"/>
    <row r="772" hidden="1"/>
    <row r="773" hidden="1"/>
    <row r="774" hidden="1"/>
    <row r="775">
      <c r="A775">
        <v>253.5</v>
      </c>
    </row>
    <row r="776" hidden="1"/>
    <row r="777" hidden="1"/>
    <row r="778" hidden="1"/>
    <row r="779">
      <c r="A779">
        <v>60.0</v>
      </c>
    </row>
    <row r="780" hidden="1"/>
    <row r="781" hidden="1"/>
    <row r="782" hidden="1"/>
    <row r="783">
      <c r="A783">
        <v>807.0</v>
      </c>
    </row>
    <row r="784">
      <c r="A784">
        <v>463.5</v>
      </c>
    </row>
    <row r="785" hidden="1"/>
    <row r="786">
      <c r="A786">
        <v>91.2</v>
      </c>
    </row>
    <row r="787" hidden="1"/>
    <row r="788" hidden="1"/>
    <row r="789" hidden="1"/>
    <row r="790" hidden="1"/>
    <row r="791">
      <c r="A791">
        <v>0.0</v>
      </c>
    </row>
    <row r="792" hidden="1"/>
    <row r="793" hidden="1"/>
    <row r="794" hidden="1"/>
    <row r="795">
      <c r="A795">
        <v>0.0</v>
      </c>
    </row>
    <row r="796" hidden="1"/>
    <row r="797" hidden="1"/>
    <row r="798" hidden="1"/>
    <row r="799">
      <c r="A799">
        <v>0.0</v>
      </c>
    </row>
    <row r="800">
      <c r="A800">
        <v>399.5</v>
      </c>
    </row>
    <row r="801" hidden="1"/>
    <row r="802">
      <c r="A802">
        <v>140.8</v>
      </c>
    </row>
    <row r="803" hidden="1"/>
    <row r="804" hidden="1"/>
    <row r="805" hidden="1"/>
    <row r="806" hidden="1"/>
    <row r="807">
      <c r="A807">
        <v>342.0</v>
      </c>
    </row>
    <row r="808" hidden="1"/>
    <row r="809" hidden="1"/>
    <row r="810" hidden="1"/>
    <row r="811">
      <c r="A811">
        <v>267.0</v>
      </c>
    </row>
    <row r="812" hidden="1"/>
    <row r="813" hidden="1"/>
    <row r="814" hidden="1"/>
    <row r="815">
      <c r="A815">
        <v>0.0</v>
      </c>
    </row>
    <row r="816">
      <c r="A816">
        <v>745.5</v>
      </c>
    </row>
    <row r="817" hidden="1"/>
    <row r="818">
      <c r="A818">
        <v>1149.6</v>
      </c>
    </row>
    <row r="819" hidden="1"/>
    <row r="820" hidden="1"/>
    <row r="821" hidden="1"/>
    <row r="822" hidden="1"/>
    <row r="823">
      <c r="A823">
        <v>538.5</v>
      </c>
    </row>
    <row r="824" hidden="1"/>
    <row r="825" hidden="1"/>
    <row r="826" hidden="1"/>
    <row r="827">
      <c r="A827">
        <v>400.25</v>
      </c>
    </row>
    <row r="828" hidden="1"/>
    <row r="829" hidden="1"/>
    <row r="830" hidden="1"/>
    <row r="831">
      <c r="A831">
        <v>138.0</v>
      </c>
    </row>
    <row r="832">
      <c r="A832">
        <v>405.5</v>
      </c>
    </row>
    <row r="833" hidden="1"/>
    <row r="834">
      <c r="A834">
        <v>1360.0</v>
      </c>
    </row>
    <row r="835" hidden="1"/>
    <row r="836" hidden="1"/>
    <row r="837" hidden="1"/>
    <row r="838" hidden="1"/>
    <row r="839">
      <c r="A839">
        <v>1601.5</v>
      </c>
    </row>
    <row r="840" hidden="1"/>
    <row r="841" hidden="1"/>
    <row r="842" hidden="1"/>
    <row r="843">
      <c r="A843">
        <v>974.0</v>
      </c>
    </row>
    <row r="844" hidden="1"/>
    <row r="845" hidden="1"/>
    <row r="846" hidden="1"/>
    <row r="847">
      <c r="A847">
        <v>2531.0</v>
      </c>
    </row>
    <row r="848">
      <c r="A848">
        <v>909.5</v>
      </c>
    </row>
    <row r="849" hidden="1"/>
    <row r="850">
      <c r="A850">
        <v>520.0</v>
      </c>
    </row>
    <row r="851" hidden="1"/>
    <row r="852" hidden="1"/>
    <row r="853" hidden="1"/>
    <row r="854" hidden="1"/>
    <row r="855">
      <c r="A855">
        <v>838.5</v>
      </c>
    </row>
    <row r="856" hidden="1"/>
    <row r="857" hidden="1"/>
    <row r="858" hidden="1"/>
    <row r="859">
      <c r="A859">
        <v>775.0</v>
      </c>
    </row>
    <row r="860" hidden="1"/>
    <row r="861" hidden="1"/>
    <row r="862" hidden="1"/>
    <row r="863">
      <c r="A863">
        <v>848.0</v>
      </c>
    </row>
    <row r="864">
      <c r="A864">
        <v>109.5</v>
      </c>
    </row>
    <row r="865" hidden="1"/>
    <row r="866">
      <c r="A866">
        <v>405.6</v>
      </c>
    </row>
    <row r="867" hidden="1"/>
    <row r="868" hidden="1"/>
    <row r="869" hidden="1"/>
    <row r="870" hidden="1"/>
    <row r="871">
      <c r="A871">
        <v>1089.5</v>
      </c>
    </row>
    <row r="872" hidden="1"/>
    <row r="873" hidden="1"/>
    <row r="874" hidden="1"/>
    <row r="875">
      <c r="A875">
        <v>1190.0</v>
      </c>
    </row>
    <row r="876" hidden="1"/>
    <row r="877" hidden="1"/>
    <row r="878" hidden="1"/>
    <row r="879">
      <c r="A879">
        <v>652.0</v>
      </c>
    </row>
    <row r="880">
      <c r="A880">
        <v>227.5</v>
      </c>
    </row>
    <row r="881" hidden="1"/>
    <row r="882">
      <c r="A882">
        <v>351.2</v>
      </c>
    </row>
    <row r="883" hidden="1"/>
    <row r="884" hidden="1"/>
    <row r="885" hidden="1"/>
    <row r="886" hidden="1"/>
    <row r="887">
      <c r="A887">
        <v>162.0</v>
      </c>
    </row>
    <row r="888" hidden="1"/>
    <row r="889" hidden="1"/>
    <row r="890" hidden="1"/>
    <row r="891">
      <c r="A891">
        <v>561.5</v>
      </c>
    </row>
    <row r="892" hidden="1"/>
    <row r="893" hidden="1"/>
    <row r="894" hidden="1"/>
    <row r="895">
      <c r="A895">
        <v>0.0</v>
      </c>
    </row>
    <row r="896">
      <c r="A896">
        <v>1106.0</v>
      </c>
    </row>
    <row r="897" hidden="1"/>
    <row r="898">
      <c r="A898">
        <v>217.6</v>
      </c>
    </row>
    <row r="899" hidden="1"/>
    <row r="900" hidden="1"/>
    <row r="901" hidden="1"/>
    <row r="902" hidden="1"/>
    <row r="903">
      <c r="A903">
        <v>94.0</v>
      </c>
    </row>
    <row r="904" hidden="1"/>
    <row r="905" hidden="1"/>
    <row r="906" hidden="1"/>
    <row r="907">
      <c r="A907">
        <v>513.0</v>
      </c>
    </row>
    <row r="908" hidden="1"/>
    <row r="909" hidden="1"/>
    <row r="910" hidden="1"/>
    <row r="911">
      <c r="A911">
        <v>0.0</v>
      </c>
    </row>
    <row r="912">
      <c r="A912">
        <v>0.0</v>
      </c>
    </row>
    <row r="913" hidden="1"/>
    <row r="914">
      <c r="A914">
        <v>587.0</v>
      </c>
    </row>
    <row r="915" hidden="1"/>
    <row r="916" hidden="1"/>
    <row r="917" hidden="1"/>
    <row r="918" hidden="1"/>
    <row r="919">
      <c r="A919">
        <v>195.75</v>
      </c>
    </row>
    <row r="920" hidden="1"/>
    <row r="921" hidden="1"/>
    <row r="922" hidden="1"/>
    <row r="923">
      <c r="A923">
        <v>0.0</v>
      </c>
    </row>
    <row r="924" hidden="1"/>
    <row r="925" hidden="1"/>
    <row r="926" hidden="1"/>
    <row r="927">
      <c r="A927">
        <v>0.0</v>
      </c>
    </row>
    <row r="928">
      <c r="A928">
        <v>102.5</v>
      </c>
    </row>
    <row r="929" hidden="1"/>
    <row r="930">
      <c r="A930">
        <v>199.2</v>
      </c>
    </row>
    <row r="931" hidden="1"/>
    <row r="932" hidden="1"/>
    <row r="933" hidden="1"/>
    <row r="934" hidden="1"/>
    <row r="935">
      <c r="A935">
        <v>106.75</v>
      </c>
    </row>
    <row r="936" hidden="1"/>
    <row r="937" hidden="1"/>
    <row r="938" hidden="1"/>
    <row r="939">
      <c r="A939">
        <v>91.5</v>
      </c>
    </row>
    <row r="940" hidden="1"/>
    <row r="941" hidden="1"/>
    <row r="942" hidden="1"/>
    <row r="943">
      <c r="A943">
        <v>1515.0</v>
      </c>
    </row>
    <row r="944">
      <c r="A944">
        <v>0.0</v>
      </c>
    </row>
    <row r="945" hidden="1"/>
    <row r="946">
      <c r="A946">
        <v>28.8</v>
      </c>
    </row>
    <row r="947" hidden="1"/>
    <row r="948" hidden="1"/>
    <row r="949" hidden="1"/>
    <row r="950" hidden="1"/>
    <row r="951">
      <c r="A951">
        <v>40.0</v>
      </c>
    </row>
    <row r="952" hidden="1"/>
    <row r="953" hidden="1"/>
    <row r="954" hidden="1"/>
    <row r="955">
      <c r="A955">
        <v>178.75</v>
      </c>
    </row>
    <row r="956" hidden="1"/>
    <row r="957" hidden="1"/>
    <row r="958" hidden="1"/>
    <row r="959">
      <c r="A959">
        <v>0.0</v>
      </c>
    </row>
    <row r="960">
      <c r="A960">
        <v>127.0</v>
      </c>
    </row>
    <row r="961" hidden="1"/>
    <row r="962">
      <c r="A962">
        <v>337.6</v>
      </c>
    </row>
    <row r="963" hidden="1"/>
    <row r="964" hidden="1"/>
    <row r="965" hidden="1"/>
    <row r="966" hidden="1"/>
    <row r="967">
      <c r="A967">
        <v>722.0</v>
      </c>
    </row>
    <row r="968" hidden="1"/>
    <row r="969" hidden="1"/>
    <row r="970" hidden="1"/>
    <row r="971">
      <c r="A971">
        <v>630.5</v>
      </c>
    </row>
    <row r="972" hidden="1"/>
    <row r="973" hidden="1"/>
    <row r="974" hidden="1"/>
    <row r="975">
      <c r="A975">
        <v>0.0</v>
      </c>
    </row>
    <row r="976">
      <c r="A976">
        <v>653.0</v>
      </c>
    </row>
    <row r="977" hidden="1"/>
    <row r="978">
      <c r="A978">
        <v>332.8</v>
      </c>
    </row>
    <row r="979" hidden="1"/>
    <row r="980" hidden="1"/>
    <row r="981" hidden="1"/>
    <row r="982" hidden="1"/>
    <row r="983">
      <c r="A983">
        <v>320.0</v>
      </c>
    </row>
    <row r="984" hidden="1"/>
    <row r="985" hidden="1"/>
    <row r="986" hidden="1"/>
    <row r="987">
      <c r="A987">
        <v>980.75</v>
      </c>
    </row>
    <row r="988" hidden="1"/>
    <row r="989" hidden="1"/>
    <row r="990" hidden="1"/>
    <row r="991">
      <c r="A991">
        <v>531.0</v>
      </c>
    </row>
    <row r="992">
      <c r="A992">
        <v>659.3333333333334</v>
      </c>
    </row>
    <row r="993" hidden="1"/>
    <row r="994">
      <c r="A994">
        <v>212.4</v>
      </c>
    </row>
    <row r="995" hidden="1"/>
    <row r="996" hidden="1"/>
    <row r="997" hidden="1"/>
    <row r="998" hidden="1"/>
    <row r="999">
      <c r="A999">
        <v>555.0</v>
      </c>
    </row>
    <row r="1000" hidden="1"/>
    <row r="1001" hidden="1"/>
    <row r="1002" hidden="1"/>
    <row r="1003">
      <c r="A1003">
        <v>191.0</v>
      </c>
    </row>
    <row r="1004" hidden="1"/>
    <row r="1005" hidden="1"/>
    <row r="1006" hidden="1"/>
    <row r="1007">
      <c r="A1007">
        <v>311.0</v>
      </c>
    </row>
    <row r="1008">
      <c r="A1008">
        <v>0.0</v>
      </c>
    </row>
    <row r="1009" hidden="1"/>
    <row r="1010">
      <c r="A1010">
        <v>108.0</v>
      </c>
    </row>
    <row r="1011" hidden="1"/>
    <row r="1012" hidden="1"/>
    <row r="1013" hidden="1"/>
    <row r="1014" hidden="1"/>
    <row r="1015">
      <c r="A1015">
        <v>154.0</v>
      </c>
    </row>
    <row r="1016" hidden="1"/>
    <row r="1017" hidden="1"/>
    <row r="1018" hidden="1"/>
    <row r="1019">
      <c r="A1019">
        <v>64.0</v>
      </c>
    </row>
    <row r="1020" hidden="1"/>
    <row r="1021" hidden="1"/>
    <row r="1022" hidden="1"/>
    <row r="1023">
      <c r="A1023">
        <v>0.0</v>
      </c>
    </row>
    <row r="1024">
      <c r="A1024">
        <v>63.0</v>
      </c>
    </row>
    <row r="1025" hidden="1"/>
    <row r="1026">
      <c r="A1026">
        <v>136.0</v>
      </c>
    </row>
    <row r="1027" hidden="1"/>
    <row r="1028" hidden="1"/>
    <row r="1029" hidden="1"/>
    <row r="1030" hidden="1"/>
    <row r="1031">
      <c r="A1031">
        <v>67.0</v>
      </c>
    </row>
    <row r="1032" hidden="1"/>
    <row r="1033" hidden="1"/>
    <row r="1034" hidden="1"/>
    <row r="1035">
      <c r="A1035">
        <v>199.5</v>
      </c>
    </row>
    <row r="1036" hidden="1"/>
    <row r="1037" hidden="1"/>
    <row r="1038" hidden="1"/>
    <row r="1039">
      <c r="A1039">
        <v>0.0</v>
      </c>
    </row>
    <row r="1040">
      <c r="A1040">
        <v>178.0</v>
      </c>
    </row>
    <row r="1041" hidden="1"/>
    <row r="1042">
      <c r="A1042">
        <v>302.4</v>
      </c>
    </row>
    <row r="1043" hidden="1"/>
    <row r="1044" hidden="1"/>
    <row r="1045" hidden="1"/>
    <row r="1046" hidden="1"/>
    <row r="1047">
      <c r="A1047">
        <v>280.0</v>
      </c>
    </row>
    <row r="1048" hidden="1"/>
    <row r="1049" hidden="1"/>
    <row r="1050" hidden="1"/>
    <row r="1051">
      <c r="A1051">
        <v>433.5</v>
      </c>
    </row>
    <row r="1052" hidden="1"/>
    <row r="1053" hidden="1"/>
    <row r="1054" hidden="1"/>
    <row r="1055">
      <c r="A1055">
        <v>448.0</v>
      </c>
    </row>
    <row r="1056">
      <c r="A1056">
        <v>0.0</v>
      </c>
    </row>
    <row r="1057" hidden="1"/>
    <row r="1058">
      <c r="A1058">
        <v>431.6</v>
      </c>
    </row>
    <row r="1059" hidden="1"/>
    <row r="1060" hidden="1"/>
    <row r="1061" hidden="1"/>
    <row r="1062" hidden="1"/>
    <row r="1063">
      <c r="A1063">
        <v>1037.0</v>
      </c>
    </row>
    <row r="1064" hidden="1"/>
    <row r="1065" hidden="1"/>
    <row r="1066" hidden="1"/>
    <row r="1067">
      <c r="A1067">
        <v>286.0</v>
      </c>
    </row>
    <row r="1068" hidden="1"/>
    <row r="1069" hidden="1"/>
    <row r="1070" hidden="1"/>
    <row r="1071">
      <c r="A1071">
        <v>403.0</v>
      </c>
    </row>
    <row r="1072">
      <c r="A1072">
        <v>308.6666666666667</v>
      </c>
    </row>
    <row r="1073" hidden="1"/>
    <row r="1074">
      <c r="A1074">
        <v>424.0</v>
      </c>
    </row>
    <row r="1075" hidden="1"/>
    <row r="1076" hidden="1"/>
    <row r="1077" hidden="1"/>
    <row r="1078" hidden="1"/>
    <row r="1079">
      <c r="A1079">
        <v>340.75</v>
      </c>
    </row>
    <row r="1080" hidden="1"/>
    <row r="1081" hidden="1"/>
    <row r="1082" hidden="1"/>
    <row r="1083">
      <c r="A1083">
        <v>1497.75</v>
      </c>
    </row>
    <row r="1084" hidden="1"/>
    <row r="1085" hidden="1"/>
    <row r="1086" hidden="1"/>
    <row r="1087">
      <c r="A1087">
        <v>1939.0</v>
      </c>
    </row>
    <row r="1088">
      <c r="A1088">
        <v>32.666666666666664</v>
      </c>
    </row>
    <row r="1089" hidden="1"/>
    <row r="1090">
      <c r="A1090">
        <v>77.2</v>
      </c>
    </row>
    <row r="1091" hidden="1"/>
    <row r="1092" hidden="1"/>
    <row r="1093" hidden="1"/>
    <row r="1094" hidden="1"/>
    <row r="1095">
      <c r="A1095">
        <v>120.75</v>
      </c>
    </row>
    <row r="1096" hidden="1"/>
    <row r="1097" hidden="1"/>
    <row r="1098" hidden="1"/>
    <row r="1099">
      <c r="A1099">
        <v>88.75</v>
      </c>
    </row>
    <row r="1100" hidden="1"/>
    <row r="1101" hidden="1"/>
    <row r="1102" hidden="1"/>
    <row r="1103">
      <c r="A1103">
        <v>55.0</v>
      </c>
    </row>
    <row r="1104">
      <c r="A1104">
        <v>0.0</v>
      </c>
    </row>
    <row r="1105" hidden="1"/>
    <row r="1106">
      <c r="A1106">
        <v>54.4</v>
      </c>
    </row>
    <row r="1107" hidden="1"/>
    <row r="1108" hidden="1"/>
    <row r="1109" hidden="1"/>
    <row r="1110" hidden="1"/>
    <row r="1111">
      <c r="A1111">
        <v>19.5</v>
      </c>
    </row>
    <row r="1112" hidden="1"/>
    <row r="1113" hidden="1"/>
    <row r="1114" hidden="1"/>
    <row r="1115">
      <c r="A1115">
        <v>0.0</v>
      </c>
    </row>
    <row r="1116" hidden="1"/>
    <row r="1117" hidden="1"/>
    <row r="1118" hidden="1"/>
    <row r="1119">
      <c r="A1119">
        <v>0.0</v>
      </c>
    </row>
    <row r="1120">
      <c r="A1120">
        <v>31.333333333333332</v>
      </c>
    </row>
    <row r="1121" hidden="1"/>
    <row r="1122">
      <c r="A1122">
        <v>329.6</v>
      </c>
    </row>
    <row r="1123" hidden="1"/>
    <row r="1124" hidden="1"/>
    <row r="1125" hidden="1"/>
    <row r="1126" hidden="1"/>
    <row r="1127">
      <c r="A1127">
        <v>257.0</v>
      </c>
    </row>
    <row r="1128" hidden="1"/>
    <row r="1129" hidden="1"/>
    <row r="1130" hidden="1"/>
    <row r="1131">
      <c r="A1131">
        <v>677.0</v>
      </c>
    </row>
    <row r="1132" hidden="1"/>
    <row r="1133" hidden="1"/>
    <row r="1134" hidden="1"/>
    <row r="1135">
      <c r="A1135">
        <v>610.0</v>
      </c>
    </row>
    <row r="1136">
      <c r="A1136">
        <v>438.6666666666667</v>
      </c>
    </row>
    <row r="1137" hidden="1"/>
    <row r="1138">
      <c r="A1138">
        <v>95.2</v>
      </c>
    </row>
    <row r="1139" hidden="1"/>
    <row r="1140" hidden="1"/>
    <row r="1141" hidden="1"/>
    <row r="1142" hidden="1"/>
    <row r="1143">
      <c r="A1143">
        <v>205.0</v>
      </c>
    </row>
    <row r="1144" hidden="1"/>
    <row r="1145" hidden="1"/>
    <row r="1146" hidden="1"/>
    <row r="1147">
      <c r="A1147">
        <v>11.0</v>
      </c>
    </row>
    <row r="1148" hidden="1"/>
    <row r="1149" hidden="1"/>
    <row r="1150" hidden="1"/>
    <row r="1151">
      <c r="A1151">
        <v>0.0</v>
      </c>
    </row>
    <row r="1152">
      <c r="A1152">
        <v>1892.0</v>
      </c>
    </row>
    <row r="1153" hidden="1"/>
    <row r="1154">
      <c r="A1154">
        <v>142.4</v>
      </c>
    </row>
    <row r="1155" hidden="1"/>
    <row r="1156" hidden="1"/>
    <row r="1157" hidden="1"/>
    <row r="1158" hidden="1"/>
    <row r="1159">
      <c r="A1159">
        <v>261.0</v>
      </c>
    </row>
    <row r="1160" hidden="1"/>
    <row r="1161" hidden="1"/>
    <row r="1162" hidden="1"/>
    <row r="1163">
      <c r="A1163">
        <v>162.5</v>
      </c>
    </row>
    <row r="1164" hidden="1"/>
    <row r="1165" hidden="1"/>
    <row r="1166" hidden="1"/>
    <row r="1167">
      <c r="A1167">
        <v>0.0</v>
      </c>
    </row>
    <row r="1168">
      <c r="A1168">
        <v>0.0</v>
      </c>
    </row>
    <row r="1169" hidden="1"/>
    <row r="1170">
      <c r="A1170">
        <v>178.8</v>
      </c>
    </row>
    <row r="1171" hidden="1"/>
    <row r="1172" hidden="1"/>
    <row r="1173" hidden="1"/>
    <row r="1174" hidden="1"/>
    <row r="1175">
      <c r="A1175">
        <v>248.0</v>
      </c>
    </row>
    <row r="1176" hidden="1"/>
    <row r="1177" hidden="1"/>
    <row r="1178" hidden="1"/>
    <row r="1179">
      <c r="A1179">
        <v>130.5</v>
      </c>
    </row>
    <row r="1180" hidden="1"/>
    <row r="1181" hidden="1"/>
    <row r="1182" hidden="1"/>
    <row r="1183">
      <c r="A1183">
        <v>436.0</v>
      </c>
    </row>
    <row r="1184">
      <c r="A1184">
        <v>322.3333333333333</v>
      </c>
    </row>
    <row r="1185" hidden="1"/>
    <row r="1186">
      <c r="A1186">
        <v>322.0</v>
      </c>
    </row>
    <row r="1187" hidden="1"/>
    <row r="1188" hidden="1"/>
    <row r="1189" hidden="1"/>
    <row r="1190" hidden="1"/>
    <row r="1191">
      <c r="A1191">
        <v>1741.5</v>
      </c>
    </row>
    <row r="1192" hidden="1"/>
    <row r="1193" hidden="1"/>
    <row r="1194" hidden="1"/>
    <row r="1195">
      <c r="A1195">
        <v>539.75</v>
      </c>
    </row>
    <row r="1196" hidden="1"/>
    <row r="1197" hidden="1"/>
    <row r="1198" hidden="1"/>
    <row r="1199">
      <c r="A1199">
        <v>301.0</v>
      </c>
    </row>
    <row r="1200">
      <c r="A1200">
        <v>217.66666666666666</v>
      </c>
    </row>
    <row r="1201" hidden="1"/>
    <row r="1202">
      <c r="A1202">
        <v>56.8</v>
      </c>
    </row>
    <row r="1203" hidden="1"/>
    <row r="1204" hidden="1"/>
    <row r="1205" hidden="1"/>
    <row r="1206" hidden="1"/>
    <row r="1207">
      <c r="A1207">
        <v>170.0</v>
      </c>
    </row>
    <row r="1208" hidden="1"/>
    <row r="1209" hidden="1"/>
    <row r="1210" hidden="1"/>
    <row r="1211">
      <c r="A1211">
        <v>103.25</v>
      </c>
    </row>
    <row r="1212" hidden="1"/>
    <row r="1213" hidden="1"/>
    <row r="1214" hidden="1"/>
    <row r="1215">
      <c r="A1215">
        <v>0.0</v>
      </c>
    </row>
    <row r="1216">
      <c r="A1216">
        <v>194.33333333333334</v>
      </c>
    </row>
    <row r="1217" hidden="1"/>
    <row r="1218">
      <c r="A1218">
        <v>216.8</v>
      </c>
    </row>
    <row r="1219" hidden="1"/>
    <row r="1220" hidden="1"/>
    <row r="1221" hidden="1"/>
    <row r="1222" hidden="1"/>
    <row r="1223">
      <c r="A1223">
        <v>272.0</v>
      </c>
    </row>
    <row r="1224" hidden="1"/>
    <row r="1225" hidden="1"/>
    <row r="1226" hidden="1"/>
    <row r="1227">
      <c r="A1227">
        <v>336.25</v>
      </c>
    </row>
    <row r="1228" hidden="1"/>
    <row r="1229" hidden="1"/>
    <row r="1230" hidden="1"/>
    <row r="1231">
      <c r="A1231">
        <v>511.0</v>
      </c>
    </row>
    <row r="1232">
      <c r="A1232">
        <v>87.66666666666667</v>
      </c>
    </row>
    <row r="1233" hidden="1"/>
    <row r="1234">
      <c r="A1234">
        <v>476.8</v>
      </c>
    </row>
    <row r="1235" hidden="1"/>
    <row r="1236" hidden="1"/>
    <row r="1237" hidden="1"/>
    <row r="1238" hidden="1"/>
    <row r="1239">
      <c r="A1239">
        <v>1795.0</v>
      </c>
    </row>
    <row r="1240" hidden="1"/>
    <row r="1241" hidden="1"/>
    <row r="1242" hidden="1"/>
    <row r="1243">
      <c r="A1243">
        <v>3843.75</v>
      </c>
    </row>
    <row r="1244" hidden="1"/>
    <row r="1245" hidden="1"/>
    <row r="1246" hidden="1"/>
    <row r="1247">
      <c r="A1247">
        <v>0.0</v>
      </c>
    </row>
    <row r="1248">
      <c r="A1248">
        <v>0.0</v>
      </c>
    </row>
    <row r="1249" hidden="1"/>
    <row r="1250">
      <c r="A1250">
        <v>256.0</v>
      </c>
    </row>
    <row r="1251" hidden="1"/>
    <row r="1252" hidden="1"/>
    <row r="1253" hidden="1"/>
    <row r="1254" hidden="1"/>
    <row r="1255">
      <c r="A1255">
        <v>0.0</v>
      </c>
    </row>
    <row r="1256" hidden="1"/>
    <row r="1257" hidden="1"/>
    <row r="1258" hidden="1"/>
    <row r="1259">
      <c r="A1259">
        <v>0.0</v>
      </c>
    </row>
    <row r="1260" hidden="1"/>
    <row r="1261" hidden="1"/>
    <row r="1262" hidden="1"/>
    <row r="1263">
      <c r="A1263">
        <v>130.0</v>
      </c>
    </row>
    <row r="1264">
      <c r="A1264">
        <v>43.333333333333336</v>
      </c>
    </row>
    <row r="1265" hidden="1"/>
    <row r="1266">
      <c r="A1266">
        <v>378.4</v>
      </c>
    </row>
    <row r="1267" hidden="1"/>
    <row r="1268" hidden="1"/>
    <row r="1269" hidden="1"/>
    <row r="1270" hidden="1"/>
    <row r="1271">
      <c r="A1271">
        <v>645.5</v>
      </c>
    </row>
    <row r="1272" hidden="1"/>
    <row r="1273" hidden="1"/>
    <row r="1274" hidden="1"/>
    <row r="1275">
      <c r="A1275">
        <v>394.0</v>
      </c>
    </row>
    <row r="1276" hidden="1"/>
    <row r="1277" hidden="1"/>
    <row r="1278" hidden="1"/>
    <row r="1279">
      <c r="A1279">
        <v>184.0</v>
      </c>
    </row>
    <row r="1280">
      <c r="A1280">
        <v>116.0</v>
      </c>
    </row>
    <row r="1281" hidden="1"/>
    <row r="1282">
      <c r="A1282">
        <v>186.0</v>
      </c>
    </row>
    <row r="1283" hidden="1"/>
    <row r="1284" hidden="1"/>
    <row r="1285" hidden="1"/>
    <row r="1286" hidden="1"/>
    <row r="1287">
      <c r="A1287">
        <v>78.0</v>
      </c>
    </row>
    <row r="1288" hidden="1"/>
    <row r="1289" hidden="1"/>
    <row r="1290" hidden="1"/>
    <row r="1291">
      <c r="A1291">
        <v>367.75</v>
      </c>
    </row>
    <row r="1292" hidden="1"/>
    <row r="1293" hidden="1"/>
    <row r="1294" hidden="1"/>
    <row r="1295">
      <c r="A1295">
        <v>1037.0</v>
      </c>
    </row>
    <row r="1296">
      <c r="A1296">
        <v>458.5</v>
      </c>
    </row>
    <row r="1297" hidden="1"/>
  </sheetData>
  <autoFilter ref="$A$1:$A$1297">
    <filterColumn colId="0">
      <filters>
        <filter val="258.4"/>
        <filter val="838.5"/>
        <filter val="212.8"/>
        <filter val="273.6"/>
        <filter val="212.4"/>
        <filter val="308.6666667"/>
        <filter val="628.75"/>
        <filter val="352"/>
        <filter val="45.8"/>
        <filter val="114.4"/>
        <filter val="235"/>
        <filter val="887.2"/>
        <filter val="2543"/>
        <filter val="116"/>
        <filter val="2411.75"/>
        <filter val="118"/>
        <filter val="175.6"/>
        <filter val="382.5"/>
        <filter val="11"/>
        <filter val="3092"/>
        <filter val="671.25"/>
        <filter val="15"/>
        <filter val="103.25"/>
        <filter val="269.5"/>
        <filter val="1347.6"/>
        <filter val="360"/>
        <filter val="361"/>
        <filter val="431.6"/>
        <filter val="645.5"/>
        <filter val="0"/>
        <filter val="484"/>
        <filter val="1106"/>
        <filter val="123"/>
        <filter val="332.25"/>
        <filter val="405.6"/>
        <filter val="245"/>
        <filter val="405.5"/>
        <filter val="102.5"/>
        <filter val="56.8"/>
        <filter val="1460.8"/>
        <filter val="2312"/>
        <filter val="1465"/>
        <filter val="247"/>
        <filter val="127"/>
        <filter val="248"/>
        <filter val="128"/>
        <filter val="8"/>
        <filter val="186.5"/>
        <filter val="140.8"/>
        <filter val="418.25"/>
        <filter val="717.2"/>
        <filter val="21"/>
        <filter val="807"/>
        <filter val="28"/>
        <filter val="217.6666667"/>
        <filter val="400.25"/>
        <filter val="1360"/>
        <filter val="250"/>
        <filter val="371"/>
        <filter val="130"/>
        <filter val="252"/>
        <filter val="183.25"/>
        <filter val="115.2"/>
        <filter val="495"/>
        <filter val="21.5"/>
        <filter val="1479"/>
        <filter val="134"/>
        <filter val="256"/>
        <filter val="136"/>
        <filter val="257"/>
        <filter val="1113"/>
        <filter val="199.5"/>
        <filter val="259"/>
        <filter val="138"/>
        <filter val="199.2"/>
        <filter val="788.5"/>
        <filter val="32"/>
        <filter val="130.5"/>
        <filter val="322.3333333"/>
        <filter val="35"/>
        <filter val="423.75"/>
        <filter val="496.75"/>
        <filter val="682.5"/>
        <filter val="247.5"/>
        <filter val="1300.4"/>
        <filter val="201.6"/>
        <filter val="261"/>
        <filter val="262"/>
        <filter val="106.75"/>
        <filter val="385"/>
        <filter val="909.5"/>
        <filter val="78.5"/>
        <filter val="144"/>
        <filter val="1796.8"/>
        <filter val="87.66666667"/>
        <filter val="267"/>
        <filter val="561.5"/>
        <filter val="434.75"/>
        <filter val="268"/>
        <filter val="148"/>
        <filter val="429.5"/>
        <filter val="194.3333333"/>
        <filter val="458.25"/>
        <filter val="705"/>
        <filter val="40"/>
        <filter val="41"/>
        <filter val="32.8"/>
        <filter val="45"/>
        <filter val="31.33333333"/>
        <filter val="1353.5"/>
        <filter val="48"/>
        <filter val="49"/>
        <filter val="28.8"/>
        <filter val="1021"/>
        <filter val="120.75"/>
        <filter val="272"/>
        <filter val="394"/>
        <filter val="659.3333333"/>
        <filter val="2229"/>
        <filter val="154"/>
        <filter val="157"/>
        <filter val="980.75"/>
        <filter val="139.6"/>
        <filter val="361.2"/>
        <filter val="831"/>
        <filter val="1741.5"/>
        <filter val="1939"/>
        <filter val="50"/>
        <filter val="55"/>
        <filter val="309.8"/>
        <filter val="280"/>
        <filter val="160"/>
        <filter val="162"/>
        <filter val="433.5"/>
        <filter val="286"/>
        <filter val="1941"/>
        <filter val="168"/>
        <filter val="188.5"/>
        <filter val="336.25"/>
        <filter val="722"/>
        <filter val="844"/>
        <filter val="60"/>
        <filter val="848"/>
        <filter val="607"/>
        <filter val="63"/>
        <filter val="77.2"/>
        <filter val="54.4"/>
        <filter val="312.5"/>
        <filter val="64"/>
        <filter val="142.4"/>
        <filter val="510.75"/>
        <filter val="67"/>
        <filter val="367.75"/>
        <filter val="91.5"/>
        <filter val="91.2"/>
        <filter val="340.75"/>
        <filter val="3220"/>
        <filter val="170"/>
        <filter val="32.66666667"/>
        <filter val="253.5"/>
        <filter val="296"/>
        <filter val="178.8"/>
        <filter val="177"/>
        <filter val="178"/>
        <filter val="628.5"/>
        <filter val="1037"/>
        <filter val="731"/>
        <filter val="610"/>
        <filter val="974"/>
        <filter val="855"/>
        <filter val="72"/>
        <filter val="410.75"/>
        <filter val="155.2"/>
        <filter val="78"/>
        <filter val="249.6"/>
        <filter val="181"/>
        <filter val="184"/>
        <filter val="1550.75"/>
        <filter val="438.6666667"/>
        <filter val="186"/>
        <filter val="189.8"/>
        <filter val="38.2"/>
        <filter val="38.5"/>
        <filter val="351.2"/>
        <filter val="10286"/>
        <filter val="81"/>
        <filter val="189.2"/>
        <filter val="43.33333333"/>
        <filter val="190"/>
        <filter val="191"/>
        <filter val="3843.75"/>
        <filter val="192"/>
        <filter val="630.5"/>
        <filter val="539.75"/>
        <filter val="195"/>
        <filter val="340.5"/>
        <filter val="511"/>
        <filter val="118.5"/>
        <filter val="513"/>
        <filter val="92"/>
        <filter val="757"/>
        <filter val="94"/>
        <filter val="302.4"/>
        <filter val="1190"/>
        <filter val="259.75"/>
        <filter val="6022.6"/>
        <filter val="227.5"/>
        <filter val="7698.25"/>
        <filter val="458.5"/>
        <filter val="520"/>
        <filter val="216.8"/>
        <filter val="403"/>
        <filter val="525"/>
        <filter val="1042.4"/>
        <filter val="337.6"/>
        <filter val="399.25"/>
        <filter val="406"/>
        <filter val="528"/>
        <filter val="409"/>
        <filter val="232.8"/>
        <filter val="1149.6"/>
        <filter val="1088"/>
        <filter val="111.5"/>
        <filter val="652"/>
        <filter val="531"/>
        <filter val="653"/>
        <filter val="775"/>
        <filter val="538"/>
        <filter val="266.25"/>
        <filter val="28.75"/>
        <filter val="357.75"/>
        <filter val="25.5"/>
        <filter val="1515"/>
        <filter val="266.4"/>
        <filter val="1497.75"/>
        <filter val="780"/>
        <filter val="413.4"/>
        <filter val="399.5"/>
        <filter val="301"/>
        <filter val="424"/>
        <filter val="217.6"/>
        <filter val="1089.5"/>
        <filter val="735.5"/>
        <filter val="565.5"/>
        <filter val="1395.6"/>
        <filter val="1601.5"/>
        <filter val="208.75"/>
        <filter val="463.2"/>
        <filter val="279.6"/>
        <filter val="195.75"/>
        <filter val="109.5"/>
        <filter val="105.75"/>
        <filter val="2072"/>
        <filter val="463.5"/>
        <filter val="1014.5"/>
        <filter val="673"/>
        <filter val="311"/>
        <filter val="555"/>
        <filter val="677"/>
        <filter val="1892"/>
        <filter val="436"/>
        <filter val="316"/>
        <filter val="745.5"/>
        <filter val="100.75"/>
        <filter val="538.5"/>
        <filter val="88.75"/>
        <filter val="244.8"/>
        <filter val="328.5"/>
        <filter val="437.5"/>
        <filter val="267.2"/>
        <filter val="255.75"/>
        <filter val="320"/>
        <filter val="1546"/>
        <filter val="322"/>
        <filter val="203"/>
        <filter val="205"/>
        <filter val="719.5"/>
        <filter val="448"/>
        <filter val="129.25"/>
        <filter val="178.75"/>
        <filter val="1109.4"/>
        <filter val="441.6"/>
        <filter val="572"/>
        <filter val="210"/>
        <filter val="2404"/>
        <filter val="454"/>
        <filter val="212"/>
        <filter val="575"/>
        <filter val="6426.5"/>
        <filter val="696"/>
        <filter val="213"/>
        <filter val="3097.25"/>
        <filter val="1795"/>
        <filter val="197.6"/>
        <filter val="575.6"/>
        <filter val="537.6"/>
        <filter val="329.6"/>
        <filter val="476.8"/>
        <filter val="100"/>
        <filter val="342"/>
        <filter val="57.6"/>
        <filter val="378.4"/>
        <filter val="1444"/>
        <filter val="345"/>
        <filter val="587"/>
        <filter val="105"/>
        <filter val="2531"/>
        <filter val="19.5"/>
        <filter val="108"/>
        <filter val="332.8"/>
        <filter val="95.2"/>
        <filter val="4711"/>
        <filter val="355.5"/>
        <filter val="4960.6"/>
        <filter val="162.5"/>
      </filters>
    </filterColumn>
  </autoFilter>
  <drawing r:id="rId1"/>
</worksheet>
</file>