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896ABD8D-EA13-49B1-A92D-40F8ED4A4F37}" xr6:coauthVersionLast="47" xr6:coauthVersionMax="47" xr10:uidLastSave="{00000000-0000-0000-0000-000000000000}"/>
  <bookViews>
    <workbookView xWindow="-110" yWindow="-110" windowWidth="19420" windowHeight="10300" tabRatio="581" activeTab="5" xr2:uid="{00000000-000D-0000-FFFF-FFFF00000000}"/>
  </bookViews>
  <sheets>
    <sheet name="DATA" sheetId="8" r:id="rId1"/>
    <sheet name="DB" sheetId="30" state="hidden" r:id="rId2"/>
    <sheet name="ST" sheetId="2" r:id="rId3"/>
    <sheet name="SPD" sheetId="1" r:id="rId4"/>
    <sheet name="Kuitansi" sheetId="20" state="hidden" r:id="rId5"/>
    <sheet name="Kuitansi v2" sheetId="24" r:id="rId6"/>
    <sheet name="Rincian" sheetId="21" r:id="rId7"/>
    <sheet name="Riil" sheetId="22" r:id="rId8"/>
    <sheet name="Laporan" sheetId="23" state="hidden" r:id="rId9"/>
    <sheet name="Laporan v2" sheetId="28" r:id="rId10"/>
    <sheet name="&gt;8 Jam" sheetId="25" r:id="rId11"/>
    <sheet name="Kendaraan" sheetId="26" r:id="rId12"/>
    <sheet name="Hotel" sheetId="27" r:id="rId13"/>
    <sheet name="Keterlambatan" sheetId="29" r:id="rId14"/>
    <sheet name="dokumentasi" sheetId="15" r:id="rId15"/>
  </sheets>
  <definedNames>
    <definedName name="_Hlk168301166" localSheetId="13">Keterlambatan!$B$2</definedName>
    <definedName name="_xlnm.Print_Area" localSheetId="10">'&gt;8 Jam'!$A$1:$K$35</definedName>
    <definedName name="_xlnm.Print_Area" localSheetId="14">dokumentasi!$A$1:$A$48</definedName>
    <definedName name="_xlnm.Print_Area" localSheetId="12">Hotel!$B$1:$K$36</definedName>
    <definedName name="_xlnm.Print_Area" localSheetId="11">Kendaraan!$B$1:$K$35</definedName>
    <definedName name="_xlnm.Print_Area" localSheetId="13">Keterlambatan!$A$1:$J$37</definedName>
    <definedName name="_xlnm.Print_Area" localSheetId="4">Kuitansi!$B$2:$I$36</definedName>
    <definedName name="_xlnm.Print_Area" localSheetId="5">'Kuitansi v2'!$A$2:$K$47</definedName>
    <definedName name="_xlnm.Print_Area" localSheetId="9">'Laporan v2'!$B$1:$J$42</definedName>
    <definedName name="_xlnm.Print_Area" localSheetId="7">Riil!$B$2:$J$39</definedName>
    <definedName name="_xlnm.Print_Area" localSheetId="6">Rincian!$B$2:$M$48</definedName>
    <definedName name="_xlnm.Print_Area" localSheetId="3">SPD!$B$2:$L$38</definedName>
    <definedName name="_xlnm.Print_Area" localSheetId="2">ST!$B$2:$K$34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 i="21" l="1"/>
  <c r="F23" i="2"/>
  <c r="D23" i="8"/>
  <c r="B14" i="27"/>
  <c r="B13" i="26"/>
  <c r="E21" i="24"/>
  <c r="H24" i="24"/>
  <c r="E10" i="27" l="1"/>
  <c r="H30" i="24"/>
  <c r="G7" i="23"/>
  <c r="H14" i="21"/>
  <c r="G4" i="21"/>
  <c r="G5" i="21"/>
  <c r="D27" i="8"/>
  <c r="C28" i="20" s="1"/>
  <c r="B35" i="25" s="1"/>
  <c r="D24" i="8"/>
  <c r="E24" i="8" s="1"/>
  <c r="E17" i="24"/>
  <c r="E14" i="25"/>
  <c r="D50" i="8"/>
  <c r="D46" i="8"/>
  <c r="B47" i="24" s="1"/>
  <c r="C22" i="29"/>
  <c r="G16" i="28"/>
  <c r="G15" i="28"/>
  <c r="F15" i="28"/>
  <c r="E15" i="28"/>
  <c r="F16" i="28"/>
  <c r="E16" i="28"/>
  <c r="E18" i="28"/>
  <c r="E5" i="28"/>
  <c r="E22" i="28"/>
  <c r="C19" i="29" s="1"/>
  <c r="E20" i="28"/>
  <c r="G9" i="28"/>
  <c r="G14" i="28"/>
  <c r="H41" i="28"/>
  <c r="B42" i="28"/>
  <c r="B41" i="28"/>
  <c r="B38" i="28"/>
  <c r="E13" i="25"/>
  <c r="K15" i="21"/>
  <c r="K12" i="21"/>
  <c r="F14" i="20"/>
  <c r="C10" i="22" s="1"/>
  <c r="E8" i="27"/>
  <c r="D14" i="29" s="1"/>
  <c r="E8" i="26"/>
  <c r="E8" i="25"/>
  <c r="H37" i="24"/>
  <c r="B37" i="24"/>
  <c r="B46" i="24" s="1"/>
  <c r="H29" i="24"/>
  <c r="I6" i="24"/>
  <c r="I5" i="24"/>
  <c r="I3" i="24"/>
  <c r="E20" i="24"/>
  <c r="C27" i="20"/>
  <c r="B34" i="25" s="1"/>
  <c r="G27" i="20"/>
  <c r="D32" i="21" s="1"/>
  <c r="H41" i="23"/>
  <c r="H45" i="23"/>
  <c r="H44" i="23"/>
  <c r="G30" i="20"/>
  <c r="G35" i="20"/>
  <c r="E23" i="8" l="1"/>
  <c r="E22" i="8" s="1"/>
  <c r="J47" i="21"/>
  <c r="J48" i="21"/>
  <c r="B38" i="24"/>
  <c r="C21" i="29"/>
  <c r="G36" i="20"/>
  <c r="E10" i="25"/>
  <c r="E11" i="26"/>
  <c r="G11" i="28"/>
  <c r="E12" i="27"/>
  <c r="D16" i="29" s="1"/>
  <c r="E9" i="25"/>
  <c r="E9" i="26"/>
  <c r="H42" i="28"/>
  <c r="E9" i="27"/>
  <c r="D15" i="29" s="1"/>
  <c r="G10" i="28"/>
  <c r="E3" i="20"/>
  <c r="H19" i="20"/>
  <c r="D15" i="23"/>
  <c r="C35" i="23"/>
  <c r="C31" i="23"/>
  <c r="H28" i="20"/>
  <c r="H27" i="20"/>
  <c r="F13" i="20"/>
  <c r="D14" i="23" s="1"/>
  <c r="G10" i="21"/>
  <c r="G9" i="21"/>
  <c r="G8" i="21"/>
  <c r="F9" i="22"/>
  <c r="F8" i="22"/>
  <c r="F7" i="22"/>
  <c r="G37" i="22" s="1"/>
  <c r="B44" i="23" s="1"/>
  <c r="C37" i="22"/>
  <c r="D32" i="8" l="1"/>
  <c r="K14" i="21"/>
  <c r="I20" i="21"/>
  <c r="G29" i="22" s="1"/>
  <c r="H27" i="25"/>
  <c r="H30" i="27"/>
  <c r="G31" i="29" s="1"/>
  <c r="J33" i="21"/>
  <c r="G38" i="22" s="1"/>
  <c r="B45" i="23" s="1"/>
  <c r="H36" i="27"/>
  <c r="G37" i="29" s="1"/>
  <c r="H35" i="25"/>
  <c r="H35" i="26"/>
  <c r="J32" i="21"/>
  <c r="H35" i="27"/>
  <c r="G36" i="29" s="1"/>
  <c r="H34" i="25"/>
  <c r="H34" i="26"/>
  <c r="C38" i="22"/>
  <c r="I20" i="22"/>
  <c r="B40" i="23" l="1"/>
  <c r="H37" i="28"/>
  <c r="D34" i="8"/>
  <c r="K16" i="21"/>
  <c r="K17" i="21" s="1"/>
  <c r="C25" i="23"/>
  <c r="F10" i="20" l="1"/>
  <c r="C18" i="23"/>
  <c r="D35" i="8" l="1"/>
  <c r="F9" i="20" l="1"/>
  <c r="E13" i="24" s="1"/>
  <c r="H25" i="2"/>
  <c r="I23" i="21" l="1"/>
  <c r="D23" i="21" s="1"/>
  <c r="H37" i="21"/>
  <c r="H39" i="21" s="1"/>
  <c r="G7" i="1"/>
  <c r="H19" i="1"/>
  <c r="H18" i="1"/>
  <c r="F22" i="8"/>
  <c r="D22" i="8" s="1"/>
  <c r="E15" i="25" s="1"/>
  <c r="H9" i="1"/>
  <c r="H8" i="1"/>
  <c r="H29" i="2"/>
  <c r="C24" i="2"/>
  <c r="G11" i="1"/>
  <c r="H17" i="1" l="1"/>
  <c r="F22" i="2"/>
  <c r="F20" i="2"/>
  <c r="C21" i="23" l="1"/>
  <c r="G11" i="21"/>
  <c r="G14" i="21" s="1"/>
  <c r="A1" i="15"/>
  <c r="I38" i="1" l="1"/>
  <c r="E33" i="8" l="1"/>
  <c r="F33" i="8" s="1"/>
  <c r="E31" i="8"/>
  <c r="F31" i="8" s="1"/>
  <c r="E34" i="8" l="1"/>
  <c r="F34" i="8" s="1"/>
  <c r="E32" i="8" l="1"/>
  <c r="F32" i="8" s="1"/>
  <c r="I33" i="1" l="1"/>
  <c r="G27" i="1"/>
  <c r="G26" i="1"/>
  <c r="H16" i="1"/>
  <c r="H15" i="1"/>
  <c r="G14" i="1"/>
  <c r="G6" i="1"/>
  <c r="I37" i="1" s="1"/>
  <c r="K4" i="1"/>
  <c r="C8" i="2"/>
  <c r="E35" i="8"/>
  <c r="F35" i="8" s="1"/>
  <c r="F16" i="20" l="1"/>
  <c r="I30" i="1"/>
  <c r="D18" i="21" l="1"/>
  <c r="E14" i="24"/>
  <c r="H38" i="24"/>
  <c r="G28" i="20"/>
  <c r="D33" i="21" s="1"/>
</calcChain>
</file>

<file path=xl/sharedStrings.xml><?xml version="1.0" encoding="utf-8"?>
<sst xmlns="http://schemas.openxmlformats.org/spreadsheetml/2006/main" count="653" uniqueCount="392">
  <si>
    <t>BADAN PUSAT STATISTIK</t>
  </si>
  <si>
    <t>SURAT TUGAS</t>
  </si>
  <si>
    <t xml:space="preserve">Nama </t>
  </si>
  <si>
    <t>:</t>
  </si>
  <si>
    <t>Tujuan Tugas</t>
  </si>
  <si>
    <t>Waktu Pelaksanaan</t>
  </si>
  <si>
    <t>Pembebanan</t>
  </si>
  <si>
    <t xml:space="preserve">Jl. Pangeran Diponegoro, Puruk Cahu 73911 (Komplek Kantor Pemda) </t>
  </si>
  <si>
    <t>Telp. : (0528) 3033022, Website: http://murakab.bps.go.id   E-mail:bps6213@bps.go.id</t>
  </si>
  <si>
    <t xml:space="preserve">BADAN PUSAT STATISTIK </t>
  </si>
  <si>
    <t>SURAT PERJALANAN DINAS</t>
  </si>
  <si>
    <t>Pejabat Pembuat Komitmen</t>
  </si>
  <si>
    <t>Nama/NIP Pegawai yang melaksanakan perjalanan dinas</t>
  </si>
  <si>
    <t>a. Pangkat dan Golongan</t>
  </si>
  <si>
    <t>b. Jabatan/Instansi</t>
  </si>
  <si>
    <t>c. Tingkat Biaya PerjalananDinas</t>
  </si>
  <si>
    <t>Maksud Perjalanan Dinas</t>
  </si>
  <si>
    <t>Alat angkutan yang dipergunakan</t>
  </si>
  <si>
    <t>a. Tempat Berangkat</t>
  </si>
  <si>
    <t>b. Tempat Tujuan</t>
  </si>
  <si>
    <t>a. Lamanya Perjalanan Dinas</t>
  </si>
  <si>
    <t>b. Tanggal Berangkat</t>
  </si>
  <si>
    <t>c. Tanggal harus kembali/Tiba di tempat baru</t>
  </si>
  <si>
    <t>Pengikut :</t>
  </si>
  <si>
    <t>Umur</t>
  </si>
  <si>
    <t>Hubungan keluarga</t>
  </si>
  <si>
    <t>Keterangan</t>
  </si>
  <si>
    <t>1.</t>
  </si>
  <si>
    <t>2.</t>
  </si>
  <si>
    <t>Pembebanan anggaran :</t>
  </si>
  <si>
    <t>a. Instansi</t>
  </si>
  <si>
    <t>b. Kegiatan / Mata Anggaran Kegiatan (MAK)</t>
  </si>
  <si>
    <t>Keterangan Lain-Lain</t>
  </si>
  <si>
    <t>BPS Kabupaten Murung Raya</t>
  </si>
  <si>
    <t xml:space="preserve">Nomor </t>
  </si>
  <si>
    <t>Lembar</t>
  </si>
  <si>
    <t>a.</t>
  </si>
  <si>
    <t>b.</t>
  </si>
  <si>
    <t>c.</t>
  </si>
  <si>
    <t>Sudah terima dari</t>
  </si>
  <si>
    <t>Terbilang</t>
  </si>
  <si>
    <t>Tanggal</t>
  </si>
  <si>
    <t>Nomor</t>
  </si>
  <si>
    <t>No</t>
  </si>
  <si>
    <t>Jumlah</t>
  </si>
  <si>
    <t>JUMLAH</t>
  </si>
  <si>
    <t>PERHITUNGAN SPD RAMPUNG</t>
  </si>
  <si>
    <t>Uang Penginapan</t>
  </si>
  <si>
    <t xml:space="preserve"> </t>
  </si>
  <si>
    <t>DAFTAR PENGELUARAN RIIL</t>
  </si>
  <si>
    <t>Kepada Yth.</t>
  </si>
  <si>
    <t>Kepala BPS Kabupaten Murung Raya</t>
  </si>
  <si>
    <t xml:space="preserve">Dari </t>
  </si>
  <si>
    <t>Unit Kerja</t>
  </si>
  <si>
    <t>LAPORAN PERJALANAN DINAS</t>
  </si>
  <si>
    <t>Demikian laporan ini saya sampaikan, atas perhatian dan kerjasamanya disampaikan terimakasih.</t>
  </si>
  <si>
    <t>DASAR</t>
  </si>
  <si>
    <t>I.</t>
  </si>
  <si>
    <t>MAKSUD DAN TUJUAN</t>
  </si>
  <si>
    <t>II.</t>
  </si>
  <si>
    <t>WAKTU DAN TEMPAT PELAKSANAAN</t>
  </si>
  <si>
    <t>III.</t>
  </si>
  <si>
    <t>KENDALA/HAMBATAN YANG DIHADAPI DAN SOLUSI UNTUK MENGATASI PERMASALAHAN</t>
  </si>
  <si>
    <t>V.</t>
  </si>
  <si>
    <t>HASIL YANG DIPEROLEH</t>
  </si>
  <si>
    <t>IV.</t>
  </si>
  <si>
    <t xml:space="preserve">: </t>
  </si>
  <si>
    <t>Surat Tugas</t>
  </si>
  <si>
    <t>Jabatan Penandatangan</t>
  </si>
  <si>
    <t>Nama Pegawai Perjadin</t>
  </si>
  <si>
    <t>Jabatan Pegawai</t>
  </si>
  <si>
    <t>SPD</t>
  </si>
  <si>
    <t>Penandatangan SPD</t>
  </si>
  <si>
    <t>Penandatangan ST</t>
  </si>
  <si>
    <t>Angkutan</t>
  </si>
  <si>
    <t>Lamanya</t>
  </si>
  <si>
    <t>Tgl Berangkat</t>
  </si>
  <si>
    <t>Tgl Kembali</t>
  </si>
  <si>
    <t>Tempat Berangkat</t>
  </si>
  <si>
    <t>Kuitansi</t>
  </si>
  <si>
    <t>Nilai Total</t>
  </si>
  <si>
    <t>NIP Penandatangan</t>
  </si>
  <si>
    <t>NIP Pegawai</t>
  </si>
  <si>
    <t>Transport</t>
  </si>
  <si>
    <t>Pengeluaran Riil</t>
  </si>
  <si>
    <t>Laporan</t>
  </si>
  <si>
    <t>Hasil yang diperoleh</t>
  </si>
  <si>
    <t>Kendala</t>
  </si>
  <si>
    <t>Tempat Tujuan</t>
  </si>
  <si>
    <t>Pangkat/Golongan</t>
  </si>
  <si>
    <t>C</t>
  </si>
  <si>
    <t>Dikeluarkan di : Puruk Cahu</t>
  </si>
  <si>
    <t>Rate UH</t>
  </si>
  <si>
    <t>UH</t>
  </si>
  <si>
    <t>Solusi</t>
  </si>
  <si>
    <t>Kendala :</t>
  </si>
  <si>
    <t>Solusi :</t>
  </si>
  <si>
    <t>Kuasa Pengguna Anggaran</t>
  </si>
  <si>
    <t>Kabupaten Murung Raya</t>
  </si>
  <si>
    <t>Menimbang</t>
  </si>
  <si>
    <t>Berdasarkan Peraturan Gubernur Provinsi Kalimantan Tengah Nomor 188.44/94/2020 Tahun 2020 tentang Pembatasan Kegiatan Bepergian Keluar dan/atau Masuk Provinsi Kalimantan Tengah Dalam Upaya Pencegahan Penyebaran Corona Virus Disease 2019 (COVID-19);</t>
  </si>
  <si>
    <t>Bahwa berdasarkan pertimbangan tersebut di atas, perlu memberikan surat tugas kepada Pegawai Negeri Sipil yang namanya tercantum di bawah ini;</t>
  </si>
  <si>
    <t>Mengingat</t>
  </si>
  <si>
    <t>Undang-Undang Nomor 5 Tahun 2014 tentang Aparatur Sipil Negara;</t>
  </si>
  <si>
    <t>Peraturan Pemerintah Nomor 11 Tahun 2017 tentang Manajemen Pegawai Negeri Sipil sebagaimana telah diubah dengan Peraturan Pemerintah Nomor 17 Tahun 2020;</t>
  </si>
  <si>
    <t>3.</t>
  </si>
  <si>
    <t>4.</t>
  </si>
  <si>
    <t xml:space="preserve">5. </t>
  </si>
  <si>
    <t>Peraturan Pemerintah Nomor 21 Tahun 2020 tentang Pembatasan Sosial Berskala Besar Dalam Rangka Percepatan Penanganan Corona Virus Disease (COVID-19);</t>
  </si>
  <si>
    <t>Peraturan Menteri Kesehatan Nomor 9 Tahun 2020 tentang Pedoman Pembatasan Sosial Berskala Besar Dalam Rangka Percepatan Penanganan Corona Virus Disease (COVID-19);</t>
  </si>
  <si>
    <t>Peraturan Gubernur Provinsi Kalimantan Tengah Nomor 188.44/94/2020 Tahun 2020 tentang Pembatasan Kegiatan Bepergian Keluar dan/atau Masuk Provinsi Kalimantan Tengah Dalam Upaya Pencegahan Penyebaran Corona Virus Disease 2019 (COVID-19);</t>
  </si>
  <si>
    <t>Memberi Perintah :</t>
  </si>
  <si>
    <t>Kepada</t>
  </si>
  <si>
    <t>Untuk</t>
  </si>
  <si>
    <t xml:space="preserve">1. </t>
  </si>
  <si>
    <t xml:space="preserve">524113 (Belanja Perjalanan Dinas Dalam Kota) </t>
  </si>
  <si>
    <t>Badan Pusat Statistik Provinsi Kalimantan Tengah</t>
  </si>
  <si>
    <t>Jl. Kpt. Piere Tendean No.6 Palangka Raya</t>
  </si>
  <si>
    <t>PROVINSI KALIMANTAN TENGAH</t>
  </si>
  <si>
    <t>Pro/Keg/Output</t>
  </si>
  <si>
    <t>Dibukukan</t>
  </si>
  <si>
    <t>TA</t>
  </si>
  <si>
    <t>Tanggal  :</t>
  </si>
  <si>
    <t>Nomor   :</t>
  </si>
  <si>
    <t>Uang Sebanyak</t>
  </si>
  <si>
    <t>Untuk pembayaran</t>
  </si>
  <si>
    <t>Mengetahui :</t>
  </si>
  <si>
    <t>Lunas pada tanggal :</t>
  </si>
  <si>
    <t xml:space="preserve">An. Kuasa Pengguna Anggaran </t>
  </si>
  <si>
    <t>Bendahara Pengeluaran/PUMC</t>
  </si>
  <si>
    <t xml:space="preserve">BPS Kabupaten Murung Raya </t>
  </si>
  <si>
    <t>Yang menerima</t>
  </si>
  <si>
    <r>
      <t>BPS Kabupaten</t>
    </r>
    <r>
      <rPr>
        <sz val="10"/>
        <color rgb="FFFF0000"/>
        <rFont val="Times New Roman"/>
        <family val="1"/>
      </rPr>
      <t xml:space="preserve"> </t>
    </r>
    <r>
      <rPr>
        <sz val="10"/>
        <color theme="1"/>
        <rFont val="Times New Roman"/>
        <family val="1"/>
      </rPr>
      <t>Murung Raya</t>
    </r>
  </si>
  <si>
    <t>Barang/pekerjaan tersebut telah diterima/diselesaikan dengan lengkap dan baik</t>
  </si>
  <si>
    <t>PERINCIAN PERHITUNGAN BIAYA PERJALANAN DINAS</t>
  </si>
  <si>
    <t>Perincian Biaya</t>
  </si>
  <si>
    <t>a. Nama yang bertugas</t>
  </si>
  <si>
    <t>b. Pangkat/Gol</t>
  </si>
  <si>
    <t>c. Tujuan tugas</t>
  </si>
  <si>
    <t>d. Lamanya tugas</t>
  </si>
  <si>
    <t>Rp.</t>
  </si>
  <si>
    <t>Uang harian perjadin</t>
  </si>
  <si>
    <t>Pengeluaran Rill</t>
  </si>
  <si>
    <t>An. Kuasa Pengguna Anggaran</t>
  </si>
  <si>
    <t>Yang Menerima,</t>
  </si>
  <si>
    <t xml:space="preserve">Ditetapkan sejumlah </t>
  </si>
  <si>
    <t xml:space="preserve">Yang telah dibayar semula </t>
  </si>
  <si>
    <t>0,-</t>
  </si>
  <si>
    <t xml:space="preserve">Sisa kurang / lebih </t>
  </si>
  <si>
    <t>Yang bertanda tangan dibawah ini :</t>
  </si>
  <si>
    <t xml:space="preserve">NIP </t>
  </si>
  <si>
    <t xml:space="preserve">Jabatan </t>
  </si>
  <si>
    <t>URAIAN</t>
  </si>
  <si>
    <t>JUMLAH (Rp)</t>
  </si>
  <si>
    <t>Demikian pernyataan ini kami buat dengan sebenarnya, untuk dipergunakan sebagaimana mestinya .</t>
  </si>
  <si>
    <t>Mengetahui /Menyetujui</t>
  </si>
  <si>
    <t>Pejabat Negara/ Pegawai Negeri</t>
  </si>
  <si>
    <t>Yang melakukan Perjalanan Dinas</t>
  </si>
  <si>
    <t>2024</t>
  </si>
  <si>
    <t>19970409 202104 1 002</t>
  </si>
  <si>
    <t>Pranata Komputer Ahli Pertama</t>
  </si>
  <si>
    <t>Restu Kristianto, S.Pi.</t>
  </si>
  <si>
    <t>Penanggung Jawab Kegiatan</t>
  </si>
  <si>
    <t>NIK</t>
  </si>
  <si>
    <t>19780715 200212 1 006</t>
  </si>
  <si>
    <t>Jabatan</t>
  </si>
  <si>
    <t xml:space="preserve">Mengetahui, </t>
  </si>
  <si>
    <t>Bendahara</t>
  </si>
  <si>
    <t xml:space="preserve">K U I T A N S I </t>
  </si>
  <si>
    <t>Pejabat Pembuat Komitmen BPS Kabupaten Murung Raya</t>
  </si>
  <si>
    <t>Tahun Anggaran</t>
  </si>
  <si>
    <t>Nomor Bukti</t>
  </si>
  <si>
    <t>Akun</t>
  </si>
  <si>
    <t>Satker</t>
  </si>
  <si>
    <t xml:space="preserve">Kuitansi/Bukti Pembayaran </t>
  </si>
  <si>
    <t>Jumlah Uang</t>
  </si>
  <si>
    <t>Kuitansi Supplier</t>
  </si>
  <si>
    <t xml:space="preserve">Lunas dibayar, </t>
  </si>
  <si>
    <t>Bendahara Pengeluaran</t>
  </si>
  <si>
    <t>Pejabat yang bertanggungjawab</t>
  </si>
  <si>
    <t>Biaya transport pegawai dan/atau biaya penginapan dibawah ini yang tidak dapat diperoleh bukti-bukti pengeluarannya, meliputi:</t>
  </si>
  <si>
    <t>SURAT PERNYATAAN</t>
  </si>
  <si>
    <t>PERJALANAN DINAS DALAM KOTA LEBIH DARI 8 JAM</t>
  </si>
  <si>
    <t>Yang bertanda tangan di bawah ini :</t>
  </si>
  <si>
    <t>Nama</t>
  </si>
  <si>
    <t>NIP</t>
  </si>
  <si>
    <t>Dengan ini menyatakan bahwa perjalanan dinas dalam kota yang saya laksanakan sebagai berikut :</t>
  </si>
  <si>
    <t xml:space="preserve">c. </t>
  </si>
  <si>
    <t>Mengetahui,</t>
  </si>
  <si>
    <t>Pejabat Pembuat Komitmen,</t>
  </si>
  <si>
    <t>Pelaksana Perjalanan Dinas,</t>
  </si>
  <si>
    <t xml:space="preserve">SURAT PERNYATAAN </t>
  </si>
  <si>
    <t>TIDAK MENGGUNAKAN KENDARAAN DINAS</t>
  </si>
  <si>
    <t>Satuan Kerja</t>
  </si>
  <si>
    <t>TIDAK MENGINAP DI HOTEL ATAU DI PENYEDIA JASA AKOMODASI LAINNYA</t>
  </si>
  <si>
    <t>Yang bertanda tangan di bawah ini:</t>
  </si>
  <si>
    <t>Yang menyampaikan laporan</t>
  </si>
  <si>
    <t>KABUPATEN MURUNG RAYA</t>
  </si>
  <si>
    <t>&lt; ISIKAN RINCIAN PERJALANAN</t>
  </si>
  <si>
    <t>&lt; ISIKAN RINCIAN PENGELUARAN</t>
  </si>
  <si>
    <t>HANYA ISI JIKA MENGINAP BUKAN DI HOTEL</t>
  </si>
  <si>
    <t>HANYA ISI JIKA PERJADIN TIDAK MENGGUNAKAN KENDARAAN DINAS</t>
  </si>
  <si>
    <t>668650 - Badan Pusat Statistik Kabupaten Murung Raya</t>
  </si>
  <si>
    <t>Penginapan</t>
  </si>
  <si>
    <t>&lt; ISIKAN TUJUAN DAN NOMINAL TRANSPORT</t>
  </si>
  <si>
    <t>&lt; TRANSPORT LOKAL MASUK KE PENGELUARAN RIIL</t>
  </si>
  <si>
    <t>Pangkat</t>
  </si>
  <si>
    <t>Nomor Surat Tugas</t>
  </si>
  <si>
    <t>Nomor SPD</t>
  </si>
  <si>
    <t>Tujuan</t>
  </si>
  <si>
    <t>Adalah benar dilaksanakan lebih dari 8 jam.</t>
  </si>
  <si>
    <t>Demikian pernyataan ini dibuat dengan sebenar-benarnya, dan saya sanggup menerima konsekuensi jika pernyataan ini tidak benar.</t>
  </si>
  <si>
    <t>LAPORAN HASIL PERJALANAN DINAS</t>
  </si>
  <si>
    <t>Perihal</t>
  </si>
  <si>
    <t>Pelaksana Perjalanan</t>
  </si>
  <si>
    <t>Dasar Pelaksanaan</t>
  </si>
  <si>
    <t>Tujuan Perjalanan Dinas</t>
  </si>
  <si>
    <t>Daerah Tujuan/Instansi</t>
  </si>
  <si>
    <t>VI.</t>
  </si>
  <si>
    <t>VII.</t>
  </si>
  <si>
    <t>Kesimpulan Hasil Kegiatan</t>
  </si>
  <si>
    <t>Tindak Lanjut</t>
  </si>
  <si>
    <t>Demikian Laporan Perjalanan Dinas ini dibuat sebagai bahan Laporan.</t>
  </si>
  <si>
    <t>-</t>
  </si>
  <si>
    <t>Hal-hal yang perlu diperhatikan antara lain:</t>
  </si>
  <si>
    <t>TULISKAN LAPORAN DI SHEET LAPORAN v2</t>
  </si>
  <si>
    <t>nama kegiatan</t>
  </si>
  <si>
    <t>deskripsi kegiatan</t>
  </si>
  <si>
    <t>Pelaksana Perjalanan Dinas</t>
  </si>
  <si>
    <t xml:space="preserve"> Dokumentasi Saat Perjalanan</t>
  </si>
  <si>
    <t xml:space="preserve"> Dokumentasi Tiba di Lokasi</t>
  </si>
  <si>
    <t xml:space="preserve"> Dokumentasi Kegiatan</t>
  </si>
  <si>
    <t xml:space="preserve"> Dokumentasi Kepulangan</t>
  </si>
  <si>
    <t xml:space="preserve"> Dokumentasi Tiba di Daerah Asal</t>
  </si>
  <si>
    <t xml:space="preserve"> Dokumentasi Kelengkapan Transportasi</t>
  </si>
  <si>
    <t>HANYA ISI JIKA PERJADIN LEBIH DARI 8 JAM DAN TIDAK MENGINAP</t>
  </si>
  <si>
    <t>sesuaikan dengan rate harian</t>
  </si>
  <si>
    <t>DOKUMENTASI FOTO SUPIR / STNK / SIM APABILA ADA CARTER/SEWA</t>
  </si>
  <si>
    <t>Jl. P. Diponegoro (Komplek Kantor Pemda) 73911 Puruk Cahu, Telp (0528) 3033022</t>
  </si>
  <si>
    <t>WhatsApp 0811-3205-100, E-mail: bps6213@bps.go.id</t>
  </si>
  <si>
    <t>KETERLAMBATAN PENGAJUAN TAGIHAN</t>
  </si>
  <si>
    <t>Dengan ini menyatakan sebagai berikut:</t>
  </si>
  <si>
    <t>Yang menyatakan,</t>
  </si>
  <si>
    <t>ISIKAN KETERANGAN MENGAPA TERLAMBAT</t>
  </si>
  <si>
    <t>Selanjutnya saya tidak akan mengalami keterlambatan kembali dalam pengajuan hak tagihan sesuai dengan batas waktu pengajuan hak tagihan kepada Negara yang diatur dalam PMK Nomor 190/PMK.05/2012 tentang Tata Cara Pembayaran dalam Rangka Pelaksanaan Anggaran Pendapatan dan Belanja Negara.</t>
  </si>
  <si>
    <t>Demikian pernyataan ini dibuat dengan sebenar-benarnya.</t>
  </si>
  <si>
    <t>FORM PERNYATAAN APABILA PENGAJUAN SPJ MELEBIHI WAKTU BATAS PENYERAHAN SPJ (LEWAT 5 HARI KERJA)</t>
  </si>
  <si>
    <t>&lt;&lt;&lt;&lt;&lt;&lt;&lt;</t>
  </si>
  <si>
    <t>Undangan</t>
  </si>
  <si>
    <t>HARUS kosong apabila tidak ada SPD</t>
  </si>
  <si>
    <t>HARUS kosong apabila tidak ada undangan</t>
  </si>
  <si>
    <r>
      <t xml:space="preserve">Keterlambatan mengajukan hak tagihan disebabkan oleh </t>
    </r>
    <r>
      <rPr>
        <sz val="11"/>
        <color rgb="FFFF0000"/>
        <rFont val="Arial"/>
        <family val="2"/>
      </rPr>
      <t>######</t>
    </r>
  </si>
  <si>
    <t>no</t>
  </si>
  <si>
    <t>nama</t>
  </si>
  <si>
    <t>id</t>
  </si>
  <si>
    <t>id2</t>
  </si>
  <si>
    <t>jabatan</t>
  </si>
  <si>
    <t>pangkat</t>
  </si>
  <si>
    <t>19771027 201101 1 002</t>
  </si>
  <si>
    <t>19881210 202421 1 004</t>
  </si>
  <si>
    <t>19930505 201602 2 002</t>
  </si>
  <si>
    <t>19970731 202201 1 001</t>
  </si>
  <si>
    <t>19980831 202104 1 001</t>
  </si>
  <si>
    <t>19990307 202104 1 001</t>
  </si>
  <si>
    <t>19990424 202201 1 004</t>
  </si>
  <si>
    <t>19990712 202104 2 001</t>
  </si>
  <si>
    <t>19991011 202302 2 001</t>
  </si>
  <si>
    <t>19991017 202310 2 001</t>
  </si>
  <si>
    <t>19870623 201403 2 002</t>
  </si>
  <si>
    <t>email</t>
  </si>
  <si>
    <t>restukris@bps.go.id</t>
  </si>
  <si>
    <t>golongan</t>
  </si>
  <si>
    <t>Kepala BPS Kabupaten/Kota</t>
  </si>
  <si>
    <t>Penata Tk. I</t>
  </si>
  <si>
    <t>III/d</t>
  </si>
  <si>
    <t>Kepala Subbagian Umum</t>
  </si>
  <si>
    <t>Statistisi Ahli Muda</t>
  </si>
  <si>
    <t>Statistisi Ahli Pertama</t>
  </si>
  <si>
    <t>Pranata Komputer Pelaksana/Terampil</t>
  </si>
  <si>
    <t>Statistisi Pelaksana/Terampil</t>
  </si>
  <si>
    <t>Penata</t>
  </si>
  <si>
    <t>Penata Muda</t>
  </si>
  <si>
    <t>Pengatur</t>
  </si>
  <si>
    <t>Pengatur Tk. I</t>
  </si>
  <si>
    <t>III/c</t>
  </si>
  <si>
    <t>III/a</t>
  </si>
  <si>
    <t>II/c</t>
  </si>
  <si>
    <t>II/d</t>
  </si>
  <si>
    <t>yektining@bps.go.id</t>
  </si>
  <si>
    <t>willo@bps.go.id</t>
  </si>
  <si>
    <t>fransiska-pppk@bps.go.id</t>
  </si>
  <si>
    <t>yoviana@bps.go.id</t>
  </si>
  <si>
    <t>krishna.aji@bps.go.id</t>
  </si>
  <si>
    <t>noor.supriyadi@bps.go.id</t>
  </si>
  <si>
    <t>luthfan.shaoti@bps.go.id</t>
  </si>
  <si>
    <t>anwar.khoirul@bps.go.id</t>
  </si>
  <si>
    <t>mikha.aprilio@bps.go.id</t>
  </si>
  <si>
    <t>tiara.andansari@bps.go.id</t>
  </si>
  <si>
    <t>rifatul.mina@bps.go.id</t>
  </si>
  <si>
    <t>diah.aisyah@bps.go.id</t>
  </si>
  <si>
    <t>Date Conversion</t>
  </si>
  <si>
    <t>Januari</t>
  </si>
  <si>
    <t>Februari</t>
  </si>
  <si>
    <t>Maret</t>
  </si>
  <si>
    <t>April</t>
  </si>
  <si>
    <t>Mei</t>
  </si>
  <si>
    <t>Juni</t>
  </si>
  <si>
    <t>Juli</t>
  </si>
  <si>
    <t>Agustus</t>
  </si>
  <si>
    <t>September</t>
  </si>
  <si>
    <t>Oktober</t>
  </si>
  <si>
    <t>November</t>
  </si>
  <si>
    <t>Desember</t>
  </si>
  <si>
    <t>date1</t>
  </si>
  <si>
    <t>date2</t>
  </si>
  <si>
    <t>January</t>
  </si>
  <si>
    <t>July</t>
  </si>
  <si>
    <t>February</t>
  </si>
  <si>
    <t>March</t>
  </si>
  <si>
    <t>May</t>
  </si>
  <si>
    <t>June</t>
  </si>
  <si>
    <t>August</t>
  </si>
  <si>
    <t>October</t>
  </si>
  <si>
    <t>December</t>
  </si>
  <si>
    <t>harap tulis dengan penulisan sama, meskipun tanggal hanya satu hari</t>
  </si>
  <si>
    <t>pilih nama disini</t>
  </si>
  <si>
    <t>tanggal yang tertera di undangan</t>
  </si>
  <si>
    <t>Angga Jati Mandiri, S.Tr.Stat.</t>
  </si>
  <si>
    <t>Yektining Asih Rahayu, S.Si.</t>
  </si>
  <si>
    <t>Willo Friody, S.P.</t>
  </si>
  <si>
    <t>Krishna Aji Satriatama, S.Tr.Stat.</t>
  </si>
  <si>
    <t>Noor Supriyadi, S.Tr.Stat.</t>
  </si>
  <si>
    <t>Luthfan Shaoti, S.Tr.Stat.</t>
  </si>
  <si>
    <t>Khoirul Anwar, S.Tr.Stat.</t>
  </si>
  <si>
    <t>Mikha Aprilio, S.Tr.Stat.</t>
  </si>
  <si>
    <t>Rifatul Mina, S.Tr.Stat.</t>
  </si>
  <si>
    <t>Diah Aisyah, S.Tr.Stat.</t>
  </si>
  <si>
    <t>Fransiska, A.Md.</t>
  </si>
  <si>
    <t>Tiara Andansari, A.Md.Stat</t>
  </si>
  <si>
    <t>Yoviana Yulta, SST.</t>
  </si>
  <si>
    <t>Haidar Hilmy Ahmady, S.Tr.Stat.</t>
  </si>
  <si>
    <t>Nurwidati Puspita, S.Tr.Stat.</t>
  </si>
  <si>
    <t>Vivi Dewita Sari, S.Tr.Stat.</t>
  </si>
  <si>
    <t>340063024</t>
  </si>
  <si>
    <t>340016793</t>
  </si>
  <si>
    <t>200205082024121002</t>
  </si>
  <si>
    <t>angga.jati@bps.go.id</t>
  </si>
  <si>
    <t>haidar.hilmy@bps.go.id</t>
  </si>
  <si>
    <t>nurwidati.puspita@bps.go.id</t>
  </si>
  <si>
    <t>340063196</t>
  </si>
  <si>
    <t>200107112024121002</t>
  </si>
  <si>
    <t>340063423</t>
  </si>
  <si>
    <t>200008012024122001</t>
  </si>
  <si>
    <t>340063579</t>
  </si>
  <si>
    <t>200112232024122002</t>
  </si>
  <si>
    <t>vividewitas@bps.go.id</t>
  </si>
  <si>
    <t>III/b</t>
  </si>
  <si>
    <t>sesuai dengan form permintaan BOS</t>
  </si>
  <si>
    <t>Penata Muda Tk. I</t>
  </si>
  <si>
    <t>Lampiran SPD Nomor</t>
  </si>
  <si>
    <t>Telah menerima jumlah uang sebesar:</t>
  </si>
  <si>
    <t>Telah dibayar sejumlah:</t>
  </si>
  <si>
    <t>Lunas pada tanggal:</t>
  </si>
  <si>
    <t>&lt; PENGINAPAN HANYA JIKA MENGGUNAKAN AKOMODASI, ISIKAN DURASI SESUAI DENGAN LEMBAR VISUM</t>
  </si>
  <si>
    <t>GG.2905.BMA.004.052.A.524113</t>
  </si>
  <si>
    <t>Kelurahan Beriwit</t>
  </si>
  <si>
    <r>
      <t xml:space="preserve">Sesuai SK Kuasa Pengguna Anggaran BPS Kabupaten Murung Raya Nomor </t>
    </r>
    <r>
      <rPr>
        <sz val="11"/>
        <rFont val="Arial"/>
        <family val="2"/>
      </rPr>
      <t>14</t>
    </r>
    <r>
      <rPr>
        <sz val="11"/>
        <color theme="1"/>
        <rFont val="Arial"/>
        <family val="2"/>
      </rPr>
      <t xml:space="preserve"> Tahun 2026 Tanggal 7 Januari 2026 Tentang Besaran Biaya Transport Perjalanan Dinas Dalam Kota Tahun Anggaran 2026</t>
    </r>
  </si>
  <si>
    <r>
      <t xml:space="preserve">Telah melaksanakan pendampingan dan pengawasan pemutakhiran Survei Angkatan Kerja Nasional (SAKERNAS) di Desa Muara Joloi I. Keberangkatan dilakukan pada hari Senin, 26 Januari 2026 bersama petugas menggunakan transportasi darat pada pukul 09.00. Perjalanan dilakukan selama 6 jam dan sampai di Desa Muara Joloi I pada pukul 15.00. 
Setelah sampai, langsung dilakukan pemutakhiran dengan cara </t>
    </r>
    <r>
      <rPr>
        <i/>
        <sz val="11"/>
        <color theme="1"/>
        <rFont val="Arial"/>
        <family val="2"/>
      </rPr>
      <t>door-to-door</t>
    </r>
    <r>
      <rPr>
        <sz val="11"/>
        <color theme="1"/>
        <rFont val="Arial"/>
        <family val="2"/>
      </rPr>
      <t xml:space="preserve"> di RT.03 dibantu oleh Ketua RT setempat. Ditemukan beberapa rumah yang hanya dijadikan rumah singgah oleh penduduk yang tinggal di RT.01 dan rumah baru yang ditinggali oleh keluarga baru. Pemutakhiran dilakukan dengan lancar dan sesuai dengan prosedur sebelum pukul 18.00, kemudian menyebrang sungai menuju RT.01 untuk memesan akomodasi selama satu malam. 
Pada esok pagi dilakukan pemeriksaaan dokumen dan melengkapi isian formulir di FASIH yang belum lengkap. Kemudian pada pukul 11.00 melakukan perjalalanan pulang ke Puruk Cahu dan sampai pada pukul 17.00.</t>
    </r>
  </si>
  <si>
    <r>
      <t xml:space="preserve">1. Pemeriksaan perlu dilakukan di aplikasi FASIH dan melakukan proses </t>
    </r>
    <r>
      <rPr>
        <i/>
        <sz val="11"/>
        <color theme="1"/>
        <rFont val="Arial"/>
        <family val="2"/>
      </rPr>
      <t xml:space="preserve">approval </t>
    </r>
    <r>
      <rPr>
        <sz val="11"/>
        <color theme="1"/>
        <rFont val="Arial"/>
        <family val="2"/>
      </rPr>
      <t>untuk menandai pekerjaan yang sudah benar</t>
    </r>
  </si>
  <si>
    <t>2. Memeriksa hasil pekerjaan di SLS kedua di Desa Bahitom, dan apabila sudah selesai untuk menandari pemutakhiran di kedua SLS ke status selesai.</t>
  </si>
  <si>
    <t>3. Memonitor hasil pekerjaan secara keseluruhan, menarik sampel untuk pendataan, dan melakukan pembuatan jadwal pengawasan kegiatan pendataan bersama petugas yang sama.</t>
  </si>
  <si>
    <t>x Rp. 0,-</t>
  </si>
  <si>
    <t>1 (satu) malam</t>
  </si>
  <si>
    <t>&gt;&gt;&gt;&gt;&gt;&gt;&gt;</t>
  </si>
  <si>
    <t>Revisi 10 oleh Krishna Aji, ®2026. Untuk digunakan sebagai mestinya.</t>
  </si>
  <si>
    <t>Luthfiani Nur Aisyah, S.Tr.Stat.</t>
  </si>
  <si>
    <t>20030629 202603 2 001</t>
  </si>
  <si>
    <t>Pelaksana</t>
  </si>
  <si>
    <t>Penata Muda / III/a</t>
  </si>
  <si>
    <t>Desa Juking Supan</t>
  </si>
  <si>
    <t>231/62130/KU.340/2026</t>
  </si>
  <si>
    <t>13 Agustus 2026</t>
  </si>
  <si>
    <t>Pengawasan Pendataan Sakernas Agustus 2026</t>
  </si>
  <si>
    <t>Kendaraan Air</t>
  </si>
  <si>
    <t>B-1122/62130/KU.340/2026</t>
  </si>
  <si>
    <t>15 Agustus 2026 s.d. 15 Agustus 2026</t>
  </si>
  <si>
    <t>tulisin tanggal pas bikin</t>
  </si>
  <si>
    <t>18 Agustus 2026</t>
  </si>
  <si>
    <t>Biaya transportasi air dari Kelurahan Beriwit ke Desa Juking Supan PP</t>
  </si>
  <si>
    <t>Jumlah uang tersebut pada angka di atas benar-benar dikeluarkan untuk pelaksanaan perjalanan dinas dimaksud dan apabila dikemudian hari terdapat kelebihan atas pembayaran, kami bersedia untuk menyetorkan kelebihan tersebut ke Kas Negara.</t>
  </si>
  <si>
    <t>Puruk Cahu, 18 Agustus 2026</t>
  </si>
  <si>
    <t>Melakukan Pengawasan Pendataan Sakernas Agustus 2026 di Desa Juking Supan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</si>
</sst>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_(* \(#,##0\);_(* &quot;-&quot;??_);_(@_)"/>
    <numFmt numFmtId="166" formatCode="#,##0.\-"/>
    <numFmt numFmtId="167" formatCode="[$-F800]dddd\,\ mmmm\ dd\,\ yyyy"/>
  </numFmts>
  <fonts count="65" x14ac:knownFonts="1">
    <font>
      <sz val="11"/>
      <color theme="1"/>
      <name val="Calibri"/>
      <family val="2"/>
      <scheme val="minor"/>
    </font>
    <font>
      <sz val="11"/>
      <color theme="1"/>
      <name val="Calibri"/>
      <family val="2"/>
      <scheme val="minor"/>
    </font>
    <font>
      <b/>
      <i/>
      <sz val="18"/>
      <color theme="1"/>
      <name val="Arial"/>
      <family val="2"/>
    </font>
    <font>
      <b/>
      <i/>
      <sz val="16"/>
      <color theme="1"/>
      <name val="Arial"/>
      <family val="2"/>
    </font>
    <font>
      <i/>
      <sz val="20"/>
      <color theme="1"/>
      <name val="Times New Roman"/>
      <family val="1"/>
    </font>
    <font>
      <sz val="10"/>
      <color theme="1"/>
      <name val="Times New Roman"/>
      <family val="1"/>
    </font>
    <font>
      <sz val="11"/>
      <color theme="1"/>
      <name val="Arial"/>
      <family val="2"/>
    </font>
    <font>
      <u/>
      <sz val="10"/>
      <color theme="1"/>
      <name val="Times New Roman"/>
      <family val="1"/>
    </font>
    <font>
      <sz val="12"/>
      <color theme="1"/>
      <name val="Times New Roman"/>
      <family val="1"/>
    </font>
    <font>
      <b/>
      <sz val="11"/>
      <color theme="1"/>
      <name val="Arial"/>
      <family val="2"/>
    </font>
    <font>
      <sz val="8"/>
      <color theme="1"/>
      <name val="Times New Roman"/>
      <family val="1"/>
    </font>
    <font>
      <b/>
      <i/>
      <sz val="12"/>
      <color theme="1"/>
      <name val="Arial"/>
      <family val="2"/>
    </font>
    <font>
      <sz val="10"/>
      <color theme="1"/>
      <name val="Arial"/>
      <family val="2"/>
    </font>
    <font>
      <sz val="9"/>
      <color theme="1"/>
      <name val="Arial"/>
      <family val="2"/>
    </font>
    <font>
      <sz val="18"/>
      <color theme="1"/>
      <name val="Arial"/>
      <family val="2"/>
    </font>
    <font>
      <sz val="12"/>
      <color theme="1"/>
      <name val="Arial"/>
      <family val="2"/>
    </font>
    <font>
      <sz val="8"/>
      <color theme="1"/>
      <name val="Arial"/>
      <family val="2"/>
    </font>
    <font>
      <sz val="14"/>
      <color theme="1"/>
      <name val="Arial"/>
      <family val="2"/>
    </font>
    <font>
      <sz val="11"/>
      <color theme="1"/>
      <name val="Times New Roman"/>
      <family val="1"/>
    </font>
    <font>
      <sz val="10"/>
      <color theme="1"/>
      <name val="Calibri"/>
      <family val="2"/>
      <scheme val="minor"/>
    </font>
    <font>
      <sz val="16"/>
      <color theme="1"/>
      <name val="Times New Roman"/>
      <family val="1"/>
    </font>
    <font>
      <b/>
      <sz val="12"/>
      <color theme="1"/>
      <name val="Times New Roman"/>
      <family val="1"/>
    </font>
    <font>
      <b/>
      <sz val="11"/>
      <color theme="1"/>
      <name val="Times New Roman"/>
      <family val="1"/>
    </font>
    <font>
      <b/>
      <i/>
      <sz val="11"/>
      <color theme="1"/>
      <name val="Times New Roman"/>
      <family val="1"/>
    </font>
    <font>
      <sz val="10"/>
      <color rgb="FFFF0000"/>
      <name val="Times New Roman"/>
      <family val="1"/>
    </font>
    <font>
      <sz val="10"/>
      <color rgb="FF000000"/>
      <name val="Times New Roman"/>
      <family val="1"/>
    </font>
    <font>
      <u/>
      <sz val="10"/>
      <color rgb="FF000000"/>
      <name val="Times New Roman"/>
      <family val="1"/>
    </font>
    <font>
      <i/>
      <sz val="12"/>
      <color theme="1"/>
      <name val="Times New Roman"/>
      <family val="1"/>
    </font>
    <font>
      <b/>
      <u/>
      <sz val="11"/>
      <color theme="1"/>
      <name val="Times New Roman"/>
      <family val="1"/>
    </font>
    <font>
      <u/>
      <sz val="10"/>
      <color theme="1"/>
      <name val="Arial"/>
      <family val="2"/>
    </font>
    <font>
      <sz val="10"/>
      <color theme="1"/>
      <name val="Trebuchet MS"/>
      <family val="2"/>
    </font>
    <font>
      <sz val="11"/>
      <name val="Calibri"/>
      <family val="2"/>
      <scheme val="minor"/>
    </font>
    <font>
      <u/>
      <sz val="12"/>
      <color theme="1"/>
      <name val="Times New Roman"/>
      <family val="1"/>
    </font>
    <font>
      <b/>
      <sz val="11"/>
      <color theme="1"/>
      <name val="Calibri"/>
      <family val="2"/>
      <scheme val="minor"/>
    </font>
    <font>
      <u/>
      <sz val="11"/>
      <color theme="1"/>
      <name val="Times New Roman"/>
      <family val="1"/>
    </font>
    <font>
      <sz val="12"/>
      <color rgb="FF000000"/>
      <name val="Arial"/>
      <family val="2"/>
    </font>
    <font>
      <sz val="11"/>
      <color theme="1" tint="0.499984740745262"/>
      <name val="Calibri"/>
      <family val="2"/>
      <scheme val="minor"/>
    </font>
    <font>
      <b/>
      <sz val="14"/>
      <color theme="1" tint="0.499984740745262"/>
      <name val="Times New Roman"/>
      <family val="1"/>
    </font>
    <font>
      <sz val="12"/>
      <color theme="1" tint="0.499984740745262"/>
      <name val="Times New Roman"/>
      <family val="1"/>
    </font>
    <font>
      <b/>
      <i/>
      <sz val="16"/>
      <color rgb="FF000000"/>
      <name val="Arial"/>
      <family val="2"/>
    </font>
    <font>
      <sz val="11"/>
      <color theme="0"/>
      <name val="Calibri"/>
      <family val="2"/>
      <scheme val="minor"/>
    </font>
    <font>
      <b/>
      <u/>
      <sz val="11"/>
      <color theme="1"/>
      <name val="Arial"/>
      <family val="2"/>
    </font>
    <font>
      <b/>
      <i/>
      <sz val="28"/>
      <color theme="1"/>
      <name val="Calibri"/>
      <family val="2"/>
      <scheme val="minor"/>
    </font>
    <font>
      <b/>
      <i/>
      <sz val="11"/>
      <color theme="1"/>
      <name val="Calibri"/>
      <family val="2"/>
      <scheme val="minor"/>
    </font>
    <font>
      <b/>
      <i/>
      <sz val="11"/>
      <color theme="0" tint="-0.499984740745262"/>
      <name val="Calibri"/>
      <family val="2"/>
      <scheme val="minor"/>
    </font>
    <font>
      <u/>
      <sz val="11"/>
      <color theme="1"/>
      <name val="Arial"/>
      <family val="2"/>
    </font>
    <font>
      <b/>
      <i/>
      <sz val="11"/>
      <color theme="1"/>
      <name val="Arial"/>
      <family val="2"/>
    </font>
    <font>
      <sz val="11"/>
      <color rgb="FF000000"/>
      <name val="Arial"/>
      <family val="2"/>
    </font>
    <font>
      <sz val="10.5"/>
      <color rgb="FF000000"/>
      <name val="Arial"/>
      <family val="2"/>
    </font>
    <font>
      <sz val="16"/>
      <color rgb="FF000000"/>
      <name val="Arial"/>
      <family val="2"/>
    </font>
    <font>
      <b/>
      <sz val="12"/>
      <color rgb="FF000000"/>
      <name val="Arial"/>
      <family val="2"/>
    </font>
    <font>
      <b/>
      <i/>
      <sz val="11"/>
      <color rgb="FF000000"/>
      <name val="Arial"/>
      <family val="2"/>
    </font>
    <font>
      <sz val="10"/>
      <color rgb="FF000000"/>
      <name val="Arial"/>
      <family val="2"/>
    </font>
    <font>
      <b/>
      <u/>
      <sz val="14"/>
      <color theme="1"/>
      <name val="Arial"/>
      <family val="2"/>
    </font>
    <font>
      <sz val="8"/>
      <color rgb="FF333333"/>
      <name val="Arial"/>
      <family val="2"/>
    </font>
    <font>
      <sz val="5"/>
      <color theme="1"/>
      <name val="Arial"/>
      <family val="2"/>
    </font>
    <font>
      <b/>
      <u/>
      <sz val="11"/>
      <color rgb="FF000000"/>
      <name val="Arial"/>
      <family val="2"/>
    </font>
    <font>
      <b/>
      <sz val="11"/>
      <color rgb="FF000000"/>
      <name val="Arial"/>
      <family val="2"/>
    </font>
    <font>
      <u/>
      <sz val="11"/>
      <color rgb="FF000000"/>
      <name val="Arial"/>
      <family val="2"/>
    </font>
    <font>
      <sz val="11"/>
      <color rgb="FFFF0000"/>
      <name val="Arial"/>
      <family val="2"/>
    </font>
    <font>
      <sz val="11"/>
      <color theme="0"/>
      <name val="Times New Roman"/>
      <family val="1"/>
    </font>
    <font>
      <i/>
      <sz val="11"/>
      <color theme="1"/>
      <name val="Arial"/>
      <family val="2"/>
    </font>
    <font>
      <sz val="11"/>
      <name val="Arial"/>
      <family val="2"/>
    </font>
    <font>
      <b/>
      <sz val="11"/>
      <color rgb="FFFF0000"/>
      <name val="Calibri"/>
      <family val="2"/>
      <scheme val="minor"/>
    </font>
    <font>
      <b/>
      <sz val="12"/>
      <color rgb="FFFF000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s>
  <borders count="25">
    <border>
      <left/>
      <right/>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style="thin">
        <color indexed="64"/>
      </left>
      <right/>
      <top style="medium">
        <color indexed="64"/>
      </top>
      <bottom/>
      <diagonal/>
    </border>
    <border>
      <left/>
      <right/>
      <top/>
      <bottom style="double">
        <color indexed="64"/>
      </bottom>
      <diagonal/>
    </border>
    <border>
      <left/>
      <right/>
      <top/>
      <bottom style="medium">
        <color rgb="FF000000"/>
      </bottom>
      <diagonal/>
    </border>
    <border>
      <left/>
      <right/>
      <top style="medium">
        <color rgb="FF000000"/>
      </top>
      <bottom/>
      <diagonal/>
    </border>
  </borders>
  <cellStyleXfs count="6">
    <xf numFmtId="0" fontId="0" fillId="0" borderId="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85">
    <xf numFmtId="0" fontId="0" fillId="0" borderId="0" xfId="0"/>
    <xf numFmtId="0" fontId="0" fillId="0" borderId="0" xfId="0" applyAlignment="1">
      <alignment vertical="top"/>
    </xf>
    <xf numFmtId="0" fontId="4" fillId="0" borderId="0" xfId="0" applyFont="1" applyAlignment="1">
      <alignment vertical="top"/>
    </xf>
    <xf numFmtId="0" fontId="3" fillId="0" borderId="0" xfId="0" applyFont="1" applyAlignment="1">
      <alignment vertical="top"/>
    </xf>
    <xf numFmtId="0" fontId="6" fillId="0" borderId="0" xfId="0" applyFont="1" applyAlignment="1">
      <alignment vertical="top"/>
    </xf>
    <xf numFmtId="0" fontId="5" fillId="0" borderId="0" xfId="0" applyFont="1" applyAlignment="1">
      <alignment vertical="top"/>
    </xf>
    <xf numFmtId="0" fontId="12" fillId="0" borderId="0" xfId="0" applyFont="1" applyAlignment="1">
      <alignment vertical="top"/>
    </xf>
    <xf numFmtId="0" fontId="11" fillId="0" borderId="0" xfId="0" applyFont="1" applyAlignment="1">
      <alignment vertical="top"/>
    </xf>
    <xf numFmtId="0" fontId="13" fillId="0" borderId="0" xfId="0" applyFont="1" applyAlignment="1">
      <alignment vertical="top"/>
    </xf>
    <xf numFmtId="0" fontId="0" fillId="0" borderId="0" xfId="0" applyAlignment="1">
      <alignment horizontal="center" vertical="top"/>
    </xf>
    <xf numFmtId="0" fontId="14" fillId="0" borderId="0" xfId="0" applyFont="1" applyAlignment="1">
      <alignment vertical="top"/>
    </xf>
    <xf numFmtId="0" fontId="0" fillId="0" borderId="0" xfId="0" applyAlignment="1">
      <alignment horizontal="left" vertical="top" indent="1"/>
    </xf>
    <xf numFmtId="0" fontId="12" fillId="0" borderId="8" xfId="0" applyFont="1" applyBorder="1" applyAlignment="1">
      <alignment horizontal="left" vertical="center" indent="1"/>
    </xf>
    <xf numFmtId="0" fontId="12" fillId="0" borderId="10" xfId="0" applyFont="1" applyBorder="1" applyAlignment="1">
      <alignment horizontal="left" vertical="center" indent="1"/>
    </xf>
    <xf numFmtId="0" fontId="12" fillId="0" borderId="9" xfId="0" applyFont="1" applyBorder="1" applyAlignment="1">
      <alignment horizontal="left" vertical="center" indent="1"/>
    </xf>
    <xf numFmtId="0" fontId="0" fillId="0" borderId="10" xfId="0" applyBorder="1" applyAlignment="1">
      <alignment horizontal="left" vertical="center" indent="1"/>
    </xf>
    <xf numFmtId="0" fontId="12" fillId="0" borderId="3" xfId="0" applyFont="1" applyBorder="1" applyAlignment="1">
      <alignment horizontal="center" vertical="center"/>
    </xf>
    <xf numFmtId="0" fontId="12" fillId="0" borderId="17" xfId="0" applyFont="1" applyBorder="1" applyAlignment="1">
      <alignment horizontal="center" vertical="center"/>
    </xf>
    <xf numFmtId="0" fontId="12" fillId="0" borderId="7" xfId="0" applyFont="1" applyBorder="1" applyAlignment="1">
      <alignment horizontal="left" vertical="center"/>
    </xf>
    <xf numFmtId="0" fontId="12" fillId="0" borderId="18" xfId="0" applyFont="1" applyBorder="1" applyAlignment="1">
      <alignment horizontal="center" vertical="center"/>
    </xf>
    <xf numFmtId="0" fontId="12" fillId="0" borderId="0" xfId="0" applyFont="1" applyAlignment="1">
      <alignment horizontal="left" vertical="center"/>
    </xf>
    <xf numFmtId="0" fontId="12" fillId="0" borderId="19" xfId="0" applyFont="1" applyBorder="1" applyAlignment="1">
      <alignment horizontal="center" vertical="center"/>
    </xf>
    <xf numFmtId="0" fontId="12" fillId="0" borderId="7" xfId="0" applyFont="1" applyBorder="1" applyAlignment="1">
      <alignment horizontal="left" vertical="center" indent="1"/>
    </xf>
    <xf numFmtId="0" fontId="12" fillId="0" borderId="15" xfId="0" applyFont="1" applyBorder="1" applyAlignment="1">
      <alignment horizontal="left" vertical="center" indent="1"/>
    </xf>
    <xf numFmtId="0" fontId="0" fillId="0" borderId="16" xfId="0" applyBorder="1" applyAlignment="1">
      <alignment horizontal="left" vertical="center" indent="1"/>
    </xf>
    <xf numFmtId="0" fontId="12" fillId="0" borderId="0" xfId="0" applyFont="1" applyAlignment="1">
      <alignment horizontal="left" vertical="center" indent="1"/>
    </xf>
    <xf numFmtId="0" fontId="12" fillId="0" borderId="11" xfId="0" applyFont="1" applyBorder="1" applyAlignment="1">
      <alignment horizontal="left" vertical="center" indent="1"/>
    </xf>
    <xf numFmtId="0" fontId="0" fillId="0" borderId="5" xfId="0" applyBorder="1" applyAlignment="1">
      <alignment horizontal="left" vertical="center" indent="1"/>
    </xf>
    <xf numFmtId="0" fontId="12" fillId="0" borderId="13" xfId="0" applyFont="1" applyBorder="1" applyAlignment="1">
      <alignment horizontal="left" vertical="center" indent="1"/>
    </xf>
    <xf numFmtId="0" fontId="12" fillId="0" borderId="12" xfId="0" applyFont="1" applyBorder="1" applyAlignment="1">
      <alignment horizontal="left" vertical="center" indent="1"/>
    </xf>
    <xf numFmtId="0" fontId="0" fillId="0" borderId="14" xfId="0" applyBorder="1" applyAlignment="1">
      <alignment horizontal="left" vertical="center" indent="1"/>
    </xf>
    <xf numFmtId="0" fontId="12" fillId="0" borderId="5" xfId="0" applyFont="1" applyBorder="1" applyAlignment="1">
      <alignment horizontal="left" vertical="center" indent="1"/>
    </xf>
    <xf numFmtId="0" fontId="12" fillId="0" borderId="14" xfId="0" applyFont="1" applyBorder="1" applyAlignment="1">
      <alignment horizontal="left" vertical="center" indent="1"/>
    </xf>
    <xf numFmtId="0" fontId="0" fillId="0" borderId="3" xfId="0" applyBorder="1" applyAlignment="1">
      <alignment horizontal="left" vertical="center" indent="1"/>
    </xf>
    <xf numFmtId="0" fontId="0" fillId="0" borderId="18" xfId="0" applyBorder="1" applyAlignment="1">
      <alignment horizontal="left" vertical="center" indent="1"/>
    </xf>
    <xf numFmtId="0" fontId="0" fillId="0" borderId="19" xfId="0" applyBorder="1" applyAlignment="1">
      <alignment horizontal="left" vertical="center" indent="1"/>
    </xf>
    <xf numFmtId="0" fontId="16" fillId="0" borderId="0" xfId="0" applyFont="1" applyAlignment="1">
      <alignment vertical="top"/>
    </xf>
    <xf numFmtId="0" fontId="18" fillId="0" borderId="0" xfId="0" applyFont="1" applyAlignment="1">
      <alignment vertical="top"/>
    </xf>
    <xf numFmtId="0" fontId="18" fillId="0" borderId="0" xfId="0" applyFont="1" applyAlignment="1">
      <alignment horizontal="center" vertical="top"/>
    </xf>
    <xf numFmtId="0" fontId="18" fillId="0" borderId="5" xfId="0" applyFont="1" applyBorder="1" applyAlignment="1">
      <alignment vertical="top"/>
    </xf>
    <xf numFmtId="0" fontId="20" fillId="0" borderId="13" xfId="0" applyFont="1" applyBorder="1" applyAlignment="1">
      <alignment horizontal="center" vertical="top"/>
    </xf>
    <xf numFmtId="0" fontId="20" fillId="0" borderId="0" xfId="0" applyFont="1" applyAlignment="1">
      <alignment horizontal="center" vertical="top"/>
    </xf>
    <xf numFmtId="0" fontId="23" fillId="0" borderId="0" xfId="0" applyFont="1" applyAlignment="1">
      <alignment vertical="top"/>
    </xf>
    <xf numFmtId="0" fontId="19" fillId="0" borderId="0" xfId="0" applyFont="1" applyAlignment="1">
      <alignment vertical="top"/>
    </xf>
    <xf numFmtId="0" fontId="5" fillId="0" borderId="0" xfId="0" applyFont="1" applyAlignment="1">
      <alignment horizontal="center" vertical="top"/>
    </xf>
    <xf numFmtId="0" fontId="15" fillId="0" borderId="0" xfId="0" applyFont="1" applyAlignment="1">
      <alignment horizontal="left" vertical="top" indent="1"/>
    </xf>
    <xf numFmtId="0" fontId="18" fillId="0" borderId="0" xfId="0" applyFont="1" applyAlignment="1">
      <alignment horizontal="left" vertical="top" indent="1"/>
    </xf>
    <xf numFmtId="0" fontId="18" fillId="0" borderId="11" xfId="0" applyFont="1" applyBorder="1" applyAlignment="1">
      <alignment horizontal="left" vertical="top" indent="1"/>
    </xf>
    <xf numFmtId="0" fontId="18" fillId="0" borderId="12" xfId="0" applyFont="1" applyBorder="1" applyAlignment="1">
      <alignment horizontal="left" vertical="top" indent="1"/>
    </xf>
    <xf numFmtId="0" fontId="20" fillId="0" borderId="13" xfId="0" applyFont="1" applyBorder="1" applyAlignment="1">
      <alignment horizontal="left" vertical="top" indent="1"/>
    </xf>
    <xf numFmtId="0" fontId="20" fillId="0" borderId="11" xfId="0" applyFont="1" applyBorder="1" applyAlignment="1">
      <alignment horizontal="left" vertical="top" indent="1"/>
    </xf>
    <xf numFmtId="0" fontId="20" fillId="0" borderId="0" xfId="0" applyFont="1" applyAlignment="1">
      <alignment horizontal="left" vertical="top" indent="1"/>
    </xf>
    <xf numFmtId="0" fontId="5" fillId="0" borderId="11" xfId="0" applyFont="1" applyBorder="1" applyAlignment="1">
      <alignment horizontal="left" vertical="top" indent="1"/>
    </xf>
    <xf numFmtId="0" fontId="5" fillId="0" borderId="0" xfId="0" applyFont="1" applyAlignment="1">
      <alignment horizontal="left" vertical="top" indent="1"/>
    </xf>
    <xf numFmtId="0" fontId="17" fillId="0" borderId="0" xfId="0" applyFont="1" applyAlignment="1">
      <alignment horizontal="left" vertical="top" indent="1"/>
    </xf>
    <xf numFmtId="0" fontId="26" fillId="0" borderId="0" xfId="0" applyFont="1" applyAlignment="1">
      <alignment horizontal="center" vertical="top"/>
    </xf>
    <xf numFmtId="0" fontId="20" fillId="0" borderId="5" xfId="0" applyFont="1" applyBorder="1" applyAlignment="1">
      <alignment horizontal="left" vertical="top" indent="1"/>
    </xf>
    <xf numFmtId="0" fontId="5" fillId="0" borderId="5" xfId="0" applyFont="1" applyBorder="1" applyAlignment="1">
      <alignment horizontal="left" vertical="top" indent="1"/>
    </xf>
    <xf numFmtId="0" fontId="8" fillId="0" borderId="20" xfId="0" applyFont="1" applyBorder="1" applyAlignment="1">
      <alignment horizontal="left" vertical="top" indent="1"/>
    </xf>
    <xf numFmtId="0" fontId="5" fillId="0" borderId="21" xfId="0" applyFont="1" applyBorder="1" applyAlignment="1">
      <alignment horizontal="left" vertical="top" indent="1"/>
    </xf>
    <xf numFmtId="0" fontId="5" fillId="0" borderId="2" xfId="0" applyFont="1" applyBorder="1" applyAlignment="1">
      <alignment horizontal="center" vertical="top"/>
    </xf>
    <xf numFmtId="0" fontId="5" fillId="0" borderId="2" xfId="0" applyFont="1" applyBorder="1" applyAlignment="1">
      <alignment horizontal="left" vertical="top" indent="1"/>
    </xf>
    <xf numFmtId="0" fontId="18" fillId="0" borderId="0" xfId="0" applyFont="1" applyAlignment="1">
      <alignment horizontal="justify" vertical="top"/>
    </xf>
    <xf numFmtId="0" fontId="0" fillId="0" borderId="7" xfId="0" applyBorder="1"/>
    <xf numFmtId="0" fontId="0" fillId="0" borderId="13" xfId="0" applyBorder="1"/>
    <xf numFmtId="0" fontId="0" fillId="0" borderId="0" xfId="0" applyAlignment="1">
      <alignment horizontal="left"/>
    </xf>
    <xf numFmtId="0" fontId="0" fillId="0" borderId="15"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29" fillId="0" borderId="0" xfId="0" applyFont="1" applyAlignment="1">
      <alignment vertical="top"/>
    </xf>
    <xf numFmtId="0" fontId="21" fillId="0" borderId="0" xfId="0" applyFont="1" applyAlignment="1">
      <alignment vertical="top"/>
    </xf>
    <xf numFmtId="0" fontId="30" fillId="0" borderId="0" xfId="0" applyFont="1" applyAlignment="1">
      <alignment vertical="top"/>
    </xf>
    <xf numFmtId="0" fontId="0" fillId="2" borderId="0" xfId="0" applyFill="1" applyAlignment="1">
      <alignment vertical="top"/>
    </xf>
    <xf numFmtId="0" fontId="0" fillId="3" borderId="13" xfId="0" applyFill="1" applyBorder="1"/>
    <xf numFmtId="0" fontId="0" fillId="3" borderId="0" xfId="0" applyFill="1"/>
    <xf numFmtId="165" fontId="0" fillId="3" borderId="0" xfId="1" applyNumberFormat="1" applyFont="1" applyFill="1"/>
    <xf numFmtId="165" fontId="0" fillId="3" borderId="13" xfId="1" applyNumberFormat="1" applyFont="1" applyFill="1" applyBorder="1"/>
    <xf numFmtId="0" fontId="0" fillId="0" borderId="0" xfId="0" applyAlignment="1">
      <alignment horizontal="left" vertical="top"/>
    </xf>
    <xf numFmtId="0" fontId="5" fillId="0" borderId="22" xfId="0" applyFont="1" applyBorder="1" applyAlignment="1">
      <alignment vertical="top"/>
    </xf>
    <xf numFmtId="0" fontId="0" fillId="0" borderId="22" xfId="0" applyBorder="1" applyAlignment="1">
      <alignment vertical="top"/>
    </xf>
    <xf numFmtId="0" fontId="25" fillId="0" borderId="13" xfId="0" applyFont="1" applyBorder="1" applyAlignment="1">
      <alignment horizontal="center" vertical="top"/>
    </xf>
    <xf numFmtId="0" fontId="7" fillId="0" borderId="5" xfId="0" applyFont="1" applyBorder="1" applyAlignment="1">
      <alignment horizontal="center" vertical="top"/>
    </xf>
    <xf numFmtId="0" fontId="5" fillId="0" borderId="0" xfId="0" applyFont="1" applyAlignment="1">
      <alignment horizontal="center" vertical="center"/>
    </xf>
    <xf numFmtId="0" fontId="18" fillId="0" borderId="0" xfId="0" applyFont="1" applyAlignment="1">
      <alignment horizontal="left" vertical="top" wrapText="1"/>
    </xf>
    <xf numFmtId="0" fontId="0" fillId="0" borderId="0" xfId="0" applyAlignment="1">
      <alignment wrapText="1"/>
    </xf>
    <xf numFmtId="0" fontId="6" fillId="0" borderId="0" xfId="0" applyFont="1" applyAlignment="1">
      <alignment horizontal="center" vertical="top"/>
    </xf>
    <xf numFmtId="0" fontId="9" fillId="0" borderId="0" xfId="0" applyFont="1" applyAlignment="1">
      <alignment horizontal="center" vertical="top"/>
    </xf>
    <xf numFmtId="0" fontId="27" fillId="0" borderId="0" xfId="0" applyFont="1" applyAlignment="1">
      <alignment horizontal="center" vertical="top"/>
    </xf>
    <xf numFmtId="49" fontId="0" fillId="0" borderId="0" xfId="0" applyNumberFormat="1" applyAlignment="1">
      <alignment vertical="top"/>
    </xf>
    <xf numFmtId="49" fontId="2" fillId="0" borderId="0" xfId="0" applyNumberFormat="1" applyFont="1" applyAlignment="1">
      <alignment vertical="top"/>
    </xf>
    <xf numFmtId="49" fontId="3" fillId="0" borderId="0" xfId="0" applyNumberFormat="1" applyFont="1" applyAlignment="1">
      <alignment vertical="top"/>
    </xf>
    <xf numFmtId="49" fontId="27" fillId="0" borderId="0" xfId="0" applyNumberFormat="1" applyFont="1" applyAlignment="1">
      <alignment horizontal="center" vertical="top"/>
    </xf>
    <xf numFmtId="49" fontId="6" fillId="0" borderId="0" xfId="0" applyNumberFormat="1" applyFont="1" applyAlignment="1">
      <alignment vertical="top"/>
    </xf>
    <xf numFmtId="49" fontId="5" fillId="0" borderId="22" xfId="0" applyNumberFormat="1" applyFont="1" applyBorder="1" applyAlignment="1">
      <alignment vertical="top"/>
    </xf>
    <xf numFmtId="0" fontId="6" fillId="0" borderId="0" xfId="0" applyFont="1" applyAlignment="1">
      <alignment vertical="top" wrapText="1"/>
    </xf>
    <xf numFmtId="0" fontId="12" fillId="0" borderId="0" xfId="0" applyFont="1" applyAlignment="1">
      <alignment horizontal="left" vertical="top" wrapText="1"/>
    </xf>
    <xf numFmtId="0" fontId="6" fillId="0" borderId="0" xfId="0" applyFont="1" applyAlignment="1">
      <alignment horizontal="left" vertical="top"/>
    </xf>
    <xf numFmtId="0" fontId="0" fillId="0" borderId="0" xfId="0" applyAlignment="1">
      <alignment horizontal="center" vertical="top" wrapText="1"/>
    </xf>
    <xf numFmtId="0" fontId="12" fillId="0" borderId="11" xfId="0" applyFont="1" applyBorder="1" applyAlignment="1">
      <alignment horizontal="left" vertical="top" indent="1"/>
    </xf>
    <xf numFmtId="0" fontId="12" fillId="0" borderId="0" xfId="0" applyFont="1" applyAlignment="1">
      <alignment horizontal="left" vertical="top" indent="1"/>
    </xf>
    <xf numFmtId="0" fontId="0" fillId="0" borderId="7" xfId="0" applyBorder="1" applyAlignment="1">
      <alignment vertical="center"/>
    </xf>
    <xf numFmtId="0" fontId="0" fillId="0" borderId="0" xfId="0" applyAlignment="1">
      <alignment vertical="center"/>
    </xf>
    <xf numFmtId="0" fontId="33" fillId="3" borderId="7" xfId="0" applyFont="1" applyFill="1" applyBorder="1"/>
    <xf numFmtId="0" fontId="33" fillId="3" borderId="0" xfId="0" applyFont="1" applyFill="1"/>
    <xf numFmtId="0" fontId="22" fillId="0" borderId="0" xfId="0" applyFont="1" applyAlignment="1">
      <alignment horizontal="justify" vertical="top"/>
    </xf>
    <xf numFmtId="0" fontId="2" fillId="0" borderId="0" xfId="0" applyFont="1" applyAlignment="1">
      <alignment vertical="top"/>
    </xf>
    <xf numFmtId="0" fontId="22" fillId="0" borderId="0" xfId="0" applyFont="1" applyAlignment="1">
      <alignment vertical="top"/>
    </xf>
    <xf numFmtId="0" fontId="33" fillId="3" borderId="0" xfId="0" quotePrefix="1" applyFont="1" applyFill="1"/>
    <xf numFmtId="0" fontId="18" fillId="0" borderId="5" xfId="0" applyFont="1" applyBorder="1" applyAlignment="1">
      <alignment horizontal="left" vertical="top"/>
    </xf>
    <xf numFmtId="0" fontId="5" fillId="0" borderId="5" xfId="0" applyFont="1" applyBorder="1" applyAlignment="1">
      <alignment horizontal="center" vertical="top"/>
    </xf>
    <xf numFmtId="0" fontId="5" fillId="0" borderId="14" xfId="0" applyFont="1" applyBorder="1" applyAlignment="1">
      <alignment horizontal="center" vertical="top"/>
    </xf>
    <xf numFmtId="0" fontId="18" fillId="0" borderId="15" xfId="0" applyFont="1" applyBorder="1" applyAlignment="1">
      <alignment horizontal="left" vertical="top" indent="1"/>
    </xf>
    <xf numFmtId="0" fontId="18" fillId="0" borderId="7" xfId="0" applyFont="1" applyBorder="1" applyAlignment="1">
      <alignment horizontal="center" vertical="top"/>
    </xf>
    <xf numFmtId="0" fontId="18" fillId="0" borderId="7" xfId="0" applyFont="1" applyBorder="1" applyAlignment="1">
      <alignment horizontal="left" vertical="top"/>
    </xf>
    <xf numFmtId="0" fontId="18" fillId="0" borderId="7" xfId="0" applyFont="1" applyBorder="1" applyAlignment="1">
      <alignment horizontal="left" vertical="top" indent="1"/>
    </xf>
    <xf numFmtId="0" fontId="18" fillId="0" borderId="16" xfId="0" applyFont="1" applyBorder="1" applyAlignment="1">
      <alignment horizontal="left" vertical="top"/>
    </xf>
    <xf numFmtId="49" fontId="18" fillId="0" borderId="0" xfId="0" applyNumberFormat="1" applyFont="1" applyAlignment="1">
      <alignment vertical="top"/>
    </xf>
    <xf numFmtId="0" fontId="18" fillId="0" borderId="14" xfId="0" applyFont="1" applyBorder="1" applyAlignment="1">
      <alignment horizontal="left" vertical="top"/>
    </xf>
    <xf numFmtId="0" fontId="0" fillId="0" borderId="1" xfId="0" applyBorder="1" applyAlignment="1">
      <alignment horizontal="center" vertical="top"/>
    </xf>
    <xf numFmtId="0" fontId="0" fillId="0" borderId="1" xfId="0" applyBorder="1" applyAlignment="1">
      <alignment horizontal="left" vertical="top" indent="1"/>
    </xf>
    <xf numFmtId="0" fontId="0" fillId="0" borderId="6" xfId="0" applyBorder="1" applyAlignment="1">
      <alignment horizontal="left" vertical="top" indent="1"/>
    </xf>
    <xf numFmtId="0" fontId="0" fillId="0" borderId="4" xfId="0" applyBorder="1" applyAlignment="1">
      <alignment horizontal="center" vertical="top"/>
    </xf>
    <xf numFmtId="0" fontId="5" fillId="0" borderId="0" xfId="0" applyFont="1" applyAlignment="1">
      <alignment horizontal="left" vertical="top"/>
    </xf>
    <xf numFmtId="0" fontId="26" fillId="0" borderId="0" xfId="0" applyFont="1" applyAlignment="1">
      <alignment horizontal="center"/>
    </xf>
    <xf numFmtId="0" fontId="15" fillId="0" borderId="0" xfId="0" applyFont="1" applyAlignment="1">
      <alignment vertical="center"/>
    </xf>
    <xf numFmtId="0" fontId="34" fillId="0" borderId="0" xfId="0" applyFont="1" applyAlignment="1">
      <alignment vertical="top"/>
    </xf>
    <xf numFmtId="0" fontId="33" fillId="3" borderId="7" xfId="0" quotePrefix="1" applyFont="1" applyFill="1" applyBorder="1"/>
    <xf numFmtId="0" fontId="0" fillId="0" borderId="7" xfId="0" applyBorder="1" applyAlignment="1">
      <alignment horizontal="left"/>
    </xf>
    <xf numFmtId="0" fontId="0" fillId="0" borderId="13" xfId="0" applyBorder="1" applyAlignment="1">
      <alignment horizontal="left"/>
    </xf>
    <xf numFmtId="0" fontId="0" fillId="3" borderId="0" xfId="0" applyFill="1" applyAlignment="1">
      <alignment wrapText="1"/>
    </xf>
    <xf numFmtId="0" fontId="8" fillId="0" borderId="0" xfId="0" applyFont="1" applyAlignment="1">
      <alignment vertical="center" wrapText="1"/>
    </xf>
    <xf numFmtId="0" fontId="5" fillId="0" borderId="0" xfId="0" applyFont="1" applyAlignment="1">
      <alignment vertical="center" wrapText="1"/>
    </xf>
    <xf numFmtId="0" fontId="25" fillId="0" borderId="0" xfId="0" applyFont="1" applyAlignment="1">
      <alignment horizontal="center" vertical="center"/>
    </xf>
    <xf numFmtId="0" fontId="35" fillId="0" borderId="0" xfId="0" applyFont="1" applyAlignment="1">
      <alignment horizontal="center" vertical="center"/>
    </xf>
    <xf numFmtId="0" fontId="0" fillId="2" borderId="0" xfId="0" applyFill="1"/>
    <xf numFmtId="0" fontId="36" fillId="0" borderId="0" xfId="0" applyFont="1"/>
    <xf numFmtId="0" fontId="36" fillId="2" borderId="0" xfId="0" applyFont="1" applyFill="1"/>
    <xf numFmtId="0" fontId="37" fillId="2" borderId="0" xfId="0" applyFont="1" applyFill="1" applyAlignment="1">
      <alignment horizontal="center" vertical="center"/>
    </xf>
    <xf numFmtId="0" fontId="38" fillId="2" borderId="0" xfId="0" applyFont="1" applyFill="1" applyAlignment="1">
      <alignment horizontal="center" vertical="center"/>
    </xf>
    <xf numFmtId="0" fontId="38" fillId="2" borderId="0" xfId="0" applyFont="1" applyFill="1" applyAlignment="1">
      <alignment horizontal="justify" vertical="center"/>
    </xf>
    <xf numFmtId="0" fontId="39" fillId="0" borderId="0" xfId="0" applyFont="1"/>
    <xf numFmtId="0" fontId="21" fillId="0" borderId="0" xfId="0" applyFont="1" applyAlignment="1">
      <alignment horizontal="left" vertical="center" wrapText="1"/>
    </xf>
    <xf numFmtId="0" fontId="6" fillId="0" borderId="0" xfId="0" applyFont="1" applyAlignment="1">
      <alignment horizontal="left" vertical="top" wrapText="1"/>
    </xf>
    <xf numFmtId="0" fontId="41" fillId="0" borderId="0" xfId="0" applyFont="1"/>
    <xf numFmtId="0" fontId="33" fillId="0" borderId="0" xfId="0" applyFont="1"/>
    <xf numFmtId="0" fontId="33" fillId="3" borderId="13" xfId="0" applyFont="1" applyFill="1" applyBorder="1"/>
    <xf numFmtId="0" fontId="43" fillId="3" borderId="7" xfId="0" applyFont="1" applyFill="1" applyBorder="1" applyAlignment="1">
      <alignment vertical="center" wrapText="1"/>
    </xf>
    <xf numFmtId="0" fontId="9" fillId="0" borderId="0" xfId="0" applyFont="1" applyAlignment="1">
      <alignment vertical="top"/>
    </xf>
    <xf numFmtId="1" fontId="6" fillId="0" borderId="0" xfId="0" applyNumberFormat="1" applyFont="1" applyAlignment="1">
      <alignment vertical="top"/>
    </xf>
    <xf numFmtId="165" fontId="0" fillId="3" borderId="0" xfId="1" applyNumberFormat="1" applyFont="1" applyFill="1" applyBorder="1"/>
    <xf numFmtId="0" fontId="30" fillId="0" borderId="13" xfId="0" applyFont="1" applyBorder="1" applyAlignment="1">
      <alignment vertical="top"/>
    </xf>
    <xf numFmtId="0" fontId="6" fillId="0" borderId="0" xfId="0" applyFont="1" applyAlignment="1">
      <alignment horizontal="left" vertical="top" indent="1"/>
    </xf>
    <xf numFmtId="0" fontId="47" fillId="0" borderId="0" xfId="0" applyFont="1" applyAlignment="1">
      <alignment vertical="center" wrapText="1"/>
    </xf>
    <xf numFmtId="0" fontId="47" fillId="0" borderId="0" xfId="0" applyFont="1" applyAlignment="1">
      <alignment horizontal="left" vertical="center" wrapText="1"/>
    </xf>
    <xf numFmtId="0" fontId="49" fillId="0" borderId="0" xfId="0" applyFont="1" applyAlignment="1">
      <alignment vertical="center" wrapText="1"/>
    </xf>
    <xf numFmtId="0" fontId="12" fillId="0" borderId="0" xfId="0" applyFont="1" applyAlignment="1">
      <alignment horizontal="center" vertical="center" wrapText="1"/>
    </xf>
    <xf numFmtId="0" fontId="47" fillId="0" borderId="0" xfId="0" applyFont="1" applyAlignment="1">
      <alignment horizontal="justify" vertical="center" wrapText="1"/>
    </xf>
    <xf numFmtId="0" fontId="12" fillId="0" borderId="0" xfId="0" applyFont="1" applyAlignment="1">
      <alignment horizontal="justify" vertical="center" wrapText="1"/>
    </xf>
    <xf numFmtId="0" fontId="52" fillId="0" borderId="0" xfId="0" applyFont="1" applyAlignment="1">
      <alignment vertical="center" wrapText="1"/>
    </xf>
    <xf numFmtId="0" fontId="52" fillId="0" borderId="0" xfId="0" applyFont="1" applyAlignment="1">
      <alignment horizontal="center" vertical="center" wrapText="1"/>
    </xf>
    <xf numFmtId="0" fontId="6" fillId="0" borderId="3" xfId="0" applyFont="1" applyBorder="1" applyAlignment="1">
      <alignment horizontal="center" vertical="top"/>
    </xf>
    <xf numFmtId="0" fontId="6" fillId="0" borderId="10" xfId="0" applyFont="1" applyBorder="1" applyAlignment="1">
      <alignment horizontal="left" vertical="top"/>
    </xf>
    <xf numFmtId="0" fontId="6" fillId="0" borderId="18" xfId="0" applyFont="1" applyBorder="1" applyAlignment="1">
      <alignment horizontal="center" vertical="top"/>
    </xf>
    <xf numFmtId="0" fontId="6" fillId="0" borderId="11" xfId="0" applyFont="1" applyBorder="1" applyAlignment="1">
      <alignment horizontal="left" vertical="top"/>
    </xf>
    <xf numFmtId="0" fontId="6" fillId="0" borderId="5" xfId="0" applyFont="1" applyBorder="1" applyAlignment="1">
      <alignment horizontal="left" vertical="top"/>
    </xf>
    <xf numFmtId="0" fontId="6" fillId="0" borderId="5" xfId="0" applyFont="1" applyBorder="1" applyAlignment="1">
      <alignment vertical="top"/>
    </xf>
    <xf numFmtId="165" fontId="6" fillId="0" borderId="5" xfId="1" applyNumberFormat="1" applyFont="1" applyBorder="1" applyAlignment="1">
      <alignment horizontal="right" vertical="top"/>
    </xf>
    <xf numFmtId="0" fontId="6" fillId="0" borderId="18" xfId="0" applyFont="1" applyBorder="1" applyAlignment="1">
      <alignment vertical="top"/>
    </xf>
    <xf numFmtId="0" fontId="6" fillId="0" borderId="19" xfId="0" applyFont="1" applyBorder="1" applyAlignment="1">
      <alignment horizontal="left" vertical="top"/>
    </xf>
    <xf numFmtId="0" fontId="6" fillId="0" borderId="12" xfId="0" applyFont="1" applyBorder="1" applyAlignment="1">
      <alignment horizontal="left" vertical="top"/>
    </xf>
    <xf numFmtId="0" fontId="6" fillId="0" borderId="3" xfId="0" applyFont="1" applyBorder="1" applyAlignment="1">
      <alignment horizontal="left" vertical="top"/>
    </xf>
    <xf numFmtId="0" fontId="6" fillId="0" borderId="15" xfId="0" applyFont="1" applyBorder="1" applyAlignment="1">
      <alignment horizontal="left" vertical="top"/>
    </xf>
    <xf numFmtId="0" fontId="6" fillId="0" borderId="7" xfId="0" applyFont="1" applyBorder="1" applyAlignment="1">
      <alignment horizontal="left" vertical="top"/>
    </xf>
    <xf numFmtId="0" fontId="12" fillId="0" borderId="7" xfId="0" applyFont="1" applyBorder="1" applyAlignment="1">
      <alignment horizontal="left" vertical="top"/>
    </xf>
    <xf numFmtId="0" fontId="12" fillId="0" borderId="16" xfId="0" applyFont="1" applyBorder="1" applyAlignment="1">
      <alignment horizontal="left" vertical="top"/>
    </xf>
    <xf numFmtId="0" fontId="46" fillId="0" borderId="0" xfId="0" applyFont="1" applyAlignment="1">
      <alignment vertical="top"/>
    </xf>
    <xf numFmtId="0" fontId="9" fillId="0" borderId="11" xfId="0" applyFont="1" applyBorder="1" applyAlignment="1">
      <alignment horizontal="left" vertical="top"/>
    </xf>
    <xf numFmtId="0" fontId="9" fillId="0" borderId="0" xfId="0" applyFont="1" applyAlignment="1">
      <alignment horizontal="left" vertical="top"/>
    </xf>
    <xf numFmtId="0" fontId="9" fillId="0" borderId="5" xfId="0" applyFont="1" applyBorder="1" applyAlignment="1">
      <alignment horizontal="left" vertical="top"/>
    </xf>
    <xf numFmtId="165" fontId="6" fillId="0" borderId="0" xfId="0" applyNumberFormat="1" applyFont="1" applyAlignment="1">
      <alignment horizontal="right" vertical="top"/>
    </xf>
    <xf numFmtId="165" fontId="6" fillId="0" borderId="7" xfId="0" applyNumberFormat="1" applyFont="1" applyBorder="1" applyAlignment="1">
      <alignment horizontal="right" vertical="top"/>
    </xf>
    <xf numFmtId="0" fontId="6" fillId="0" borderId="13" xfId="0" applyFont="1" applyBorder="1" applyAlignment="1">
      <alignment horizontal="left" vertical="top"/>
    </xf>
    <xf numFmtId="0" fontId="6" fillId="0" borderId="14" xfId="0" applyFont="1" applyBorder="1" applyAlignment="1">
      <alignment horizontal="left" vertical="top"/>
    </xf>
    <xf numFmtId="0" fontId="6" fillId="0" borderId="0" xfId="0" applyFont="1" applyAlignment="1">
      <alignment vertical="center"/>
    </xf>
    <xf numFmtId="0" fontId="6" fillId="0" borderId="0" xfId="0" applyFont="1"/>
    <xf numFmtId="1" fontId="6" fillId="0" borderId="0" xfId="0" applyNumberFormat="1" applyFont="1" applyAlignment="1">
      <alignment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166" fontId="6" fillId="0" borderId="10" xfId="0" applyNumberFormat="1" applyFont="1" applyBorder="1" applyAlignment="1">
      <alignment horizontal="right" vertical="center"/>
    </xf>
    <xf numFmtId="0" fontId="3" fillId="0" borderId="0" xfId="0" applyFont="1" applyAlignment="1">
      <alignment horizontal="left" vertical="center" indent="10"/>
    </xf>
    <xf numFmtId="0" fontId="54" fillId="0" borderId="0" xfId="0" applyFont="1" applyAlignment="1">
      <alignment horizontal="left" vertical="center" indent="11"/>
    </xf>
    <xf numFmtId="0" fontId="55" fillId="0" borderId="0" xfId="0" applyFont="1" applyAlignment="1">
      <alignment vertical="center"/>
    </xf>
    <xf numFmtId="0" fontId="56" fillId="0" borderId="0" xfId="0" applyFont="1" applyAlignment="1">
      <alignment horizontal="center" vertical="center"/>
    </xf>
    <xf numFmtId="0" fontId="57" fillId="0" borderId="0" xfId="0" applyFont="1" applyAlignment="1">
      <alignment horizontal="center" vertical="center"/>
    </xf>
    <xf numFmtId="0" fontId="47" fillId="0" borderId="0" xfId="0" applyFont="1" applyAlignment="1">
      <alignment vertical="center"/>
    </xf>
    <xf numFmtId="0" fontId="47" fillId="0" borderId="0" xfId="0" applyFont="1" applyAlignment="1">
      <alignment horizontal="center" vertical="center" wrapText="1"/>
    </xf>
    <xf numFmtId="0" fontId="58" fillId="0" borderId="0" xfId="0" applyFont="1" applyAlignment="1">
      <alignment horizontal="center" vertical="center" wrapText="1"/>
    </xf>
    <xf numFmtId="1" fontId="47" fillId="0" borderId="0" xfId="0" applyNumberFormat="1" applyFont="1" applyAlignment="1">
      <alignment vertical="center"/>
    </xf>
    <xf numFmtId="0" fontId="43" fillId="0" borderId="0" xfId="0" applyFont="1" applyAlignment="1">
      <alignment horizontal="center" vertical="center" wrapText="1"/>
    </xf>
    <xf numFmtId="0" fontId="47" fillId="0" borderId="0" xfId="0" applyFont="1" applyAlignment="1">
      <alignment vertical="top" wrapText="1"/>
    </xf>
    <xf numFmtId="0" fontId="47" fillId="0" borderId="0" xfId="0" quotePrefix="1" applyFont="1" applyAlignment="1">
      <alignment horizontal="right" vertical="center" wrapText="1"/>
    </xf>
    <xf numFmtId="0" fontId="0" fillId="0" borderId="0" xfId="0" applyAlignment="1">
      <alignment horizontal="right"/>
    </xf>
    <xf numFmtId="0" fontId="43" fillId="0" borderId="0" xfId="0" applyFont="1" applyAlignment="1">
      <alignment horizontal="right" vertical="center"/>
    </xf>
    <xf numFmtId="0" fontId="57" fillId="0" borderId="0" xfId="0" applyFont="1" applyAlignment="1">
      <alignment horizontal="center" vertical="center" wrapText="1"/>
    </xf>
    <xf numFmtId="0" fontId="12" fillId="0" borderId="0" xfId="0" applyFont="1" applyAlignment="1">
      <alignment vertical="center" wrapText="1"/>
    </xf>
    <xf numFmtId="49" fontId="47" fillId="0" borderId="0" xfId="0" applyNumberFormat="1" applyFont="1" applyAlignment="1">
      <alignment vertical="center" wrapText="1"/>
    </xf>
    <xf numFmtId="0" fontId="58" fillId="0" borderId="0" xfId="0" applyFont="1" applyAlignment="1">
      <alignment vertical="center" wrapText="1"/>
    </xf>
    <xf numFmtId="0" fontId="0" fillId="3" borderId="9" xfId="0" applyFill="1" applyBorder="1"/>
    <xf numFmtId="0" fontId="43" fillId="0" borderId="0" xfId="0" applyFont="1" applyAlignment="1">
      <alignment horizontal="left" vertical="center" wrapText="1"/>
    </xf>
    <xf numFmtId="165" fontId="0" fillId="3" borderId="0" xfId="1" quotePrefix="1" applyNumberFormat="1" applyFont="1" applyFill="1" applyBorder="1"/>
    <xf numFmtId="0" fontId="6" fillId="0" borderId="0" xfId="0" quotePrefix="1" applyFont="1" applyAlignment="1">
      <alignment horizontal="left" vertical="top"/>
    </xf>
    <xf numFmtId="0" fontId="40" fillId="0" borderId="0" xfId="0" applyFont="1"/>
    <xf numFmtId="49" fontId="40" fillId="0" borderId="0" xfId="0" quotePrefix="1" applyNumberFormat="1" applyFont="1"/>
    <xf numFmtId="49" fontId="40" fillId="0" borderId="0" xfId="0" applyNumberFormat="1" applyFont="1"/>
    <xf numFmtId="0" fontId="0" fillId="3" borderId="0" xfId="0" quotePrefix="1" applyFill="1"/>
    <xf numFmtId="49" fontId="33" fillId="3" borderId="0" xfId="0" quotePrefix="1" applyNumberFormat="1" applyFont="1" applyFill="1"/>
    <xf numFmtId="14" fontId="40" fillId="0" borderId="0" xfId="0" applyNumberFormat="1" applyFont="1"/>
    <xf numFmtId="0" fontId="60" fillId="0" borderId="0" xfId="0" applyFont="1" applyAlignment="1">
      <alignment horizontal="left" vertical="center" indent="1"/>
    </xf>
    <xf numFmtId="0" fontId="40" fillId="0" borderId="0" xfId="0" applyFont="1" applyAlignment="1">
      <alignment vertical="top"/>
    </xf>
    <xf numFmtId="1" fontId="0" fillId="3" borderId="0" xfId="0" quotePrefix="1" applyNumberFormat="1" applyFill="1" applyAlignment="1">
      <alignment vertical="top"/>
    </xf>
    <xf numFmtId="167" fontId="0" fillId="0" borderId="0" xfId="0" applyNumberFormat="1"/>
    <xf numFmtId="15" fontId="33" fillId="3" borderId="0" xfId="0" quotePrefix="1" applyNumberFormat="1" applyFont="1" applyFill="1"/>
    <xf numFmtId="165" fontId="0" fillId="3" borderId="0" xfId="1" quotePrefix="1" applyNumberFormat="1" applyFont="1" applyFill="1" applyBorder="1" applyAlignment="1">
      <alignment horizontal="left"/>
    </xf>
    <xf numFmtId="0" fontId="31" fillId="0" borderId="0" xfId="0" applyFont="1"/>
    <xf numFmtId="0" fontId="61" fillId="0" borderId="0" xfId="0" applyFont="1" applyAlignment="1">
      <alignment horizontal="left" vertical="top"/>
    </xf>
    <xf numFmtId="0" fontId="18" fillId="0" borderId="15" xfId="0" applyFont="1" applyBorder="1" applyAlignment="1">
      <alignment horizontal="left" vertical="top"/>
    </xf>
    <xf numFmtId="0" fontId="6" fillId="0" borderId="0" xfId="0" applyFont="1" applyAlignment="1">
      <alignment horizontal="center" vertical="center" wrapText="1"/>
    </xf>
    <xf numFmtId="0" fontId="61" fillId="0" borderId="5" xfId="0" applyFont="1" applyBorder="1" applyAlignment="1">
      <alignment horizontal="left" vertical="top"/>
    </xf>
    <xf numFmtId="0" fontId="6" fillId="0" borderId="11" xfId="0" applyFont="1" applyBorder="1" applyAlignment="1">
      <alignment vertical="top"/>
    </xf>
    <xf numFmtId="0" fontId="45" fillId="0" borderId="11" xfId="0" applyFont="1" applyBorder="1" applyAlignment="1">
      <alignment vertical="top"/>
    </xf>
    <xf numFmtId="0" fontId="45" fillId="0" borderId="0" xfId="0" applyFont="1" applyAlignment="1">
      <alignment vertical="top"/>
    </xf>
    <xf numFmtId="0" fontId="6" fillId="0" borderId="12" xfId="0" applyFont="1" applyBorder="1" applyAlignment="1">
      <alignment vertical="top"/>
    </xf>
    <xf numFmtId="0" fontId="6" fillId="0" borderId="13" xfId="0" applyFont="1" applyBorder="1" applyAlignment="1">
      <alignment vertical="top"/>
    </xf>
    <xf numFmtId="0" fontId="47" fillId="0" borderId="15" xfId="0" applyFont="1" applyBorder="1" applyAlignment="1">
      <alignment horizontal="left" vertical="top"/>
    </xf>
    <xf numFmtId="0" fontId="47" fillId="0" borderId="7" xfId="0" applyFont="1" applyBorder="1" applyAlignment="1">
      <alignment horizontal="left" vertical="top"/>
    </xf>
    <xf numFmtId="0" fontId="6" fillId="0" borderId="16" xfId="0" applyFont="1"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6" fillId="0" borderId="7" xfId="0" applyFont="1" applyBorder="1" applyAlignment="1">
      <alignment horizontal="left" vertical="center"/>
    </xf>
    <xf numFmtId="0" fontId="63" fillId="4" borderId="0" xfId="0" applyFont="1" applyFill="1" applyAlignment="1">
      <alignment horizontal="left" vertical="top"/>
    </xf>
    <xf numFmtId="0" fontId="64" fillId="0" borderId="0" xfId="0" applyFont="1" applyAlignment="1">
      <alignment horizontal="left" vertical="top"/>
    </xf>
    <xf numFmtId="0" fontId="33" fillId="3" borderId="0" xfId="0" applyFont="1" applyFill="1" applyAlignment="1">
      <alignment wrapText="1"/>
    </xf>
    <xf numFmtId="0" fontId="6" fillId="0" borderId="15" xfId="0" applyFont="1" applyBorder="1" applyAlignment="1">
      <alignment horizontal="center" vertical="top"/>
    </xf>
    <xf numFmtId="165" fontId="6" fillId="0" borderId="16" xfId="1" applyNumberFormat="1" applyFont="1" applyBorder="1" applyAlignment="1">
      <alignment horizontal="left" vertical="center"/>
    </xf>
    <xf numFmtId="0" fontId="6" fillId="0" borderId="12" xfId="0" applyFont="1" applyBorder="1" applyAlignment="1">
      <alignment horizontal="center" vertical="top"/>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42" fillId="0" borderId="7" xfId="0" applyFont="1" applyBorder="1" applyAlignment="1">
      <alignment horizontal="left" vertical="center" wrapText="1"/>
    </xf>
    <xf numFmtId="0" fontId="42" fillId="0" borderId="0" xfId="0" applyFont="1" applyAlignment="1">
      <alignment horizontal="left" vertical="center" wrapText="1"/>
    </xf>
    <xf numFmtId="0" fontId="0" fillId="0" borderId="15"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40" fillId="0" borderId="7" xfId="0" applyFont="1" applyBorder="1" applyAlignment="1">
      <alignment horizontal="left"/>
    </xf>
    <xf numFmtId="0" fontId="44" fillId="0" borderId="0" xfId="0" applyFont="1" applyAlignment="1">
      <alignment horizontal="left"/>
    </xf>
    <xf numFmtId="0" fontId="44" fillId="0" borderId="7" xfId="0" applyFont="1" applyBorder="1" applyAlignment="1">
      <alignment horizontal="left"/>
    </xf>
    <xf numFmtId="0" fontId="27" fillId="0" borderId="0" xfId="0" applyFont="1" applyAlignment="1">
      <alignment horizontal="center" vertical="top"/>
    </xf>
    <xf numFmtId="0" fontId="6" fillId="0" borderId="0" xfId="0" applyFont="1" applyAlignment="1">
      <alignment horizontal="left" vertical="top" wrapText="1"/>
    </xf>
    <xf numFmtId="0" fontId="10" fillId="0" borderId="0" xfId="0" applyFont="1" applyAlignment="1">
      <alignment horizontal="center" vertical="top"/>
    </xf>
    <xf numFmtId="0" fontId="32" fillId="0" borderId="0" xfId="0" applyFont="1" applyAlignment="1">
      <alignment horizontal="center" vertical="top"/>
    </xf>
    <xf numFmtId="0" fontId="6" fillId="0" borderId="0" xfId="0" applyFont="1" applyAlignment="1">
      <alignment horizontal="center" vertical="top"/>
    </xf>
    <xf numFmtId="0" fontId="0" fillId="0" borderId="0" xfId="0" applyAlignment="1">
      <alignment horizontal="center" vertical="top"/>
    </xf>
    <xf numFmtId="0" fontId="29" fillId="0" borderId="0" xfId="0" applyFont="1" applyAlignment="1">
      <alignment horizontal="center" vertical="top"/>
    </xf>
    <xf numFmtId="0" fontId="12" fillId="0" borderId="0" xfId="0" applyFont="1" applyAlignment="1">
      <alignment horizontal="center" vertical="top"/>
    </xf>
    <xf numFmtId="0" fontId="12" fillId="0" borderId="0" xfId="0" applyFont="1" applyAlignment="1">
      <alignment horizontal="left" vertical="top" indent="5"/>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14" fillId="0" borderId="3" xfId="0" applyFont="1" applyBorder="1" applyAlignment="1">
      <alignment horizontal="center" vertical="center"/>
    </xf>
    <xf numFmtId="0" fontId="12" fillId="0" borderId="15" xfId="0" applyFont="1" applyBorder="1" applyAlignment="1">
      <alignment horizontal="left" vertical="center" wrapText="1" indent="1"/>
    </xf>
    <xf numFmtId="0" fontId="12" fillId="0" borderId="7" xfId="0" applyFont="1" applyBorder="1" applyAlignment="1">
      <alignment horizontal="left" vertical="center" wrapText="1" indent="1"/>
    </xf>
    <xf numFmtId="0" fontId="12" fillId="0" borderId="16" xfId="0" applyFont="1" applyBorder="1" applyAlignment="1">
      <alignment horizontal="left" vertical="center" wrapText="1" indent="1"/>
    </xf>
    <xf numFmtId="0" fontId="12" fillId="0" borderId="11" xfId="0" applyFont="1" applyBorder="1" applyAlignment="1">
      <alignment horizontal="left" vertical="center" wrapText="1" indent="1"/>
    </xf>
    <xf numFmtId="0" fontId="12" fillId="0" borderId="0" xfId="0" applyFont="1" applyAlignment="1">
      <alignment horizontal="left" vertical="center" wrapText="1" indent="1"/>
    </xf>
    <xf numFmtId="0" fontId="12" fillId="0" borderId="5" xfId="0" applyFont="1" applyBorder="1" applyAlignment="1">
      <alignment horizontal="left" vertical="center" wrapText="1" indent="1"/>
    </xf>
    <xf numFmtId="0" fontId="12" fillId="0" borderId="12" xfId="0" applyFont="1" applyBorder="1" applyAlignment="1">
      <alignment horizontal="left" vertical="center" wrapText="1" indent="1"/>
    </xf>
    <xf numFmtId="0" fontId="12" fillId="0" borderId="13" xfId="0" applyFont="1" applyBorder="1" applyAlignment="1">
      <alignment horizontal="left" vertical="center" wrapText="1" indent="1"/>
    </xf>
    <xf numFmtId="0" fontId="12" fillId="0" borderId="14" xfId="0" applyFont="1" applyBorder="1" applyAlignment="1">
      <alignment horizontal="left" vertical="center" wrapText="1" indent="1"/>
    </xf>
    <xf numFmtId="0" fontId="12" fillId="0" borderId="8" xfId="0" applyFont="1" applyBorder="1" applyAlignment="1">
      <alignment horizontal="left" vertical="center" wrapText="1" indent="1"/>
    </xf>
    <xf numFmtId="0" fontId="12" fillId="0" borderId="9" xfId="0" applyFont="1" applyBorder="1" applyAlignment="1">
      <alignment horizontal="left" vertical="center" wrapText="1" indent="1"/>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2" fillId="0" borderId="15" xfId="0" applyFont="1" applyBorder="1" applyAlignment="1">
      <alignment horizontal="left" vertical="center" indent="1"/>
    </xf>
    <xf numFmtId="0" fontId="12" fillId="0" borderId="7" xfId="0" applyFont="1" applyBorder="1" applyAlignment="1">
      <alignment horizontal="left" vertical="center" indent="1"/>
    </xf>
    <xf numFmtId="0" fontId="12" fillId="0" borderId="11" xfId="0" applyFont="1" applyBorder="1" applyAlignment="1">
      <alignment horizontal="left" vertical="center" indent="1"/>
    </xf>
    <xf numFmtId="0" fontId="12" fillId="0" borderId="0" xfId="0" applyFont="1" applyAlignment="1">
      <alignment horizontal="left" vertical="center" indent="1"/>
    </xf>
    <xf numFmtId="0" fontId="12" fillId="0" borderId="12" xfId="0" applyFont="1" applyBorder="1" applyAlignment="1">
      <alignment horizontal="left" vertical="center" indent="1"/>
    </xf>
    <xf numFmtId="0" fontId="12" fillId="0" borderId="13" xfId="0" applyFont="1" applyBorder="1" applyAlignment="1">
      <alignment horizontal="left" vertical="center" indent="1"/>
    </xf>
    <xf numFmtId="0" fontId="12" fillId="0" borderId="15" xfId="0" applyFont="1" applyBorder="1" applyAlignment="1">
      <alignment horizontal="center" vertical="center"/>
    </xf>
    <xf numFmtId="0" fontId="12" fillId="0" borderId="7"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0" fillId="0" borderId="0" xfId="0" applyAlignment="1">
      <alignment vertical="top"/>
    </xf>
    <xf numFmtId="0" fontId="12" fillId="0" borderId="0" xfId="0" applyFont="1" applyAlignment="1">
      <alignment vertical="top"/>
    </xf>
    <xf numFmtId="0" fontId="5" fillId="0" borderId="11" xfId="0" applyFont="1" applyBorder="1" applyAlignment="1">
      <alignment horizontal="center" vertical="top"/>
    </xf>
    <xf numFmtId="0" fontId="5" fillId="0" borderId="0" xfId="0" applyFont="1" applyAlignment="1">
      <alignment horizontal="center" vertical="top"/>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18" fillId="0" borderId="0" xfId="0" applyFont="1" applyAlignment="1">
      <alignment horizontal="justify" vertical="top" wrapText="1"/>
    </xf>
    <xf numFmtId="0" fontId="18" fillId="0" borderId="5" xfId="0" applyFont="1" applyBorder="1" applyAlignment="1">
      <alignment horizontal="justify" vertical="top" wrapText="1"/>
    </xf>
    <xf numFmtId="0" fontId="5" fillId="0" borderId="11" xfId="0" applyFont="1" applyBorder="1" applyAlignment="1">
      <alignment horizontal="left" vertical="top"/>
    </xf>
    <xf numFmtId="0" fontId="5" fillId="0" borderId="0" xfId="0" applyFont="1" applyAlignment="1">
      <alignment horizontal="left" vertical="top"/>
    </xf>
    <xf numFmtId="0" fontId="25" fillId="0" borderId="12" xfId="0" applyFont="1" applyBorder="1" applyAlignment="1">
      <alignment horizontal="center" vertical="top"/>
    </xf>
    <xf numFmtId="0" fontId="25" fillId="0" borderId="13" xfId="0" applyFont="1" applyBorder="1" applyAlignment="1">
      <alignment horizontal="center" vertical="top"/>
    </xf>
    <xf numFmtId="0" fontId="7" fillId="0" borderId="11" xfId="0" applyFont="1" applyBorder="1" applyAlignment="1">
      <alignment horizontal="center" vertical="top"/>
    </xf>
    <xf numFmtId="0" fontId="7" fillId="0" borderId="0" xfId="0" applyFont="1" applyAlignment="1">
      <alignment horizontal="center" vertical="top"/>
    </xf>
    <xf numFmtId="0" fontId="5" fillId="0" borderId="15" xfId="0" applyFont="1" applyBorder="1" applyAlignment="1">
      <alignment horizontal="center" vertical="center"/>
    </xf>
    <xf numFmtId="0" fontId="5" fillId="0" borderId="7" xfId="0" applyFont="1" applyBorder="1" applyAlignment="1">
      <alignment horizontal="center" vertical="center"/>
    </xf>
    <xf numFmtId="0" fontId="5" fillId="0" borderId="16" xfId="0" applyFont="1" applyBorder="1" applyAlignment="1">
      <alignment horizontal="center" vertical="center"/>
    </xf>
    <xf numFmtId="0" fontId="47" fillId="0" borderId="0" xfId="0" applyFont="1" applyAlignment="1">
      <alignment vertical="center" wrapText="1"/>
    </xf>
    <xf numFmtId="0" fontId="47" fillId="0" borderId="0" xfId="0" applyFont="1" applyAlignment="1">
      <alignment horizontal="left" vertical="center" wrapText="1"/>
    </xf>
    <xf numFmtId="0" fontId="12" fillId="0" borderId="0" xfId="0" applyFont="1" applyAlignment="1">
      <alignment horizontal="center" vertical="center" wrapText="1"/>
    </xf>
    <xf numFmtId="0" fontId="50" fillId="0" borderId="0" xfId="0" applyFont="1" applyAlignment="1">
      <alignment horizontal="left" vertical="center" wrapText="1"/>
    </xf>
    <xf numFmtId="0" fontId="49" fillId="0" borderId="0" xfId="0" applyFont="1" applyAlignment="1">
      <alignment vertical="center" wrapText="1"/>
    </xf>
    <xf numFmtId="0" fontId="12" fillId="0" borderId="0" xfId="0" applyFont="1" applyAlignment="1">
      <alignment vertical="center" wrapText="1"/>
    </xf>
    <xf numFmtId="0" fontId="52" fillId="0" borderId="0" xfId="0" applyFont="1" applyAlignment="1">
      <alignment vertical="center" wrapText="1"/>
    </xf>
    <xf numFmtId="0" fontId="47" fillId="0" borderId="0" xfId="0" applyFont="1" applyAlignment="1">
      <alignment horizontal="center" vertical="center" wrapText="1"/>
    </xf>
    <xf numFmtId="0" fontId="6" fillId="0" borderId="0" xfId="0" applyFont="1" applyAlignment="1">
      <alignment horizontal="center" vertical="center" wrapText="1"/>
    </xf>
    <xf numFmtId="0" fontId="58" fillId="0" borderId="0" xfId="0" applyFont="1" applyAlignment="1">
      <alignment horizontal="center" vertical="center" wrapText="1"/>
    </xf>
    <xf numFmtId="0" fontId="47" fillId="0" borderId="1" xfId="0" applyFont="1" applyBorder="1" applyAlignment="1">
      <alignment horizontal="center" vertical="center" wrapText="1"/>
    </xf>
    <xf numFmtId="0" fontId="47" fillId="0" borderId="23" xfId="0" applyFont="1" applyBorder="1" applyAlignment="1">
      <alignment horizontal="center" vertical="center" wrapText="1"/>
    </xf>
    <xf numFmtId="0" fontId="47" fillId="0" borderId="24" xfId="0" applyFont="1" applyBorder="1" applyAlignment="1">
      <alignment horizontal="left" vertical="top" wrapText="1"/>
    </xf>
    <xf numFmtId="0" fontId="47" fillId="0" borderId="24" xfId="0" applyFont="1" applyBorder="1" applyAlignment="1">
      <alignment horizontal="center" vertical="center" wrapText="1"/>
    </xf>
    <xf numFmtId="0" fontId="51" fillId="0" borderId="0" xfId="0" quotePrefix="1" applyFont="1" applyAlignment="1">
      <alignment horizontal="left" vertical="center" wrapText="1"/>
    </xf>
    <xf numFmtId="0" fontId="51" fillId="0" borderId="0" xfId="0" applyFont="1" applyAlignment="1">
      <alignment horizontal="left" vertical="center" wrapText="1"/>
    </xf>
    <xf numFmtId="0" fontId="48" fillId="0" borderId="0" xfId="0" applyFont="1" applyAlignment="1">
      <alignment horizontal="left" vertical="center" wrapText="1"/>
    </xf>
    <xf numFmtId="0" fontId="49" fillId="0" borderId="0" xfId="0" applyFont="1" applyAlignment="1">
      <alignment horizontal="center" vertical="center" wrapText="1"/>
    </xf>
    <xf numFmtId="0" fontId="47" fillId="0" borderId="0" xfId="0" applyFont="1" applyAlignment="1">
      <alignment horizontal="justify" vertical="top" wrapText="1"/>
    </xf>
    <xf numFmtId="0" fontId="47" fillId="0" borderId="0" xfId="0" applyFont="1" applyAlignment="1">
      <alignment horizontal="justify" vertical="center" wrapText="1"/>
    </xf>
    <xf numFmtId="0" fontId="51" fillId="0" borderId="0" xfId="0" applyFont="1" applyAlignment="1">
      <alignment vertical="center" wrapText="1"/>
    </xf>
    <xf numFmtId="0" fontId="6" fillId="0" borderId="13" xfId="0" applyFont="1" applyBorder="1" applyAlignment="1">
      <alignment horizontal="center" vertical="top"/>
    </xf>
    <xf numFmtId="0" fontId="6" fillId="0" borderId="14" xfId="0" applyFont="1" applyBorder="1" applyAlignment="1">
      <alignment horizontal="center" vertical="top"/>
    </xf>
    <xf numFmtId="0" fontId="45" fillId="0" borderId="0" xfId="0" applyFont="1" applyAlignment="1">
      <alignment horizontal="center" vertical="top"/>
    </xf>
    <xf numFmtId="0" fontId="6" fillId="0" borderId="5" xfId="0" applyFont="1" applyBorder="1" applyAlignment="1">
      <alignment horizontal="center" vertical="top"/>
    </xf>
    <xf numFmtId="0" fontId="45" fillId="0" borderId="5" xfId="0" applyFont="1" applyBorder="1" applyAlignment="1">
      <alignment horizontal="center" vertical="top"/>
    </xf>
    <xf numFmtId="0" fontId="17" fillId="0" borderId="0" xfId="0" applyFont="1" applyAlignment="1">
      <alignment horizontal="center" vertical="top"/>
    </xf>
    <xf numFmtId="0" fontId="6" fillId="0" borderId="8" xfId="0" applyFont="1" applyBorder="1" applyAlignment="1">
      <alignment horizontal="center" vertical="top"/>
    </xf>
    <xf numFmtId="0" fontId="6" fillId="0" borderId="9" xfId="0" applyFont="1" applyBorder="1" applyAlignment="1">
      <alignment horizontal="center" vertical="top"/>
    </xf>
    <xf numFmtId="0" fontId="6" fillId="0" borderId="10" xfId="0" applyFont="1" applyBorder="1" applyAlignment="1">
      <alignment horizontal="center" vertical="top"/>
    </xf>
    <xf numFmtId="0" fontId="9" fillId="0" borderId="12" xfId="0" applyFont="1" applyBorder="1" applyAlignment="1">
      <alignment horizontal="center" vertical="top"/>
    </xf>
    <xf numFmtId="0" fontId="9" fillId="0" borderId="13" xfId="0" applyFont="1" applyBorder="1" applyAlignment="1">
      <alignment horizontal="center" vertical="top"/>
    </xf>
    <xf numFmtId="0" fontId="9" fillId="0" borderId="14" xfId="0" applyFont="1" applyBorder="1" applyAlignment="1">
      <alignment horizontal="center" vertical="top"/>
    </xf>
    <xf numFmtId="0" fontId="0" fillId="0" borderId="0" xfId="0" applyAlignment="1">
      <alignment horizontal="left" vertical="top"/>
    </xf>
    <xf numFmtId="0" fontId="6" fillId="0" borderId="5" xfId="0" applyFont="1" applyBorder="1" applyAlignment="1">
      <alignment horizontal="left" vertical="top" wrapText="1"/>
    </xf>
    <xf numFmtId="0" fontId="46" fillId="0" borderId="8" xfId="0" applyFont="1" applyBorder="1" applyAlignment="1">
      <alignment horizontal="center" vertical="center"/>
    </xf>
    <xf numFmtId="0" fontId="46" fillId="0" borderId="9" xfId="0" applyFont="1" applyBorder="1" applyAlignment="1">
      <alignment horizontal="center" vertical="center"/>
    </xf>
    <xf numFmtId="0" fontId="46" fillId="0" borderId="10" xfId="0" applyFont="1" applyBorder="1" applyAlignment="1">
      <alignment horizontal="center" vertical="center"/>
    </xf>
    <xf numFmtId="0" fontId="9" fillId="0" borderId="11" xfId="0" applyFont="1" applyBorder="1" applyAlignment="1">
      <alignment horizontal="center" vertical="top"/>
    </xf>
    <xf numFmtId="0" fontId="9" fillId="0" borderId="0" xfId="0" applyFont="1" applyAlignment="1">
      <alignment horizontal="center" vertical="top"/>
    </xf>
    <xf numFmtId="0" fontId="9" fillId="0" borderId="5" xfId="0" applyFont="1" applyBorder="1" applyAlignment="1">
      <alignment horizontal="center" vertical="top"/>
    </xf>
    <xf numFmtId="0" fontId="8" fillId="0" borderId="0" xfId="0" applyFont="1" applyAlignment="1">
      <alignment horizontal="center" vertical="center" wrapText="1"/>
    </xf>
    <xf numFmtId="0" fontId="53" fillId="0" borderId="0" xfId="0" applyFont="1" applyAlignment="1">
      <alignment horizontal="center" vertical="center"/>
    </xf>
    <xf numFmtId="0" fontId="6" fillId="0" borderId="0" xfId="0" applyFont="1" applyAlignment="1">
      <alignment horizontal="justify" vertical="center"/>
    </xf>
    <xf numFmtId="0" fontId="6" fillId="0" borderId="0" xfId="0" applyFont="1" applyAlignment="1">
      <alignment horizontal="justify" vertical="top"/>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0" xfId="0" applyFont="1" applyAlignment="1">
      <alignment horizontal="center"/>
    </xf>
    <xf numFmtId="0" fontId="6" fillId="5" borderId="12" xfId="0" quotePrefix="1" applyFont="1" applyFill="1" applyBorder="1" applyAlignment="1">
      <alignment horizontal="left" vertical="center" wrapText="1"/>
    </xf>
    <xf numFmtId="0" fontId="6" fillId="5" borderId="13" xfId="0" applyFont="1" applyFill="1" applyBorder="1" applyAlignment="1">
      <alignment horizontal="left" vertical="center" wrapText="1"/>
    </xf>
    <xf numFmtId="0" fontId="6" fillId="5" borderId="14" xfId="0" applyFont="1" applyFill="1" applyBorder="1" applyAlignment="1">
      <alignment horizontal="left" vertical="center" wrapText="1"/>
    </xf>
    <xf numFmtId="0" fontId="6" fillId="0" borderId="15" xfId="0" applyFont="1" applyBorder="1" applyAlignment="1">
      <alignment horizontal="left" vertical="top" wrapText="1"/>
    </xf>
    <xf numFmtId="0" fontId="6" fillId="0" borderId="7" xfId="0" applyFont="1" applyBorder="1" applyAlignment="1">
      <alignment horizontal="left" vertical="top" wrapText="1"/>
    </xf>
    <xf numFmtId="0" fontId="6" fillId="0" borderId="16" xfId="0" applyFont="1" applyBorder="1" applyAlignment="1">
      <alignment horizontal="left" vertical="top" wrapText="1"/>
    </xf>
    <xf numFmtId="0" fontId="6" fillId="0" borderId="0" xfId="0" applyFont="1" applyAlignment="1">
      <alignment horizontal="center" vertical="center"/>
    </xf>
    <xf numFmtId="1" fontId="6" fillId="0" borderId="0" xfId="0" applyNumberFormat="1" applyFont="1" applyAlignment="1">
      <alignment horizontal="center" vertical="center"/>
    </xf>
    <xf numFmtId="0" fontId="45" fillId="0" borderId="0" xfId="0" applyFont="1" applyAlignment="1">
      <alignment horizontal="center" vertical="center"/>
    </xf>
    <xf numFmtId="0" fontId="18" fillId="0" borderId="0" xfId="0" applyFont="1" applyAlignment="1">
      <alignment horizontal="justify" vertical="top"/>
    </xf>
    <xf numFmtId="0" fontId="28" fillId="0" borderId="0" xfId="0" applyFont="1" applyAlignment="1">
      <alignment horizontal="center" vertical="top"/>
    </xf>
    <xf numFmtId="2" fontId="0" fillId="0" borderId="0" xfId="0" applyNumberFormat="1" applyAlignment="1">
      <alignment horizontal="left" vertical="top" wrapText="1"/>
    </xf>
    <xf numFmtId="0" fontId="18" fillId="0" borderId="0" xfId="0" applyFont="1" applyAlignment="1">
      <alignment horizontal="left" vertical="top" wrapText="1"/>
    </xf>
    <xf numFmtId="0" fontId="22" fillId="0" borderId="0" xfId="0" applyFont="1" applyAlignment="1">
      <alignment horizontal="justify" vertical="top"/>
    </xf>
    <xf numFmtId="0" fontId="18" fillId="0" borderId="0" xfId="0" applyFont="1" applyAlignment="1">
      <alignment horizontal="left" vertical="top"/>
    </xf>
    <xf numFmtId="0" fontId="6" fillId="0" borderId="0" xfId="0" applyFont="1" applyAlignment="1">
      <alignment horizontal="left" vertical="top"/>
    </xf>
    <xf numFmtId="0" fontId="21" fillId="0" borderId="0" xfId="0" applyFont="1" applyAlignment="1">
      <alignment horizontal="left" vertical="center" wrapText="1"/>
    </xf>
    <xf numFmtId="0" fontId="5" fillId="0" borderId="0" xfId="0" applyFont="1" applyAlignment="1">
      <alignment vertical="center" wrapText="1"/>
    </xf>
    <xf numFmtId="0" fontId="56" fillId="0" borderId="0" xfId="0" applyFont="1" applyAlignment="1">
      <alignment horizontal="center" vertical="center" wrapText="1"/>
    </xf>
    <xf numFmtId="1" fontId="47" fillId="0" borderId="0" xfId="0" applyNumberFormat="1" applyFont="1" applyAlignment="1">
      <alignment horizontal="left" vertical="center" wrapText="1"/>
    </xf>
    <xf numFmtId="0" fontId="6" fillId="0" borderId="0" xfId="0" applyFont="1" applyAlignment="1">
      <alignment horizontal="left" vertical="center" wrapText="1"/>
    </xf>
    <xf numFmtId="0" fontId="43" fillId="0" borderId="0" xfId="0" applyFont="1" applyAlignment="1">
      <alignment horizontal="left" vertical="center" wrapText="1"/>
    </xf>
    <xf numFmtId="0" fontId="47" fillId="0" borderId="0" xfId="0" applyFont="1" applyAlignment="1">
      <alignment horizontal="left" vertical="top" wrapText="1"/>
    </xf>
    <xf numFmtId="0" fontId="43" fillId="0" borderId="0" xfId="0" applyFont="1" applyAlignment="1">
      <alignment horizontal="left" vertical="center"/>
    </xf>
    <xf numFmtId="0" fontId="0" fillId="0" borderId="0" xfId="0" applyAlignment="1">
      <alignment horizontal="center" vertical="center" wrapText="1"/>
    </xf>
    <xf numFmtId="0" fontId="46" fillId="0" borderId="0" xfId="0" applyFont="1" applyAlignment="1">
      <alignment horizontal="center" vertical="center" wrapText="1"/>
    </xf>
  </cellXfs>
  <cellStyles count="6">
    <cellStyle name="Comma" xfId="1" builtinId="3"/>
    <cellStyle name="Comma 2" xfId="3" xr:uid="{1B519426-63AD-4AE8-8379-3734BDF932DB}"/>
    <cellStyle name="Comma 2 2" xfId="5" xr:uid="{D8369BF7-708C-47EC-A6CE-394B795C298F}"/>
    <cellStyle name="Comma 3" xfId="2" xr:uid="{AB392F14-87F3-4B66-8ED9-35B35CED9D71}"/>
    <cellStyle name="Comma 3 2" xfId="4" xr:uid="{2A0B3044-2ED0-49FB-A9F9-08CEBDC2897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7</xdr:col>
      <xdr:colOff>705971</xdr:colOff>
      <xdr:row>1</xdr:row>
      <xdr:rowOff>30256</xdr:rowOff>
    </xdr:from>
    <xdr:to>
      <xdr:col>7</xdr:col>
      <xdr:colOff>1281852</xdr:colOff>
      <xdr:row>2</xdr:row>
      <xdr:rowOff>255730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305736" y="220756"/>
          <a:ext cx="575881" cy="494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85725</xdr:colOff>
      <xdr:row>1</xdr:row>
      <xdr:rowOff>19050</xdr:rowOff>
    </xdr:from>
    <xdr:to>
      <xdr:col>3</xdr:col>
      <xdr:colOff>609500</xdr:colOff>
      <xdr:row>3</xdr:row>
      <xdr:rowOff>171364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762000" y="285750"/>
          <a:ext cx="800000" cy="685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1</xdr:row>
      <xdr:rowOff>19050</xdr:rowOff>
    </xdr:from>
    <xdr:to>
      <xdr:col>3</xdr:col>
      <xdr:colOff>380900</xdr:colOff>
      <xdr:row>3</xdr:row>
      <xdr:rowOff>114214</xdr:rowOff>
    </xdr:to>
    <xdr:pic>
      <xdr:nvPicPr>
        <xdr:cNvPr id="2" name="Picture 1">
          <a:extLst>
            <a:ext uri="{FF2B5EF4-FFF2-40B4-BE49-F238E27FC236}">
              <a16:creationId xmlns:a16="http://schemas.microsoft.com/office/drawing/2014/main" id="{9DB70CF5-52AB-42CD-B2F3-9BBC280B506C}"/>
            </a:ext>
          </a:extLst>
        </xdr:cNvPr>
        <xdr:cNvPicPr>
          <a:picLocks noChangeAspect="1"/>
        </xdr:cNvPicPr>
      </xdr:nvPicPr>
      <xdr:blipFill>
        <a:blip xmlns:r="http://schemas.openxmlformats.org/officeDocument/2006/relationships" r:embed="rId1"/>
        <a:stretch>
          <a:fillRect/>
        </a:stretch>
      </xdr:blipFill>
      <xdr:spPr>
        <a:xfrm>
          <a:off x="653415" y="201930"/>
          <a:ext cx="809525" cy="6742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495300</xdr:colOff>
      <xdr:row>0</xdr:row>
      <xdr:rowOff>180975</xdr:rowOff>
    </xdr:from>
    <xdr:to>
      <xdr:col>2</xdr:col>
      <xdr:colOff>209550</xdr:colOff>
      <xdr:row>4</xdr:row>
      <xdr:rowOff>9525</xdr:rowOff>
    </xdr:to>
    <xdr:pic>
      <xdr:nvPicPr>
        <xdr:cNvPr id="2" name="Picture 2" descr="Logo&#10;&#10;Description automatically generated">
          <a:extLst>
            <a:ext uri="{FF2B5EF4-FFF2-40B4-BE49-F238E27FC236}">
              <a16:creationId xmlns:a16="http://schemas.microsoft.com/office/drawing/2014/main" id="{8CF5846C-7CDB-4DDB-95A8-DFDA713B6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956" t="9674" r="11031" b="9775"/>
        <a:stretch>
          <a:fillRect/>
        </a:stretch>
      </xdr:blipFill>
      <xdr:spPr bwMode="auto">
        <a:xfrm>
          <a:off x="495300" y="180975"/>
          <a:ext cx="9334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109</xdr:row>
      <xdr:rowOff>189379</xdr:rowOff>
    </xdr:from>
    <xdr:to>
      <xdr:col>1</xdr:col>
      <xdr:colOff>3810</xdr:colOff>
      <xdr:row>123</xdr:row>
      <xdr:rowOff>79562</xdr:rowOff>
    </xdr:to>
    <xdr:grpSp>
      <xdr:nvGrpSpPr>
        <xdr:cNvPr id="8" name="Group 7">
          <a:extLst>
            <a:ext uri="{FF2B5EF4-FFF2-40B4-BE49-F238E27FC236}">
              <a16:creationId xmlns:a16="http://schemas.microsoft.com/office/drawing/2014/main" id="{E4087521-C35F-387E-E5C6-1D4345ED5877}"/>
            </a:ext>
          </a:extLst>
        </xdr:cNvPr>
        <xdr:cNvGrpSpPr/>
      </xdr:nvGrpSpPr>
      <xdr:grpSpPr>
        <a:xfrm>
          <a:off x="22860" y="21360279"/>
          <a:ext cx="6219825" cy="2563533"/>
          <a:chOff x="22860" y="4998720"/>
          <a:chExt cx="6096000" cy="3848100"/>
        </a:xfrm>
      </xdr:grpSpPr>
      <xdr:sp macro="" textlink="">
        <xdr:nvSpPr>
          <xdr:cNvPr id="5" name="Rectangle 4">
            <a:extLst>
              <a:ext uri="{FF2B5EF4-FFF2-40B4-BE49-F238E27FC236}">
                <a16:creationId xmlns:a16="http://schemas.microsoft.com/office/drawing/2014/main" id="{A60CC0DB-902F-4CF6-816C-D9176C858D3F}"/>
              </a:ext>
            </a:extLst>
          </xdr:cNvPr>
          <xdr:cNvSpPr/>
        </xdr:nvSpPr>
        <xdr:spPr>
          <a:xfrm>
            <a:off x="22860" y="499872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4" name="Straight Connector 3">
            <a:extLst>
              <a:ext uri="{FF2B5EF4-FFF2-40B4-BE49-F238E27FC236}">
                <a16:creationId xmlns:a16="http://schemas.microsoft.com/office/drawing/2014/main" id="{AF22A3DB-DB2E-6382-A1D0-F4E239A6C4B3}"/>
              </a:ext>
            </a:extLst>
          </xdr:cNvPr>
          <xdr:cNvCxnSpPr>
            <a:stCxn id="5" idx="0"/>
            <a:endCxn id="5" idx="2"/>
          </xdr:cNvCxnSpPr>
        </xdr:nvCxnSpPr>
        <xdr:spPr>
          <a:xfrm>
            <a:off x="3070860" y="4998720"/>
            <a:ext cx="0" cy="3848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22860</xdr:colOff>
      <xdr:row>94</xdr:row>
      <xdr:rowOff>188596</xdr:rowOff>
    </xdr:from>
    <xdr:to>
      <xdr:col>1</xdr:col>
      <xdr:colOff>3810</xdr:colOff>
      <xdr:row>108</xdr:row>
      <xdr:rowOff>98052</xdr:rowOff>
    </xdr:to>
    <xdr:grpSp>
      <xdr:nvGrpSpPr>
        <xdr:cNvPr id="10" name="Group 9">
          <a:extLst>
            <a:ext uri="{FF2B5EF4-FFF2-40B4-BE49-F238E27FC236}">
              <a16:creationId xmlns:a16="http://schemas.microsoft.com/office/drawing/2014/main" id="{ADCE98F7-B5EA-E0D0-87AB-40C72468789C}"/>
            </a:ext>
          </a:extLst>
        </xdr:cNvPr>
        <xdr:cNvGrpSpPr/>
      </xdr:nvGrpSpPr>
      <xdr:grpSpPr>
        <a:xfrm>
          <a:off x="22860" y="18501996"/>
          <a:ext cx="6219825" cy="2582806"/>
          <a:chOff x="22860" y="800100"/>
          <a:chExt cx="6096000" cy="3848100"/>
        </a:xfrm>
      </xdr:grpSpPr>
      <xdr:sp macro="" textlink="">
        <xdr:nvSpPr>
          <xdr:cNvPr id="2" name="Rectangle 1">
            <a:extLst>
              <a:ext uri="{FF2B5EF4-FFF2-40B4-BE49-F238E27FC236}">
                <a16:creationId xmlns:a16="http://schemas.microsoft.com/office/drawing/2014/main" id="{74FCC3DD-78CE-C7AE-0AD4-FA95865FDDD2}"/>
              </a:ext>
            </a:extLst>
          </xdr:cNvPr>
          <xdr:cNvSpPr/>
        </xdr:nvSpPr>
        <xdr:spPr>
          <a:xfrm>
            <a:off x="22860" y="80010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9" name="Straight Connector 8">
            <a:extLst>
              <a:ext uri="{FF2B5EF4-FFF2-40B4-BE49-F238E27FC236}">
                <a16:creationId xmlns:a16="http://schemas.microsoft.com/office/drawing/2014/main" id="{8CDCF8F4-FE23-485C-A421-CB8BB4F6B2C4}"/>
              </a:ext>
            </a:extLst>
          </xdr:cNvPr>
          <xdr:cNvCxnSpPr/>
        </xdr:nvCxnSpPr>
        <xdr:spPr>
          <a:xfrm>
            <a:off x="3070860" y="801054"/>
            <a:ext cx="0" cy="384619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0</xdr:colOff>
      <xdr:row>3</xdr:row>
      <xdr:rowOff>24651</xdr:rowOff>
    </xdr:from>
    <xdr:to>
      <xdr:col>1</xdr:col>
      <xdr:colOff>2801</xdr:colOff>
      <xdr:row>16</xdr:row>
      <xdr:rowOff>105334</xdr:rowOff>
    </xdr:to>
    <xdr:grpSp>
      <xdr:nvGrpSpPr>
        <xdr:cNvPr id="32" name="Group 31">
          <a:extLst>
            <a:ext uri="{FF2B5EF4-FFF2-40B4-BE49-F238E27FC236}">
              <a16:creationId xmlns:a16="http://schemas.microsoft.com/office/drawing/2014/main" id="{F1FED889-CA74-4917-AA34-29D2626AAF16}"/>
            </a:ext>
          </a:extLst>
        </xdr:cNvPr>
        <xdr:cNvGrpSpPr/>
      </xdr:nvGrpSpPr>
      <xdr:grpSpPr>
        <a:xfrm>
          <a:off x="0" y="1008901"/>
          <a:ext cx="6241676" cy="2557183"/>
          <a:chOff x="22860" y="4998720"/>
          <a:chExt cx="6096000" cy="3848100"/>
        </a:xfrm>
      </xdr:grpSpPr>
      <xdr:sp macro="" textlink="">
        <xdr:nvSpPr>
          <xdr:cNvPr id="33" name="Rectangle 32">
            <a:extLst>
              <a:ext uri="{FF2B5EF4-FFF2-40B4-BE49-F238E27FC236}">
                <a16:creationId xmlns:a16="http://schemas.microsoft.com/office/drawing/2014/main" id="{382562D2-ED3A-0FEC-1F7E-807441AEFF0A}"/>
              </a:ext>
            </a:extLst>
          </xdr:cNvPr>
          <xdr:cNvSpPr/>
        </xdr:nvSpPr>
        <xdr:spPr>
          <a:xfrm>
            <a:off x="22860" y="499872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34" name="Straight Connector 33">
            <a:extLst>
              <a:ext uri="{FF2B5EF4-FFF2-40B4-BE49-F238E27FC236}">
                <a16:creationId xmlns:a16="http://schemas.microsoft.com/office/drawing/2014/main" id="{A254FEC8-8D8E-3382-8F4C-7B511855B566}"/>
              </a:ext>
            </a:extLst>
          </xdr:cNvPr>
          <xdr:cNvCxnSpPr>
            <a:stCxn id="33" idx="0"/>
            <a:endCxn id="33" idx="2"/>
          </xdr:cNvCxnSpPr>
        </xdr:nvCxnSpPr>
        <xdr:spPr>
          <a:xfrm>
            <a:off x="3070860" y="4998720"/>
            <a:ext cx="0" cy="3848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0</xdr:colOff>
      <xdr:row>16</xdr:row>
      <xdr:rowOff>112054</xdr:rowOff>
    </xdr:from>
    <xdr:to>
      <xdr:col>1</xdr:col>
      <xdr:colOff>2801</xdr:colOff>
      <xdr:row>30</xdr:row>
      <xdr:rowOff>2237</xdr:rowOff>
    </xdr:to>
    <xdr:grpSp>
      <xdr:nvGrpSpPr>
        <xdr:cNvPr id="37" name="Group 36">
          <a:extLst>
            <a:ext uri="{FF2B5EF4-FFF2-40B4-BE49-F238E27FC236}">
              <a16:creationId xmlns:a16="http://schemas.microsoft.com/office/drawing/2014/main" id="{3FDABD3B-B293-4BE7-B7E3-2C7DE3E81BEF}"/>
            </a:ext>
          </a:extLst>
        </xdr:cNvPr>
        <xdr:cNvGrpSpPr/>
      </xdr:nvGrpSpPr>
      <xdr:grpSpPr>
        <a:xfrm>
          <a:off x="0" y="3572804"/>
          <a:ext cx="6241676" cy="2557183"/>
          <a:chOff x="22860" y="4998720"/>
          <a:chExt cx="6096000" cy="3848100"/>
        </a:xfrm>
      </xdr:grpSpPr>
      <xdr:sp macro="" textlink="">
        <xdr:nvSpPr>
          <xdr:cNvPr id="38" name="Rectangle 37">
            <a:extLst>
              <a:ext uri="{FF2B5EF4-FFF2-40B4-BE49-F238E27FC236}">
                <a16:creationId xmlns:a16="http://schemas.microsoft.com/office/drawing/2014/main" id="{3C93302E-48F2-B6FC-32EC-CA5EF4611C31}"/>
              </a:ext>
            </a:extLst>
          </xdr:cNvPr>
          <xdr:cNvSpPr/>
        </xdr:nvSpPr>
        <xdr:spPr>
          <a:xfrm>
            <a:off x="22860" y="499872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39" name="Straight Connector 38">
            <a:extLst>
              <a:ext uri="{FF2B5EF4-FFF2-40B4-BE49-F238E27FC236}">
                <a16:creationId xmlns:a16="http://schemas.microsoft.com/office/drawing/2014/main" id="{1C50C2E7-B837-3CC6-9A93-BDA9C1E16223}"/>
              </a:ext>
            </a:extLst>
          </xdr:cNvPr>
          <xdr:cNvCxnSpPr>
            <a:stCxn id="38" idx="0"/>
            <a:endCxn id="38" idx="2"/>
          </xdr:cNvCxnSpPr>
        </xdr:nvCxnSpPr>
        <xdr:spPr>
          <a:xfrm>
            <a:off x="3070860" y="4998720"/>
            <a:ext cx="0" cy="3848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0</xdr:colOff>
      <xdr:row>29</xdr:row>
      <xdr:rowOff>186014</xdr:rowOff>
    </xdr:from>
    <xdr:to>
      <xdr:col>1</xdr:col>
      <xdr:colOff>2801</xdr:colOff>
      <xdr:row>43</xdr:row>
      <xdr:rowOff>76197</xdr:rowOff>
    </xdr:to>
    <xdr:grpSp>
      <xdr:nvGrpSpPr>
        <xdr:cNvPr id="23" name="Group 22">
          <a:extLst>
            <a:ext uri="{FF2B5EF4-FFF2-40B4-BE49-F238E27FC236}">
              <a16:creationId xmlns:a16="http://schemas.microsoft.com/office/drawing/2014/main" id="{8A62BDBB-CA7F-49E8-B832-E9C18DF847D1}"/>
            </a:ext>
          </a:extLst>
        </xdr:cNvPr>
        <xdr:cNvGrpSpPr/>
      </xdr:nvGrpSpPr>
      <xdr:grpSpPr>
        <a:xfrm>
          <a:off x="0" y="6123264"/>
          <a:ext cx="6241676" cy="2557183"/>
          <a:chOff x="22860" y="4998720"/>
          <a:chExt cx="6096000" cy="3848100"/>
        </a:xfrm>
      </xdr:grpSpPr>
      <xdr:sp macro="" textlink="">
        <xdr:nvSpPr>
          <xdr:cNvPr id="26" name="Rectangle 25">
            <a:extLst>
              <a:ext uri="{FF2B5EF4-FFF2-40B4-BE49-F238E27FC236}">
                <a16:creationId xmlns:a16="http://schemas.microsoft.com/office/drawing/2014/main" id="{CE27BAE9-AEE1-40F7-B65B-2A12D953F7C0}"/>
              </a:ext>
            </a:extLst>
          </xdr:cNvPr>
          <xdr:cNvSpPr/>
        </xdr:nvSpPr>
        <xdr:spPr>
          <a:xfrm>
            <a:off x="22860" y="499872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30" name="Straight Connector 29">
            <a:extLst>
              <a:ext uri="{FF2B5EF4-FFF2-40B4-BE49-F238E27FC236}">
                <a16:creationId xmlns:a16="http://schemas.microsoft.com/office/drawing/2014/main" id="{E47ADB2B-9659-4023-BE2A-C7DB9AFFB2EA}"/>
              </a:ext>
            </a:extLst>
          </xdr:cNvPr>
          <xdr:cNvCxnSpPr>
            <a:stCxn id="26" idx="0"/>
            <a:endCxn id="26" idx="2"/>
          </xdr:cNvCxnSpPr>
        </xdr:nvCxnSpPr>
        <xdr:spPr>
          <a:xfrm>
            <a:off x="3070860" y="4998720"/>
            <a:ext cx="0" cy="3848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22860</xdr:colOff>
      <xdr:row>139</xdr:row>
      <xdr:rowOff>189379</xdr:rowOff>
    </xdr:from>
    <xdr:to>
      <xdr:col>1</xdr:col>
      <xdr:colOff>3810</xdr:colOff>
      <xdr:row>153</xdr:row>
      <xdr:rowOff>79562</xdr:rowOff>
    </xdr:to>
    <xdr:grpSp>
      <xdr:nvGrpSpPr>
        <xdr:cNvPr id="45" name="Group 44">
          <a:extLst>
            <a:ext uri="{FF2B5EF4-FFF2-40B4-BE49-F238E27FC236}">
              <a16:creationId xmlns:a16="http://schemas.microsoft.com/office/drawing/2014/main" id="{5FF4EECE-7EFE-432F-B5FC-97987AD94DE0}"/>
            </a:ext>
          </a:extLst>
        </xdr:cNvPr>
        <xdr:cNvGrpSpPr/>
      </xdr:nvGrpSpPr>
      <xdr:grpSpPr>
        <a:xfrm>
          <a:off x="22860" y="27075279"/>
          <a:ext cx="6219825" cy="2563533"/>
          <a:chOff x="22860" y="4998720"/>
          <a:chExt cx="6096000" cy="3848100"/>
        </a:xfrm>
      </xdr:grpSpPr>
      <xdr:sp macro="" textlink="">
        <xdr:nvSpPr>
          <xdr:cNvPr id="46" name="Rectangle 45">
            <a:extLst>
              <a:ext uri="{FF2B5EF4-FFF2-40B4-BE49-F238E27FC236}">
                <a16:creationId xmlns:a16="http://schemas.microsoft.com/office/drawing/2014/main" id="{546BE870-1571-4089-8D1F-D448BC971D10}"/>
              </a:ext>
            </a:extLst>
          </xdr:cNvPr>
          <xdr:cNvSpPr/>
        </xdr:nvSpPr>
        <xdr:spPr>
          <a:xfrm>
            <a:off x="22860" y="499872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47" name="Straight Connector 46">
            <a:extLst>
              <a:ext uri="{FF2B5EF4-FFF2-40B4-BE49-F238E27FC236}">
                <a16:creationId xmlns:a16="http://schemas.microsoft.com/office/drawing/2014/main" id="{DBFAB9AE-A368-4E71-B4AF-799DD8DAD440}"/>
              </a:ext>
            </a:extLst>
          </xdr:cNvPr>
          <xdr:cNvCxnSpPr>
            <a:stCxn id="46" idx="0"/>
            <a:endCxn id="46" idx="2"/>
          </xdr:cNvCxnSpPr>
        </xdr:nvCxnSpPr>
        <xdr:spPr>
          <a:xfrm>
            <a:off x="3070860" y="4998720"/>
            <a:ext cx="0" cy="3848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22860</xdr:colOff>
      <xdr:row>124</xdr:row>
      <xdr:rowOff>188596</xdr:rowOff>
    </xdr:from>
    <xdr:to>
      <xdr:col>1</xdr:col>
      <xdr:colOff>3810</xdr:colOff>
      <xdr:row>138</xdr:row>
      <xdr:rowOff>98052</xdr:rowOff>
    </xdr:to>
    <xdr:grpSp>
      <xdr:nvGrpSpPr>
        <xdr:cNvPr id="48" name="Group 47">
          <a:extLst>
            <a:ext uri="{FF2B5EF4-FFF2-40B4-BE49-F238E27FC236}">
              <a16:creationId xmlns:a16="http://schemas.microsoft.com/office/drawing/2014/main" id="{2418D06F-4159-4843-86F6-267DDD61C375}"/>
            </a:ext>
          </a:extLst>
        </xdr:cNvPr>
        <xdr:cNvGrpSpPr/>
      </xdr:nvGrpSpPr>
      <xdr:grpSpPr>
        <a:xfrm>
          <a:off x="22860" y="24216996"/>
          <a:ext cx="6219825" cy="2582806"/>
          <a:chOff x="22860" y="800100"/>
          <a:chExt cx="6096000" cy="3848100"/>
        </a:xfrm>
      </xdr:grpSpPr>
      <xdr:sp macro="" textlink="">
        <xdr:nvSpPr>
          <xdr:cNvPr id="49" name="Rectangle 48">
            <a:extLst>
              <a:ext uri="{FF2B5EF4-FFF2-40B4-BE49-F238E27FC236}">
                <a16:creationId xmlns:a16="http://schemas.microsoft.com/office/drawing/2014/main" id="{55C8C511-6E35-4A25-8C17-CF5ABA3D5B65}"/>
              </a:ext>
            </a:extLst>
          </xdr:cNvPr>
          <xdr:cNvSpPr/>
        </xdr:nvSpPr>
        <xdr:spPr>
          <a:xfrm>
            <a:off x="22860" y="80010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50" name="Straight Connector 49">
            <a:extLst>
              <a:ext uri="{FF2B5EF4-FFF2-40B4-BE49-F238E27FC236}">
                <a16:creationId xmlns:a16="http://schemas.microsoft.com/office/drawing/2014/main" id="{17F53CCE-A830-435F-B1DC-EB26DD5DC3A1}"/>
              </a:ext>
            </a:extLst>
          </xdr:cNvPr>
          <xdr:cNvCxnSpPr/>
        </xdr:nvCxnSpPr>
        <xdr:spPr>
          <a:xfrm>
            <a:off x="3070860" y="801054"/>
            <a:ext cx="0" cy="384619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22860</xdr:colOff>
      <xdr:row>155</xdr:row>
      <xdr:rowOff>188596</xdr:rowOff>
    </xdr:from>
    <xdr:to>
      <xdr:col>1</xdr:col>
      <xdr:colOff>3810</xdr:colOff>
      <xdr:row>169</xdr:row>
      <xdr:rowOff>98052</xdr:rowOff>
    </xdr:to>
    <xdr:grpSp>
      <xdr:nvGrpSpPr>
        <xdr:cNvPr id="55" name="Group 54">
          <a:extLst>
            <a:ext uri="{FF2B5EF4-FFF2-40B4-BE49-F238E27FC236}">
              <a16:creationId xmlns:a16="http://schemas.microsoft.com/office/drawing/2014/main" id="{5F6A7EC1-C625-4309-8288-B73048DDBC48}"/>
            </a:ext>
          </a:extLst>
        </xdr:cNvPr>
        <xdr:cNvGrpSpPr/>
      </xdr:nvGrpSpPr>
      <xdr:grpSpPr>
        <a:xfrm>
          <a:off x="22860" y="30122496"/>
          <a:ext cx="6219825" cy="2582806"/>
          <a:chOff x="22860" y="800100"/>
          <a:chExt cx="6096000" cy="3848100"/>
        </a:xfrm>
      </xdr:grpSpPr>
      <xdr:sp macro="" textlink="">
        <xdr:nvSpPr>
          <xdr:cNvPr id="56" name="Rectangle 55">
            <a:extLst>
              <a:ext uri="{FF2B5EF4-FFF2-40B4-BE49-F238E27FC236}">
                <a16:creationId xmlns:a16="http://schemas.microsoft.com/office/drawing/2014/main" id="{7CE9AFA9-69C7-4107-8D64-7D667843CD4C}"/>
              </a:ext>
            </a:extLst>
          </xdr:cNvPr>
          <xdr:cNvSpPr/>
        </xdr:nvSpPr>
        <xdr:spPr>
          <a:xfrm>
            <a:off x="22860" y="80010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57" name="Straight Connector 56">
            <a:extLst>
              <a:ext uri="{FF2B5EF4-FFF2-40B4-BE49-F238E27FC236}">
                <a16:creationId xmlns:a16="http://schemas.microsoft.com/office/drawing/2014/main" id="{A4AC48A0-DF7E-402A-9A00-5AA0F2AC7450}"/>
              </a:ext>
            </a:extLst>
          </xdr:cNvPr>
          <xdr:cNvCxnSpPr/>
        </xdr:nvCxnSpPr>
        <xdr:spPr>
          <a:xfrm>
            <a:off x="3070860" y="801054"/>
            <a:ext cx="0" cy="384619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0</xdr:colOff>
      <xdr:row>51</xdr:row>
      <xdr:rowOff>24651</xdr:rowOff>
    </xdr:from>
    <xdr:to>
      <xdr:col>1</xdr:col>
      <xdr:colOff>2801</xdr:colOff>
      <xdr:row>64</xdr:row>
      <xdr:rowOff>105334</xdr:rowOff>
    </xdr:to>
    <xdr:grpSp>
      <xdr:nvGrpSpPr>
        <xdr:cNvPr id="65" name="Group 64">
          <a:extLst>
            <a:ext uri="{FF2B5EF4-FFF2-40B4-BE49-F238E27FC236}">
              <a16:creationId xmlns:a16="http://schemas.microsoft.com/office/drawing/2014/main" id="{FEE1AF6F-2FA2-4677-AF99-EE94FE554D0B}"/>
            </a:ext>
          </a:extLst>
        </xdr:cNvPr>
        <xdr:cNvGrpSpPr/>
      </xdr:nvGrpSpPr>
      <xdr:grpSpPr>
        <a:xfrm>
          <a:off x="0" y="10152901"/>
          <a:ext cx="6241676" cy="2557183"/>
          <a:chOff x="22860" y="4998720"/>
          <a:chExt cx="6096000" cy="3848100"/>
        </a:xfrm>
      </xdr:grpSpPr>
      <xdr:sp macro="" textlink="">
        <xdr:nvSpPr>
          <xdr:cNvPr id="66" name="Rectangle 65">
            <a:extLst>
              <a:ext uri="{FF2B5EF4-FFF2-40B4-BE49-F238E27FC236}">
                <a16:creationId xmlns:a16="http://schemas.microsoft.com/office/drawing/2014/main" id="{D9E7FC01-A133-45EE-8413-0E04E5E340E6}"/>
              </a:ext>
            </a:extLst>
          </xdr:cNvPr>
          <xdr:cNvSpPr/>
        </xdr:nvSpPr>
        <xdr:spPr>
          <a:xfrm>
            <a:off x="22860" y="499872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67" name="Straight Connector 66">
            <a:extLst>
              <a:ext uri="{FF2B5EF4-FFF2-40B4-BE49-F238E27FC236}">
                <a16:creationId xmlns:a16="http://schemas.microsoft.com/office/drawing/2014/main" id="{69D9E88E-37FB-4F9F-BBA4-F5B9C978321C}"/>
              </a:ext>
            </a:extLst>
          </xdr:cNvPr>
          <xdr:cNvCxnSpPr>
            <a:stCxn id="66" idx="0"/>
            <a:endCxn id="66" idx="2"/>
          </xdr:cNvCxnSpPr>
        </xdr:nvCxnSpPr>
        <xdr:spPr>
          <a:xfrm>
            <a:off x="3070860" y="4998720"/>
            <a:ext cx="0" cy="3848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0</xdr:colOff>
      <xdr:row>64</xdr:row>
      <xdr:rowOff>112054</xdr:rowOff>
    </xdr:from>
    <xdr:to>
      <xdr:col>1</xdr:col>
      <xdr:colOff>2801</xdr:colOff>
      <xdr:row>78</xdr:row>
      <xdr:rowOff>2237</xdr:rowOff>
    </xdr:to>
    <xdr:grpSp>
      <xdr:nvGrpSpPr>
        <xdr:cNvPr id="68" name="Group 67">
          <a:extLst>
            <a:ext uri="{FF2B5EF4-FFF2-40B4-BE49-F238E27FC236}">
              <a16:creationId xmlns:a16="http://schemas.microsoft.com/office/drawing/2014/main" id="{B114BF0B-0B31-44CE-B805-3C01D452397D}"/>
            </a:ext>
          </a:extLst>
        </xdr:cNvPr>
        <xdr:cNvGrpSpPr/>
      </xdr:nvGrpSpPr>
      <xdr:grpSpPr>
        <a:xfrm>
          <a:off x="0" y="12716804"/>
          <a:ext cx="6241676" cy="2557183"/>
          <a:chOff x="22860" y="4998720"/>
          <a:chExt cx="6096000" cy="3848100"/>
        </a:xfrm>
      </xdr:grpSpPr>
      <xdr:sp macro="" textlink="">
        <xdr:nvSpPr>
          <xdr:cNvPr id="69" name="Rectangle 68">
            <a:extLst>
              <a:ext uri="{FF2B5EF4-FFF2-40B4-BE49-F238E27FC236}">
                <a16:creationId xmlns:a16="http://schemas.microsoft.com/office/drawing/2014/main" id="{93DC2E07-A01F-4B3C-AB36-3B0651C6C98B}"/>
              </a:ext>
            </a:extLst>
          </xdr:cNvPr>
          <xdr:cNvSpPr/>
        </xdr:nvSpPr>
        <xdr:spPr>
          <a:xfrm>
            <a:off x="22860" y="499872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70" name="Straight Connector 69">
            <a:extLst>
              <a:ext uri="{FF2B5EF4-FFF2-40B4-BE49-F238E27FC236}">
                <a16:creationId xmlns:a16="http://schemas.microsoft.com/office/drawing/2014/main" id="{2508FB7F-4AA7-4339-9397-46BA2072CC07}"/>
              </a:ext>
            </a:extLst>
          </xdr:cNvPr>
          <xdr:cNvCxnSpPr>
            <a:stCxn id="69" idx="0"/>
            <a:endCxn id="69" idx="2"/>
          </xdr:cNvCxnSpPr>
        </xdr:nvCxnSpPr>
        <xdr:spPr>
          <a:xfrm>
            <a:off x="3070860" y="4998720"/>
            <a:ext cx="0" cy="3848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0</xdr:colOff>
      <xdr:row>77</xdr:row>
      <xdr:rowOff>186014</xdr:rowOff>
    </xdr:from>
    <xdr:to>
      <xdr:col>1</xdr:col>
      <xdr:colOff>2801</xdr:colOff>
      <xdr:row>91</xdr:row>
      <xdr:rowOff>76197</xdr:rowOff>
    </xdr:to>
    <xdr:grpSp>
      <xdr:nvGrpSpPr>
        <xdr:cNvPr id="71" name="Group 70">
          <a:extLst>
            <a:ext uri="{FF2B5EF4-FFF2-40B4-BE49-F238E27FC236}">
              <a16:creationId xmlns:a16="http://schemas.microsoft.com/office/drawing/2014/main" id="{4C129EAD-F45C-4178-856E-4EAE6C409E18}"/>
            </a:ext>
          </a:extLst>
        </xdr:cNvPr>
        <xdr:cNvGrpSpPr/>
      </xdr:nvGrpSpPr>
      <xdr:grpSpPr>
        <a:xfrm>
          <a:off x="0" y="15267264"/>
          <a:ext cx="6241676" cy="2557183"/>
          <a:chOff x="22860" y="4998720"/>
          <a:chExt cx="6096000" cy="3848100"/>
        </a:xfrm>
      </xdr:grpSpPr>
      <xdr:sp macro="" textlink="">
        <xdr:nvSpPr>
          <xdr:cNvPr id="72" name="Rectangle 71">
            <a:extLst>
              <a:ext uri="{FF2B5EF4-FFF2-40B4-BE49-F238E27FC236}">
                <a16:creationId xmlns:a16="http://schemas.microsoft.com/office/drawing/2014/main" id="{7FE2F539-1387-493E-AE80-D4D40F63576C}"/>
              </a:ext>
            </a:extLst>
          </xdr:cNvPr>
          <xdr:cNvSpPr/>
        </xdr:nvSpPr>
        <xdr:spPr>
          <a:xfrm>
            <a:off x="22860" y="4998720"/>
            <a:ext cx="6096000" cy="3848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150" sz="1100"/>
          </a:p>
        </xdr:txBody>
      </xdr:sp>
      <xdr:cxnSp macro="">
        <xdr:nvCxnSpPr>
          <xdr:cNvPr id="73" name="Straight Connector 72">
            <a:extLst>
              <a:ext uri="{FF2B5EF4-FFF2-40B4-BE49-F238E27FC236}">
                <a16:creationId xmlns:a16="http://schemas.microsoft.com/office/drawing/2014/main" id="{3B84D74A-A39D-493A-A39C-BDB50F87BD8D}"/>
              </a:ext>
            </a:extLst>
          </xdr:cNvPr>
          <xdr:cNvCxnSpPr>
            <a:stCxn id="72" idx="0"/>
            <a:endCxn id="72" idx="2"/>
          </xdr:cNvCxnSpPr>
        </xdr:nvCxnSpPr>
        <xdr:spPr>
          <a:xfrm>
            <a:off x="3070860" y="4998720"/>
            <a:ext cx="0" cy="38481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0</xdr:col>
      <xdr:colOff>123326</xdr:colOff>
      <xdr:row>4</xdr:row>
      <xdr:rowOff>3230</xdr:rowOff>
    </xdr:from>
    <xdr:to>
      <xdr:col>0</xdr:col>
      <xdr:colOff>2879317</xdr:colOff>
      <xdr:row>14</xdr:row>
      <xdr:rowOff>160055</xdr:rowOff>
    </xdr:to>
    <xdr:pic>
      <xdr:nvPicPr>
        <xdr:cNvPr id="6" name="Picture 5">
          <a:extLst>
            <a:ext uri="{FF2B5EF4-FFF2-40B4-BE49-F238E27FC236}">
              <a16:creationId xmlns:a16="http://schemas.microsoft.com/office/drawing/2014/main" id="{CA58E8DB-C824-43C3-88C5-2E9DBE0ECE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326" y="1187051"/>
          <a:ext cx="2755991" cy="2061825"/>
        </a:xfrm>
        <a:prstGeom prst="rect">
          <a:avLst/>
        </a:prstGeom>
      </xdr:spPr>
    </xdr:pic>
    <xdr:clientData/>
  </xdr:twoCellAnchor>
  <xdr:twoCellAnchor editAs="oneCell">
    <xdr:from>
      <xdr:col>0</xdr:col>
      <xdr:colOff>3105150</xdr:colOff>
      <xdr:row>3</xdr:row>
      <xdr:rowOff>182199</xdr:rowOff>
    </xdr:from>
    <xdr:to>
      <xdr:col>0</xdr:col>
      <xdr:colOff>5862864</xdr:colOff>
      <xdr:row>14</xdr:row>
      <xdr:rowOff>149813</xdr:rowOff>
    </xdr:to>
    <xdr:pic>
      <xdr:nvPicPr>
        <xdr:cNvPr id="40" name="Picture 39">
          <a:extLst>
            <a:ext uri="{FF2B5EF4-FFF2-40B4-BE49-F238E27FC236}">
              <a16:creationId xmlns:a16="http://schemas.microsoft.com/office/drawing/2014/main" id="{C2A1455D-FC70-4A83-B3DF-B023C51BEA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105150" y="1175520"/>
          <a:ext cx="2757714" cy="2063114"/>
        </a:xfrm>
        <a:prstGeom prst="rect">
          <a:avLst/>
        </a:prstGeom>
      </xdr:spPr>
    </xdr:pic>
    <xdr:clientData/>
  </xdr:twoCellAnchor>
  <xdr:twoCellAnchor editAs="oneCell">
    <xdr:from>
      <xdr:col>0</xdr:col>
      <xdr:colOff>125186</xdr:colOff>
      <xdr:row>17</xdr:row>
      <xdr:rowOff>59735</xdr:rowOff>
    </xdr:from>
    <xdr:to>
      <xdr:col>0</xdr:col>
      <xdr:colOff>2882900</xdr:colOff>
      <xdr:row>28</xdr:row>
      <xdr:rowOff>27349</xdr:rowOff>
    </xdr:to>
    <xdr:pic>
      <xdr:nvPicPr>
        <xdr:cNvPr id="41" name="Picture 40">
          <a:extLst>
            <a:ext uri="{FF2B5EF4-FFF2-40B4-BE49-F238E27FC236}">
              <a16:creationId xmlns:a16="http://schemas.microsoft.com/office/drawing/2014/main" id="{FEAB5112-984D-4FD0-9140-F6F16679C3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25186" y="3720056"/>
          <a:ext cx="2757714" cy="2063114"/>
        </a:xfrm>
        <a:prstGeom prst="rect">
          <a:avLst/>
        </a:prstGeom>
      </xdr:spPr>
    </xdr:pic>
    <xdr:clientData/>
  </xdr:twoCellAnchor>
  <xdr:twoCellAnchor editAs="oneCell">
    <xdr:from>
      <xdr:col>0</xdr:col>
      <xdr:colOff>120223</xdr:colOff>
      <xdr:row>30</xdr:row>
      <xdr:rowOff>187642</xdr:rowOff>
    </xdr:from>
    <xdr:to>
      <xdr:col>0</xdr:col>
      <xdr:colOff>2817104</xdr:colOff>
      <xdr:row>41</xdr:row>
      <xdr:rowOff>155256</xdr:rowOff>
    </xdr:to>
    <xdr:pic>
      <xdr:nvPicPr>
        <xdr:cNvPr id="43" name="Picture 42">
          <a:extLst>
            <a:ext uri="{FF2B5EF4-FFF2-40B4-BE49-F238E27FC236}">
              <a16:creationId xmlns:a16="http://schemas.microsoft.com/office/drawing/2014/main" id="{82A35B39-95EC-4033-B223-B2EEE21DA0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20223" y="6324463"/>
          <a:ext cx="2696881" cy="2063114"/>
        </a:xfrm>
        <a:prstGeom prst="rect">
          <a:avLst/>
        </a:prstGeom>
      </xdr:spPr>
    </xdr:pic>
    <xdr:clientData/>
  </xdr:twoCellAnchor>
  <xdr:twoCellAnchor editAs="oneCell">
    <xdr:from>
      <xdr:col>0</xdr:col>
      <xdr:colOff>3128327</xdr:colOff>
      <xdr:row>17</xdr:row>
      <xdr:rowOff>90988</xdr:rowOff>
    </xdr:from>
    <xdr:to>
      <xdr:col>0</xdr:col>
      <xdr:colOff>5877427</xdr:colOff>
      <xdr:row>28</xdr:row>
      <xdr:rowOff>52158</xdr:rowOff>
    </xdr:to>
    <xdr:pic>
      <xdr:nvPicPr>
        <xdr:cNvPr id="54" name="Picture 53">
          <a:extLst>
            <a:ext uri="{FF2B5EF4-FFF2-40B4-BE49-F238E27FC236}">
              <a16:creationId xmlns:a16="http://schemas.microsoft.com/office/drawing/2014/main" id="{480EE957-C953-4D08-A20D-67DDE88EF79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3128327" y="3758113"/>
          <a:ext cx="2749100" cy="2056670"/>
        </a:xfrm>
        <a:prstGeom prst="rect">
          <a:avLst/>
        </a:prstGeom>
      </xdr:spPr>
    </xdr:pic>
    <xdr:clientData/>
  </xdr:twoCellAnchor>
  <xdr:twoCellAnchor editAs="oneCell">
    <xdr:from>
      <xdr:col>0</xdr:col>
      <xdr:colOff>3069816</xdr:colOff>
      <xdr:row>30</xdr:row>
      <xdr:rowOff>158343</xdr:rowOff>
    </xdr:from>
    <xdr:to>
      <xdr:col>0</xdr:col>
      <xdr:colOff>5818916</xdr:colOff>
      <xdr:row>41</xdr:row>
      <xdr:rowOff>119513</xdr:rowOff>
    </xdr:to>
    <xdr:pic>
      <xdr:nvPicPr>
        <xdr:cNvPr id="59" name="Picture 58">
          <a:extLst>
            <a:ext uri="{FF2B5EF4-FFF2-40B4-BE49-F238E27FC236}">
              <a16:creationId xmlns:a16="http://schemas.microsoft.com/office/drawing/2014/main" id="{13582693-26AB-4154-920C-B87E3F846EB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3069816" y="6301968"/>
          <a:ext cx="2749100" cy="20566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1"/>
  <sheetViews>
    <sheetView zoomScale="40" zoomScaleNormal="40" workbookViewId="0">
      <selection activeCell="D21" sqref="D21"/>
    </sheetView>
  </sheetViews>
  <sheetFormatPr defaultRowHeight="14.5" x14ac:dyDescent="0.35"/>
  <cols>
    <col min="1" max="1" width="14" style="65" customWidth="1"/>
    <col min="2" max="2" width="23.453125" customWidth="1"/>
    <col min="3" max="3" width="1.54296875" bestFit="1" customWidth="1"/>
    <col min="4" max="4" width="68.7265625" style="74" customWidth="1"/>
    <col min="5" max="5" width="10.81640625" bestFit="1" customWidth="1"/>
    <col min="6" max="6" width="9.453125" bestFit="1" customWidth="1"/>
    <col min="10" max="10" width="27.54296875" customWidth="1"/>
  </cols>
  <sheetData>
    <row r="1" spans="1:26" s="63" customFormat="1" x14ac:dyDescent="0.35">
      <c r="A1" s="250" t="s">
        <v>67</v>
      </c>
      <c r="B1" s="63" t="s">
        <v>42</v>
      </c>
      <c r="C1" s="63" t="s">
        <v>3</v>
      </c>
      <c r="D1" s="102" t="s">
        <v>384</v>
      </c>
      <c r="K1" s="253" t="s">
        <v>374</v>
      </c>
      <c r="L1" s="253"/>
      <c r="M1" s="253"/>
      <c r="N1" s="253"/>
      <c r="O1" s="253"/>
      <c r="P1" s="253"/>
      <c r="Q1" s="253"/>
      <c r="R1" s="253"/>
      <c r="S1" s="253"/>
      <c r="T1" s="253"/>
      <c r="U1" s="253"/>
      <c r="V1" s="253"/>
      <c r="W1" s="253"/>
      <c r="X1" s="253"/>
      <c r="Y1" s="253"/>
      <c r="Z1" s="253"/>
    </row>
    <row r="2" spans="1:26" x14ac:dyDescent="0.35">
      <c r="A2" s="251"/>
      <c r="B2" t="s">
        <v>41</v>
      </c>
      <c r="C2" t="s">
        <v>3</v>
      </c>
      <c r="D2" s="221" t="s">
        <v>381</v>
      </c>
    </row>
    <row r="3" spans="1:26" x14ac:dyDescent="0.35">
      <c r="A3" s="251"/>
      <c r="B3" t="s">
        <v>73</v>
      </c>
      <c r="C3" t="s">
        <v>3</v>
      </c>
      <c r="D3" s="103" t="s">
        <v>161</v>
      </c>
    </row>
    <row r="4" spans="1:26" x14ac:dyDescent="0.35">
      <c r="A4" s="251"/>
      <c r="B4" t="s">
        <v>68</v>
      </c>
      <c r="C4" t="s">
        <v>3</v>
      </c>
      <c r="D4" s="74" t="s">
        <v>51</v>
      </c>
      <c r="E4" s="223"/>
    </row>
    <row r="5" spans="1:26" x14ac:dyDescent="0.35">
      <c r="A5" s="251"/>
      <c r="B5" t="s">
        <v>81</v>
      </c>
      <c r="D5" s="214" t="s">
        <v>164</v>
      </c>
      <c r="E5" s="223"/>
    </row>
    <row r="6" spans="1:26" x14ac:dyDescent="0.35">
      <c r="A6" s="251"/>
      <c r="B6" t="s">
        <v>69</v>
      </c>
      <c r="C6" t="s">
        <v>3</v>
      </c>
      <c r="D6" s="103" t="s">
        <v>375</v>
      </c>
      <c r="F6" s="254" t="s">
        <v>325</v>
      </c>
      <c r="G6" s="254"/>
      <c r="H6" s="254"/>
      <c r="I6" s="254"/>
      <c r="J6" s="254"/>
    </row>
    <row r="7" spans="1:26" x14ac:dyDescent="0.35">
      <c r="A7" s="251"/>
      <c r="B7" t="s">
        <v>82</v>
      </c>
      <c r="D7" s="219" t="s">
        <v>376</v>
      </c>
    </row>
    <row r="8" spans="1:26" x14ac:dyDescent="0.35">
      <c r="A8" s="251"/>
      <c r="B8" t="s">
        <v>70</v>
      </c>
      <c r="C8" t="s">
        <v>3</v>
      </c>
      <c r="D8" s="214" t="s">
        <v>377</v>
      </c>
    </row>
    <row r="9" spans="1:26" x14ac:dyDescent="0.35">
      <c r="A9" s="251"/>
      <c r="B9" t="s">
        <v>89</v>
      </c>
      <c r="C9" t="s">
        <v>3</v>
      </c>
      <c r="D9" s="74" t="s">
        <v>378</v>
      </c>
    </row>
    <row r="10" spans="1:26" x14ac:dyDescent="0.35">
      <c r="A10" s="251"/>
      <c r="B10" t="s">
        <v>213</v>
      </c>
      <c r="C10" t="s">
        <v>3</v>
      </c>
      <c r="D10" s="242" t="s">
        <v>382</v>
      </c>
      <c r="F10" s="254" t="s">
        <v>226</v>
      </c>
      <c r="G10" s="254"/>
      <c r="H10" s="254"/>
      <c r="I10" s="254"/>
      <c r="J10" s="254"/>
    </row>
    <row r="11" spans="1:26" ht="29" x14ac:dyDescent="0.35">
      <c r="A11" s="251"/>
      <c r="B11" t="s">
        <v>4</v>
      </c>
      <c r="C11" t="s">
        <v>3</v>
      </c>
      <c r="D11" s="242" t="s">
        <v>391</v>
      </c>
      <c r="F11" s="254" t="s">
        <v>227</v>
      </c>
      <c r="G11" s="254"/>
      <c r="H11" s="254"/>
      <c r="I11" s="254"/>
      <c r="J11" s="254"/>
    </row>
    <row r="12" spans="1:26" x14ac:dyDescent="0.35">
      <c r="A12" s="251"/>
      <c r="B12" t="s">
        <v>5</v>
      </c>
      <c r="C12" t="s">
        <v>3</v>
      </c>
      <c r="D12" s="107" t="s">
        <v>385</v>
      </c>
      <c r="F12" s="254" t="s">
        <v>324</v>
      </c>
      <c r="G12" s="254"/>
      <c r="H12" s="254"/>
      <c r="I12" s="254"/>
      <c r="J12" s="254"/>
    </row>
    <row r="13" spans="1:26" s="64" customFormat="1" x14ac:dyDescent="0.35">
      <c r="A13" s="252"/>
      <c r="B13" s="64" t="s">
        <v>6</v>
      </c>
      <c r="C13" s="64" t="s">
        <v>3</v>
      </c>
      <c r="D13" s="145" t="s">
        <v>364</v>
      </c>
      <c r="F13" s="254" t="s">
        <v>357</v>
      </c>
      <c r="G13" s="254"/>
      <c r="H13" s="254"/>
      <c r="I13" s="254"/>
      <c r="J13" s="254"/>
    </row>
    <row r="15" spans="1:26" s="63" customFormat="1" x14ac:dyDescent="0.35">
      <c r="A15" s="250" t="s">
        <v>71</v>
      </c>
      <c r="B15" s="63" t="s">
        <v>42</v>
      </c>
      <c r="C15" s="63" t="s">
        <v>3</v>
      </c>
      <c r="D15" s="126" t="s">
        <v>380</v>
      </c>
      <c r="F15" s="255" t="s">
        <v>249</v>
      </c>
      <c r="G15" s="255"/>
      <c r="H15" s="255"/>
      <c r="I15" s="255"/>
      <c r="J15" s="255"/>
    </row>
    <row r="16" spans="1:26" x14ac:dyDescent="0.35">
      <c r="A16" s="251"/>
      <c r="B16" t="s">
        <v>41</v>
      </c>
      <c r="C16" t="s">
        <v>3</v>
      </c>
      <c r="D16" s="221" t="s">
        <v>381</v>
      </c>
    </row>
    <row r="17" spans="1:10" x14ac:dyDescent="0.35">
      <c r="A17" s="251"/>
      <c r="B17" t="s">
        <v>74</v>
      </c>
      <c r="C17" t="s">
        <v>3</v>
      </c>
      <c r="D17" s="103" t="s">
        <v>383</v>
      </c>
    </row>
    <row r="18" spans="1:10" x14ac:dyDescent="0.35">
      <c r="A18" s="251"/>
      <c r="B18" t="s">
        <v>78</v>
      </c>
      <c r="C18" t="s">
        <v>3</v>
      </c>
      <c r="D18" s="103" t="s">
        <v>365</v>
      </c>
    </row>
    <row r="19" spans="1:10" x14ac:dyDescent="0.35">
      <c r="A19" s="251"/>
      <c r="B19" t="s">
        <v>78</v>
      </c>
      <c r="C19" t="s">
        <v>3</v>
      </c>
      <c r="D19" s="103" t="s">
        <v>98</v>
      </c>
    </row>
    <row r="20" spans="1:10" x14ac:dyDescent="0.35">
      <c r="A20" s="251"/>
      <c r="B20" t="s">
        <v>88</v>
      </c>
      <c r="C20" t="s">
        <v>3</v>
      </c>
      <c r="D20" s="103" t="s">
        <v>379</v>
      </c>
    </row>
    <row r="21" spans="1:10" x14ac:dyDescent="0.35">
      <c r="A21" s="251"/>
      <c r="B21" t="s">
        <v>88</v>
      </c>
      <c r="C21" t="s">
        <v>3</v>
      </c>
      <c r="D21" s="103" t="s">
        <v>98</v>
      </c>
    </row>
    <row r="22" spans="1:10" x14ac:dyDescent="0.35">
      <c r="A22" s="251"/>
      <c r="B22" t="s">
        <v>75</v>
      </c>
      <c r="C22" t="s">
        <v>3</v>
      </c>
      <c r="D22" s="74" t="str">
        <f>_xlfn.CONCAT(E22," (",F22,")"," hari")</f>
        <v>1 (satu) hari</v>
      </c>
      <c r="E22" s="217">
        <f>E24-E23+1</f>
        <v>1</v>
      </c>
      <c r="F22" s="218" t="str">
        <f>IF(E22=0,".................................................",IF(E22&lt;0,"minus ","")&amp; SUBSTITUTE(TRIM(SUBSTITUTE(SUBSTITUTE(SUBSTITUTE(SUBSTITUTE(SUBSTITUTE(SUBSTITUTE(SUBSTITUTE(SUBSTITUTE(SUBSTITUTE(SUBSTITUTE(SUBSTITUTE(SUBSTITUTE(SUBSTITUTE(SUBSTITUTE(SUBSTITUTE(SUBSTITUTE(SUBSTITUTE(SUBSTITUTE(SUBSTITUTE(SUBSTITUTE(SUBSTITUTE(SUBSTITUTE(SUBSTITUTE(SUBSTITUTE( IF(--MID(TEXT(ABS(E22),"000000000000000"),1,3)=0,"",MID(TEXT(ABS(E22),"000000000000000"),1,1)&amp;" ratus "&amp;MID(TEXT(ABS(E22),"000000000000000"),2,1)&amp;" puluh "&amp;MID(TEXT(ABS(E22),"000000000000000"),3,1)&amp;" trilyun ")&amp; IF(--MID(TEXT(ABS(E22),"000000000000000"),4,3)=0,"",MID(TEXT(ABS(E22),"000000000000000"),4,1)&amp;" ratus "&amp;MID(TEXT(ABS(E22),"000000000000000"),5,1)&amp;" puluh "&amp;MID(TEXT(ABS(E22),"000000000000000"),6,1)&amp;" milyar ")&amp; IF(--MID(TEXT(ABS(E22),"000000000000000"),7,3)=0,"",MID(TEXT(ABS(E22),"000000000000000"),7,1)&amp;" ratus "&amp;MID(TEXT(ABS(E22),"000000000000000"),8,1)&amp;" puluh "&amp;MID(TEXT(ABS(E22),"000000000000000"),9,1)&amp;" juta ")&amp; IF(--MID(TEXT(ABS(E22),"000000000000000"),10,3)=0,"",IF(--MID(TEXT(ABS(E22),"000000000000000"),10,3)=1,"*",MID(TEXT(ABS(E22),"000000000000000"),10,1)&amp;" ratus "&amp;MID(TEXT(ABS(E22),"000000000000000"),11,1)&amp;" puluh ")&amp;MID(TEXT(ABS(E22),"000000000000000"),12,1)&amp;" ribu ")&amp; IF(--MID(TEXT(ABS(E22),"000000000000000"),13,3)=0,"",MID(TEXT(ABS(E22),"000000000000000"),13,1)&amp;" ratus "&amp;MID(TEXT(ABS(E22),"000000000000000"),14,1)&amp;" puluh "&amp;MID(TEXT(ABS(E22),"000000000000000"),15,1)),1,"satu"),2,"dua"),3,"tiga"),4,"empat"),5,"lima"),6,"enam"),7,"tujuh"),8,"delapan"),9,"sembilan"),"0 ratus",""),"0 puluh",""),"satu puluh 0","sepuluh"),"satu puluh satu","sebelas"),"satu puluh dua","dua belas"),"satu puluh tiga","tiga belas"),"satu puluh empat","empat belas"),"satu puluh lima","lima belas"),"satu puluh enam","enam belas"),"satu puluh tujuh","tujuh belas"),"satu puluh delapan","delapan belas"),"satu puluh sembilan","sembilan belas"),"satu ratus","seratus"),"*satu ribu","seribu"),0,""))," "," "))</f>
        <v>satu</v>
      </c>
    </row>
    <row r="23" spans="1:10" x14ac:dyDescent="0.35">
      <c r="A23" s="251"/>
      <c r="B23" t="s">
        <v>76</v>
      </c>
      <c r="C23" t="s">
        <v>3</v>
      </c>
      <c r="D23" s="214" t="str">
        <f>TRIM(LEFT(D12,SEARCH("s.d.",D12)-1))</f>
        <v>15 Agustus 2026</v>
      </c>
      <c r="E23" s="216">
        <f>DATE(RIGHT(D23,4),MATCH(MID(D23,FIND(" ",D23)+1,FIND(" ",D23,FIND(" ",D23)+1)-FIND(" ",D23)-1),DB!$B$48:$B$59,0),LEFT(D23,FIND(" ",D23)-1))</f>
        <v>46249</v>
      </c>
    </row>
    <row r="24" spans="1:10" x14ac:dyDescent="0.35">
      <c r="A24" s="251"/>
      <c r="B24" t="s">
        <v>77</v>
      </c>
      <c r="C24" t="s">
        <v>3</v>
      </c>
      <c r="D24" s="214" t="str">
        <f>TRIM(MID(D12,SEARCH("s.d.",D12)+4,LEN(D12)))</f>
        <v>15 Agustus 2026</v>
      </c>
      <c r="E24" s="216">
        <f>DATE(RIGHT(D24,4),MATCH(MID(D24,FIND(" ",D24)+1,FIND(" ",D24,FIND(" ",D24)+1)-FIND(" ",D24)-1),DB!$B$48:$B$59,0),LEFT(D24,FIND(" ",D24)-1))</f>
        <v>46249</v>
      </c>
      <c r="J24" s="220"/>
    </row>
    <row r="25" spans="1:10" x14ac:dyDescent="0.35">
      <c r="A25" s="251"/>
      <c r="B25" t="s">
        <v>72</v>
      </c>
      <c r="C25" t="s">
        <v>3</v>
      </c>
      <c r="D25" s="103" t="s">
        <v>333</v>
      </c>
    </row>
    <row r="26" spans="1:10" x14ac:dyDescent="0.35">
      <c r="A26" s="251"/>
      <c r="B26" t="s">
        <v>68</v>
      </c>
      <c r="C26" t="s">
        <v>3</v>
      </c>
      <c r="D26" s="74" t="s">
        <v>11</v>
      </c>
    </row>
    <row r="27" spans="1:10" s="64" customFormat="1" x14ac:dyDescent="0.35">
      <c r="A27" s="252"/>
      <c r="B27" s="64" t="s">
        <v>81</v>
      </c>
      <c r="C27" s="64" t="s">
        <v>3</v>
      </c>
      <c r="D27" s="74" t="str">
        <f>VLOOKUP(MATCH(D25,DB!$D$2:$D$14,0),DB!$A$2:$H$14,3)</f>
        <v>19990307 202104 1 001</v>
      </c>
    </row>
    <row r="28" spans="1:10" x14ac:dyDescent="0.35">
      <c r="D28" s="207"/>
    </row>
    <row r="29" spans="1:10" s="63" customFormat="1" x14ac:dyDescent="0.35">
      <c r="A29" s="250" t="s">
        <v>79</v>
      </c>
      <c r="B29" s="63" t="s">
        <v>41</v>
      </c>
      <c r="C29" s="63" t="s">
        <v>3</v>
      </c>
      <c r="D29" s="215" t="s">
        <v>387</v>
      </c>
      <c r="F29" s="63" t="s">
        <v>386</v>
      </c>
    </row>
    <row r="30" spans="1:10" x14ac:dyDescent="0.35">
      <c r="A30" s="251"/>
      <c r="B30" t="s">
        <v>92</v>
      </c>
      <c r="C30" t="s">
        <v>3</v>
      </c>
      <c r="D30" s="222">
        <v>140000</v>
      </c>
      <c r="F30" s="254" t="s">
        <v>236</v>
      </c>
      <c r="G30" s="254"/>
      <c r="H30" s="254"/>
      <c r="I30" s="254"/>
      <c r="J30" s="254"/>
    </row>
    <row r="31" spans="1:10" x14ac:dyDescent="0.35">
      <c r="A31" s="251"/>
      <c r="B31" t="s">
        <v>83</v>
      </c>
      <c r="C31" t="s">
        <v>3</v>
      </c>
      <c r="D31" s="149">
        <v>0</v>
      </c>
      <c r="E31" s="72" t="str">
        <f>IF(D31=0,"nol",IF(D31&lt;0,"minus ","")&amp; SUBSTITUTE(TRIM(SUBSTITUTE(SUBSTITUTE(SUBSTITUTE(SUBSTITUTE(SUBSTITUTE(SUBSTITUTE(SUBSTITUTE(SUBSTITUTE(SUBSTITUTE(SUBSTITUTE(SUBSTITUTE(SUBSTITUTE(SUBSTITUTE(SUBSTITUTE(SUBSTITUTE(SUBSTITUTE(SUBSTITUTE(SUBSTITUTE(SUBSTITUTE(SUBSTITUTE(SUBSTITUTE(SUBSTITUTE(SUBSTITUTE(SUBSTITUTE( IF(--MID(TEXT(ABS(D31),"000000000000000"),1,3)=0,"",MID(TEXT(ABS(D31),"000000000000000"),1,1)&amp;" ratus "&amp;MID(TEXT(ABS(D31),"000000000000000"),2,1)&amp;" puluh "&amp;MID(TEXT(ABS(D31),"000000000000000"),3,1)&amp;" trilyun ")&amp; IF(--MID(TEXT(ABS(D31),"000000000000000"),4,3)=0,"",MID(TEXT(ABS(D31),"000000000000000"),4,1)&amp;" ratus "&amp;MID(TEXT(ABS(D31),"000000000000000"),5,1)&amp;" puluh "&amp;MID(TEXT(ABS(D31),"000000000000000"),6,1)&amp;" milyar ")&amp; IF(--MID(TEXT(ABS(D31),"000000000000000"),7,3)=0,"",MID(TEXT(ABS(D31),"000000000000000"),7,1)&amp;" ratus "&amp;MID(TEXT(ABS(D31),"000000000000000"),8,1)&amp;" puluh "&amp;MID(TEXT(ABS(D31),"000000000000000"),9,1)&amp;" juta ")&amp; IF(--MID(TEXT(ABS(D31),"000000000000000"),10,3)=0,"",IF(--MID(TEXT(ABS(D31),"000000000000000"),10,3)=1,"*",MID(TEXT(ABS(D31),"000000000000000"),10,1)&amp;" ratus "&amp;MID(TEXT(ABS(D31),"000000000000000"),11,1)&amp;" puluh ")&amp;MID(TEXT(ABS(D31),"000000000000000"),12,1)&amp;" ribu ")&amp; IF(--MID(TEXT(ABS(D31),"000000000000000"),13,3)=0,"",MID(TEXT(ABS(D31),"000000000000000"),13,1)&amp;" ratus "&amp;MID(TEXT(ABS(D31),"000000000000000"),14,1)&amp;" puluh "&amp;MID(TEXT(ABS(D31),"000000000000000"),15,1)),1,"satu"),2,"dua"),3,"tiga"),4,"empat"),5,"lima"),6,"enam"),7,"tujuh"),8,"delapan"),9,"sembilan"),"0 ratus",""),"0 puluh",""),"satu puluh 0","sepuluh"),"satu puluh satu","sebelas"),"satu puluh dua","dua belas"),"satu puluh tiga","tiga belas"),"satu puluh empat","empat belas"),"satu puluh lima","lima belas"),"satu puluh enam","enam belas"),"satu puluh tujuh","tujuh belas"),"satu puluh delapan","delapan belas"),"satu puluh sembilan","sembilan belas"),"satu ratus","seratus"),"*satu ribu","seribu"),0,""))," "," ")) &amp; " rupiah"</f>
        <v>nol rupiah</v>
      </c>
      <c r="F31" s="71" t="str">
        <f t="shared" ref="F31:F35" si="0">REPLACE(E31,1,1,UPPER(LEFT(E31)))</f>
        <v>Nol rupiah</v>
      </c>
    </row>
    <row r="32" spans="1:10" x14ac:dyDescent="0.35">
      <c r="A32" s="251"/>
      <c r="B32" t="s">
        <v>93</v>
      </c>
      <c r="C32" t="s">
        <v>3</v>
      </c>
      <c r="D32" s="75">
        <f>D30*E22</f>
        <v>140000</v>
      </c>
      <c r="E32" s="72" t="str">
        <f>IF(D32=0,"nol",IF(D32&lt;0,"minus ","")&amp; SUBSTITUTE(TRIM(SUBSTITUTE(SUBSTITUTE(SUBSTITUTE(SUBSTITUTE(SUBSTITUTE(SUBSTITUTE(SUBSTITUTE(SUBSTITUTE(SUBSTITUTE(SUBSTITUTE(SUBSTITUTE(SUBSTITUTE(SUBSTITUTE(SUBSTITUTE(SUBSTITUTE(SUBSTITUTE(SUBSTITUTE(SUBSTITUTE(SUBSTITUTE(SUBSTITUTE(SUBSTITUTE(SUBSTITUTE(SUBSTITUTE(SUBSTITUTE( IF(--MID(TEXT(ABS(D32),"000000000000000"),1,3)=0,"",MID(TEXT(ABS(D32),"000000000000000"),1,1)&amp;" ratus "&amp;MID(TEXT(ABS(D32),"000000000000000"),2,1)&amp;" puluh "&amp;MID(TEXT(ABS(D32),"000000000000000"),3,1)&amp;" trilyun ")&amp; IF(--MID(TEXT(ABS(D32),"000000000000000"),4,3)=0,"",MID(TEXT(ABS(D32),"000000000000000"),4,1)&amp;" ratus "&amp;MID(TEXT(ABS(D32),"000000000000000"),5,1)&amp;" puluh "&amp;MID(TEXT(ABS(D32),"000000000000000"),6,1)&amp;" milyar ")&amp; IF(--MID(TEXT(ABS(D32),"000000000000000"),7,3)=0,"",MID(TEXT(ABS(D32),"000000000000000"),7,1)&amp;" ratus "&amp;MID(TEXT(ABS(D32),"000000000000000"),8,1)&amp;" puluh "&amp;MID(TEXT(ABS(D32),"000000000000000"),9,1)&amp;" juta ")&amp; IF(--MID(TEXT(ABS(D32),"000000000000000"),10,3)=0,"",IF(--MID(TEXT(ABS(D32),"000000000000000"),10,3)=1,"*",MID(TEXT(ABS(D32),"000000000000000"),10,1)&amp;" ratus "&amp;MID(TEXT(ABS(D32),"000000000000000"),11,1)&amp;" puluh ")&amp;MID(TEXT(ABS(D32),"000000000000000"),12,1)&amp;" ribu ")&amp; IF(--MID(TEXT(ABS(D32),"000000000000000"),13,3)=0,"",MID(TEXT(ABS(D32),"000000000000000"),13,1)&amp;" ratus "&amp;MID(TEXT(ABS(D32),"000000000000000"),14,1)&amp;" puluh "&amp;MID(TEXT(ABS(D32),"000000000000000"),15,1)),1,"satu"),2,"dua"),3,"tiga"),4,"empat"),5,"lima"),6,"enam"),7,"tujuh"),8,"delapan"),9,"sembilan"),"0 ratus",""),"0 puluh",""),"satu puluh 0","sepuluh"),"satu puluh satu","sebelas"),"satu puluh dua","dua belas"),"satu puluh tiga","tiga belas"),"satu puluh empat","empat belas"),"satu puluh lima","lima belas"),"satu puluh enam","enam belas"),"satu puluh tujuh","tujuh belas"),"satu puluh delapan","delapan belas"),"satu puluh sembilan","sembilan belas"),"satu ratus","seratus"),"*satu ribu","seribu"),0,""))," "," ")) &amp; " rupiah"</f>
        <v>seratus empat puluh ribu rupiah</v>
      </c>
      <c r="F32" s="71" t="str">
        <f t="shared" si="0"/>
        <v>Seratus empat puluh ribu rupiah</v>
      </c>
    </row>
    <row r="33" spans="1:10" x14ac:dyDescent="0.35">
      <c r="A33" s="251"/>
      <c r="B33" t="s">
        <v>47</v>
      </c>
      <c r="C33" t="s">
        <v>3</v>
      </c>
      <c r="D33" s="75">
        <v>0</v>
      </c>
      <c r="E33" s="72" t="str">
        <f>IF(D33=0,"nol",IF(D33&lt;0,"minus ","")&amp; SUBSTITUTE(TRIM(SUBSTITUTE(SUBSTITUTE(SUBSTITUTE(SUBSTITUTE(SUBSTITUTE(SUBSTITUTE(SUBSTITUTE(SUBSTITUTE(SUBSTITUTE(SUBSTITUTE(SUBSTITUTE(SUBSTITUTE(SUBSTITUTE(SUBSTITUTE(SUBSTITUTE(SUBSTITUTE(SUBSTITUTE(SUBSTITUTE(SUBSTITUTE(SUBSTITUTE(SUBSTITUTE(SUBSTITUTE(SUBSTITUTE(SUBSTITUTE( IF(--MID(TEXT(ABS(D33),"000000000000000"),1,3)=0,"",MID(TEXT(ABS(D33),"000000000000000"),1,1)&amp;" ratus "&amp;MID(TEXT(ABS(D33),"000000000000000"),2,1)&amp;" puluh "&amp;MID(TEXT(ABS(D33),"000000000000000"),3,1)&amp;" trilyun ")&amp; IF(--MID(TEXT(ABS(D33),"000000000000000"),4,3)=0,"",MID(TEXT(ABS(D33),"000000000000000"),4,1)&amp;" ratus "&amp;MID(TEXT(ABS(D33),"000000000000000"),5,1)&amp;" puluh "&amp;MID(TEXT(ABS(D33),"000000000000000"),6,1)&amp;" milyar ")&amp; IF(--MID(TEXT(ABS(D33),"000000000000000"),7,3)=0,"",MID(TEXT(ABS(D33),"000000000000000"),7,1)&amp;" ratus "&amp;MID(TEXT(ABS(D33),"000000000000000"),8,1)&amp;" puluh "&amp;MID(TEXT(ABS(D33),"000000000000000"),9,1)&amp;" juta ")&amp; IF(--MID(TEXT(ABS(D33),"000000000000000"),10,3)=0,"",IF(--MID(TEXT(ABS(D33),"000000000000000"),10,3)=1,"*",MID(TEXT(ABS(D33),"000000000000000"),10,1)&amp;" ratus "&amp;MID(TEXT(ABS(D33),"000000000000000"),11,1)&amp;" puluh ")&amp;MID(TEXT(ABS(D33),"000000000000000"),12,1)&amp;" ribu ")&amp; IF(--MID(TEXT(ABS(D33),"000000000000000"),13,3)=0,"",MID(TEXT(ABS(D33),"000000000000000"),13,1)&amp;" ratus "&amp;MID(TEXT(ABS(D33),"000000000000000"),14,1)&amp;" puluh "&amp;MID(TEXT(ABS(D33),"000000000000000"),15,1)),1,"satu"),2,"dua"),3,"tiga"),4,"empat"),5,"lima"),6,"enam"),7,"tujuh"),8,"delapan"),9,"sembilan"),"0 ratus",""),"0 puluh",""),"satu puluh 0","sepuluh"),"satu puluh satu","sebelas"),"satu puluh dua","dua belas"),"satu puluh tiga","tiga belas"),"satu puluh empat","empat belas"),"satu puluh lima","lima belas"),"satu puluh enam","enam belas"),"satu puluh tujuh","tujuh belas"),"satu puluh delapan","delapan belas"),"satu puluh sembilan","sembilan belas"),"satu ratus","seratus"),"*satu ribu","seribu"),0,""))," "," ")) &amp; " rupiah"</f>
        <v>nol rupiah</v>
      </c>
      <c r="F33" s="71" t="str">
        <f t="shared" si="0"/>
        <v>Nol rupiah</v>
      </c>
    </row>
    <row r="34" spans="1:10" x14ac:dyDescent="0.35">
      <c r="A34" s="251"/>
      <c r="B34" t="s">
        <v>84</v>
      </c>
      <c r="C34" t="s">
        <v>3</v>
      </c>
      <c r="D34" s="75">
        <f>Riil!I20</f>
        <v>350000</v>
      </c>
      <c r="E34" s="72" t="str">
        <f>IF(D34=0,"nol",IF(D34&lt;0,"minus ","")&amp; SUBSTITUTE(TRIM(SUBSTITUTE(SUBSTITUTE(SUBSTITUTE(SUBSTITUTE(SUBSTITUTE(SUBSTITUTE(SUBSTITUTE(SUBSTITUTE(SUBSTITUTE(SUBSTITUTE(SUBSTITUTE(SUBSTITUTE(SUBSTITUTE(SUBSTITUTE(SUBSTITUTE(SUBSTITUTE(SUBSTITUTE(SUBSTITUTE(SUBSTITUTE(SUBSTITUTE(SUBSTITUTE(SUBSTITUTE(SUBSTITUTE(SUBSTITUTE( IF(--MID(TEXT(ABS(D34),"000000000000000"),1,3)=0,"",MID(TEXT(ABS(D34),"000000000000000"),1,1)&amp;" ratus "&amp;MID(TEXT(ABS(D34),"000000000000000"),2,1)&amp;" puluh "&amp;MID(TEXT(ABS(D34),"000000000000000"),3,1)&amp;" trilyun ")&amp; IF(--MID(TEXT(ABS(D34),"000000000000000"),4,3)=0,"",MID(TEXT(ABS(D34),"000000000000000"),4,1)&amp;" ratus "&amp;MID(TEXT(ABS(D34),"000000000000000"),5,1)&amp;" puluh "&amp;MID(TEXT(ABS(D34),"000000000000000"),6,1)&amp;" milyar ")&amp; IF(--MID(TEXT(ABS(D34),"000000000000000"),7,3)=0,"",MID(TEXT(ABS(D34),"000000000000000"),7,1)&amp;" ratus "&amp;MID(TEXT(ABS(D34),"000000000000000"),8,1)&amp;" puluh "&amp;MID(TEXT(ABS(D34),"000000000000000"),9,1)&amp;" juta ")&amp; IF(--MID(TEXT(ABS(D34),"000000000000000"),10,3)=0,"",IF(--MID(TEXT(ABS(D34),"000000000000000"),10,3)=1,"*",MID(TEXT(ABS(D34),"000000000000000"),10,1)&amp;" ratus "&amp;MID(TEXT(ABS(D34),"000000000000000"),11,1)&amp;" puluh ")&amp;MID(TEXT(ABS(D34),"000000000000000"),12,1)&amp;" ribu ")&amp; IF(--MID(TEXT(ABS(D34),"000000000000000"),13,3)=0,"",MID(TEXT(ABS(D34),"000000000000000"),13,1)&amp;" ratus "&amp;MID(TEXT(ABS(D34),"000000000000000"),14,1)&amp;" puluh "&amp;MID(TEXT(ABS(D34),"000000000000000"),15,1)),1,"satu"),2,"dua"),3,"tiga"),4,"empat"),5,"lima"),6,"enam"),7,"tujuh"),8,"delapan"),9,"sembilan"),"0 ratus",""),"0 puluh",""),"satu puluh 0","sepuluh"),"satu puluh satu","sebelas"),"satu puluh dua","dua belas"),"satu puluh tiga","tiga belas"),"satu puluh empat","empat belas"),"satu puluh lima","lima belas"),"satu puluh enam","enam belas"),"satu puluh tujuh","tujuh belas"),"satu puluh delapan","delapan belas"),"satu puluh sembilan","sembilan belas"),"satu ratus","seratus"),"*satu ribu","seribu"),0,""))," "," ")) &amp; " rupiah"</f>
        <v>tiga ratus lima puluh ribu rupiah</v>
      </c>
      <c r="F34" s="71" t="str">
        <f t="shared" si="0"/>
        <v>Tiga ratus lima puluh ribu rupiah</v>
      </c>
    </row>
    <row r="35" spans="1:10" s="64" customFormat="1" x14ac:dyDescent="0.35">
      <c r="A35" s="252"/>
      <c r="B35" s="64" t="s">
        <v>80</v>
      </c>
      <c r="C35" s="64" t="s">
        <v>3</v>
      </c>
      <c r="D35" s="76">
        <f>SUM(D31:D34)</f>
        <v>490000</v>
      </c>
      <c r="E35" s="72" t="str">
        <f>IF(D35=0,"nol",IF(D35&lt;0,"minus ","")&amp; SUBSTITUTE(TRIM(SUBSTITUTE(SUBSTITUTE(SUBSTITUTE(SUBSTITUTE(SUBSTITUTE(SUBSTITUTE(SUBSTITUTE(SUBSTITUTE(SUBSTITUTE(SUBSTITUTE(SUBSTITUTE(SUBSTITUTE(SUBSTITUTE(SUBSTITUTE(SUBSTITUTE(SUBSTITUTE(SUBSTITUTE(SUBSTITUTE(SUBSTITUTE(SUBSTITUTE(SUBSTITUTE(SUBSTITUTE(SUBSTITUTE(SUBSTITUTE( IF(--MID(TEXT(ABS(D35),"000000000000000"),1,3)=0,"",MID(TEXT(ABS(D35),"000000000000000"),1,1)&amp;" ratus "&amp;MID(TEXT(ABS(D35),"000000000000000"),2,1)&amp;" puluh "&amp;MID(TEXT(ABS(D35),"000000000000000"),3,1)&amp;" trilyun ")&amp; IF(--MID(TEXT(ABS(D35),"000000000000000"),4,3)=0,"",MID(TEXT(ABS(D35),"000000000000000"),4,1)&amp;" ratus "&amp;MID(TEXT(ABS(D35),"000000000000000"),5,1)&amp;" puluh "&amp;MID(TEXT(ABS(D35),"000000000000000"),6,1)&amp;" milyar ")&amp; IF(--MID(TEXT(ABS(D35),"000000000000000"),7,3)=0,"",MID(TEXT(ABS(D35),"000000000000000"),7,1)&amp;" ratus "&amp;MID(TEXT(ABS(D35),"000000000000000"),8,1)&amp;" puluh "&amp;MID(TEXT(ABS(D35),"000000000000000"),9,1)&amp;" juta ")&amp; IF(--MID(TEXT(ABS(D35),"000000000000000"),10,3)=0,"",IF(--MID(TEXT(ABS(D35),"000000000000000"),10,3)=1,"*",MID(TEXT(ABS(D35),"000000000000000"),10,1)&amp;" ratus "&amp;MID(TEXT(ABS(D35),"000000000000000"),11,1)&amp;" puluh ")&amp;MID(TEXT(ABS(D35),"000000000000000"),12,1)&amp;" ribu ")&amp; IF(--MID(TEXT(ABS(D35),"000000000000000"),13,3)=0,"",MID(TEXT(ABS(D35),"000000000000000"),13,1)&amp;" ratus "&amp;MID(TEXT(ABS(D35),"000000000000000"),14,1)&amp;" puluh "&amp;MID(TEXT(ABS(D35),"000000000000000"),15,1)),1,"satu"),2,"dua"),3,"tiga"),4,"empat"),5,"lima"),6,"enam"),7,"tujuh"),8,"delapan"),9,"sembilan"),"0 ratus",""),"0 puluh",""),"satu puluh 0","sepuluh"),"satu puluh satu","sebelas"),"satu puluh dua","dua belas"),"satu puluh tiga","tiga belas"),"satu puluh empat","empat belas"),"satu puluh lima","lima belas"),"satu puluh enam","enam belas"),"satu puluh tujuh","tujuh belas"),"satu puluh delapan","delapan belas"),"satu puluh sembilan","sembilan belas"),"satu ratus","seratus"),"*satu ribu","seribu"),0,""))," "," ")) &amp; " rupiah"</f>
        <v>empat ratus sembilan puluh ribu rupiah</v>
      </c>
      <c r="F35" s="150" t="str">
        <f t="shared" si="0"/>
        <v>Empat ratus sembilan puluh ribu rupiah</v>
      </c>
    </row>
    <row r="36" spans="1:10" x14ac:dyDescent="0.35">
      <c r="A36" s="77"/>
      <c r="D36" s="149"/>
    </row>
    <row r="37" spans="1:10" x14ac:dyDescent="0.35">
      <c r="A37" s="77" t="s">
        <v>248</v>
      </c>
      <c r="B37" t="s">
        <v>42</v>
      </c>
      <c r="C37" t="s">
        <v>3</v>
      </c>
      <c r="D37" s="149"/>
      <c r="F37" s="254" t="s">
        <v>250</v>
      </c>
      <c r="G37" s="254"/>
      <c r="H37" s="254"/>
      <c r="I37" s="254"/>
      <c r="J37" s="254"/>
    </row>
    <row r="38" spans="1:10" x14ac:dyDescent="0.35">
      <c r="A38" s="77"/>
      <c r="B38" t="s">
        <v>41</v>
      </c>
      <c r="C38" t="s">
        <v>3</v>
      </c>
      <c r="D38" s="209"/>
      <c r="F38" s="254" t="s">
        <v>326</v>
      </c>
      <c r="G38" s="254"/>
      <c r="H38" s="254"/>
      <c r="I38" s="254"/>
      <c r="J38" s="254"/>
    </row>
    <row r="39" spans="1:10" x14ac:dyDescent="0.35">
      <c r="C39" s="64"/>
    </row>
    <row r="40" spans="1:10" s="63" customFormat="1" ht="32.25" customHeight="1" x14ac:dyDescent="0.35">
      <c r="A40" s="66" t="s">
        <v>85</v>
      </c>
      <c r="B40" s="100" t="s">
        <v>86</v>
      </c>
      <c r="C40" s="101" t="s">
        <v>3</v>
      </c>
      <c r="D40" s="146" t="s">
        <v>225</v>
      </c>
      <c r="E40" s="248"/>
      <c r="F40" s="248"/>
      <c r="G40" s="248"/>
      <c r="H40" s="248"/>
      <c r="I40" s="248"/>
      <c r="J40" s="248"/>
    </row>
    <row r="41" spans="1:10" ht="15" customHeight="1" x14ac:dyDescent="0.35">
      <c r="A41" s="67"/>
      <c r="B41" t="s">
        <v>87</v>
      </c>
      <c r="C41" t="s">
        <v>3</v>
      </c>
      <c r="D41" s="129"/>
      <c r="E41" s="249"/>
      <c r="F41" s="249"/>
      <c r="G41" s="249"/>
      <c r="H41" s="249"/>
      <c r="I41" s="249"/>
      <c r="J41" s="249"/>
    </row>
    <row r="42" spans="1:10" ht="15" customHeight="1" x14ac:dyDescent="0.35">
      <c r="A42" s="67"/>
      <c r="B42" t="s">
        <v>94</v>
      </c>
      <c r="C42" t="s">
        <v>3</v>
      </c>
      <c r="D42" s="129"/>
      <c r="E42" s="249"/>
      <c r="F42" s="249"/>
      <c r="G42" s="249"/>
      <c r="H42" s="249"/>
      <c r="I42" s="249"/>
      <c r="J42" s="249"/>
    </row>
    <row r="43" spans="1:10" s="64" customFormat="1" x14ac:dyDescent="0.35">
      <c r="A43" s="68"/>
      <c r="D43" s="73"/>
    </row>
    <row r="45" spans="1:10" s="63" customFormat="1" x14ac:dyDescent="0.35">
      <c r="A45" s="127" t="s">
        <v>162</v>
      </c>
      <c r="C45" s="63" t="s">
        <v>3</v>
      </c>
      <c r="D45" s="103" t="s">
        <v>333</v>
      </c>
    </row>
    <row r="46" spans="1:10" x14ac:dyDescent="0.35">
      <c r="A46" s="65" t="s">
        <v>163</v>
      </c>
      <c r="C46" t="s">
        <v>3</v>
      </c>
      <c r="D46" s="74" t="str">
        <f>VLOOKUP(MATCH(D45,DB!$D$2:$D$14,0),DB!$A$2:$H$14,3)</f>
        <v>19990307 202104 1 001</v>
      </c>
    </row>
    <row r="47" spans="1:10" x14ac:dyDescent="0.35">
      <c r="A47" s="65" t="s">
        <v>165</v>
      </c>
      <c r="C47" t="s">
        <v>3</v>
      </c>
      <c r="D47" s="74" t="s">
        <v>169</v>
      </c>
    </row>
    <row r="49" spans="1:4" x14ac:dyDescent="0.35">
      <c r="A49" s="65" t="s">
        <v>167</v>
      </c>
      <c r="C49" t="s">
        <v>3</v>
      </c>
      <c r="D49" s="103" t="s">
        <v>338</v>
      </c>
    </row>
    <row r="50" spans="1:4" x14ac:dyDescent="0.35">
      <c r="A50" s="65" t="s">
        <v>163</v>
      </c>
      <c r="C50" t="s">
        <v>3</v>
      </c>
      <c r="D50" s="74" t="str">
        <f>VLOOKUP(MATCH(D49,DB!$D$2:$D$14,0),DB!$A$2:$H$14,3)</f>
        <v>19990712 202104 2 001</v>
      </c>
    </row>
    <row r="51" spans="1:4" s="64" customFormat="1" x14ac:dyDescent="0.35">
      <c r="A51" s="128" t="s">
        <v>165</v>
      </c>
      <c r="C51" s="64" t="s">
        <v>3</v>
      </c>
      <c r="D51" s="73" t="s">
        <v>129</v>
      </c>
    </row>
  </sheetData>
  <mergeCells count="14">
    <mergeCell ref="E40:J42"/>
    <mergeCell ref="A1:A13"/>
    <mergeCell ref="A15:A27"/>
    <mergeCell ref="A29:A35"/>
    <mergeCell ref="K1:Z1"/>
    <mergeCell ref="F10:J10"/>
    <mergeCell ref="F11:J11"/>
    <mergeCell ref="F15:J15"/>
    <mergeCell ref="F30:J30"/>
    <mergeCell ref="F37:J37"/>
    <mergeCell ref="F12:J12"/>
    <mergeCell ref="F6:J6"/>
    <mergeCell ref="F38:J38"/>
    <mergeCell ref="F13:J1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19E251D-A3DD-441F-BEA3-19CA222AF147}">
          <x14:formula1>
            <xm:f>DB!$D$2:$D$18</xm:f>
          </x14:formula1>
          <xm:sqref>D49 D25 D45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1BF15-641B-4AA0-9317-7C8D6A8C61A1}">
  <dimension ref="A1:H59"/>
  <sheetViews>
    <sheetView workbookViewId="0">
      <selection activeCell="E19" sqref="E19"/>
    </sheetView>
  </sheetViews>
  <sheetFormatPr defaultColWidth="9.1796875" defaultRowHeight="14.5" x14ac:dyDescent="0.35"/>
  <cols>
    <col min="1" max="1" width="9.1796875" style="211"/>
    <col min="2" max="2" width="11.81640625" style="211" customWidth="1"/>
    <col min="3" max="3" width="20.54296875" style="211" bestFit="1" customWidth="1"/>
    <col min="4" max="4" width="32.7265625" style="211" bestFit="1" customWidth="1"/>
    <col min="5" max="5" width="43" style="211" bestFit="1" customWidth="1"/>
    <col min="6" max="6" width="16.7265625" style="211" bestFit="1" customWidth="1"/>
    <col min="7" max="7" width="9.1796875" style="211"/>
    <col min="8" max="8" width="27.26953125" style="211" bestFit="1" customWidth="1"/>
    <col min="9" max="16384" width="9.1796875" style="211"/>
  </cols>
  <sheetData>
    <row r="1" spans="1:8" x14ac:dyDescent="0.35">
      <c r="A1" s="211" t="s">
        <v>252</v>
      </c>
      <c r="B1" s="211" t="s">
        <v>254</v>
      </c>
      <c r="C1" s="211" t="s">
        <v>255</v>
      </c>
      <c r="D1" s="211" t="s">
        <v>253</v>
      </c>
      <c r="E1" s="211" t="s">
        <v>256</v>
      </c>
      <c r="F1" s="211" t="s">
        <v>257</v>
      </c>
      <c r="G1" s="211" t="s">
        <v>271</v>
      </c>
      <c r="H1" s="211" t="s">
        <v>269</v>
      </c>
    </row>
    <row r="2" spans="1:8" x14ac:dyDescent="0.35">
      <c r="A2" s="211">
        <v>1</v>
      </c>
      <c r="B2" s="212" t="s">
        <v>344</v>
      </c>
      <c r="C2" s="213" t="s">
        <v>164</v>
      </c>
      <c r="D2" s="211" t="s">
        <v>161</v>
      </c>
      <c r="E2" s="211" t="s">
        <v>272</v>
      </c>
      <c r="F2" s="211" t="s">
        <v>273</v>
      </c>
      <c r="G2" s="211" t="s">
        <v>274</v>
      </c>
      <c r="H2" s="211" t="s">
        <v>270</v>
      </c>
    </row>
    <row r="3" spans="1:8" x14ac:dyDescent="0.35">
      <c r="A3" s="211">
        <v>2</v>
      </c>
      <c r="B3" s="213">
        <v>340056564</v>
      </c>
      <c r="C3" s="213" t="s">
        <v>268</v>
      </c>
      <c r="D3" s="211" t="s">
        <v>328</v>
      </c>
      <c r="E3" s="211" t="s">
        <v>275</v>
      </c>
      <c r="F3" s="211" t="s">
        <v>280</v>
      </c>
      <c r="G3" s="211" t="s">
        <v>284</v>
      </c>
      <c r="H3" s="211" t="s">
        <v>288</v>
      </c>
    </row>
    <row r="4" spans="1:8" x14ac:dyDescent="0.35">
      <c r="A4" s="211">
        <v>3</v>
      </c>
      <c r="B4" s="213">
        <v>340055334</v>
      </c>
      <c r="C4" s="213" t="s">
        <v>258</v>
      </c>
      <c r="D4" s="211" t="s">
        <v>329</v>
      </c>
      <c r="E4" s="211" t="s">
        <v>276</v>
      </c>
      <c r="F4" s="211" t="s">
        <v>273</v>
      </c>
      <c r="G4" s="211" t="s">
        <v>274</v>
      </c>
      <c r="H4" s="211" t="s">
        <v>289</v>
      </c>
    </row>
    <row r="5" spans="1:8" x14ac:dyDescent="0.35">
      <c r="A5" s="211">
        <v>4</v>
      </c>
      <c r="B5" s="213">
        <v>340062829</v>
      </c>
      <c r="C5" s="213" t="s">
        <v>259</v>
      </c>
      <c r="D5" s="211" t="s">
        <v>337</v>
      </c>
      <c r="E5" s="211" t="s">
        <v>278</v>
      </c>
      <c r="F5" s="211" t="s">
        <v>282</v>
      </c>
      <c r="G5" s="211" t="s">
        <v>286</v>
      </c>
      <c r="H5" s="211" t="s">
        <v>290</v>
      </c>
    </row>
    <row r="6" spans="1:8" x14ac:dyDescent="0.35">
      <c r="A6" s="211">
        <v>5</v>
      </c>
      <c r="B6" s="213">
        <v>340057652</v>
      </c>
      <c r="C6" s="213" t="s">
        <v>260</v>
      </c>
      <c r="D6" s="211" t="s">
        <v>339</v>
      </c>
      <c r="E6" s="211" t="s">
        <v>276</v>
      </c>
      <c r="F6" s="211" t="s">
        <v>280</v>
      </c>
      <c r="G6" s="211" t="s">
        <v>284</v>
      </c>
      <c r="H6" s="211" t="s">
        <v>291</v>
      </c>
    </row>
    <row r="7" spans="1:8" x14ac:dyDescent="0.35">
      <c r="A7" s="211">
        <v>6</v>
      </c>
      <c r="B7" s="213">
        <v>340060172</v>
      </c>
      <c r="C7" s="213" t="s">
        <v>159</v>
      </c>
      <c r="D7" s="211" t="s">
        <v>330</v>
      </c>
      <c r="E7" s="211" t="s">
        <v>160</v>
      </c>
      <c r="F7" s="211" t="s">
        <v>358</v>
      </c>
      <c r="G7" s="211" t="s">
        <v>356</v>
      </c>
      <c r="H7" s="211" t="s">
        <v>292</v>
      </c>
    </row>
    <row r="8" spans="1:8" x14ac:dyDescent="0.35">
      <c r="A8" s="211">
        <v>7</v>
      </c>
      <c r="B8" s="213">
        <v>340060821</v>
      </c>
      <c r="C8" s="213" t="s">
        <v>261</v>
      </c>
      <c r="D8" s="211" t="s">
        <v>331</v>
      </c>
      <c r="E8" s="211" t="s">
        <v>277</v>
      </c>
      <c r="F8" s="211" t="s">
        <v>281</v>
      </c>
      <c r="G8" s="211" t="s">
        <v>285</v>
      </c>
      <c r="H8" s="211" t="s">
        <v>293</v>
      </c>
    </row>
    <row r="9" spans="1:8" x14ac:dyDescent="0.35">
      <c r="A9" s="211">
        <v>8</v>
      </c>
      <c r="B9" s="213">
        <v>340060184</v>
      </c>
      <c r="C9" s="213" t="s">
        <v>262</v>
      </c>
      <c r="D9" s="211" t="s">
        <v>332</v>
      </c>
      <c r="E9" s="211" t="s">
        <v>277</v>
      </c>
      <c r="F9" s="211" t="s">
        <v>358</v>
      </c>
      <c r="G9" s="211" t="s">
        <v>356</v>
      </c>
      <c r="H9" s="211" t="s">
        <v>294</v>
      </c>
    </row>
    <row r="10" spans="1:8" x14ac:dyDescent="0.35">
      <c r="A10" s="211">
        <v>9</v>
      </c>
      <c r="B10" s="213">
        <v>340060169</v>
      </c>
      <c r="C10" s="213" t="s">
        <v>263</v>
      </c>
      <c r="D10" s="211" t="s">
        <v>333</v>
      </c>
      <c r="E10" s="211" t="s">
        <v>277</v>
      </c>
      <c r="F10" s="211" t="s">
        <v>358</v>
      </c>
      <c r="G10" s="211" t="s">
        <v>356</v>
      </c>
      <c r="H10" s="211" t="s">
        <v>295</v>
      </c>
    </row>
    <row r="11" spans="1:8" x14ac:dyDescent="0.35">
      <c r="A11" s="211">
        <v>10</v>
      </c>
      <c r="B11" s="213">
        <v>340060762</v>
      </c>
      <c r="C11" s="213" t="s">
        <v>264</v>
      </c>
      <c r="D11" s="211" t="s">
        <v>334</v>
      </c>
      <c r="E11" s="211" t="s">
        <v>277</v>
      </c>
      <c r="F11" s="211" t="s">
        <v>281</v>
      </c>
      <c r="G11" s="211" t="s">
        <v>285</v>
      </c>
      <c r="H11" s="211" t="s">
        <v>296</v>
      </c>
    </row>
    <row r="12" spans="1:8" x14ac:dyDescent="0.35">
      <c r="A12" s="211">
        <v>11</v>
      </c>
      <c r="B12" s="213">
        <v>340060431</v>
      </c>
      <c r="C12" s="213" t="s">
        <v>265</v>
      </c>
      <c r="D12" s="211" t="s">
        <v>338</v>
      </c>
      <c r="E12" s="211" t="s">
        <v>279</v>
      </c>
      <c r="F12" s="211" t="s">
        <v>283</v>
      </c>
      <c r="G12" s="211" t="s">
        <v>287</v>
      </c>
      <c r="H12" s="211" t="s">
        <v>297</v>
      </c>
    </row>
    <row r="13" spans="1:8" x14ac:dyDescent="0.35">
      <c r="A13" s="211">
        <v>12</v>
      </c>
      <c r="B13" s="213">
        <v>340062021</v>
      </c>
      <c r="C13" s="213" t="s">
        <v>266</v>
      </c>
      <c r="D13" s="211" t="s">
        <v>335</v>
      </c>
      <c r="E13" s="211" t="s">
        <v>277</v>
      </c>
      <c r="F13" s="211" t="s">
        <v>281</v>
      </c>
      <c r="G13" s="211" t="s">
        <v>285</v>
      </c>
      <c r="H13" s="211" t="s">
        <v>298</v>
      </c>
    </row>
    <row r="14" spans="1:8" x14ac:dyDescent="0.35">
      <c r="A14" s="211">
        <v>13</v>
      </c>
      <c r="B14" s="213">
        <v>340062401</v>
      </c>
      <c r="C14" s="213" t="s">
        <v>267</v>
      </c>
      <c r="D14" s="211" t="s">
        <v>336</v>
      </c>
      <c r="E14" s="211" t="s">
        <v>277</v>
      </c>
      <c r="F14" s="211" t="s">
        <v>281</v>
      </c>
      <c r="G14" s="211" t="s">
        <v>285</v>
      </c>
      <c r="H14" s="211" t="s">
        <v>299</v>
      </c>
    </row>
    <row r="15" spans="1:8" x14ac:dyDescent="0.35">
      <c r="A15" s="211">
        <v>14</v>
      </c>
      <c r="B15" s="212" t="s">
        <v>343</v>
      </c>
      <c r="C15" s="213" t="s">
        <v>345</v>
      </c>
      <c r="D15" s="211" t="s">
        <v>327</v>
      </c>
      <c r="E15" s="211" t="s">
        <v>277</v>
      </c>
      <c r="F15" s="211" t="s">
        <v>281</v>
      </c>
      <c r="G15" s="211" t="s">
        <v>285</v>
      </c>
      <c r="H15" s="211" t="s">
        <v>346</v>
      </c>
    </row>
    <row r="16" spans="1:8" x14ac:dyDescent="0.35">
      <c r="A16" s="211">
        <v>15</v>
      </c>
      <c r="B16" s="213" t="s">
        <v>349</v>
      </c>
      <c r="C16" s="213" t="s">
        <v>350</v>
      </c>
      <c r="D16" s="211" t="s">
        <v>340</v>
      </c>
      <c r="E16" s="211" t="s">
        <v>160</v>
      </c>
      <c r="F16" s="211" t="s">
        <v>281</v>
      </c>
      <c r="G16" s="211" t="s">
        <v>285</v>
      </c>
      <c r="H16" s="211" t="s">
        <v>347</v>
      </c>
    </row>
    <row r="17" spans="1:8" x14ac:dyDescent="0.35">
      <c r="A17" s="211">
        <v>16</v>
      </c>
      <c r="B17" s="213" t="s">
        <v>351</v>
      </c>
      <c r="C17" s="213" t="s">
        <v>352</v>
      </c>
      <c r="D17" s="211" t="s">
        <v>341</v>
      </c>
      <c r="E17" s="211" t="s">
        <v>277</v>
      </c>
      <c r="F17" s="211" t="s">
        <v>281</v>
      </c>
      <c r="G17" s="211" t="s">
        <v>285</v>
      </c>
      <c r="H17" s="211" t="s">
        <v>348</v>
      </c>
    </row>
    <row r="18" spans="1:8" x14ac:dyDescent="0.35">
      <c r="A18" s="211">
        <v>17</v>
      </c>
      <c r="B18" s="213" t="s">
        <v>353</v>
      </c>
      <c r="C18" s="213" t="s">
        <v>354</v>
      </c>
      <c r="D18" s="211" t="s">
        <v>342</v>
      </c>
      <c r="E18" s="211" t="s">
        <v>277</v>
      </c>
      <c r="F18" s="211" t="s">
        <v>281</v>
      </c>
      <c r="G18" s="211" t="s">
        <v>285</v>
      </c>
      <c r="H18" s="211" t="s">
        <v>355</v>
      </c>
    </row>
    <row r="19" spans="1:8" x14ac:dyDescent="0.35">
      <c r="A19" s="211">
        <v>18</v>
      </c>
    </row>
    <row r="20" spans="1:8" x14ac:dyDescent="0.35">
      <c r="A20" s="211">
        <v>19</v>
      </c>
    </row>
    <row r="21" spans="1:8" x14ac:dyDescent="0.35">
      <c r="A21" s="211">
        <v>20</v>
      </c>
    </row>
    <row r="22" spans="1:8" x14ac:dyDescent="0.35">
      <c r="A22" s="211">
        <v>21</v>
      </c>
    </row>
    <row r="23" spans="1:8" x14ac:dyDescent="0.35">
      <c r="A23" s="211">
        <v>22</v>
      </c>
    </row>
    <row r="24" spans="1:8" x14ac:dyDescent="0.35">
      <c r="A24" s="211">
        <v>23</v>
      </c>
    </row>
    <row r="25" spans="1:8" x14ac:dyDescent="0.35">
      <c r="A25" s="211">
        <v>24</v>
      </c>
    </row>
    <row r="26" spans="1:8" x14ac:dyDescent="0.35">
      <c r="A26" s="211">
        <v>25</v>
      </c>
    </row>
    <row r="27" spans="1:8" x14ac:dyDescent="0.35">
      <c r="A27" s="211">
        <v>26</v>
      </c>
    </row>
    <row r="28" spans="1:8" x14ac:dyDescent="0.35">
      <c r="A28" s="211">
        <v>27</v>
      </c>
    </row>
    <row r="29" spans="1:8" x14ac:dyDescent="0.35">
      <c r="A29" s="211">
        <v>28</v>
      </c>
    </row>
    <row r="30" spans="1:8" x14ac:dyDescent="0.35">
      <c r="A30" s="211">
        <v>29</v>
      </c>
    </row>
    <row r="31" spans="1:8" x14ac:dyDescent="0.35">
      <c r="A31" s="211">
        <v>30</v>
      </c>
    </row>
    <row r="46" spans="1:3" x14ac:dyDescent="0.35">
      <c r="A46" s="211" t="s">
        <v>300</v>
      </c>
    </row>
    <row r="47" spans="1:3" x14ac:dyDescent="0.35">
      <c r="A47" s="211" t="s">
        <v>252</v>
      </c>
      <c r="B47" s="211" t="s">
        <v>313</v>
      </c>
      <c r="C47" s="211" t="s">
        <v>314</v>
      </c>
    </row>
    <row r="48" spans="1:3" x14ac:dyDescent="0.35">
      <c r="A48" s="211">
        <v>1</v>
      </c>
      <c r="B48" s="211" t="s">
        <v>301</v>
      </c>
      <c r="C48" s="211" t="s">
        <v>315</v>
      </c>
    </row>
    <row r="49" spans="1:3" x14ac:dyDescent="0.35">
      <c r="A49" s="211">
        <v>2</v>
      </c>
      <c r="B49" s="211" t="s">
        <v>302</v>
      </c>
      <c r="C49" s="211" t="s">
        <v>317</v>
      </c>
    </row>
    <row r="50" spans="1:3" x14ac:dyDescent="0.35">
      <c r="A50" s="211">
        <v>3</v>
      </c>
      <c r="B50" s="211" t="s">
        <v>303</v>
      </c>
      <c r="C50" s="211" t="s">
        <v>318</v>
      </c>
    </row>
    <row r="51" spans="1:3" x14ac:dyDescent="0.35">
      <c r="A51" s="211">
        <v>4</v>
      </c>
      <c r="B51" s="211" t="s">
        <v>304</v>
      </c>
      <c r="C51" s="211" t="s">
        <v>304</v>
      </c>
    </row>
    <row r="52" spans="1:3" x14ac:dyDescent="0.35">
      <c r="A52" s="211">
        <v>5</v>
      </c>
      <c r="B52" s="211" t="s">
        <v>305</v>
      </c>
      <c r="C52" s="211" t="s">
        <v>319</v>
      </c>
    </row>
    <row r="53" spans="1:3" x14ac:dyDescent="0.35">
      <c r="A53" s="211">
        <v>6</v>
      </c>
      <c r="B53" s="211" t="s">
        <v>306</v>
      </c>
      <c r="C53" s="211" t="s">
        <v>320</v>
      </c>
    </row>
    <row r="54" spans="1:3" x14ac:dyDescent="0.35">
      <c r="A54" s="211">
        <v>7</v>
      </c>
      <c r="B54" s="211" t="s">
        <v>307</v>
      </c>
      <c r="C54" s="211" t="s">
        <v>316</v>
      </c>
    </row>
    <row r="55" spans="1:3" x14ac:dyDescent="0.35">
      <c r="A55" s="211">
        <v>8</v>
      </c>
      <c r="B55" s="211" t="s">
        <v>308</v>
      </c>
      <c r="C55" s="211" t="s">
        <v>321</v>
      </c>
    </row>
    <row r="56" spans="1:3" x14ac:dyDescent="0.35">
      <c r="A56" s="211">
        <v>9</v>
      </c>
      <c r="B56" s="211" t="s">
        <v>309</v>
      </c>
      <c r="C56" s="211" t="s">
        <v>309</v>
      </c>
    </row>
    <row r="57" spans="1:3" x14ac:dyDescent="0.35">
      <c r="A57" s="211">
        <v>10</v>
      </c>
      <c r="B57" s="211" t="s">
        <v>310</v>
      </c>
      <c r="C57" s="211" t="s">
        <v>322</v>
      </c>
    </row>
    <row r="58" spans="1:3" x14ac:dyDescent="0.35">
      <c r="A58" s="211">
        <v>11</v>
      </c>
      <c r="B58" s="211" t="s">
        <v>311</v>
      </c>
      <c r="C58" s="211" t="s">
        <v>311</v>
      </c>
    </row>
    <row r="59" spans="1:3" x14ac:dyDescent="0.35">
      <c r="A59" s="211">
        <v>12</v>
      </c>
      <c r="B59" s="211" t="s">
        <v>312</v>
      </c>
      <c r="C59" s="211" t="s">
        <v>323</v>
      </c>
    </row>
  </sheetData>
  <sheetProtection algorithmName="SHA-512" hashValue="FMHFmw/Y0QNEy0Zt7KN/ffGeJhnTsD1I8WQMJo/JVpg26cKIYN57VqGUBGRKAfZEwjvl7OXpIonnYH5iNljzIw==" saltValue="N2s4S+TBd3V8raYKgNFPQQ==" spinCount="100000" sheet="1" objects="1" scenarios="1"/>
  <pageMargins left="0.7" right="0.7" top="0.75" bottom="0.75" header="0.3" footer="0.3"/>
  <pageSetup paperSize="9" orientation="portrait" horizontalDpi="0" verticalDpi="0" r:id="rId1"/>
  <ignoredErrors>
    <ignoredError sqref="B2:C4 B13:C18 B9:C12 B5:C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J34"/>
  <sheetViews>
    <sheetView view="pageBreakPreview" topLeftCell="A11" zoomScale="85" zoomScaleNormal="100" zoomScaleSheetLayoutView="85" workbookViewId="0">
      <selection activeCell="F23" sqref="F23:J23"/>
    </sheetView>
  </sheetViews>
  <sheetFormatPr defaultColWidth="9.1796875" defaultRowHeight="21" customHeight="1" x14ac:dyDescent="0.35"/>
  <cols>
    <col min="1" max="1" width="9.1796875" style="1"/>
    <col min="2" max="2" width="1" style="1" customWidth="1"/>
    <col min="3" max="3" width="11.7265625" style="1" customWidth="1"/>
    <col min="4" max="4" width="2" style="1" customWidth="1"/>
    <col min="5" max="5" width="2.26953125" style="88" customWidth="1"/>
    <col min="6" max="6" width="4.1796875" style="1" customWidth="1"/>
    <col min="7" max="7" width="9.54296875" style="1" customWidth="1"/>
    <col min="8" max="8" width="31.26953125" style="1" customWidth="1"/>
    <col min="9" max="9" width="2.7265625" style="1" customWidth="1"/>
    <col min="10" max="10" width="27.1796875" style="1" customWidth="1"/>
    <col min="11" max="11" width="1" style="1" customWidth="1"/>
    <col min="12" max="16384" width="9.1796875" style="1"/>
  </cols>
  <sheetData>
    <row r="1" spans="3:10" ht="14.5" x14ac:dyDescent="0.35"/>
    <row r="2" spans="3:10" ht="21" customHeight="1" x14ac:dyDescent="0.35">
      <c r="E2" s="89"/>
    </row>
    <row r="3" spans="3:10" ht="21" customHeight="1" x14ac:dyDescent="0.35">
      <c r="C3" s="2"/>
      <c r="D3" s="2"/>
      <c r="E3" s="90"/>
    </row>
    <row r="4" spans="3:10" ht="15.5" x14ac:dyDescent="0.35">
      <c r="C4" s="256" t="s">
        <v>51</v>
      </c>
      <c r="D4" s="256"/>
      <c r="E4" s="256"/>
      <c r="F4" s="256"/>
      <c r="G4" s="256"/>
      <c r="H4" s="256"/>
      <c r="I4" s="256"/>
      <c r="J4" s="256"/>
    </row>
    <row r="5" spans="3:10" ht="15.5" x14ac:dyDescent="0.35">
      <c r="C5" s="256" t="s">
        <v>98</v>
      </c>
      <c r="D5" s="256"/>
      <c r="E5" s="256"/>
      <c r="F5" s="256"/>
      <c r="G5" s="256"/>
      <c r="H5" s="256"/>
      <c r="I5" s="256"/>
      <c r="J5" s="256"/>
    </row>
    <row r="6" spans="3:10" ht="21" customHeight="1" x14ac:dyDescent="0.35">
      <c r="C6" s="87"/>
      <c r="D6" s="87"/>
      <c r="E6" s="91"/>
      <c r="F6" s="87"/>
      <c r="G6" s="87"/>
      <c r="H6" s="87"/>
      <c r="I6" s="87"/>
      <c r="J6" s="87"/>
    </row>
    <row r="7" spans="3:10" ht="15.5" x14ac:dyDescent="0.35">
      <c r="C7" s="259" t="s">
        <v>1</v>
      </c>
      <c r="D7" s="259"/>
      <c r="E7" s="259"/>
      <c r="F7" s="259"/>
      <c r="G7" s="259"/>
      <c r="H7" s="259"/>
      <c r="I7" s="259"/>
      <c r="J7" s="259"/>
    </row>
    <row r="8" spans="3:10" ht="21" customHeight="1" x14ac:dyDescent="0.35">
      <c r="C8" s="260" t="str">
        <f>CONCATENATE("Nomor : ",DATA!D1)</f>
        <v>Nomor : B-1122/62130/KU.340/2026</v>
      </c>
      <c r="D8" s="260"/>
      <c r="E8" s="260"/>
      <c r="F8" s="260"/>
      <c r="G8" s="260"/>
      <c r="H8" s="260"/>
      <c r="I8" s="260"/>
      <c r="J8" s="260"/>
    </row>
    <row r="9" spans="3:10" ht="57.75" customHeight="1" x14ac:dyDescent="0.35">
      <c r="C9" s="4" t="s">
        <v>99</v>
      </c>
      <c r="D9" s="4" t="s">
        <v>3</v>
      </c>
      <c r="E9" s="92" t="s">
        <v>27</v>
      </c>
      <c r="F9" s="257" t="s">
        <v>100</v>
      </c>
      <c r="G9" s="257"/>
      <c r="H9" s="257"/>
      <c r="I9" s="257"/>
      <c r="J9" s="257"/>
    </row>
    <row r="10" spans="3:10" ht="27" customHeight="1" x14ac:dyDescent="0.35">
      <c r="C10" s="4"/>
      <c r="D10" s="4"/>
      <c r="E10" s="92" t="s">
        <v>28</v>
      </c>
      <c r="F10" s="257" t="s">
        <v>101</v>
      </c>
      <c r="G10" s="257"/>
      <c r="H10" s="257"/>
      <c r="I10" s="257"/>
      <c r="J10" s="257"/>
    </row>
    <row r="11" spans="3:10" ht="14.5" x14ac:dyDescent="0.35">
      <c r="C11" s="4"/>
      <c r="D11" s="4"/>
      <c r="E11" s="92"/>
      <c r="F11" s="4"/>
    </row>
    <row r="12" spans="3:10" ht="14.5" x14ac:dyDescent="0.35">
      <c r="C12" s="4" t="s">
        <v>102</v>
      </c>
      <c r="D12" s="4" t="s">
        <v>3</v>
      </c>
      <c r="E12" s="92" t="s">
        <v>27</v>
      </c>
      <c r="F12" s="257" t="s">
        <v>103</v>
      </c>
      <c r="G12" s="257"/>
      <c r="H12" s="257"/>
      <c r="I12" s="257"/>
      <c r="J12" s="257"/>
    </row>
    <row r="13" spans="3:10" ht="42.75" customHeight="1" x14ac:dyDescent="0.35">
      <c r="C13" s="4"/>
      <c r="D13" s="4"/>
      <c r="E13" s="92" t="s">
        <v>28</v>
      </c>
      <c r="F13" s="257" t="s">
        <v>104</v>
      </c>
      <c r="G13" s="257"/>
      <c r="H13" s="257"/>
      <c r="I13" s="257"/>
      <c r="J13" s="257"/>
    </row>
    <row r="14" spans="3:10" ht="44.25" customHeight="1" x14ac:dyDescent="0.35">
      <c r="C14" s="4"/>
      <c r="D14" s="4"/>
      <c r="E14" s="92" t="s">
        <v>105</v>
      </c>
      <c r="F14" s="257" t="s">
        <v>108</v>
      </c>
      <c r="G14" s="257"/>
      <c r="H14" s="257"/>
      <c r="I14" s="257"/>
      <c r="J14" s="257"/>
    </row>
    <row r="15" spans="3:10" ht="44.25" customHeight="1" x14ac:dyDescent="0.35">
      <c r="C15" s="4"/>
      <c r="D15" s="4"/>
      <c r="E15" s="92" t="s">
        <v>106</v>
      </c>
      <c r="F15" s="257" t="s">
        <v>109</v>
      </c>
      <c r="G15" s="257"/>
      <c r="H15" s="257"/>
      <c r="I15" s="257"/>
      <c r="J15" s="257"/>
    </row>
    <row r="16" spans="3:10" ht="59.25" customHeight="1" x14ac:dyDescent="0.35">
      <c r="C16" s="4"/>
      <c r="D16" s="4"/>
      <c r="E16" s="92" t="s">
        <v>107</v>
      </c>
      <c r="F16" s="257" t="s">
        <v>110</v>
      </c>
      <c r="G16" s="257"/>
      <c r="H16" s="257"/>
      <c r="I16" s="257"/>
      <c r="J16" s="257"/>
    </row>
    <row r="17" spans="3:10" ht="6.75" customHeight="1" x14ac:dyDescent="0.35">
      <c r="C17" s="4"/>
      <c r="D17" s="4"/>
      <c r="E17" s="92"/>
      <c r="F17" s="95"/>
      <c r="G17" s="95"/>
      <c r="H17" s="95"/>
      <c r="I17" s="95"/>
      <c r="J17" s="95"/>
    </row>
    <row r="18" spans="3:10" ht="15" customHeight="1" x14ac:dyDescent="0.35">
      <c r="C18" s="260" t="s">
        <v>111</v>
      </c>
      <c r="D18" s="260"/>
      <c r="E18" s="260"/>
      <c r="F18" s="260"/>
      <c r="G18" s="260"/>
      <c r="H18" s="260"/>
      <c r="I18" s="260"/>
      <c r="J18" s="260"/>
    </row>
    <row r="19" spans="3:10" ht="8.25" customHeight="1" x14ac:dyDescent="0.35">
      <c r="C19" s="85"/>
      <c r="D19" s="85"/>
      <c r="E19" s="85"/>
      <c r="F19" s="85"/>
      <c r="G19" s="85"/>
      <c r="H19" s="85"/>
      <c r="I19" s="85"/>
      <c r="J19" s="85"/>
    </row>
    <row r="20" spans="3:10" ht="33.75" customHeight="1" x14ac:dyDescent="0.35">
      <c r="C20" s="96" t="s">
        <v>112</v>
      </c>
      <c r="D20" s="85" t="s">
        <v>3</v>
      </c>
      <c r="E20" s="92" t="s">
        <v>27</v>
      </c>
      <c r="F20" s="257" t="str">
        <f>+CONCATENATE(DATA!D6," ; NIP.  ",DATA!D7,"; Jabatan : ", DATA!D8)</f>
        <v>Luthfiani Nur Aisyah, S.Tr.Stat. ; NIP.  20030629 202603 2 001; Jabatan : Pelaksana</v>
      </c>
      <c r="G20" s="257"/>
      <c r="H20" s="257"/>
      <c r="I20" s="257"/>
      <c r="J20" s="257"/>
    </row>
    <row r="21" spans="3:10" ht="11.25" customHeight="1" x14ac:dyDescent="0.35">
      <c r="C21" s="4"/>
      <c r="D21" s="4"/>
      <c r="E21" s="92"/>
      <c r="F21" s="4"/>
      <c r="G21" s="4"/>
      <c r="H21" s="4"/>
      <c r="I21" s="4"/>
    </row>
    <row r="22" spans="3:10" ht="50.25" customHeight="1" x14ac:dyDescent="0.35">
      <c r="C22" s="4" t="s">
        <v>113</v>
      </c>
      <c r="D22" s="4" t="s">
        <v>66</v>
      </c>
      <c r="E22" s="92" t="s">
        <v>114</v>
      </c>
      <c r="F22" s="257" t="str">
        <f>+CONCATENATE("Untuk melaksanakan tugas pada Seksi Statistik Sosial BPS Kabupaten Murung Raya yang beralamat di jalan Pangeran Diponegoro (Komplek Kantor Pemda) Puruk Cahu, Mulai Tanggal ", DATA!D12)</f>
        <v>Untuk melaksanakan tugas pada Seksi Statistik Sosial BPS Kabupaten Murung Raya yang beralamat di jalan Pangeran Diponegoro (Komplek Kantor Pemda) Puruk Cahu, Mulai Tanggal 15 Agustus 2026 s.d. 15 Agustus 2026</v>
      </c>
      <c r="G22" s="257"/>
      <c r="H22" s="257"/>
      <c r="I22" s="257"/>
      <c r="J22" s="257"/>
    </row>
    <row r="23" spans="3:10" ht="96.75" customHeight="1" x14ac:dyDescent="0.35">
      <c r="C23" s="4"/>
      <c r="D23" s="4"/>
      <c r="E23" s="92" t="s">
        <v>28</v>
      </c>
      <c r="F23" s="257" t="str">
        <f>+CONCATENATE("Melakukan ",DATA!D11,)</f>
        <v>Melakukan Melakukan Pengawasan Pendataan Sakernas Agustus 2026 di Desa Juking Supan</v>
      </c>
      <c r="G23" s="257"/>
      <c r="H23" s="257"/>
      <c r="I23" s="257"/>
      <c r="J23" s="257"/>
    </row>
    <row r="24" spans="3:10" ht="21" customHeight="1" x14ac:dyDescent="0.35">
      <c r="C24" s="261" t="str">
        <f>CONCATENATE("Puruk Cahu, ",DATA!D2)</f>
        <v>Puruk Cahu, 13 Agustus 2026</v>
      </c>
      <c r="D24" s="261"/>
      <c r="E24" s="261"/>
      <c r="F24" s="261"/>
      <c r="G24" s="261"/>
      <c r="H24" s="261"/>
      <c r="I24" s="261"/>
      <c r="J24" s="261"/>
    </row>
    <row r="25" spans="3:10" ht="36" customHeight="1" x14ac:dyDescent="0.35">
      <c r="E25" s="1"/>
      <c r="H25" s="97" t="str">
        <f>DATA!D4</f>
        <v>Kepala BPS Kabupaten Murung Raya</v>
      </c>
      <c r="I25" s="97"/>
    </row>
    <row r="26" spans="3:10" ht="14.5" x14ac:dyDescent="0.35">
      <c r="C26" s="4"/>
      <c r="D26" s="4"/>
      <c r="E26" s="92"/>
      <c r="F26" s="4"/>
      <c r="G26" s="4"/>
      <c r="H26" s="4"/>
      <c r="I26" s="4"/>
      <c r="J26" s="4"/>
    </row>
    <row r="27" spans="3:10" ht="6.75" customHeight="1" x14ac:dyDescent="0.35">
      <c r="C27" s="4"/>
      <c r="D27" s="4"/>
      <c r="E27" s="92"/>
      <c r="F27" s="4"/>
      <c r="G27" s="4"/>
      <c r="H27" s="4"/>
      <c r="I27" s="4"/>
    </row>
    <row r="28" spans="3:10" ht="15" customHeight="1" x14ac:dyDescent="0.35">
      <c r="C28" s="4"/>
      <c r="D28" s="4"/>
      <c r="E28" s="92"/>
      <c r="F28" s="4"/>
      <c r="G28" s="4"/>
      <c r="H28" s="4"/>
      <c r="I28" s="4"/>
      <c r="J28" s="94"/>
    </row>
    <row r="29" spans="3:10" ht="14.5" x14ac:dyDescent="0.35">
      <c r="C29" s="4"/>
      <c r="D29" s="4"/>
      <c r="E29" s="92"/>
      <c r="F29" s="4"/>
      <c r="G29" s="4"/>
      <c r="H29" s="86" t="str">
        <f>DATA!D3</f>
        <v>Restu Kristianto, S.Pi.</v>
      </c>
      <c r="I29" s="4"/>
      <c r="J29" s="94"/>
    </row>
    <row r="30" spans="3:10" ht="14.5" x14ac:dyDescent="0.35">
      <c r="C30" s="4"/>
      <c r="D30" s="4"/>
      <c r="E30" s="92"/>
      <c r="F30" s="4"/>
      <c r="G30" s="4"/>
      <c r="H30" s="86"/>
      <c r="I30" s="4"/>
      <c r="J30" s="94"/>
    </row>
    <row r="31" spans="3:10" ht="14.5" x14ac:dyDescent="0.35">
      <c r="C31" s="4"/>
      <c r="D31" s="4"/>
      <c r="E31" s="92"/>
      <c r="F31" s="4"/>
      <c r="G31" s="4"/>
      <c r="H31" s="86"/>
      <c r="I31" s="4"/>
      <c r="J31" s="94"/>
    </row>
    <row r="32" spans="3:10" ht="15" thickBot="1" x14ac:dyDescent="0.4">
      <c r="C32" s="78"/>
      <c r="D32" s="78"/>
      <c r="E32" s="93"/>
      <c r="F32" s="78"/>
      <c r="G32" s="79"/>
      <c r="H32" s="79"/>
      <c r="I32" s="79"/>
      <c r="J32" s="79"/>
    </row>
    <row r="33" spans="3:10" ht="12" customHeight="1" thickTop="1" x14ac:dyDescent="0.35">
      <c r="C33" s="258" t="s">
        <v>7</v>
      </c>
      <c r="D33" s="258"/>
      <c r="E33" s="258"/>
      <c r="F33" s="258"/>
      <c r="G33" s="258"/>
      <c r="H33" s="258"/>
      <c r="I33" s="258"/>
      <c r="J33" s="258"/>
    </row>
    <row r="34" spans="3:10" ht="12" customHeight="1" x14ac:dyDescent="0.35">
      <c r="C34" s="258" t="s">
        <v>8</v>
      </c>
      <c r="D34" s="258"/>
      <c r="E34" s="258"/>
      <c r="F34" s="258"/>
      <c r="G34" s="258"/>
      <c r="H34" s="258"/>
      <c r="I34" s="258"/>
      <c r="J34" s="258"/>
    </row>
  </sheetData>
  <mergeCells count="18">
    <mergeCell ref="C34:J34"/>
    <mergeCell ref="C7:J7"/>
    <mergeCell ref="C8:J8"/>
    <mergeCell ref="C33:J33"/>
    <mergeCell ref="F13:J13"/>
    <mergeCell ref="F14:J14"/>
    <mergeCell ref="F15:J15"/>
    <mergeCell ref="F16:J16"/>
    <mergeCell ref="C24:J24"/>
    <mergeCell ref="C18:J18"/>
    <mergeCell ref="F22:J22"/>
    <mergeCell ref="F20:J20"/>
    <mergeCell ref="F23:J23"/>
    <mergeCell ref="C4:J4"/>
    <mergeCell ref="C5:J5"/>
    <mergeCell ref="F9:J9"/>
    <mergeCell ref="F10:J10"/>
    <mergeCell ref="F12:J12"/>
  </mergeCells>
  <printOptions horizontalCentered="1"/>
  <pageMargins left="0.75" right="0.7" top="1" bottom="0.25" header="0.3" footer="0.3"/>
  <pageSetup paperSize="9" scale="92"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M42"/>
  <sheetViews>
    <sheetView view="pageBreakPreview" topLeftCell="A17" zoomScaleNormal="100" zoomScaleSheetLayoutView="100" workbookViewId="0">
      <selection activeCell="G26" sqref="G26"/>
    </sheetView>
  </sheetViews>
  <sheetFormatPr defaultColWidth="9.1796875" defaultRowHeight="21" customHeight="1" x14ac:dyDescent="0.35"/>
  <cols>
    <col min="1" max="1" width="9.1796875" style="1"/>
    <col min="2" max="2" width="1" style="1" customWidth="1"/>
    <col min="3" max="3" width="4.1796875" style="1" customWidth="1"/>
    <col min="4" max="4" width="9.81640625" style="1" customWidth="1"/>
    <col min="5" max="5" width="8.453125" style="1" customWidth="1"/>
    <col min="6" max="6" width="22.1796875" style="1" customWidth="1"/>
    <col min="7" max="7" width="3.54296875" style="1" customWidth="1"/>
    <col min="8" max="8" width="9.26953125" style="1" customWidth="1"/>
    <col min="9" max="9" width="7.1796875" style="1" bestFit="1" customWidth="1"/>
    <col min="10" max="10" width="1.54296875" style="1" bestFit="1" customWidth="1"/>
    <col min="11" max="11" width="35.1796875" style="1" customWidth="1"/>
    <col min="12" max="12" width="1.54296875" style="1" customWidth="1"/>
    <col min="13" max="16384" width="9.1796875" style="1"/>
  </cols>
  <sheetData>
    <row r="1" spans="3:13" ht="14.5" x14ac:dyDescent="0.35"/>
    <row r="2" spans="3:13" ht="21" customHeight="1" x14ac:dyDescent="0.35">
      <c r="E2" s="3" t="s">
        <v>9</v>
      </c>
      <c r="F2" s="3"/>
      <c r="G2" s="3"/>
      <c r="H2" s="3"/>
      <c r="M2" s="6"/>
    </row>
    <row r="3" spans="3:13" ht="21" customHeight="1" x14ac:dyDescent="0.35">
      <c r="E3" s="7" t="s">
        <v>118</v>
      </c>
      <c r="F3" s="7"/>
      <c r="G3" s="7"/>
      <c r="H3" s="7"/>
      <c r="I3" s="6" t="s">
        <v>35</v>
      </c>
      <c r="J3" s="6" t="s">
        <v>3</v>
      </c>
      <c r="K3" s="1" t="s">
        <v>48</v>
      </c>
      <c r="M3" s="6"/>
    </row>
    <row r="4" spans="3:13" ht="21" customHeight="1" x14ac:dyDescent="0.35">
      <c r="E4" s="36" t="s">
        <v>117</v>
      </c>
      <c r="F4" s="8"/>
      <c r="G4" s="8"/>
      <c r="H4" s="8"/>
      <c r="I4" s="6" t="s">
        <v>34</v>
      </c>
      <c r="J4" s="6" t="s">
        <v>3</v>
      </c>
      <c r="K4" s="6" t="str">
        <f>+DATA!D15</f>
        <v>231/62130/KU.340/2026</v>
      </c>
    </row>
    <row r="5" spans="3:13" ht="37.5" customHeight="1" x14ac:dyDescent="0.35">
      <c r="C5" s="267" t="s">
        <v>10</v>
      </c>
      <c r="D5" s="267"/>
      <c r="E5" s="267"/>
      <c r="F5" s="267"/>
      <c r="G5" s="267"/>
      <c r="H5" s="267"/>
      <c r="I5" s="267"/>
      <c r="J5" s="267"/>
      <c r="K5" s="267"/>
      <c r="L5" s="10"/>
      <c r="M5" s="10"/>
    </row>
    <row r="6" spans="3:13" ht="21" customHeight="1" x14ac:dyDescent="0.35">
      <c r="C6" s="16">
        <v>1</v>
      </c>
      <c r="D6" s="14" t="s">
        <v>97</v>
      </c>
      <c r="E6" s="14"/>
      <c r="F6" s="14"/>
      <c r="G6" s="12" t="str">
        <f>+DATA!D25</f>
        <v>Khoirul Anwar, S.Tr.Stat.</v>
      </c>
      <c r="H6" s="14"/>
      <c r="I6" s="14"/>
      <c r="J6" s="14"/>
      <c r="K6" s="15"/>
      <c r="L6" s="6"/>
      <c r="M6" s="6"/>
    </row>
    <row r="7" spans="3:13" ht="33.75" customHeight="1" x14ac:dyDescent="0.35">
      <c r="C7" s="16">
        <v>2</v>
      </c>
      <c r="D7" s="277" t="s">
        <v>12</v>
      </c>
      <c r="E7" s="278"/>
      <c r="F7" s="278"/>
      <c r="G7" s="12" t="str">
        <f>CONCATENATE(DATA!D6," / NIP. ",DATA!D7)</f>
        <v>Luthfiani Nur Aisyah, S.Tr.Stat. / NIP. 20030629 202603 2 001</v>
      </c>
      <c r="H7" s="14"/>
      <c r="I7" s="14"/>
      <c r="J7" s="14"/>
      <c r="K7" s="15"/>
      <c r="L7" s="6"/>
      <c r="M7" s="6"/>
    </row>
    <row r="8" spans="3:13" ht="21" customHeight="1" x14ac:dyDescent="0.35">
      <c r="C8" s="17">
        <v>3</v>
      </c>
      <c r="D8" s="22" t="s">
        <v>13</v>
      </c>
      <c r="E8" s="22"/>
      <c r="F8" s="22"/>
      <c r="G8" s="23" t="s">
        <v>36</v>
      </c>
      <c r="H8" s="18" t="str">
        <f>IF(+DATA!D9=0,"",+DATA!D9)</f>
        <v>Penata Muda / III/a</v>
      </c>
      <c r="I8" s="22"/>
      <c r="J8" s="22"/>
      <c r="K8" s="24"/>
      <c r="L8" s="6"/>
      <c r="M8" s="6"/>
    </row>
    <row r="9" spans="3:13" ht="21" customHeight="1" x14ac:dyDescent="0.35">
      <c r="C9" s="19"/>
      <c r="D9" s="25" t="s">
        <v>14</v>
      </c>
      <c r="E9" s="25"/>
      <c r="F9" s="25"/>
      <c r="G9" s="26" t="s">
        <v>37</v>
      </c>
      <c r="H9" s="20" t="str">
        <f>+CONCATENATE(DATA!D8," BPS Kabupaten Murung Raya")</f>
        <v>Pelaksana BPS Kabupaten Murung Raya</v>
      </c>
      <c r="I9" s="25"/>
      <c r="J9" s="25"/>
      <c r="K9" s="27"/>
      <c r="L9" s="6"/>
      <c r="M9" s="6"/>
    </row>
    <row r="10" spans="3:13" ht="21" customHeight="1" x14ac:dyDescent="0.35">
      <c r="C10" s="19"/>
      <c r="D10" s="25" t="s">
        <v>15</v>
      </c>
      <c r="E10" s="25"/>
      <c r="F10" s="25"/>
      <c r="G10" s="26" t="s">
        <v>38</v>
      </c>
      <c r="H10" s="20" t="s">
        <v>90</v>
      </c>
      <c r="I10" s="25"/>
      <c r="J10" s="25"/>
      <c r="K10" s="27"/>
      <c r="L10" s="6"/>
      <c r="M10" s="6"/>
    </row>
    <row r="11" spans="3:13" ht="14.5" x14ac:dyDescent="0.35">
      <c r="C11" s="279">
        <v>4</v>
      </c>
      <c r="D11" s="282" t="s">
        <v>16</v>
      </c>
      <c r="E11" s="283"/>
      <c r="F11" s="283"/>
      <c r="G11" s="268" t="str">
        <f>ST!F23</f>
        <v>Melakukan Melakukan Pengawasan Pendataan Sakernas Agustus 2026 di Desa Juking Supan</v>
      </c>
      <c r="H11" s="269"/>
      <c r="I11" s="269"/>
      <c r="J11" s="269"/>
      <c r="K11" s="270"/>
      <c r="L11" s="6"/>
      <c r="M11" s="6"/>
    </row>
    <row r="12" spans="3:13" ht="14.5" x14ac:dyDescent="0.35">
      <c r="C12" s="280"/>
      <c r="D12" s="284"/>
      <c r="E12" s="285"/>
      <c r="F12" s="285"/>
      <c r="G12" s="271"/>
      <c r="H12" s="272"/>
      <c r="I12" s="272"/>
      <c r="J12" s="272"/>
      <c r="K12" s="273"/>
      <c r="L12" s="6"/>
      <c r="M12" s="6"/>
    </row>
    <row r="13" spans="3:13" ht="59.25" customHeight="1" x14ac:dyDescent="0.35">
      <c r="C13" s="281"/>
      <c r="D13" s="286"/>
      <c r="E13" s="287"/>
      <c r="F13" s="287"/>
      <c r="G13" s="274"/>
      <c r="H13" s="275"/>
      <c r="I13" s="275"/>
      <c r="J13" s="275"/>
      <c r="K13" s="276"/>
      <c r="L13" s="6"/>
      <c r="M13" s="6"/>
    </row>
    <row r="14" spans="3:13" ht="21" customHeight="1" x14ac:dyDescent="0.35">
      <c r="C14" s="16">
        <v>5</v>
      </c>
      <c r="D14" s="14" t="s">
        <v>17</v>
      </c>
      <c r="E14" s="14"/>
      <c r="F14" s="14"/>
      <c r="G14" s="12" t="str">
        <f>+DATA!D17</f>
        <v>Kendaraan Air</v>
      </c>
      <c r="H14" s="14"/>
      <c r="I14" s="14"/>
      <c r="J14" s="14"/>
      <c r="K14" s="15"/>
      <c r="L14" s="6"/>
      <c r="M14" s="6"/>
    </row>
    <row r="15" spans="3:13" ht="21" customHeight="1" x14ac:dyDescent="0.35">
      <c r="C15" s="19">
        <v>6</v>
      </c>
      <c r="D15" s="25" t="s">
        <v>18</v>
      </c>
      <c r="E15" s="25"/>
      <c r="F15" s="25"/>
      <c r="G15" s="23" t="s">
        <v>36</v>
      </c>
      <c r="H15" s="18" t="str">
        <f>+DATA!D19</f>
        <v>Kabupaten Murung Raya</v>
      </c>
      <c r="I15" s="25"/>
      <c r="J15" s="25"/>
      <c r="K15" s="27"/>
      <c r="L15" s="6"/>
      <c r="M15" s="6"/>
    </row>
    <row r="16" spans="3:13" ht="52.15" customHeight="1" x14ac:dyDescent="0.35">
      <c r="C16" s="19"/>
      <c r="D16" s="99" t="s">
        <v>19</v>
      </c>
      <c r="E16" s="99"/>
      <c r="F16" s="99"/>
      <c r="G16" s="98" t="s">
        <v>37</v>
      </c>
      <c r="H16" s="265" t="str">
        <f>+DATA!D21</f>
        <v>Kabupaten Murung Raya</v>
      </c>
      <c r="I16" s="265"/>
      <c r="J16" s="265"/>
      <c r="K16" s="266"/>
      <c r="L16" s="6"/>
      <c r="M16" s="6"/>
    </row>
    <row r="17" spans="3:13" ht="21" customHeight="1" x14ac:dyDescent="0.35">
      <c r="C17" s="17">
        <v>7</v>
      </c>
      <c r="D17" s="22" t="s">
        <v>20</v>
      </c>
      <c r="E17" s="22"/>
      <c r="F17" s="22"/>
      <c r="G17" s="23" t="s">
        <v>36</v>
      </c>
      <c r="H17" s="18" t="str">
        <f>CONCATENATE(DATA!E22,"     (",DATA!F22,") hari")</f>
        <v>1     (satu) hari</v>
      </c>
      <c r="I17" s="22"/>
      <c r="J17" s="22"/>
      <c r="K17" s="24"/>
      <c r="L17" s="6"/>
      <c r="M17" s="6"/>
    </row>
    <row r="18" spans="3:13" ht="21" customHeight="1" x14ac:dyDescent="0.35">
      <c r="C18" s="19"/>
      <c r="D18" s="25" t="s">
        <v>21</v>
      </c>
      <c r="E18" s="25"/>
      <c r="F18" s="25"/>
      <c r="G18" s="26" t="s">
        <v>37</v>
      </c>
      <c r="H18" s="20" t="str">
        <f>IF(+DATA!D23=0,"",+DATA!D23)</f>
        <v>15 Agustus 2026</v>
      </c>
      <c r="I18" s="25"/>
      <c r="J18" s="25"/>
      <c r="K18" s="27"/>
      <c r="L18" s="6"/>
      <c r="M18" s="6"/>
    </row>
    <row r="19" spans="3:13" ht="21" customHeight="1" x14ac:dyDescent="0.35">
      <c r="C19" s="21"/>
      <c r="D19" s="28" t="s">
        <v>22</v>
      </c>
      <c r="E19" s="28"/>
      <c r="F19" s="28"/>
      <c r="G19" s="26" t="s">
        <v>38</v>
      </c>
      <c r="H19" s="20" t="str">
        <f>IF(+DATA!D24=0,"",+DATA!D24)</f>
        <v>15 Agustus 2026</v>
      </c>
      <c r="I19" s="28"/>
      <c r="J19" s="28"/>
      <c r="K19" s="30"/>
      <c r="L19" s="6"/>
      <c r="M19" s="6"/>
    </row>
    <row r="20" spans="3:13" ht="21" customHeight="1" x14ac:dyDescent="0.35">
      <c r="C20" s="19">
        <v>8</v>
      </c>
      <c r="D20" s="12" t="s">
        <v>23</v>
      </c>
      <c r="E20" s="13"/>
      <c r="F20" s="12" t="s">
        <v>24</v>
      </c>
      <c r="G20" s="12" t="s">
        <v>25</v>
      </c>
      <c r="H20" s="14"/>
      <c r="I20" s="14"/>
      <c r="J20" s="14"/>
      <c r="K20" s="33" t="s">
        <v>26</v>
      </c>
      <c r="L20" s="6"/>
      <c r="M20" s="6"/>
    </row>
    <row r="21" spans="3:13" ht="18.75" customHeight="1" x14ac:dyDescent="0.35">
      <c r="C21" s="280"/>
      <c r="D21" s="26" t="s">
        <v>27</v>
      </c>
      <c r="E21" s="31"/>
      <c r="F21" s="25"/>
      <c r="G21" s="26"/>
      <c r="H21" s="25"/>
      <c r="I21" s="25"/>
      <c r="J21" s="25"/>
      <c r="K21" s="34"/>
      <c r="L21" s="6"/>
      <c r="M21" s="6"/>
    </row>
    <row r="22" spans="3:13" ht="18.75" customHeight="1" x14ac:dyDescent="0.35">
      <c r="C22" s="280"/>
      <c r="D22" s="29" t="s">
        <v>28</v>
      </c>
      <c r="E22" s="32"/>
      <c r="F22" s="25"/>
      <c r="G22" s="26"/>
      <c r="H22" s="25"/>
      <c r="I22" s="25"/>
      <c r="J22" s="25"/>
      <c r="K22" s="35"/>
      <c r="L22" s="6"/>
      <c r="M22" s="6"/>
    </row>
    <row r="23" spans="3:13" ht="21" customHeight="1" x14ac:dyDescent="0.35">
      <c r="C23" s="17">
        <v>9</v>
      </c>
      <c r="D23" s="22" t="s">
        <v>29</v>
      </c>
      <c r="E23" s="22"/>
      <c r="F23" s="22"/>
      <c r="G23" s="23"/>
      <c r="H23" s="22"/>
      <c r="I23" s="22"/>
      <c r="J23" s="22"/>
      <c r="K23" s="24"/>
      <c r="L23" s="6"/>
      <c r="M23" s="6"/>
    </row>
    <row r="24" spans="3:13" ht="21" customHeight="1" x14ac:dyDescent="0.35">
      <c r="C24" s="19"/>
      <c r="D24" s="12" t="s">
        <v>30</v>
      </c>
      <c r="E24" s="14"/>
      <c r="F24" s="14"/>
      <c r="G24" s="12" t="s">
        <v>116</v>
      </c>
      <c r="H24" s="14"/>
      <c r="I24" s="14"/>
      <c r="J24" s="14"/>
      <c r="K24" s="15"/>
      <c r="L24" s="6"/>
      <c r="M24" s="6"/>
    </row>
    <row r="25" spans="3:13" ht="18.75" customHeight="1" x14ac:dyDescent="0.35">
      <c r="C25" s="280"/>
      <c r="D25" s="288" t="s">
        <v>31</v>
      </c>
      <c r="E25" s="289"/>
      <c r="F25" s="289"/>
      <c r="G25" s="26" t="s">
        <v>115</v>
      </c>
      <c r="H25" s="25"/>
      <c r="I25" s="25"/>
      <c r="J25" s="25"/>
      <c r="K25" s="27"/>
      <c r="L25" s="6"/>
      <c r="M25" s="6"/>
    </row>
    <row r="26" spans="3:13" ht="18.75" customHeight="1" x14ac:dyDescent="0.35">
      <c r="C26" s="281"/>
      <c r="D26" s="290"/>
      <c r="E26" s="291"/>
      <c r="F26" s="291"/>
      <c r="G26" s="29" t="str">
        <f>+DATA!D13</f>
        <v>GG.2905.BMA.004.052.A.524113</v>
      </c>
      <c r="H26" s="28"/>
      <c r="I26" s="28"/>
      <c r="J26" s="28"/>
      <c r="K26" s="30"/>
      <c r="L26" s="6"/>
      <c r="M26" s="6"/>
    </row>
    <row r="27" spans="3:13" ht="21" customHeight="1" x14ac:dyDescent="0.35">
      <c r="C27" s="21">
        <v>10</v>
      </c>
      <c r="D27" s="28" t="s">
        <v>32</v>
      </c>
      <c r="E27" s="28"/>
      <c r="F27" s="28"/>
      <c r="G27" s="29" t="str">
        <f>CONCATENATE("Surat Tugas Nomor: ",DATA!D1)</f>
        <v>Surat Tugas Nomor: B-1122/62130/KU.340/2026</v>
      </c>
      <c r="H27" s="28"/>
      <c r="I27" s="28"/>
      <c r="J27" s="28"/>
      <c r="K27" s="30"/>
      <c r="L27" s="6"/>
      <c r="M27" s="6"/>
    </row>
    <row r="28" spans="3:13" ht="21" customHeight="1" x14ac:dyDescent="0.35">
      <c r="C28" s="263"/>
      <c r="D28" s="6"/>
      <c r="E28" s="6"/>
      <c r="F28" s="6"/>
      <c r="G28" s="6"/>
      <c r="H28" s="6"/>
      <c r="I28" s="6"/>
      <c r="J28" s="6"/>
      <c r="K28" s="293"/>
      <c r="L28" s="293"/>
      <c r="M28" s="293"/>
    </row>
    <row r="29" spans="3:13" ht="14.5" x14ac:dyDescent="0.35">
      <c r="C29" s="263"/>
      <c r="D29" s="6"/>
      <c r="E29" s="6"/>
      <c r="F29" s="6"/>
      <c r="I29" s="264" t="s">
        <v>91</v>
      </c>
      <c r="J29" s="264"/>
      <c r="K29" s="264"/>
      <c r="L29" s="6"/>
      <c r="M29" s="43"/>
    </row>
    <row r="30" spans="3:13" ht="14.5" x14ac:dyDescent="0.35">
      <c r="C30" s="263"/>
      <c r="D30" s="6"/>
      <c r="E30" s="6"/>
      <c r="F30" s="6"/>
      <c r="I30" s="264" t="str">
        <f>CONCATENATE("Pada tanggal  : ",DATA!D16)</f>
        <v>Pada tanggal  : 13 Agustus 2026</v>
      </c>
      <c r="J30" s="264"/>
      <c r="K30" s="264"/>
      <c r="L30" s="6"/>
      <c r="M30" s="43"/>
    </row>
    <row r="31" spans="3:13" ht="14.5" x14ac:dyDescent="0.35">
      <c r="C31" s="263"/>
      <c r="D31" s="6"/>
      <c r="E31" s="6"/>
      <c r="F31" s="6"/>
      <c r="I31" s="6"/>
      <c r="J31" s="6"/>
      <c r="K31" s="6"/>
      <c r="L31" s="6"/>
      <c r="M31" s="43"/>
    </row>
    <row r="32" spans="3:13" ht="14.5" x14ac:dyDescent="0.35">
      <c r="C32" s="263"/>
      <c r="D32" s="6"/>
      <c r="E32" s="6"/>
      <c r="F32" s="6"/>
      <c r="I32" s="263" t="s">
        <v>33</v>
      </c>
      <c r="J32" s="263"/>
      <c r="K32" s="263"/>
      <c r="L32" s="6"/>
      <c r="M32" s="43"/>
    </row>
    <row r="33" spans="3:13" ht="14.5" x14ac:dyDescent="0.35">
      <c r="C33" s="263"/>
      <c r="D33" s="6"/>
      <c r="E33" s="6"/>
      <c r="F33" s="6"/>
      <c r="I33" s="263" t="str">
        <f>+DATA!D26</f>
        <v>Pejabat Pembuat Komitmen</v>
      </c>
      <c r="J33" s="263"/>
      <c r="K33" s="263"/>
      <c r="L33" s="6"/>
      <c r="M33" s="43"/>
    </row>
    <row r="34" spans="3:13" ht="14.5" x14ac:dyDescent="0.35">
      <c r="C34" s="263"/>
      <c r="D34" s="6"/>
      <c r="E34" s="6"/>
      <c r="F34" s="6"/>
      <c r="G34" s="4"/>
      <c r="H34" s="4"/>
      <c r="I34" s="6"/>
      <c r="J34" s="6"/>
      <c r="K34" s="6"/>
      <c r="L34" s="6"/>
      <c r="M34" s="43"/>
    </row>
    <row r="35" spans="3:13" ht="14.5" x14ac:dyDescent="0.35">
      <c r="C35" s="263"/>
      <c r="D35" s="6"/>
      <c r="E35" s="6"/>
      <c r="F35" s="6"/>
      <c r="G35" s="4"/>
      <c r="H35" s="4"/>
      <c r="I35" s="6"/>
      <c r="J35" s="6"/>
      <c r="K35" s="6"/>
      <c r="L35" s="6"/>
      <c r="M35" s="43"/>
    </row>
    <row r="36" spans="3:13" ht="14.5" x14ac:dyDescent="0.35">
      <c r="C36" s="263"/>
      <c r="D36" s="6"/>
      <c r="E36" s="6"/>
      <c r="F36" s="6"/>
      <c r="G36" s="4"/>
      <c r="H36" s="4"/>
      <c r="I36" s="6"/>
      <c r="J36" s="6"/>
      <c r="K36" s="6"/>
      <c r="L36" s="6"/>
      <c r="M36" s="43"/>
    </row>
    <row r="37" spans="3:13" ht="14.5" x14ac:dyDescent="0.35">
      <c r="C37" s="263"/>
      <c r="D37" s="6"/>
      <c r="E37" s="6"/>
      <c r="F37" s="6"/>
      <c r="I37" s="262" t="str">
        <f>+G6</f>
        <v>Khoirul Anwar, S.Tr.Stat.</v>
      </c>
      <c r="J37" s="262"/>
      <c r="K37" s="262"/>
      <c r="L37" s="69"/>
      <c r="M37" s="43"/>
    </row>
    <row r="38" spans="3:13" ht="14.5" x14ac:dyDescent="0.35">
      <c r="C38" s="263"/>
      <c r="D38" s="6"/>
      <c r="E38" s="6"/>
      <c r="F38" s="6"/>
      <c r="I38" s="263" t="str">
        <f>CONCATENATE("NIP. ",DATA!D27)</f>
        <v>NIP. 19990307 202104 1 001</v>
      </c>
      <c r="J38" s="263"/>
      <c r="K38" s="263"/>
      <c r="L38" s="6"/>
      <c r="M38" s="43"/>
    </row>
    <row r="39" spans="3:13" ht="21" customHeight="1" x14ac:dyDescent="0.35">
      <c r="C39" s="263"/>
      <c r="D39" s="6"/>
      <c r="E39" s="6"/>
      <c r="F39" s="6"/>
      <c r="G39" s="6"/>
      <c r="H39" s="6"/>
      <c r="I39" s="6"/>
      <c r="J39" s="6"/>
      <c r="K39" s="292"/>
      <c r="L39" s="292"/>
      <c r="M39" s="292"/>
    </row>
    <row r="41" spans="3:13" ht="21" customHeight="1" x14ac:dyDescent="0.35">
      <c r="C41" s="5"/>
      <c r="D41" s="5"/>
      <c r="E41" s="5"/>
      <c r="F41" s="5"/>
    </row>
    <row r="42" spans="3:13" ht="21" customHeight="1" x14ac:dyDescent="0.35">
      <c r="C42" s="5"/>
      <c r="D42" s="5"/>
      <c r="E42" s="5"/>
      <c r="F42" s="5"/>
    </row>
  </sheetData>
  <mergeCells count="18">
    <mergeCell ref="K28:M28"/>
    <mergeCell ref="I33:K33"/>
    <mergeCell ref="I37:K37"/>
    <mergeCell ref="I38:K38"/>
    <mergeCell ref="I30:K30"/>
    <mergeCell ref="H16:K16"/>
    <mergeCell ref="C5:K5"/>
    <mergeCell ref="G11:K13"/>
    <mergeCell ref="D7:F7"/>
    <mergeCell ref="I29:K29"/>
    <mergeCell ref="C11:C13"/>
    <mergeCell ref="D11:F13"/>
    <mergeCell ref="D25:F26"/>
    <mergeCell ref="C28:C39"/>
    <mergeCell ref="C25:C26"/>
    <mergeCell ref="C21:C22"/>
    <mergeCell ref="I32:K32"/>
    <mergeCell ref="K39:M39"/>
  </mergeCells>
  <printOptions horizontalCentered="1"/>
  <pageMargins left="0.25" right="0.25" top="0.75" bottom="0.25" header="0.3" footer="0.3"/>
  <pageSetup paperSize="9" scale="93" orientation="portrait" horizontalDpi="4294967295" verticalDpi="4294967295" r:id="rId1"/>
  <rowBreaks count="1" manualBreakCount="1">
    <brk id="1" min="1" max="1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FD36A-C7CD-48D1-AC53-329ACC354F7B}">
  <dimension ref="C1:H37"/>
  <sheetViews>
    <sheetView zoomScale="86" zoomScaleNormal="86" zoomScaleSheetLayoutView="100" workbookViewId="0">
      <selection activeCell="G25" sqref="G25"/>
    </sheetView>
  </sheetViews>
  <sheetFormatPr defaultColWidth="9.1796875" defaultRowHeight="18.75" customHeight="1" x14ac:dyDescent="0.35"/>
  <cols>
    <col min="1" max="1" width="9.1796875" style="46"/>
    <col min="2" max="2" width="0.81640625" style="46" customWidth="1"/>
    <col min="3" max="3" width="17.81640625" style="46" customWidth="1"/>
    <col min="4" max="4" width="2" style="38" customWidth="1"/>
    <col min="5" max="5" width="2.7265625" style="38" customWidth="1"/>
    <col min="6" max="6" width="12.1796875" style="38" customWidth="1"/>
    <col min="7" max="7" width="31.453125" style="46" customWidth="1"/>
    <col min="8" max="8" width="31" style="46" customWidth="1"/>
    <col min="9" max="9" width="0.81640625" style="46" customWidth="1"/>
    <col min="10" max="16384" width="9.1796875" style="46"/>
  </cols>
  <sheetData>
    <row r="1" spans="3:8" ht="18.75" customHeight="1" x14ac:dyDescent="0.35">
      <c r="C1" s="45"/>
      <c r="D1" s="9"/>
      <c r="E1" s="9"/>
      <c r="F1" s="9"/>
      <c r="G1" s="11"/>
      <c r="H1" s="11"/>
    </row>
    <row r="2" spans="3:8" ht="3.75" customHeight="1" x14ac:dyDescent="0.35">
      <c r="C2" s="45"/>
      <c r="D2" s="9"/>
      <c r="E2" s="9"/>
      <c r="F2" s="9"/>
      <c r="G2" s="11"/>
      <c r="H2" s="11"/>
    </row>
    <row r="3" spans="3:8" ht="18.75" customHeight="1" x14ac:dyDescent="0.35">
      <c r="C3" s="111" t="s">
        <v>119</v>
      </c>
      <c r="D3" s="112" t="s">
        <v>3</v>
      </c>
      <c r="E3" s="113" t="str">
        <f>DATA!D13</f>
        <v>GG.2905.BMA.004.052.A.524113</v>
      </c>
      <c r="F3" s="112"/>
      <c r="G3" s="114"/>
      <c r="H3" s="115" t="s">
        <v>120</v>
      </c>
    </row>
    <row r="4" spans="3:8" ht="18.75" customHeight="1" x14ac:dyDescent="0.35">
      <c r="C4" s="47" t="s">
        <v>121</v>
      </c>
      <c r="D4" s="38" t="s">
        <v>3</v>
      </c>
      <c r="E4" s="116" t="s">
        <v>158</v>
      </c>
      <c r="H4" s="108" t="s">
        <v>122</v>
      </c>
    </row>
    <row r="5" spans="3:8" ht="18.75" customHeight="1" x14ac:dyDescent="0.35">
      <c r="C5" s="48"/>
      <c r="D5" s="40"/>
      <c r="E5" s="40"/>
      <c r="F5" s="40"/>
      <c r="G5" s="49"/>
      <c r="H5" s="117" t="s">
        <v>123</v>
      </c>
    </row>
    <row r="6" spans="3:8" ht="32.25" customHeight="1" x14ac:dyDescent="0.35">
      <c r="C6" s="296" t="s">
        <v>168</v>
      </c>
      <c r="D6" s="297"/>
      <c r="E6" s="297"/>
      <c r="F6" s="297"/>
      <c r="G6" s="297"/>
      <c r="H6" s="298"/>
    </row>
    <row r="7" spans="3:8" ht="18.75" customHeight="1" x14ac:dyDescent="0.35">
      <c r="C7" s="50"/>
      <c r="D7" s="41"/>
      <c r="E7" s="41"/>
      <c r="F7" s="41"/>
      <c r="G7" s="51"/>
      <c r="H7" s="56"/>
    </row>
    <row r="8" spans="3:8" ht="18.75" customHeight="1" x14ac:dyDescent="0.35">
      <c r="C8" s="47" t="s">
        <v>39</v>
      </c>
      <c r="D8" s="62"/>
      <c r="E8" s="62" t="s">
        <v>3</v>
      </c>
      <c r="F8" s="37" t="s">
        <v>169</v>
      </c>
      <c r="G8" s="37"/>
      <c r="H8" s="39"/>
    </row>
    <row r="9" spans="3:8" ht="18.75" customHeight="1" x14ac:dyDescent="0.35">
      <c r="C9" s="47" t="s">
        <v>124</v>
      </c>
      <c r="D9" s="62"/>
      <c r="E9" s="62" t="s">
        <v>3</v>
      </c>
      <c r="F9" s="70" t="str">
        <f>CONCATENATE("Rp. ",TEXT(DATA!D35,"#"),",-")</f>
        <v>Rp. 490000,-</v>
      </c>
      <c r="G9" s="37"/>
      <c r="H9" s="39"/>
    </row>
    <row r="10" spans="3:8" ht="14" x14ac:dyDescent="0.35">
      <c r="C10" s="47" t="s">
        <v>125</v>
      </c>
      <c r="D10" s="62"/>
      <c r="E10" s="62" t="s">
        <v>3</v>
      </c>
      <c r="F10" s="299" t="str">
        <f>CONCATENATE("Biaya ",DATA!D11,", tanggal ",DATA!D12,", sesuai dengan :")</f>
        <v>Biaya Melakukan Pengawasan Pendataan Sakernas Agustus 2026 di Desa Juking Supan, tanggal 15 Agustus 2026 s.d. 15 Agustus 2026, sesuai dengan :</v>
      </c>
      <c r="G10" s="299"/>
      <c r="H10" s="300"/>
    </row>
    <row r="11" spans="3:8" ht="14" x14ac:dyDescent="0.35">
      <c r="C11" s="47"/>
      <c r="D11" s="62"/>
      <c r="E11" s="62"/>
      <c r="F11" s="299"/>
      <c r="G11" s="299"/>
      <c r="H11" s="300"/>
    </row>
    <row r="12" spans="3:8" ht="45" customHeight="1" x14ac:dyDescent="0.35">
      <c r="C12" s="47"/>
      <c r="D12" s="62"/>
      <c r="E12" s="62"/>
      <c r="F12" s="299"/>
      <c r="G12" s="299"/>
      <c r="H12" s="300"/>
    </row>
    <row r="13" spans="3:8" ht="18.75" customHeight="1" x14ac:dyDescent="0.35">
      <c r="C13" s="47"/>
      <c r="D13" s="62"/>
      <c r="E13" s="62"/>
      <c r="F13" s="37" t="str">
        <f>CONCATENATE("Surat Tugas Nomor: ",DATA!D1," tanggal ",DATA!D2)</f>
        <v>Surat Tugas Nomor: B-1122/62130/KU.340/2026 tanggal 13 Agustus 2026</v>
      </c>
      <c r="G13" s="37"/>
      <c r="H13" s="39"/>
    </row>
    <row r="14" spans="3:8" ht="19.5" customHeight="1" x14ac:dyDescent="0.35">
      <c r="C14" s="47"/>
      <c r="D14" s="62"/>
      <c r="E14" s="62"/>
      <c r="F14" s="37" t="str">
        <f>IF(OR(DATA!$D$15="-",DATA!$D$16="-"),"SPD Nomor: -","SPD Nomor: "&amp;DATA!$D$15&amp;", tanggal "&amp;DATA!$D$16)</f>
        <v>SPD Nomor: 231/62130/KU.340/2026, tanggal 13 Agustus 2026</v>
      </c>
      <c r="G14" s="37"/>
      <c r="H14" s="39"/>
    </row>
    <row r="15" spans="3:8" ht="18.75" customHeight="1" x14ac:dyDescent="0.35">
      <c r="C15" s="47"/>
      <c r="D15" s="62"/>
      <c r="E15" s="62"/>
      <c r="F15" s="37"/>
      <c r="G15" s="37"/>
      <c r="H15" s="39"/>
    </row>
    <row r="16" spans="3:8" ht="18.75" customHeight="1" x14ac:dyDescent="0.35">
      <c r="C16" s="47" t="s">
        <v>40</v>
      </c>
      <c r="D16" s="62"/>
      <c r="E16" s="62" t="s">
        <v>3</v>
      </c>
      <c r="F16" s="42" t="str">
        <f>CONCATENATE("** ",DATA!F35," **")</f>
        <v>** Empat ratus sembilan puluh ribu rupiah **</v>
      </c>
      <c r="G16" s="37"/>
      <c r="H16" s="39"/>
    </row>
    <row r="17" spans="3:8" ht="18.75" customHeight="1" thickBot="1" x14ac:dyDescent="0.4">
      <c r="C17" s="58"/>
      <c r="D17" s="118"/>
      <c r="E17" s="118"/>
      <c r="F17" s="118"/>
      <c r="G17" s="119"/>
      <c r="H17" s="120"/>
    </row>
    <row r="18" spans="3:8" ht="14.5" x14ac:dyDescent="0.35">
      <c r="C18" s="59"/>
      <c r="D18" s="60"/>
      <c r="E18" s="60"/>
      <c r="F18" s="60"/>
      <c r="G18" s="61"/>
      <c r="H18" s="121"/>
    </row>
    <row r="19" spans="3:8" ht="14" x14ac:dyDescent="0.35">
      <c r="C19" s="301" t="s">
        <v>126</v>
      </c>
      <c r="D19" s="302"/>
      <c r="E19" s="302"/>
      <c r="F19" s="302"/>
      <c r="G19" s="122" t="s">
        <v>127</v>
      </c>
      <c r="H19" s="109" t="str">
        <f>"Puruk Cahu, "&amp;DATA!D29</f>
        <v>Puruk Cahu, 18 Agustus 2026</v>
      </c>
    </row>
    <row r="20" spans="3:8" ht="14" x14ac:dyDescent="0.35">
      <c r="C20" s="52"/>
      <c r="D20" s="44"/>
      <c r="E20" s="44"/>
      <c r="F20" s="44"/>
      <c r="G20" s="53"/>
      <c r="H20" s="57"/>
    </row>
    <row r="21" spans="3:8" ht="14" x14ac:dyDescent="0.35">
      <c r="C21" s="294" t="s">
        <v>128</v>
      </c>
      <c r="D21" s="295"/>
      <c r="E21" s="295"/>
      <c r="F21" s="295"/>
      <c r="G21" s="44" t="s">
        <v>129</v>
      </c>
      <c r="H21" s="109"/>
    </row>
    <row r="22" spans="3:8" ht="14" x14ac:dyDescent="0.35">
      <c r="C22" s="294" t="s">
        <v>11</v>
      </c>
      <c r="D22" s="295"/>
      <c r="E22" s="295"/>
      <c r="F22" s="295"/>
      <c r="G22" s="44" t="s">
        <v>130</v>
      </c>
      <c r="H22" s="109" t="s">
        <v>131</v>
      </c>
    </row>
    <row r="23" spans="3:8" ht="14" x14ac:dyDescent="0.35">
      <c r="C23" s="294" t="s">
        <v>132</v>
      </c>
      <c r="D23" s="295"/>
      <c r="E23" s="295"/>
      <c r="F23" s="295"/>
      <c r="G23" s="44"/>
      <c r="H23" s="109"/>
    </row>
    <row r="24" spans="3:8" ht="14" x14ac:dyDescent="0.35">
      <c r="C24" s="52"/>
      <c r="G24" s="53"/>
      <c r="H24" s="57"/>
    </row>
    <row r="25" spans="3:8" ht="14" x14ac:dyDescent="0.35">
      <c r="C25" s="52"/>
      <c r="G25" s="53"/>
      <c r="H25" s="57"/>
    </row>
    <row r="26" spans="3:8" ht="14" x14ac:dyDescent="0.35">
      <c r="C26" s="52"/>
      <c r="G26" s="53"/>
      <c r="H26" s="57"/>
    </row>
    <row r="27" spans="3:8" ht="14" x14ac:dyDescent="0.35">
      <c r="C27" s="305" t="str">
        <f>DATA!D25</f>
        <v>Khoirul Anwar, S.Tr.Stat.</v>
      </c>
      <c r="D27" s="306"/>
      <c r="E27" s="306"/>
      <c r="F27" s="306"/>
      <c r="G27" s="55" t="str">
        <f>DATA!D49</f>
        <v>Tiara Andansari, A.Md.Stat</v>
      </c>
      <c r="H27" s="81" t="str">
        <f>DATA!D6</f>
        <v>Luthfiani Nur Aisyah, S.Tr.Stat.</v>
      </c>
    </row>
    <row r="28" spans="3:8" ht="14" x14ac:dyDescent="0.35">
      <c r="C28" s="303" t="str">
        <f>"NIP. "&amp;DATA!D27</f>
        <v>NIP. 19990307 202104 1 001</v>
      </c>
      <c r="D28" s="304"/>
      <c r="E28" s="304"/>
      <c r="F28" s="304"/>
      <c r="G28" s="80" t="str">
        <f>"NIP. "&amp;DATA!D50</f>
        <v>NIP. 19990712 202104 2 001</v>
      </c>
      <c r="H28" s="110" t="str">
        <f>CONCATENATE("NIP. ",DATA!D7)</f>
        <v>NIP. 20030629 202603 2 001</v>
      </c>
    </row>
    <row r="29" spans="3:8" ht="16.5" customHeight="1" x14ac:dyDescent="0.35">
      <c r="C29" s="307" t="s">
        <v>133</v>
      </c>
      <c r="D29" s="308"/>
      <c r="E29" s="308"/>
      <c r="F29" s="308"/>
      <c r="G29" s="308"/>
      <c r="H29" s="309"/>
    </row>
    <row r="30" spans="3:8" ht="13.5" customHeight="1" x14ac:dyDescent="0.35">
      <c r="C30" s="52"/>
      <c r="G30" s="82" t="str">
        <f>DATA!D47</f>
        <v>Pejabat Pembuat Komitmen BPS Kabupaten Murung Raya</v>
      </c>
      <c r="H30" s="57"/>
    </row>
    <row r="31" spans="3:8" ht="18.75" customHeight="1" x14ac:dyDescent="0.35">
      <c r="C31" s="294"/>
      <c r="D31" s="295"/>
      <c r="E31" s="295"/>
      <c r="F31" s="295"/>
      <c r="G31" s="44"/>
      <c r="H31" s="109"/>
    </row>
    <row r="32" spans="3:8" ht="18.75" customHeight="1" x14ac:dyDescent="0.35">
      <c r="C32" s="294"/>
      <c r="D32" s="295"/>
      <c r="E32" s="295"/>
      <c r="F32" s="295"/>
      <c r="G32" s="44"/>
      <c r="H32" s="109"/>
    </row>
    <row r="33" spans="3:8" ht="18.75" customHeight="1" x14ac:dyDescent="0.35">
      <c r="C33" s="52"/>
      <c r="G33" s="53"/>
      <c r="H33" s="57"/>
    </row>
    <row r="34" spans="3:8" ht="18.75" customHeight="1" x14ac:dyDescent="0.35">
      <c r="C34" s="52"/>
      <c r="G34" s="53"/>
      <c r="H34" s="57"/>
    </row>
    <row r="35" spans="3:8" ht="18.75" customHeight="1" x14ac:dyDescent="0.3">
      <c r="C35" s="305"/>
      <c r="D35" s="306"/>
      <c r="E35" s="306"/>
      <c r="F35" s="306"/>
      <c r="G35" s="123" t="str">
        <f>DATA!D45</f>
        <v>Khoirul Anwar, S.Tr.Stat.</v>
      </c>
      <c r="H35" s="81"/>
    </row>
    <row r="36" spans="3:8" ht="18.75" customHeight="1" x14ac:dyDescent="0.35">
      <c r="C36" s="303"/>
      <c r="D36" s="304"/>
      <c r="E36" s="304"/>
      <c r="F36" s="304"/>
      <c r="G36" s="80" t="str">
        <f>"NIP. "&amp;DATA!D46</f>
        <v>NIP. 19990307 202104 1 001</v>
      </c>
      <c r="H36" s="110"/>
    </row>
    <row r="37" spans="3:8" ht="18.75" customHeight="1" x14ac:dyDescent="0.35">
      <c r="C37" s="54"/>
      <c r="D37" s="9"/>
      <c r="E37" s="9"/>
      <c r="F37" s="9"/>
      <c r="G37" s="11"/>
      <c r="H37" s="11"/>
    </row>
  </sheetData>
  <mergeCells count="13">
    <mergeCell ref="C36:F36"/>
    <mergeCell ref="C27:F27"/>
    <mergeCell ref="C28:F28"/>
    <mergeCell ref="C29:H29"/>
    <mergeCell ref="C31:F31"/>
    <mergeCell ref="C32:F32"/>
    <mergeCell ref="C35:F35"/>
    <mergeCell ref="C23:F23"/>
    <mergeCell ref="C6:H6"/>
    <mergeCell ref="F10:H12"/>
    <mergeCell ref="C19:F19"/>
    <mergeCell ref="C21:F21"/>
    <mergeCell ref="C22:F22"/>
  </mergeCells>
  <printOptions horizontalCentered="1"/>
  <pageMargins left="0.25" right="0.25" top="0.75" bottom="0.2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1E8B-F86D-49CF-AC81-781441842913}">
  <sheetPr>
    <pageSetUpPr fitToPage="1"/>
  </sheetPr>
  <dimension ref="A2:K50"/>
  <sheetViews>
    <sheetView tabSelected="1" view="pageBreakPreview" topLeftCell="A17" zoomScale="85" zoomScaleNormal="86" zoomScaleSheetLayoutView="85" workbookViewId="0">
      <selection activeCell="B24" sqref="B24:E24"/>
    </sheetView>
  </sheetViews>
  <sheetFormatPr defaultColWidth="9.1796875" defaultRowHeight="18.75" customHeight="1" x14ac:dyDescent="0.35"/>
  <cols>
    <col min="1" max="1" width="4.7265625" style="46" customWidth="1"/>
    <col min="2" max="3" width="9.1796875" style="46"/>
    <col min="4" max="4" width="3" style="46" customWidth="1"/>
    <col min="5" max="5" width="9.1796875" style="46"/>
    <col min="6" max="6" width="7.1796875" style="46" customWidth="1"/>
    <col min="7" max="7" width="16.54296875" style="46" bestFit="1" customWidth="1"/>
    <col min="8" max="8" width="1.54296875" style="46" customWidth="1"/>
    <col min="9" max="9" width="9.1796875" style="46"/>
    <col min="10" max="10" width="25.1796875" style="46" customWidth="1"/>
    <col min="11" max="11" width="4.7265625" style="46" customWidth="1"/>
    <col min="12" max="12" width="2.7265625" style="46" customWidth="1"/>
    <col min="13" max="16384" width="9.1796875" style="46"/>
  </cols>
  <sheetData>
    <row r="2" spans="1:11" ht="3.75" customHeight="1" x14ac:dyDescent="0.35"/>
    <row r="3" spans="1:11" ht="15" customHeight="1" x14ac:dyDescent="0.35">
      <c r="A3" s="151"/>
      <c r="B3" s="310"/>
      <c r="C3" s="310"/>
      <c r="D3" s="310"/>
      <c r="E3" s="310"/>
      <c r="F3" s="310"/>
      <c r="G3" s="152" t="s">
        <v>170</v>
      </c>
      <c r="H3" s="152" t="s">
        <v>3</v>
      </c>
      <c r="I3" s="311" t="str">
        <f>RIGHT(DATA!D1,4)</f>
        <v>2026</v>
      </c>
      <c r="J3" s="311"/>
      <c r="K3" s="311"/>
    </row>
    <row r="4" spans="1:11" ht="15" customHeight="1" x14ac:dyDescent="0.35">
      <c r="A4" s="151"/>
      <c r="B4" s="310"/>
      <c r="C4" s="310"/>
      <c r="D4" s="310"/>
      <c r="E4" s="310"/>
      <c r="F4" s="310"/>
      <c r="G4" s="152" t="s">
        <v>171</v>
      </c>
      <c r="H4" s="152" t="s">
        <v>3</v>
      </c>
      <c r="I4" s="311"/>
      <c r="J4" s="311"/>
      <c r="K4" s="311"/>
    </row>
    <row r="5" spans="1:11" ht="18" customHeight="1" x14ac:dyDescent="0.35">
      <c r="A5" s="151"/>
      <c r="B5" s="310"/>
      <c r="C5" s="310"/>
      <c r="D5" s="310"/>
      <c r="E5" s="310"/>
      <c r="F5" s="310"/>
      <c r="G5" s="152" t="s">
        <v>172</v>
      </c>
      <c r="H5" s="152" t="s">
        <v>3</v>
      </c>
      <c r="I5" s="326" t="str">
        <f>DATA!D13</f>
        <v>GG.2905.BMA.004.052.A.524113</v>
      </c>
      <c r="J5" s="326"/>
      <c r="K5" s="326"/>
    </row>
    <row r="6" spans="1:11" ht="15" customHeight="1" x14ac:dyDescent="0.35">
      <c r="A6" s="151"/>
      <c r="B6" s="310"/>
      <c r="C6" s="310"/>
      <c r="D6" s="310"/>
      <c r="E6" s="310"/>
      <c r="F6" s="310"/>
      <c r="G6" s="152" t="s">
        <v>112</v>
      </c>
      <c r="H6" s="152" t="s">
        <v>3</v>
      </c>
      <c r="I6" s="311" t="str">
        <f>DATA!D6</f>
        <v>Luthfiani Nur Aisyah, S.Tr.Stat.</v>
      </c>
      <c r="J6" s="311"/>
      <c r="K6" s="311"/>
    </row>
    <row r="7" spans="1:11" ht="15" customHeight="1" x14ac:dyDescent="0.35">
      <c r="A7" s="151"/>
      <c r="B7" s="310"/>
      <c r="C7" s="310"/>
      <c r="D7" s="310"/>
      <c r="E7" s="310"/>
      <c r="F7" s="310"/>
      <c r="G7" s="152" t="s">
        <v>173</v>
      </c>
      <c r="H7" s="152" t="s">
        <v>3</v>
      </c>
      <c r="I7" s="311" t="s">
        <v>202</v>
      </c>
      <c r="J7" s="311"/>
      <c r="K7" s="311"/>
    </row>
    <row r="8" spans="1:11" ht="15" customHeight="1" x14ac:dyDescent="0.35">
      <c r="A8" s="151"/>
      <c r="B8" s="152"/>
      <c r="C8" s="152"/>
      <c r="D8" s="152"/>
      <c r="E8" s="152"/>
      <c r="F8" s="152"/>
      <c r="G8" s="152"/>
      <c r="H8" s="152"/>
      <c r="I8" s="311"/>
      <c r="J8" s="311"/>
      <c r="K8" s="311"/>
    </row>
    <row r="9" spans="1:11" ht="15" customHeight="1" x14ac:dyDescent="0.35">
      <c r="A9" s="151"/>
      <c r="B9" s="152"/>
      <c r="C9" s="152"/>
      <c r="D9" s="152"/>
      <c r="E9" s="152"/>
      <c r="F9" s="152"/>
      <c r="G9" s="152"/>
      <c r="H9" s="152"/>
      <c r="I9" s="153"/>
      <c r="J9" s="153"/>
      <c r="K9" s="153"/>
    </row>
    <row r="10" spans="1:11" ht="20.25" customHeight="1" x14ac:dyDescent="0.35">
      <c r="A10" s="151"/>
      <c r="B10" s="327" t="s">
        <v>174</v>
      </c>
      <c r="C10" s="327"/>
      <c r="D10" s="327"/>
      <c r="E10" s="327"/>
      <c r="F10" s="327"/>
      <c r="G10" s="327"/>
      <c r="H10" s="327"/>
      <c r="I10" s="327"/>
      <c r="J10" s="327"/>
      <c r="K10" s="151"/>
    </row>
    <row r="11" spans="1:11" ht="15" customHeight="1" x14ac:dyDescent="0.35">
      <c r="A11" s="151"/>
      <c r="B11" s="154"/>
      <c r="C11" s="154"/>
      <c r="D11" s="155"/>
      <c r="E11" s="155"/>
      <c r="F11" s="312"/>
      <c r="G11" s="312"/>
      <c r="H11" s="314"/>
      <c r="I11" s="314"/>
      <c r="J11" s="314"/>
      <c r="K11" s="151"/>
    </row>
    <row r="12" spans="1:11" ht="25" customHeight="1" x14ac:dyDescent="0.35">
      <c r="A12" s="151"/>
      <c r="B12" s="311" t="s">
        <v>39</v>
      </c>
      <c r="C12" s="311"/>
      <c r="D12" s="156" t="s">
        <v>3</v>
      </c>
      <c r="E12" s="311" t="s">
        <v>169</v>
      </c>
      <c r="F12" s="311"/>
      <c r="G12" s="311"/>
      <c r="H12" s="311"/>
      <c r="I12" s="311"/>
      <c r="J12" s="311"/>
      <c r="K12" s="151"/>
    </row>
    <row r="13" spans="1:11" ht="25" customHeight="1" x14ac:dyDescent="0.35">
      <c r="A13" s="151"/>
      <c r="B13" s="311" t="s">
        <v>175</v>
      </c>
      <c r="C13" s="311"/>
      <c r="D13" s="156" t="s">
        <v>3</v>
      </c>
      <c r="E13" s="313" t="str">
        <f>Kuitansi!F9</f>
        <v>Rp. 490000,-</v>
      </c>
      <c r="F13" s="313"/>
      <c r="G13" s="313"/>
      <c r="H13" s="313"/>
      <c r="I13" s="313"/>
      <c r="J13" s="313"/>
      <c r="K13" s="151"/>
    </row>
    <row r="14" spans="1:11" ht="25" customHeight="1" x14ac:dyDescent="0.35">
      <c r="A14" s="151"/>
      <c r="B14" s="311" t="s">
        <v>40</v>
      </c>
      <c r="C14" s="311"/>
      <c r="D14" s="329" t="s">
        <v>3</v>
      </c>
      <c r="E14" s="330" t="str">
        <f>Kuitansi!F16</f>
        <v>** Empat ratus sembilan puluh ribu rupiah **</v>
      </c>
      <c r="F14" s="330"/>
      <c r="G14" s="330"/>
      <c r="H14" s="330"/>
      <c r="I14" s="330"/>
      <c r="J14" s="330"/>
      <c r="K14" s="151"/>
    </row>
    <row r="15" spans="1:11" ht="25" customHeight="1" x14ac:dyDescent="0.35">
      <c r="A15" s="151"/>
      <c r="B15" s="311"/>
      <c r="C15" s="311"/>
      <c r="D15" s="329"/>
      <c r="E15" s="330"/>
      <c r="F15" s="330"/>
      <c r="G15" s="330"/>
      <c r="H15" s="330"/>
      <c r="I15" s="330"/>
      <c r="J15" s="330"/>
      <c r="K15" s="151"/>
    </row>
    <row r="16" spans="1:11" ht="25" hidden="1" customHeight="1" x14ac:dyDescent="0.35">
      <c r="A16" s="151"/>
      <c r="B16" s="311" t="s">
        <v>176</v>
      </c>
      <c r="C16" s="311"/>
      <c r="D16" s="156" t="s">
        <v>3</v>
      </c>
      <c r="E16" s="324" t="s">
        <v>223</v>
      </c>
      <c r="F16" s="325"/>
      <c r="G16" s="325"/>
      <c r="H16" s="325"/>
      <c r="I16" s="325"/>
      <c r="J16" s="325"/>
      <c r="K16" s="151"/>
    </row>
    <row r="17" spans="1:11" ht="30" customHeight="1" x14ac:dyDescent="0.35">
      <c r="A17" s="151"/>
      <c r="B17" s="311" t="s">
        <v>125</v>
      </c>
      <c r="C17" s="311"/>
      <c r="D17" s="156" t="s">
        <v>3</v>
      </c>
      <c r="E17" s="328" t="str">
        <f>"Biaya perjalanan dinas dalam rangka "&amp;DATA!D11&amp;", tanggal "&amp;DATA!D23&amp;", sesuai dengan:"</f>
        <v>Biaya perjalanan dinas dalam rangka Melakukan Pengawasan Pendataan Sakernas Agustus 2026 di Desa Juking Supan, tanggal 15 Agustus 2026, sesuai dengan:</v>
      </c>
      <c r="F17" s="328"/>
      <c r="G17" s="328"/>
      <c r="H17" s="328"/>
      <c r="I17" s="328"/>
      <c r="J17" s="328"/>
      <c r="K17" s="151"/>
    </row>
    <row r="18" spans="1:11" ht="9" customHeight="1" x14ac:dyDescent="0.35">
      <c r="A18" s="151"/>
      <c r="B18" s="152"/>
      <c r="C18" s="152"/>
      <c r="D18" s="157"/>
      <c r="E18" s="328"/>
      <c r="F18" s="328"/>
      <c r="G18" s="328"/>
      <c r="H18" s="328"/>
      <c r="I18" s="328"/>
      <c r="J18" s="328"/>
      <c r="K18" s="151"/>
    </row>
    <row r="19" spans="1:11" ht="8.25" customHeight="1" x14ac:dyDescent="0.35">
      <c r="A19" s="151"/>
      <c r="B19" s="152"/>
      <c r="C19" s="152"/>
      <c r="D19" s="157"/>
      <c r="E19" s="328"/>
      <c r="F19" s="328"/>
      <c r="G19" s="328"/>
      <c r="H19" s="328"/>
      <c r="I19" s="328"/>
      <c r="J19" s="328"/>
      <c r="K19" s="151"/>
    </row>
    <row r="20" spans="1:11" ht="14" x14ac:dyDescent="0.35">
      <c r="A20" s="151"/>
      <c r="B20" s="152"/>
      <c r="C20" s="152"/>
      <c r="D20" s="157"/>
      <c r="E20" s="311" t="str">
        <f>"Surat Tugas Nomor: "&amp;DATA!D1&amp;" tanggal "&amp;DATA!D2</f>
        <v>Surat Tugas Nomor: B-1122/62130/KU.340/2026 tanggal 13 Agustus 2026</v>
      </c>
      <c r="F20" s="311"/>
      <c r="G20" s="311"/>
      <c r="H20" s="311"/>
      <c r="I20" s="311"/>
      <c r="J20" s="311"/>
      <c r="K20" s="151"/>
    </row>
    <row r="21" spans="1:11" ht="16.5" customHeight="1" x14ac:dyDescent="0.35">
      <c r="A21" s="151"/>
      <c r="B21" s="152"/>
      <c r="C21" s="152"/>
      <c r="D21" s="157"/>
      <c r="E21" s="311" t="str">
        <f>IF(DATA!D15&lt;&gt;"",_xlfn.CONCAT("SPD Nomor: ",DATA!D15," tanggal ",DATA!D16),"")</f>
        <v>SPD Nomor: 231/62130/KU.340/2026 tanggal 13 Agustus 2026</v>
      </c>
      <c r="F21" s="311"/>
      <c r="G21" s="311"/>
      <c r="H21" s="311"/>
      <c r="I21" s="311"/>
      <c r="J21" s="311"/>
      <c r="K21" s="151"/>
    </row>
    <row r="22" spans="1:11" ht="14" x14ac:dyDescent="0.35">
      <c r="A22" s="151"/>
      <c r="B22" s="152"/>
      <c r="C22" s="152"/>
      <c r="D22" s="157"/>
      <c r="E22" s="157"/>
      <c r="F22" s="315"/>
      <c r="G22" s="315"/>
      <c r="H22" s="310"/>
      <c r="I22" s="310"/>
      <c r="J22" s="310"/>
      <c r="K22" s="151"/>
    </row>
    <row r="23" spans="1:11" ht="14" x14ac:dyDescent="0.35">
      <c r="A23" s="151"/>
      <c r="B23" s="158"/>
      <c r="C23" s="159"/>
      <c r="D23" s="159"/>
      <c r="E23" s="159"/>
      <c r="F23" s="316"/>
      <c r="G23" s="316"/>
      <c r="H23" s="310"/>
      <c r="I23" s="310"/>
      <c r="J23" s="310"/>
      <c r="K23" s="151"/>
    </row>
    <row r="24" spans="1:11" ht="14" x14ac:dyDescent="0.35">
      <c r="A24" s="151"/>
      <c r="B24" s="317"/>
      <c r="C24" s="317"/>
      <c r="D24" s="317"/>
      <c r="E24" s="317"/>
      <c r="F24" s="317"/>
      <c r="G24" s="317"/>
      <c r="H24" s="317" t="str">
        <f>"Puruk Cahu, "&amp;DATA!D29</f>
        <v>Puruk Cahu, 18 Agustus 2026</v>
      </c>
      <c r="I24" s="317"/>
      <c r="J24" s="317"/>
      <c r="K24" s="151"/>
    </row>
    <row r="25" spans="1:11" ht="14" x14ac:dyDescent="0.35">
      <c r="A25" s="151"/>
      <c r="B25" s="317"/>
      <c r="C25" s="317"/>
      <c r="D25" s="317"/>
      <c r="E25" s="317"/>
      <c r="F25" s="317"/>
      <c r="G25" s="317"/>
      <c r="H25" s="317" t="s">
        <v>131</v>
      </c>
      <c r="I25" s="317"/>
      <c r="J25" s="317"/>
      <c r="K25" s="151"/>
    </row>
    <row r="26" spans="1:11" ht="14" x14ac:dyDescent="0.35">
      <c r="A26" s="151"/>
      <c r="B26" s="317"/>
      <c r="C26" s="317"/>
      <c r="D26" s="317"/>
      <c r="E26" s="317"/>
      <c r="F26" s="317"/>
      <c r="G26" s="317"/>
      <c r="H26" s="317"/>
      <c r="I26" s="317"/>
      <c r="J26" s="317"/>
      <c r="K26" s="151"/>
    </row>
    <row r="27" spans="1:11" ht="14" x14ac:dyDescent="0.35">
      <c r="A27" s="151"/>
      <c r="B27" s="152"/>
      <c r="C27" s="152"/>
      <c r="D27" s="226"/>
      <c r="E27" s="226"/>
      <c r="F27" s="318"/>
      <c r="G27" s="318"/>
      <c r="H27" s="310"/>
      <c r="I27" s="310"/>
      <c r="J27" s="310"/>
      <c r="K27" s="151"/>
    </row>
    <row r="28" spans="1:11" ht="14" x14ac:dyDescent="0.35">
      <c r="A28" s="151"/>
      <c r="B28" s="152"/>
      <c r="C28" s="152"/>
      <c r="D28" s="226"/>
      <c r="E28" s="226"/>
      <c r="F28" s="318"/>
      <c r="G28" s="318"/>
      <c r="H28" s="310"/>
      <c r="I28" s="310"/>
      <c r="J28" s="310"/>
      <c r="K28" s="151"/>
    </row>
    <row r="29" spans="1:11" ht="26.25" customHeight="1" x14ac:dyDescent="0.35">
      <c r="A29" s="151"/>
      <c r="B29" s="317"/>
      <c r="C29" s="317"/>
      <c r="D29" s="317"/>
      <c r="E29" s="317"/>
      <c r="F29" s="317"/>
      <c r="G29" s="317"/>
      <c r="H29" s="319" t="str">
        <f>DATA!D6</f>
        <v>Luthfiani Nur Aisyah, S.Tr.Stat.</v>
      </c>
      <c r="I29" s="319"/>
      <c r="J29" s="319"/>
      <c r="K29" s="151"/>
    </row>
    <row r="30" spans="1:11" ht="16.5" customHeight="1" x14ac:dyDescent="0.35">
      <c r="A30" s="151"/>
      <c r="B30" s="317"/>
      <c r="C30" s="317"/>
      <c r="D30" s="317"/>
      <c r="E30" s="317"/>
      <c r="F30" s="317"/>
      <c r="G30" s="317"/>
      <c r="H30" s="317" t="str">
        <f>"NIP. "&amp;DATA!D7</f>
        <v>NIP. 20030629 202603 2 001</v>
      </c>
      <c r="I30" s="317"/>
      <c r="J30" s="317"/>
      <c r="K30" s="151"/>
    </row>
    <row r="31" spans="1:11" ht="13.5" customHeight="1" thickBot="1" x14ac:dyDescent="0.4">
      <c r="A31" s="151"/>
      <c r="B31" s="320"/>
      <c r="C31" s="320"/>
      <c r="D31" s="320"/>
      <c r="E31" s="320"/>
      <c r="F31" s="320"/>
      <c r="G31" s="320"/>
      <c r="H31" s="320"/>
      <c r="I31" s="320"/>
      <c r="J31" s="320"/>
      <c r="K31" s="151"/>
    </row>
    <row r="32" spans="1:11" ht="18.75" customHeight="1" x14ac:dyDescent="0.35">
      <c r="A32" s="151"/>
      <c r="B32" s="317" t="s">
        <v>143</v>
      </c>
      <c r="C32" s="317"/>
      <c r="D32" s="317"/>
      <c r="E32" s="317"/>
      <c r="F32" s="317"/>
      <c r="G32" s="317"/>
      <c r="H32" s="317" t="s">
        <v>177</v>
      </c>
      <c r="I32" s="317"/>
      <c r="J32" s="317"/>
      <c r="K32" s="151"/>
    </row>
    <row r="33" spans="1:11" ht="18.75" customHeight="1" x14ac:dyDescent="0.35">
      <c r="A33" s="151"/>
      <c r="B33" s="317" t="s">
        <v>11</v>
      </c>
      <c r="C33" s="317"/>
      <c r="D33" s="317"/>
      <c r="E33" s="317"/>
      <c r="F33" s="317"/>
      <c r="G33" s="317"/>
      <c r="H33" s="317" t="s">
        <v>178</v>
      </c>
      <c r="I33" s="317"/>
      <c r="J33" s="317"/>
      <c r="K33" s="151"/>
    </row>
    <row r="34" spans="1:11" ht="18.75" customHeight="1" x14ac:dyDescent="0.35">
      <c r="A34" s="151"/>
      <c r="B34" s="317"/>
      <c r="C34" s="317"/>
      <c r="D34" s="317"/>
      <c r="E34" s="317"/>
      <c r="F34" s="317"/>
      <c r="G34" s="317"/>
      <c r="H34" s="317"/>
      <c r="I34" s="317"/>
      <c r="J34" s="317"/>
      <c r="K34" s="151"/>
    </row>
    <row r="35" spans="1:11" ht="18.75" customHeight="1" x14ac:dyDescent="0.35">
      <c r="A35" s="151"/>
      <c r="B35" s="317"/>
      <c r="C35" s="317"/>
      <c r="D35" s="317"/>
      <c r="E35" s="317"/>
      <c r="F35" s="317"/>
      <c r="G35" s="317"/>
      <c r="H35" s="317"/>
      <c r="I35" s="317"/>
      <c r="J35" s="317"/>
      <c r="K35" s="151"/>
    </row>
    <row r="36" spans="1:11" ht="18.75" customHeight="1" x14ac:dyDescent="0.35">
      <c r="A36" s="151"/>
      <c r="B36" s="317"/>
      <c r="C36" s="317"/>
      <c r="D36" s="317"/>
      <c r="E36" s="317"/>
      <c r="F36" s="317"/>
      <c r="G36" s="317"/>
      <c r="H36" s="317"/>
      <c r="I36" s="317"/>
      <c r="J36" s="317"/>
      <c r="K36" s="151"/>
    </row>
    <row r="37" spans="1:11" ht="18.75" customHeight="1" x14ac:dyDescent="0.35">
      <c r="A37" s="151"/>
      <c r="B37" s="319" t="str">
        <f>DATA!D25</f>
        <v>Khoirul Anwar, S.Tr.Stat.</v>
      </c>
      <c r="C37" s="319"/>
      <c r="D37" s="319"/>
      <c r="E37" s="319"/>
      <c r="F37" s="317"/>
      <c r="G37" s="317"/>
      <c r="H37" s="319" t="str">
        <f>DATA!D49</f>
        <v>Tiara Andansari, A.Md.Stat</v>
      </c>
      <c r="I37" s="319"/>
      <c r="J37" s="319"/>
      <c r="K37" s="151"/>
    </row>
    <row r="38" spans="1:11" ht="18.75" customHeight="1" x14ac:dyDescent="0.35">
      <c r="A38" s="151"/>
      <c r="B38" s="317" t="str">
        <f>"NIP. "&amp;DATA!D27</f>
        <v>NIP. 19990307 202104 1 001</v>
      </c>
      <c r="C38" s="317"/>
      <c r="D38" s="317"/>
      <c r="E38" s="317"/>
      <c r="F38" s="317"/>
      <c r="G38" s="317"/>
      <c r="H38" s="317" t="str">
        <f>"NIP. "&amp;DATA!D50</f>
        <v>NIP. 19990712 202104 2 001</v>
      </c>
      <c r="I38" s="317"/>
      <c r="J38" s="317"/>
      <c r="K38" s="151"/>
    </row>
    <row r="39" spans="1:11" ht="18.75" customHeight="1" thickBot="1" x14ac:dyDescent="0.4">
      <c r="A39" s="151"/>
      <c r="B39" s="321"/>
      <c r="C39" s="321"/>
      <c r="D39" s="321"/>
      <c r="E39" s="321"/>
      <c r="F39" s="321"/>
      <c r="G39" s="321"/>
      <c r="H39" s="321"/>
      <c r="I39" s="321"/>
      <c r="J39" s="321"/>
      <c r="K39" s="151"/>
    </row>
    <row r="40" spans="1:11" ht="31.5" customHeight="1" x14ac:dyDescent="0.35">
      <c r="A40" s="151"/>
      <c r="B40" s="322" t="s">
        <v>133</v>
      </c>
      <c r="C40" s="322"/>
      <c r="D40" s="322"/>
      <c r="E40" s="322"/>
      <c r="F40" s="322"/>
      <c r="G40" s="322"/>
      <c r="H40" s="323"/>
      <c r="I40" s="323"/>
      <c r="J40" s="323"/>
      <c r="K40" s="151"/>
    </row>
    <row r="41" spans="1:11" ht="18.75" customHeight="1" x14ac:dyDescent="0.35">
      <c r="A41" s="151"/>
      <c r="B41" s="317" t="s">
        <v>179</v>
      </c>
      <c r="C41" s="317"/>
      <c r="D41" s="317"/>
      <c r="E41" s="317"/>
      <c r="F41" s="317"/>
      <c r="G41" s="317"/>
      <c r="H41" s="317"/>
      <c r="I41" s="317"/>
      <c r="J41" s="317"/>
      <c r="K41" s="151"/>
    </row>
    <row r="42" spans="1:11" ht="18.75" customHeight="1" x14ac:dyDescent="0.35">
      <c r="A42" s="151"/>
      <c r="B42" s="317" t="s">
        <v>11</v>
      </c>
      <c r="C42" s="317"/>
      <c r="D42" s="317"/>
      <c r="E42" s="317"/>
      <c r="F42" s="317"/>
      <c r="G42" s="317"/>
      <c r="H42" s="317"/>
      <c r="I42" s="317"/>
      <c r="J42" s="317"/>
      <c r="K42" s="151"/>
    </row>
    <row r="43" spans="1:11" ht="18.75" customHeight="1" x14ac:dyDescent="0.35">
      <c r="A43" s="151"/>
      <c r="B43" s="317"/>
      <c r="C43" s="317"/>
      <c r="D43" s="317"/>
      <c r="E43" s="317"/>
      <c r="F43" s="317"/>
      <c r="G43" s="317"/>
      <c r="H43" s="317"/>
      <c r="I43" s="317"/>
      <c r="J43" s="317"/>
      <c r="K43" s="151"/>
    </row>
    <row r="44" spans="1:11" ht="18.75" customHeight="1" x14ac:dyDescent="0.35">
      <c r="A44" s="151"/>
      <c r="B44" s="317"/>
      <c r="C44" s="317"/>
      <c r="D44" s="317"/>
      <c r="E44" s="317"/>
      <c r="F44" s="317"/>
      <c r="G44" s="317"/>
      <c r="H44" s="317"/>
      <c r="I44" s="317"/>
      <c r="J44" s="317"/>
      <c r="K44" s="151"/>
    </row>
    <row r="45" spans="1:11" ht="18.75" customHeight="1" x14ac:dyDescent="0.35">
      <c r="A45" s="151"/>
      <c r="B45" s="317"/>
      <c r="C45" s="317"/>
      <c r="D45" s="317"/>
      <c r="E45" s="317"/>
      <c r="F45" s="317"/>
      <c r="G45" s="317"/>
      <c r="H45" s="317"/>
      <c r="I45" s="317"/>
      <c r="J45" s="317"/>
      <c r="K45" s="151"/>
    </row>
    <row r="46" spans="1:11" ht="18.75" customHeight="1" x14ac:dyDescent="0.35">
      <c r="A46" s="151"/>
      <c r="B46" s="319" t="str">
        <f>B37</f>
        <v>Khoirul Anwar, S.Tr.Stat.</v>
      </c>
      <c r="C46" s="319"/>
      <c r="D46" s="319"/>
      <c r="E46" s="319"/>
      <c r="F46" s="317"/>
      <c r="G46" s="317"/>
      <c r="H46" s="317"/>
      <c r="I46" s="317"/>
      <c r="J46" s="317"/>
      <c r="K46" s="151"/>
    </row>
    <row r="47" spans="1:11" ht="18.75" customHeight="1" x14ac:dyDescent="0.35">
      <c r="A47" s="151"/>
      <c r="B47" s="317" t="str">
        <f>"NIP. "&amp;DATA!D46</f>
        <v>NIP. 19990307 202104 1 001</v>
      </c>
      <c r="C47" s="317"/>
      <c r="D47" s="317"/>
      <c r="E47" s="317"/>
      <c r="F47" s="317"/>
      <c r="G47" s="317"/>
      <c r="H47" s="317"/>
      <c r="I47" s="317"/>
      <c r="J47" s="317"/>
      <c r="K47" s="151"/>
    </row>
    <row r="48" spans="1:11" ht="18.75" customHeight="1" x14ac:dyDescent="0.35">
      <c r="B48" s="130"/>
      <c r="C48" s="130"/>
      <c r="D48" s="130"/>
      <c r="E48" s="130"/>
      <c r="F48" s="130"/>
      <c r="G48" s="130"/>
      <c r="H48" s="130"/>
      <c r="I48" s="130"/>
      <c r="J48" s="130"/>
    </row>
    <row r="49" spans="2:10" ht="18.75" customHeight="1" x14ac:dyDescent="0.35">
      <c r="B49" s="132"/>
      <c r="C49"/>
      <c r="D49"/>
      <c r="E49"/>
      <c r="F49"/>
      <c r="G49"/>
      <c r="H49"/>
      <c r="I49"/>
      <c r="J49"/>
    </row>
    <row r="50" spans="2:10" ht="18.75" customHeight="1" x14ac:dyDescent="0.35">
      <c r="B50" s="132"/>
      <c r="C50"/>
      <c r="D50"/>
      <c r="E50"/>
      <c r="F50"/>
      <c r="G50"/>
      <c r="H50"/>
      <c r="I50"/>
      <c r="J50"/>
    </row>
  </sheetData>
  <mergeCells count="97">
    <mergeCell ref="E16:J16"/>
    <mergeCell ref="E20:J20"/>
    <mergeCell ref="E21:J21"/>
    <mergeCell ref="I3:K3"/>
    <mergeCell ref="I4:K4"/>
    <mergeCell ref="I5:K5"/>
    <mergeCell ref="I6:K6"/>
    <mergeCell ref="B10:J10"/>
    <mergeCell ref="E12:J12"/>
    <mergeCell ref="B17:C17"/>
    <mergeCell ref="E17:J19"/>
    <mergeCell ref="B16:C16"/>
    <mergeCell ref="D14:D15"/>
    <mergeCell ref="E14:J15"/>
    <mergeCell ref="B12:C12"/>
    <mergeCell ref="I7:K8"/>
    <mergeCell ref="B46:E46"/>
    <mergeCell ref="F46:G46"/>
    <mergeCell ref="H46:J46"/>
    <mergeCell ref="B47:E47"/>
    <mergeCell ref="F47:G47"/>
    <mergeCell ref="H47:J47"/>
    <mergeCell ref="B44:E44"/>
    <mergeCell ref="F44:G44"/>
    <mergeCell ref="H44:J44"/>
    <mergeCell ref="B45:E45"/>
    <mergeCell ref="F45:G45"/>
    <mergeCell ref="H45:J45"/>
    <mergeCell ref="B42:E42"/>
    <mergeCell ref="F42:G42"/>
    <mergeCell ref="H42:J42"/>
    <mergeCell ref="B43:E43"/>
    <mergeCell ref="F43:G43"/>
    <mergeCell ref="H43:J43"/>
    <mergeCell ref="B41:E41"/>
    <mergeCell ref="F41:G41"/>
    <mergeCell ref="H41:J41"/>
    <mergeCell ref="B37:E37"/>
    <mergeCell ref="F37:G37"/>
    <mergeCell ref="H37:J37"/>
    <mergeCell ref="B38:E38"/>
    <mergeCell ref="F38:G38"/>
    <mergeCell ref="H38:J38"/>
    <mergeCell ref="B39:E39"/>
    <mergeCell ref="F39:G39"/>
    <mergeCell ref="H39:J39"/>
    <mergeCell ref="B40:G40"/>
    <mergeCell ref="H40:J40"/>
    <mergeCell ref="B35:E35"/>
    <mergeCell ref="F35:G35"/>
    <mergeCell ref="H35:J35"/>
    <mergeCell ref="B36:E36"/>
    <mergeCell ref="F36:G36"/>
    <mergeCell ref="H36:J36"/>
    <mergeCell ref="B33:E33"/>
    <mergeCell ref="F33:G33"/>
    <mergeCell ref="H33:J33"/>
    <mergeCell ref="B34:E34"/>
    <mergeCell ref="F34:G34"/>
    <mergeCell ref="H34:J34"/>
    <mergeCell ref="B30:E30"/>
    <mergeCell ref="F30:G30"/>
    <mergeCell ref="H30:J30"/>
    <mergeCell ref="B32:E32"/>
    <mergeCell ref="F32:G32"/>
    <mergeCell ref="H32:J32"/>
    <mergeCell ref="B31:J31"/>
    <mergeCell ref="F27:G27"/>
    <mergeCell ref="H27:J27"/>
    <mergeCell ref="F28:G28"/>
    <mergeCell ref="H28:J28"/>
    <mergeCell ref="B29:E29"/>
    <mergeCell ref="F29:G29"/>
    <mergeCell ref="H29:J29"/>
    <mergeCell ref="B25:E25"/>
    <mergeCell ref="F25:G25"/>
    <mergeCell ref="H25:J25"/>
    <mergeCell ref="B26:E26"/>
    <mergeCell ref="F26:G26"/>
    <mergeCell ref="H26:J26"/>
    <mergeCell ref="F22:G22"/>
    <mergeCell ref="H22:J22"/>
    <mergeCell ref="F23:G23"/>
    <mergeCell ref="H23:J23"/>
    <mergeCell ref="B24:E24"/>
    <mergeCell ref="F24:G24"/>
    <mergeCell ref="H24:J24"/>
    <mergeCell ref="B3:F3"/>
    <mergeCell ref="B4:F4"/>
    <mergeCell ref="B5:F5"/>
    <mergeCell ref="B13:C13"/>
    <mergeCell ref="B14:C15"/>
    <mergeCell ref="B6:F6"/>
    <mergeCell ref="B7:F7"/>
    <mergeCell ref="F11:G11"/>
    <mergeCell ref="E13:J13"/>
    <mergeCell ref="H11:J11"/>
  </mergeCells>
  <pageMargins left="0.7" right="0.7" top="0.75" bottom="0.75" header="0.3" footer="0.3"/>
  <pageSetup paperSize="9" scale="8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08896-5D72-4B85-B47F-04521BCDAF17}">
  <sheetPr>
    <pageSetUpPr fitToPage="1"/>
  </sheetPr>
  <dimension ref="A2:X48"/>
  <sheetViews>
    <sheetView view="pageBreakPreview" zoomScale="70" zoomScaleNormal="100" zoomScaleSheetLayoutView="70" workbookViewId="0">
      <selection activeCell="I20" sqref="I20:L20"/>
    </sheetView>
  </sheetViews>
  <sheetFormatPr defaultColWidth="9.1796875" defaultRowHeight="18.75" customHeight="1" x14ac:dyDescent="0.35"/>
  <cols>
    <col min="1" max="1" width="9.1796875" style="77"/>
    <col min="2" max="2" width="0.7265625" style="77" customWidth="1"/>
    <col min="3" max="3" width="4.453125" style="77" customWidth="1"/>
    <col min="4" max="4" width="13.7265625" style="77" customWidth="1"/>
    <col min="5" max="5" width="14.7265625" style="77" customWidth="1"/>
    <col min="6" max="6" width="2.26953125" style="77" customWidth="1"/>
    <col min="7" max="7" width="14.7265625" style="77" customWidth="1"/>
    <col min="8" max="8" width="15" style="77" customWidth="1"/>
    <col min="9" max="9" width="10.453125" style="77" customWidth="1"/>
    <col min="10" max="10" width="5.1796875" style="77" customWidth="1"/>
    <col min="11" max="11" width="15" style="77" customWidth="1"/>
    <col min="12" max="12" width="13.54296875" style="77" customWidth="1"/>
    <col min="13" max="13" width="1.26953125" style="77" customWidth="1"/>
    <col min="14" max="16384" width="9.1796875" style="77"/>
  </cols>
  <sheetData>
    <row r="2" spans="1:24" ht="18.75" customHeight="1" x14ac:dyDescent="0.35">
      <c r="C2" s="336" t="s">
        <v>134</v>
      </c>
      <c r="D2" s="336"/>
      <c r="E2" s="336"/>
      <c r="F2" s="336"/>
      <c r="G2" s="336"/>
      <c r="H2" s="336"/>
      <c r="I2" s="336"/>
      <c r="J2" s="336"/>
      <c r="K2" s="336"/>
      <c r="L2" s="336"/>
    </row>
    <row r="3" spans="1:24" ht="18.75" customHeight="1" x14ac:dyDescent="0.35">
      <c r="C3" s="96"/>
      <c r="D3" s="96"/>
      <c r="E3" s="96"/>
      <c r="F3" s="96"/>
      <c r="G3" s="96"/>
      <c r="H3" s="96"/>
      <c r="I3" s="96"/>
      <c r="J3" s="96"/>
      <c r="K3" s="96"/>
      <c r="L3" s="96"/>
    </row>
    <row r="4" spans="1:24" ht="14.5" x14ac:dyDescent="0.35">
      <c r="C4" s="96"/>
      <c r="D4" s="96" t="s">
        <v>359</v>
      </c>
      <c r="E4" s="96"/>
      <c r="F4" s="85" t="s">
        <v>3</v>
      </c>
      <c r="G4" s="96" t="str">
        <f>IF(DATA!D15=0,"-",DATA!D15)</f>
        <v>231/62130/KU.340/2026</v>
      </c>
      <c r="H4" s="96"/>
      <c r="I4" s="96"/>
      <c r="J4" s="96"/>
      <c r="K4" s="96"/>
      <c r="L4" s="96"/>
    </row>
    <row r="5" spans="1:24" ht="14.5" x14ac:dyDescent="0.35">
      <c r="C5" s="96"/>
      <c r="D5" s="96" t="s">
        <v>41</v>
      </c>
      <c r="E5" s="96"/>
      <c r="F5" s="85" t="s">
        <v>3</v>
      </c>
      <c r="G5" s="96" t="str">
        <f>IF(DATA!D15=0,"-",DATA!D16)</f>
        <v>13 Agustus 2026</v>
      </c>
      <c r="H5" s="96"/>
      <c r="I5" s="96"/>
      <c r="J5" s="96"/>
      <c r="K5" s="96"/>
      <c r="L5" s="96"/>
    </row>
    <row r="6" spans="1:24" ht="14.5" x14ac:dyDescent="0.35">
      <c r="C6" s="96"/>
      <c r="D6" s="96"/>
      <c r="E6" s="96"/>
      <c r="F6" s="85"/>
      <c r="G6" s="96"/>
      <c r="H6" s="96"/>
      <c r="I6" s="96"/>
      <c r="J6" s="96"/>
      <c r="K6" s="96"/>
      <c r="L6" s="96"/>
    </row>
    <row r="7" spans="1:24" ht="18.75" customHeight="1" x14ac:dyDescent="0.35">
      <c r="C7" s="160" t="s">
        <v>43</v>
      </c>
      <c r="D7" s="337" t="s">
        <v>135</v>
      </c>
      <c r="E7" s="338"/>
      <c r="F7" s="338"/>
      <c r="G7" s="338"/>
      <c r="H7" s="338"/>
      <c r="I7" s="339"/>
      <c r="J7" s="337" t="s">
        <v>44</v>
      </c>
      <c r="K7" s="339"/>
      <c r="L7" s="161" t="s">
        <v>26</v>
      </c>
    </row>
    <row r="8" spans="1:24" ht="18.75" customHeight="1" x14ac:dyDescent="0.35">
      <c r="C8" s="162">
        <v>1</v>
      </c>
      <c r="D8" s="96" t="s">
        <v>136</v>
      </c>
      <c r="E8" s="96"/>
      <c r="F8" s="85" t="s">
        <v>3</v>
      </c>
      <c r="G8" s="96" t="str">
        <f>DATA!D6</f>
        <v>Luthfiani Nur Aisyah, S.Tr.Stat.</v>
      </c>
      <c r="H8" s="96"/>
      <c r="I8" s="96"/>
      <c r="J8" s="163"/>
      <c r="K8" s="164"/>
      <c r="L8" s="164"/>
    </row>
    <row r="9" spans="1:24" ht="18.75" customHeight="1" x14ac:dyDescent="0.35">
      <c r="C9" s="162"/>
      <c r="D9" s="96" t="s">
        <v>137</v>
      </c>
      <c r="E9" s="96"/>
      <c r="F9" s="85" t="s">
        <v>3</v>
      </c>
      <c r="G9" s="96" t="str">
        <f>DATA!D9</f>
        <v>Penata Muda / III/a</v>
      </c>
      <c r="H9" s="96"/>
      <c r="I9" s="96"/>
      <c r="J9" s="163"/>
      <c r="K9" s="164"/>
      <c r="L9" s="164"/>
    </row>
    <row r="10" spans="1:24" ht="18.75" customHeight="1" x14ac:dyDescent="0.35">
      <c r="C10" s="162"/>
      <c r="D10" s="96" t="s">
        <v>138</v>
      </c>
      <c r="E10" s="96"/>
      <c r="F10" s="85" t="s">
        <v>3</v>
      </c>
      <c r="G10" s="4" t="str">
        <f>DATA!D21</f>
        <v>Kabupaten Murung Raya</v>
      </c>
      <c r="H10" s="4"/>
      <c r="I10" s="165"/>
      <c r="J10" s="163"/>
      <c r="K10" s="164"/>
      <c r="L10" s="164"/>
    </row>
    <row r="11" spans="1:24" ht="18.75" customHeight="1" x14ac:dyDescent="0.35">
      <c r="C11" s="162"/>
      <c r="D11" s="96" t="s">
        <v>139</v>
      </c>
      <c r="E11" s="96"/>
      <c r="F11" s="85" t="s">
        <v>3</v>
      </c>
      <c r="G11" s="96" t="str">
        <f>DATA!D22</f>
        <v>1 (satu) hari</v>
      </c>
      <c r="H11" s="96"/>
      <c r="I11" s="96"/>
      <c r="J11" s="163"/>
      <c r="K11" s="164"/>
      <c r="L11" s="164"/>
    </row>
    <row r="12" spans="1:24" ht="18.75" customHeight="1" x14ac:dyDescent="0.35">
      <c r="C12" s="162">
        <v>2</v>
      </c>
      <c r="D12" s="96" t="s">
        <v>83</v>
      </c>
      <c r="E12" s="96"/>
      <c r="F12" s="85" t="s">
        <v>3</v>
      </c>
      <c r="G12" s="257" t="str">
        <f>"dari "&amp;DATA!D18&amp;" ke "&amp;DATA!D20</f>
        <v>dari Kelurahan Beriwit ke Desa Juking Supan</v>
      </c>
      <c r="H12" s="257"/>
      <c r="I12" s="344"/>
      <c r="J12" s="163" t="s">
        <v>140</v>
      </c>
      <c r="K12" s="166">
        <f>DATA!D31</f>
        <v>0</v>
      </c>
      <c r="L12" s="167"/>
      <c r="O12" s="343" t="s">
        <v>204</v>
      </c>
      <c r="P12" s="343"/>
      <c r="Q12" s="343"/>
      <c r="R12" s="343"/>
      <c r="S12" s="343"/>
      <c r="T12" s="343"/>
    </row>
    <row r="13" spans="1:24" ht="18.75" customHeight="1" x14ac:dyDescent="0.35">
      <c r="C13" s="162"/>
      <c r="D13" s="96"/>
      <c r="E13" s="96"/>
      <c r="F13" s="85"/>
      <c r="G13" s="257"/>
      <c r="H13" s="257"/>
      <c r="I13" s="344"/>
      <c r="J13" s="163"/>
      <c r="K13" s="166"/>
      <c r="L13" s="167"/>
    </row>
    <row r="14" spans="1:24" ht="18.75" customHeight="1" x14ac:dyDescent="0.35">
      <c r="C14" s="162">
        <v>3</v>
      </c>
      <c r="D14" s="96" t="s">
        <v>141</v>
      </c>
      <c r="E14" s="96"/>
      <c r="F14" s="85" t="s">
        <v>3</v>
      </c>
      <c r="G14" s="96" t="str">
        <f>G11</f>
        <v>1 (satu) hari</v>
      </c>
      <c r="H14" s="96" t="str">
        <f>CONCATENATE("x Rp.",TEXT(DATA!D30,"#.00"),",-")</f>
        <v>x Rp.140.000,-</v>
      </c>
      <c r="I14" s="96"/>
      <c r="J14" s="163" t="s">
        <v>140</v>
      </c>
      <c r="K14" s="166">
        <f>DATA!D30*DATA!E22</f>
        <v>140000</v>
      </c>
      <c r="L14" s="164"/>
    </row>
    <row r="15" spans="1:24" ht="18.75" customHeight="1" x14ac:dyDescent="0.35">
      <c r="A15" s="241" t="s">
        <v>373</v>
      </c>
      <c r="C15" s="162">
        <v>4</v>
      </c>
      <c r="D15" s="96" t="s">
        <v>203</v>
      </c>
      <c r="E15" s="96"/>
      <c r="F15" s="85" t="s">
        <v>3</v>
      </c>
      <c r="G15" s="210" t="s">
        <v>372</v>
      </c>
      <c r="H15" s="96" t="s">
        <v>371</v>
      </c>
      <c r="I15" s="96"/>
      <c r="J15" s="163" t="s">
        <v>140</v>
      </c>
      <c r="K15" s="166">
        <f>DATA!D33</f>
        <v>0</v>
      </c>
      <c r="L15" s="164"/>
      <c r="O15" s="240" t="s">
        <v>363</v>
      </c>
      <c r="P15" s="240"/>
      <c r="Q15" s="240"/>
      <c r="R15" s="240"/>
      <c r="S15" s="240"/>
      <c r="T15" s="240"/>
      <c r="U15" s="240"/>
      <c r="V15" s="240"/>
      <c r="W15" s="240"/>
      <c r="X15" s="240"/>
    </row>
    <row r="16" spans="1:24" ht="18.75" customHeight="1" x14ac:dyDescent="0.35">
      <c r="C16" s="162">
        <v>5</v>
      </c>
      <c r="D16" s="96" t="s">
        <v>142</v>
      </c>
      <c r="E16" s="96"/>
      <c r="F16" s="85" t="s">
        <v>3</v>
      </c>
      <c r="G16" s="96"/>
      <c r="H16" s="96"/>
      <c r="I16" s="96"/>
      <c r="J16" s="163" t="s">
        <v>140</v>
      </c>
      <c r="K16" s="166">
        <f>Riil!I20</f>
        <v>350000</v>
      </c>
      <c r="L16" s="164"/>
      <c r="O16" s="77" t="s">
        <v>205</v>
      </c>
    </row>
    <row r="17" spans="3:12" ht="18.75" customHeight="1" x14ac:dyDescent="0.35">
      <c r="C17" s="168"/>
      <c r="D17" s="340" t="s">
        <v>45</v>
      </c>
      <c r="E17" s="341"/>
      <c r="F17" s="341"/>
      <c r="G17" s="341"/>
      <c r="H17" s="341"/>
      <c r="I17" s="342"/>
      <c r="J17" s="169" t="s">
        <v>140</v>
      </c>
      <c r="K17" s="166">
        <f>SUM(K12:K16)</f>
        <v>490000</v>
      </c>
      <c r="L17" s="164"/>
    </row>
    <row r="18" spans="3:12" ht="27.75" customHeight="1" x14ac:dyDescent="0.35">
      <c r="C18" s="170"/>
      <c r="D18" s="345" t="str">
        <f>+Kuitansi!F16</f>
        <v>** Empat ratus sembilan puluh ribu rupiah **</v>
      </c>
      <c r="E18" s="346"/>
      <c r="F18" s="346"/>
      <c r="G18" s="346"/>
      <c r="H18" s="346"/>
      <c r="I18" s="346"/>
      <c r="J18" s="346"/>
      <c r="K18" s="346"/>
      <c r="L18" s="347"/>
    </row>
    <row r="19" spans="3:12" ht="18.75" customHeight="1" x14ac:dyDescent="0.35">
      <c r="C19" s="171"/>
      <c r="D19" s="172"/>
      <c r="E19" s="172"/>
      <c r="F19" s="172"/>
      <c r="G19" s="173"/>
      <c r="H19" s="173"/>
      <c r="I19" s="173"/>
      <c r="J19" s="173"/>
      <c r="K19" s="173"/>
      <c r="L19" s="174"/>
    </row>
    <row r="20" spans="3:12" ht="18.75" customHeight="1" x14ac:dyDescent="0.35">
      <c r="C20" s="163"/>
      <c r="D20" s="85"/>
      <c r="E20" s="175"/>
      <c r="F20" s="4"/>
      <c r="G20" s="4"/>
      <c r="H20" s="96"/>
      <c r="I20" s="260" t="str">
        <f>Kuitansi!H19</f>
        <v>Puruk Cahu, 18 Agustus 2026</v>
      </c>
      <c r="J20" s="260"/>
      <c r="K20" s="260"/>
      <c r="L20" s="334"/>
    </row>
    <row r="21" spans="3:12" ht="14.5" x14ac:dyDescent="0.35">
      <c r="C21" s="163"/>
      <c r="D21" s="96"/>
      <c r="E21" s="96"/>
      <c r="F21" s="96"/>
      <c r="G21" s="96"/>
      <c r="H21" s="96"/>
      <c r="I21" s="96"/>
      <c r="J21" s="96"/>
      <c r="K21" s="96"/>
      <c r="L21" s="164"/>
    </row>
    <row r="22" spans="3:12" ht="18.75" customHeight="1" x14ac:dyDescent="0.35">
      <c r="C22" s="163"/>
      <c r="D22" s="96" t="s">
        <v>361</v>
      </c>
      <c r="E22" s="96"/>
      <c r="F22" s="96"/>
      <c r="G22" s="96"/>
      <c r="H22" s="96"/>
      <c r="I22" s="96" t="s">
        <v>360</v>
      </c>
      <c r="J22" s="96"/>
      <c r="K22" s="96"/>
      <c r="L22" s="164"/>
    </row>
    <row r="23" spans="3:12" ht="18.75" customHeight="1" x14ac:dyDescent="0.35">
      <c r="C23" s="163"/>
      <c r="D23" s="224" t="str">
        <f>+I23</f>
        <v>Rp. 490000</v>
      </c>
      <c r="E23" s="224"/>
      <c r="F23" s="224"/>
      <c r="G23" s="96"/>
      <c r="H23" s="224"/>
      <c r="I23" s="224" t="str">
        <f>CONCATENATE(J17," ",K17)</f>
        <v>Rp. 490000</v>
      </c>
      <c r="J23" s="224"/>
      <c r="K23" s="224"/>
      <c r="L23" s="227"/>
    </row>
    <row r="24" spans="3:12" ht="18.75" customHeight="1" x14ac:dyDescent="0.35">
      <c r="C24" s="163"/>
      <c r="D24" s="96"/>
      <c r="E24" s="96"/>
      <c r="F24" s="96"/>
      <c r="G24" s="96"/>
      <c r="H24" s="96"/>
      <c r="I24" s="96"/>
      <c r="J24" s="96"/>
      <c r="K24" s="96"/>
      <c r="L24" s="164"/>
    </row>
    <row r="25" spans="3:12" ht="14.5" x14ac:dyDescent="0.35">
      <c r="C25" s="228"/>
      <c r="D25" s="260" t="s">
        <v>362</v>
      </c>
      <c r="E25" s="260"/>
      <c r="F25" s="260"/>
      <c r="I25" s="4"/>
      <c r="J25" s="96"/>
      <c r="K25" s="96"/>
      <c r="L25" s="164"/>
    </row>
    <row r="26" spans="3:12" ht="14.5" x14ac:dyDescent="0.35">
      <c r="C26" s="163"/>
      <c r="D26" s="96"/>
      <c r="E26" s="96"/>
      <c r="F26" s="96"/>
      <c r="I26" s="96"/>
      <c r="J26" s="96"/>
      <c r="K26" s="96"/>
      <c r="L26" s="164"/>
    </row>
    <row r="27" spans="3:12" ht="14.5" x14ac:dyDescent="0.35">
      <c r="C27" s="228"/>
      <c r="D27" s="260" t="s">
        <v>129</v>
      </c>
      <c r="E27" s="260"/>
      <c r="F27" s="260"/>
      <c r="I27" s="4"/>
      <c r="J27" s="260" t="s">
        <v>144</v>
      </c>
      <c r="K27" s="260"/>
      <c r="L27" s="334"/>
    </row>
    <row r="28" spans="3:12" ht="14.5" x14ac:dyDescent="0.35">
      <c r="C28" s="228"/>
      <c r="D28" s="260" t="s">
        <v>130</v>
      </c>
      <c r="E28" s="260"/>
      <c r="F28" s="260"/>
      <c r="I28" s="4"/>
      <c r="J28" s="96"/>
      <c r="K28" s="96"/>
      <c r="L28" s="164"/>
    </row>
    <row r="29" spans="3:12" ht="14.5" x14ac:dyDescent="0.35">
      <c r="C29" s="228"/>
      <c r="D29" s="96"/>
      <c r="E29" s="96"/>
      <c r="F29" s="96"/>
      <c r="I29" s="96"/>
      <c r="J29" s="96"/>
      <c r="K29" s="96"/>
      <c r="L29" s="164"/>
    </row>
    <row r="30" spans="3:12" ht="14.5" x14ac:dyDescent="0.35">
      <c r="C30" s="228"/>
      <c r="D30" s="96"/>
      <c r="E30" s="96"/>
      <c r="F30" s="96"/>
      <c r="I30" s="96"/>
      <c r="J30" s="96"/>
      <c r="K30" s="96"/>
      <c r="L30" s="164"/>
    </row>
    <row r="31" spans="3:12" ht="14.5" x14ac:dyDescent="0.35">
      <c r="C31" s="228"/>
      <c r="D31" s="96"/>
      <c r="E31" s="96"/>
      <c r="F31" s="96"/>
      <c r="I31" s="96"/>
      <c r="J31" s="96"/>
      <c r="K31" s="96"/>
      <c r="L31" s="164"/>
    </row>
    <row r="32" spans="3:12" ht="14.5" x14ac:dyDescent="0.35">
      <c r="C32" s="229"/>
      <c r="D32" s="333" t="str">
        <f>Kuitansi!G27</f>
        <v>Tiara Andansari, A.Md.Stat</v>
      </c>
      <c r="E32" s="333"/>
      <c r="F32" s="333"/>
      <c r="I32" s="230"/>
      <c r="J32" s="333" t="str">
        <f>+Kuitansi!H27</f>
        <v>Luthfiani Nur Aisyah, S.Tr.Stat.</v>
      </c>
      <c r="K32" s="333"/>
      <c r="L32" s="335"/>
    </row>
    <row r="33" spans="3:12" ht="14.5" x14ac:dyDescent="0.35">
      <c r="C33" s="231"/>
      <c r="D33" s="331" t="str">
        <f>Kuitansi!G28</f>
        <v>NIP. 19990712 202104 2 001</v>
      </c>
      <c r="E33" s="331"/>
      <c r="F33" s="331"/>
      <c r="I33" s="232"/>
      <c r="J33" s="331" t="str">
        <f>+Kuitansi!H28</f>
        <v>NIP. 20030629 202603 2 001</v>
      </c>
      <c r="K33" s="331"/>
      <c r="L33" s="332"/>
    </row>
    <row r="34" spans="3:12" ht="14.5" x14ac:dyDescent="0.35">
      <c r="C34" s="233"/>
      <c r="D34" s="234"/>
      <c r="E34" s="234"/>
      <c r="F34" s="234"/>
      <c r="G34" s="234"/>
      <c r="H34" s="234"/>
      <c r="I34" s="172"/>
      <c r="J34" s="172"/>
      <c r="K34" s="172"/>
      <c r="L34" s="235"/>
    </row>
    <row r="35" spans="3:12" ht="14.5" x14ac:dyDescent="0.35">
      <c r="C35" s="348" t="s">
        <v>46</v>
      </c>
      <c r="D35" s="349"/>
      <c r="E35" s="349"/>
      <c r="F35" s="349"/>
      <c r="G35" s="349"/>
      <c r="H35" s="349"/>
      <c r="I35" s="349"/>
      <c r="J35" s="349"/>
      <c r="K35" s="349"/>
      <c r="L35" s="350"/>
    </row>
    <row r="36" spans="3:12" ht="14.5" x14ac:dyDescent="0.35">
      <c r="C36" s="176"/>
      <c r="D36" s="177"/>
      <c r="E36" s="177"/>
      <c r="F36" s="177"/>
      <c r="G36" s="177"/>
      <c r="H36" s="177"/>
      <c r="I36" s="177"/>
      <c r="J36" s="177"/>
      <c r="K36" s="177"/>
      <c r="L36" s="178"/>
    </row>
    <row r="37" spans="3:12" ht="14.5" x14ac:dyDescent="0.35">
      <c r="C37" s="176"/>
      <c r="D37" s="96" t="s">
        <v>145</v>
      </c>
      <c r="E37" s="96"/>
      <c r="F37" s="96" t="s">
        <v>3</v>
      </c>
      <c r="G37" s="96" t="s">
        <v>140</v>
      </c>
      <c r="H37" s="179">
        <f>+K17</f>
        <v>490000</v>
      </c>
      <c r="I37" s="96"/>
      <c r="J37" s="96"/>
      <c r="K37" s="96"/>
      <c r="L37" s="164"/>
    </row>
    <row r="38" spans="3:12" ht="14.5" x14ac:dyDescent="0.35">
      <c r="C38" s="176"/>
      <c r="D38" s="96" t="s">
        <v>146</v>
      </c>
      <c r="E38" s="96"/>
      <c r="F38" s="96" t="s">
        <v>3</v>
      </c>
      <c r="G38" s="96" t="s">
        <v>140</v>
      </c>
      <c r="H38" s="179" t="s">
        <v>147</v>
      </c>
      <c r="I38" s="96"/>
      <c r="J38" s="96"/>
      <c r="K38" s="96"/>
      <c r="L38" s="164"/>
    </row>
    <row r="39" spans="3:12" ht="14.5" x14ac:dyDescent="0.35">
      <c r="C39" s="176"/>
      <c r="D39" s="96" t="s">
        <v>148</v>
      </c>
      <c r="E39" s="96"/>
      <c r="F39" s="96" t="s">
        <v>3</v>
      </c>
      <c r="G39" s="172" t="s">
        <v>140</v>
      </c>
      <c r="H39" s="180">
        <f>+H37</f>
        <v>490000</v>
      </c>
      <c r="I39" s="96"/>
      <c r="J39" s="96"/>
      <c r="K39" s="96"/>
      <c r="L39" s="164"/>
    </row>
    <row r="40" spans="3:12" ht="14.5" x14ac:dyDescent="0.35">
      <c r="C40" s="169"/>
      <c r="D40" s="181"/>
      <c r="E40" s="181"/>
      <c r="F40" s="181"/>
      <c r="G40" s="181"/>
      <c r="H40" s="181"/>
      <c r="I40" s="181"/>
      <c r="J40" s="181"/>
      <c r="K40" s="181"/>
      <c r="L40" s="182"/>
    </row>
    <row r="41" spans="3:12" ht="4.5" customHeight="1" x14ac:dyDescent="0.35">
      <c r="C41" s="225" t="s">
        <v>48</v>
      </c>
      <c r="D41" s="113"/>
      <c r="E41" s="113"/>
      <c r="F41" s="113"/>
      <c r="G41" s="113"/>
      <c r="H41" s="113"/>
      <c r="I41" s="113"/>
      <c r="J41" s="113"/>
      <c r="K41" s="113"/>
      <c r="L41" s="115"/>
    </row>
    <row r="42" spans="3:12" ht="18.75" customHeight="1" x14ac:dyDescent="0.35">
      <c r="C42" s="163"/>
      <c r="J42" s="96"/>
      <c r="K42" s="96"/>
      <c r="L42" s="164"/>
    </row>
    <row r="43" spans="3:12" ht="18.75" customHeight="1" x14ac:dyDescent="0.35">
      <c r="C43" s="163"/>
      <c r="J43" s="260" t="s">
        <v>11</v>
      </c>
      <c r="K43" s="260"/>
      <c r="L43" s="334"/>
    </row>
    <row r="44" spans="3:12" ht="18.75" customHeight="1" x14ac:dyDescent="0.35">
      <c r="C44" s="236"/>
      <c r="J44" s="260" t="s">
        <v>33</v>
      </c>
      <c r="K44" s="260"/>
      <c r="L44" s="334"/>
    </row>
    <row r="45" spans="3:12" ht="18.75" customHeight="1" x14ac:dyDescent="0.35">
      <c r="C45" s="236"/>
      <c r="J45" s="4"/>
      <c r="K45" s="4"/>
      <c r="L45" s="165"/>
    </row>
    <row r="46" spans="3:12" ht="18.75" customHeight="1" x14ac:dyDescent="0.35">
      <c r="C46" s="236"/>
      <c r="J46" s="4"/>
      <c r="K46" s="4"/>
      <c r="L46" s="165"/>
    </row>
    <row r="47" spans="3:12" ht="18.75" customHeight="1" x14ac:dyDescent="0.35">
      <c r="C47" s="236"/>
      <c r="J47" s="333" t="str">
        <f>Kuitansi!C27</f>
        <v>Khoirul Anwar, S.Tr.Stat.</v>
      </c>
      <c r="K47" s="333"/>
      <c r="L47" s="335"/>
    </row>
    <row r="48" spans="3:12" ht="18.75" customHeight="1" x14ac:dyDescent="0.35">
      <c r="C48" s="237"/>
      <c r="D48" s="238"/>
      <c r="E48" s="238"/>
      <c r="F48" s="238"/>
      <c r="G48" s="238"/>
      <c r="H48" s="238"/>
      <c r="I48" s="238"/>
      <c r="J48" s="331" t="str">
        <f>Kuitansi!C28</f>
        <v>NIP. 19990307 202104 1 001</v>
      </c>
      <c r="K48" s="331"/>
      <c r="L48" s="332"/>
    </row>
  </sheetData>
  <mergeCells count="21">
    <mergeCell ref="D25:F25"/>
    <mergeCell ref="O12:T12"/>
    <mergeCell ref="G12:I13"/>
    <mergeCell ref="D18:L18"/>
    <mergeCell ref="C35:L35"/>
    <mergeCell ref="J32:L32"/>
    <mergeCell ref="J33:L33"/>
    <mergeCell ref="C2:L2"/>
    <mergeCell ref="D7:I7"/>
    <mergeCell ref="J7:K7"/>
    <mergeCell ref="D17:I17"/>
    <mergeCell ref="I20:L20"/>
    <mergeCell ref="J48:L48"/>
    <mergeCell ref="D32:F32"/>
    <mergeCell ref="D33:F33"/>
    <mergeCell ref="D28:F28"/>
    <mergeCell ref="D27:F27"/>
    <mergeCell ref="J43:L43"/>
    <mergeCell ref="J44:L44"/>
    <mergeCell ref="J47:L47"/>
    <mergeCell ref="J27:L27"/>
  </mergeCells>
  <pageMargins left="0.25" right="0.1" top="0.75" bottom="0.75" header="0.3" footer="0.3"/>
  <pageSetup paperSize="9" scale="9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A66C-A2E9-45B2-B54C-78805CD84F3E}">
  <sheetPr>
    <tabColor rgb="FF92D050"/>
    <pageSetUpPr fitToPage="1"/>
  </sheetPr>
  <dimension ref="C2:O43"/>
  <sheetViews>
    <sheetView view="pageBreakPreview" topLeftCell="A6" zoomScale="87" zoomScaleNormal="100" zoomScaleSheetLayoutView="87" workbookViewId="0">
      <selection activeCell="C10" sqref="C10:I13"/>
    </sheetView>
  </sheetViews>
  <sheetFormatPr defaultRowHeight="14.5" x14ac:dyDescent="0.35"/>
  <cols>
    <col min="2" max="2" width="0.81640625" customWidth="1"/>
    <col min="3" max="3" width="4.26953125" customWidth="1"/>
    <col min="4" max="4" width="10.453125" customWidth="1"/>
    <col min="5" max="5" width="2.54296875" customWidth="1"/>
    <col min="6" max="6" width="25" customWidth="1"/>
    <col min="7" max="7" width="24.1796875" customWidth="1"/>
    <col min="8" max="8" width="4.7265625" customWidth="1"/>
    <col min="9" max="9" width="14.7265625" customWidth="1"/>
    <col min="10" max="10" width="0.81640625" customWidth="1"/>
    <col min="15" max="15" width="10.453125" customWidth="1"/>
  </cols>
  <sheetData>
    <row r="2" spans="3:9" ht="18" x14ac:dyDescent="0.35">
      <c r="C2" s="352" t="s">
        <v>49</v>
      </c>
      <c r="D2" s="352"/>
      <c r="E2" s="352"/>
      <c r="F2" s="352"/>
      <c r="G2" s="352"/>
      <c r="H2" s="352"/>
      <c r="I2" s="352"/>
    </row>
    <row r="3" spans="3:9" x14ac:dyDescent="0.35">
      <c r="C3" s="183"/>
      <c r="D3" s="184"/>
      <c r="E3" s="358"/>
      <c r="F3" s="358"/>
      <c r="G3" s="358"/>
      <c r="H3" s="184"/>
      <c r="I3" s="184"/>
    </row>
    <row r="4" spans="3:9" x14ac:dyDescent="0.35">
      <c r="C4" s="183"/>
      <c r="D4" s="184"/>
      <c r="E4" s="184"/>
      <c r="F4" s="184"/>
      <c r="G4" s="184"/>
      <c r="H4" s="184"/>
      <c r="I4" s="184"/>
    </row>
    <row r="5" spans="3:9" x14ac:dyDescent="0.35">
      <c r="C5" s="183" t="s">
        <v>149</v>
      </c>
      <c r="D5" s="184"/>
      <c r="E5" s="184"/>
      <c r="F5" s="184"/>
      <c r="G5" s="184"/>
      <c r="H5" s="184"/>
      <c r="I5" s="184"/>
    </row>
    <row r="6" spans="3:9" x14ac:dyDescent="0.35">
      <c r="C6" s="183"/>
      <c r="D6" s="184"/>
      <c r="E6" s="184"/>
      <c r="F6" s="184"/>
      <c r="G6" s="184"/>
      <c r="H6" s="184"/>
      <c r="I6" s="184"/>
    </row>
    <row r="7" spans="3:9" x14ac:dyDescent="0.35">
      <c r="C7" s="184"/>
      <c r="D7" s="183" t="s">
        <v>2</v>
      </c>
      <c r="E7" s="183" t="s">
        <v>3</v>
      </c>
      <c r="F7" s="183" t="str">
        <f>DATA!D6</f>
        <v>Luthfiani Nur Aisyah, S.Tr.Stat.</v>
      </c>
      <c r="G7" s="184"/>
      <c r="H7" s="184"/>
      <c r="I7" s="184"/>
    </row>
    <row r="8" spans="3:9" x14ac:dyDescent="0.35">
      <c r="C8" s="184"/>
      <c r="D8" s="183" t="s">
        <v>150</v>
      </c>
      <c r="E8" s="183" t="s">
        <v>3</v>
      </c>
      <c r="F8" s="185" t="str">
        <f>DATA!D7</f>
        <v>20030629 202603 2 001</v>
      </c>
      <c r="G8" s="184"/>
      <c r="H8" s="184"/>
      <c r="I8" s="184"/>
    </row>
    <row r="9" spans="3:9" x14ac:dyDescent="0.35">
      <c r="C9" s="184"/>
      <c r="D9" s="183" t="s">
        <v>151</v>
      </c>
      <c r="E9" s="183" t="s">
        <v>3</v>
      </c>
      <c r="F9" s="183" t="str">
        <f>DATA!D8</f>
        <v>Pelaksana</v>
      </c>
      <c r="G9" s="184"/>
      <c r="H9" s="184"/>
      <c r="I9" s="184"/>
    </row>
    <row r="10" spans="3:9" x14ac:dyDescent="0.35">
      <c r="C10" s="353" t="str">
        <f>IF(DATA!D15&lt;&gt;"",_xlfn.CONCAT("Berdasarkan ",Kuitansi!F14,". Dengan ini kami menyatakan dengan sesungguhnya bahwa:"),_xlfn.CONCAT("Berdasarkan ",'Kuitansi v2'!E20:J20,". Dengan ini kami menyatakan dengan sesungguhnya bahwa:"))</f>
        <v>Berdasarkan SPD Nomor: 231/62130/KU.340/2026, tanggal 13 Agustus 2026. Dengan ini kami menyatakan dengan sesungguhnya bahwa:</v>
      </c>
      <c r="D10" s="353"/>
      <c r="E10" s="353"/>
      <c r="F10" s="353"/>
      <c r="G10" s="353"/>
      <c r="H10" s="353"/>
      <c r="I10" s="353"/>
    </row>
    <row r="11" spans="3:9" x14ac:dyDescent="0.35">
      <c r="C11" s="353"/>
      <c r="D11" s="353"/>
      <c r="E11" s="353"/>
      <c r="F11" s="353"/>
      <c r="G11" s="353"/>
      <c r="H11" s="353"/>
      <c r="I11" s="353"/>
    </row>
    <row r="12" spans="3:9" x14ac:dyDescent="0.35">
      <c r="C12" s="353"/>
      <c r="D12" s="353"/>
      <c r="E12" s="353"/>
      <c r="F12" s="353"/>
      <c r="G12" s="353"/>
      <c r="H12" s="353"/>
      <c r="I12" s="353"/>
    </row>
    <row r="13" spans="3:9" x14ac:dyDescent="0.35">
      <c r="C13" s="353"/>
      <c r="D13" s="353"/>
      <c r="E13" s="353"/>
      <c r="F13" s="353"/>
      <c r="G13" s="353"/>
      <c r="H13" s="353"/>
      <c r="I13" s="353"/>
    </row>
    <row r="14" spans="3:9" x14ac:dyDescent="0.35">
      <c r="C14" s="4" t="s">
        <v>27</v>
      </c>
      <c r="D14" s="354" t="s">
        <v>180</v>
      </c>
      <c r="E14" s="354"/>
      <c r="F14" s="354"/>
      <c r="G14" s="354"/>
      <c r="H14" s="354"/>
      <c r="I14" s="354"/>
    </row>
    <row r="15" spans="3:9" x14ac:dyDescent="0.35">
      <c r="C15" s="183"/>
      <c r="D15" s="354"/>
      <c r="E15" s="354"/>
      <c r="F15" s="354"/>
      <c r="G15" s="354"/>
      <c r="H15" s="354"/>
      <c r="I15" s="354"/>
    </row>
    <row r="16" spans="3:9" x14ac:dyDescent="0.35">
      <c r="C16" s="183"/>
      <c r="D16" s="354"/>
      <c r="E16" s="354"/>
      <c r="F16" s="354"/>
      <c r="G16" s="354"/>
      <c r="H16" s="354"/>
      <c r="I16" s="354"/>
    </row>
    <row r="17" spans="3:15" x14ac:dyDescent="0.35">
      <c r="C17" s="186" t="s">
        <v>43</v>
      </c>
      <c r="D17" s="355" t="s">
        <v>152</v>
      </c>
      <c r="E17" s="356"/>
      <c r="F17" s="356"/>
      <c r="G17" s="357"/>
      <c r="H17" s="356" t="s">
        <v>153</v>
      </c>
      <c r="I17" s="357"/>
    </row>
    <row r="18" spans="3:15" x14ac:dyDescent="0.35">
      <c r="C18" s="243">
        <v>1</v>
      </c>
      <c r="D18" s="362" t="s">
        <v>388</v>
      </c>
      <c r="E18" s="363"/>
      <c r="F18" s="363"/>
      <c r="G18" s="364"/>
      <c r="H18" s="239" t="s">
        <v>140</v>
      </c>
      <c r="I18" s="244">
        <v>350000</v>
      </c>
      <c r="L18" s="351" t="s">
        <v>199</v>
      </c>
      <c r="M18" s="351"/>
      <c r="N18" s="351"/>
      <c r="O18" s="351"/>
    </row>
    <row r="19" spans="3:15" ht="50" customHeight="1" x14ac:dyDescent="0.35">
      <c r="C19" s="245"/>
      <c r="D19" s="359" t="s">
        <v>366</v>
      </c>
      <c r="E19" s="360"/>
      <c r="F19" s="360"/>
      <c r="G19" s="361"/>
      <c r="H19" s="246"/>
      <c r="I19" s="247"/>
      <c r="L19" s="351"/>
      <c r="M19" s="351"/>
      <c r="N19" s="351"/>
      <c r="O19" s="351"/>
    </row>
    <row r="20" spans="3:15" ht="18.75" customHeight="1" x14ac:dyDescent="0.35">
      <c r="C20" s="186"/>
      <c r="D20" s="355" t="s">
        <v>44</v>
      </c>
      <c r="E20" s="356"/>
      <c r="F20" s="356"/>
      <c r="G20" s="357"/>
      <c r="H20" s="187" t="s">
        <v>140</v>
      </c>
      <c r="I20" s="188">
        <f>SUM(I18:I19)</f>
        <v>350000</v>
      </c>
    </row>
    <row r="21" spans="3:15" x14ac:dyDescent="0.35">
      <c r="C21" s="183"/>
      <c r="D21" s="184"/>
      <c r="E21" s="184"/>
      <c r="F21" s="184"/>
      <c r="G21" s="184"/>
      <c r="H21" s="184"/>
      <c r="I21" s="184"/>
    </row>
    <row r="22" spans="3:15" x14ac:dyDescent="0.35">
      <c r="C22" s="4" t="s">
        <v>28</v>
      </c>
      <c r="D22" s="354" t="s">
        <v>389</v>
      </c>
      <c r="E22" s="354"/>
      <c r="F22" s="354"/>
      <c r="G22" s="354"/>
      <c r="H22" s="354"/>
      <c r="I22" s="354"/>
    </row>
    <row r="23" spans="3:15" x14ac:dyDescent="0.35">
      <c r="C23" s="183"/>
      <c r="D23" s="354"/>
      <c r="E23" s="354"/>
      <c r="F23" s="354"/>
      <c r="G23" s="354"/>
      <c r="H23" s="354"/>
      <c r="I23" s="354"/>
    </row>
    <row r="24" spans="3:15" x14ac:dyDescent="0.35">
      <c r="C24" s="183"/>
      <c r="D24" s="354"/>
      <c r="E24" s="354"/>
      <c r="F24" s="354"/>
      <c r="G24" s="354"/>
      <c r="H24" s="354"/>
      <c r="I24" s="354"/>
    </row>
    <row r="25" spans="3:15" ht="2" customHeight="1" x14ac:dyDescent="0.35">
      <c r="C25" s="183"/>
      <c r="D25" s="354"/>
      <c r="E25" s="354"/>
      <c r="F25" s="354"/>
      <c r="G25" s="354"/>
      <c r="H25" s="354"/>
      <c r="I25" s="354"/>
    </row>
    <row r="26" spans="3:15" x14ac:dyDescent="0.35">
      <c r="C26" s="353" t="s">
        <v>154</v>
      </c>
      <c r="D26" s="353"/>
      <c r="E26" s="353"/>
      <c r="F26" s="353"/>
      <c r="G26" s="353"/>
      <c r="H26" s="353"/>
      <c r="I26" s="353"/>
    </row>
    <row r="27" spans="3:15" x14ac:dyDescent="0.35">
      <c r="C27" s="353"/>
      <c r="D27" s="353"/>
      <c r="E27" s="353"/>
      <c r="F27" s="353"/>
      <c r="G27" s="353"/>
      <c r="H27" s="353"/>
      <c r="I27" s="353"/>
    </row>
    <row r="28" spans="3:15" x14ac:dyDescent="0.35">
      <c r="C28" s="183"/>
      <c r="D28" s="184"/>
      <c r="E28" s="184"/>
      <c r="F28" s="184"/>
      <c r="G28" s="184"/>
      <c r="H28" s="184"/>
      <c r="I28" s="184"/>
    </row>
    <row r="29" spans="3:15" x14ac:dyDescent="0.35">
      <c r="C29" s="183"/>
      <c r="D29" s="184"/>
      <c r="E29" s="183"/>
      <c r="F29" s="183"/>
      <c r="G29" s="365" t="str">
        <f>Rincian!I20</f>
        <v>Puruk Cahu, 18 Agustus 2026</v>
      </c>
      <c r="H29" s="365"/>
      <c r="I29" s="365"/>
    </row>
    <row r="30" spans="3:15" x14ac:dyDescent="0.35">
      <c r="C30" s="183"/>
      <c r="D30" s="183"/>
      <c r="E30" s="183"/>
      <c r="F30" s="183"/>
      <c r="G30" s="183"/>
      <c r="H30" s="184"/>
      <c r="I30" s="184"/>
    </row>
    <row r="31" spans="3:15" x14ac:dyDescent="0.35">
      <c r="C31" s="365" t="s">
        <v>155</v>
      </c>
      <c r="D31" s="365"/>
      <c r="E31" s="365"/>
      <c r="F31" s="365"/>
      <c r="G31" s="184"/>
      <c r="H31" s="184"/>
      <c r="I31" s="184"/>
    </row>
    <row r="32" spans="3:15" x14ac:dyDescent="0.35">
      <c r="C32" s="365" t="s">
        <v>143</v>
      </c>
      <c r="D32" s="365"/>
      <c r="E32" s="365"/>
      <c r="F32" s="365"/>
      <c r="G32" s="365" t="s">
        <v>156</v>
      </c>
      <c r="H32" s="365"/>
      <c r="I32" s="365"/>
    </row>
    <row r="33" spans="3:9" x14ac:dyDescent="0.35">
      <c r="C33" s="365" t="s">
        <v>11</v>
      </c>
      <c r="D33" s="365"/>
      <c r="E33" s="365"/>
      <c r="F33" s="365"/>
      <c r="G33" s="365" t="s">
        <v>157</v>
      </c>
      <c r="H33" s="365"/>
      <c r="I33" s="365"/>
    </row>
    <row r="34" spans="3:9" x14ac:dyDescent="0.35">
      <c r="C34" s="365" t="s">
        <v>33</v>
      </c>
      <c r="D34" s="365"/>
      <c r="E34" s="365"/>
      <c r="F34" s="365"/>
      <c r="G34" s="183"/>
      <c r="H34" s="184"/>
      <c r="I34" s="184"/>
    </row>
    <row r="35" spans="3:9" ht="20.25" customHeight="1" x14ac:dyDescent="0.35">
      <c r="C35" s="183"/>
      <c r="D35" s="184"/>
      <c r="E35" s="183"/>
      <c r="F35" s="183"/>
      <c r="G35" s="183"/>
      <c r="H35" s="184"/>
      <c r="I35" s="184"/>
    </row>
    <row r="36" spans="3:9" x14ac:dyDescent="0.35">
      <c r="C36" s="183"/>
      <c r="D36" s="184"/>
      <c r="E36" s="183"/>
      <c r="F36" s="183"/>
      <c r="G36" s="183"/>
      <c r="H36" s="184"/>
      <c r="I36" s="184"/>
    </row>
    <row r="37" spans="3:9" x14ac:dyDescent="0.35">
      <c r="C37" s="367" t="str">
        <f>Kuitansi!C27</f>
        <v>Khoirul Anwar, S.Tr.Stat.</v>
      </c>
      <c r="D37" s="367"/>
      <c r="E37" s="367"/>
      <c r="F37" s="367"/>
      <c r="G37" s="367" t="str">
        <f>F7</f>
        <v>Luthfiani Nur Aisyah, S.Tr.Stat.</v>
      </c>
      <c r="H37" s="367"/>
      <c r="I37" s="367"/>
    </row>
    <row r="38" spans="3:9" x14ac:dyDescent="0.35">
      <c r="C38" s="365" t="str">
        <f>Kuitansi!C28</f>
        <v>NIP. 19990307 202104 1 001</v>
      </c>
      <c r="D38" s="365"/>
      <c r="E38" s="365"/>
      <c r="F38" s="365"/>
      <c r="G38" s="366" t="str">
        <f>Rincian!J33</f>
        <v>NIP. 20030629 202603 2 001</v>
      </c>
      <c r="H38" s="365"/>
      <c r="I38" s="365"/>
    </row>
    <row r="39" spans="3:9" ht="4.5" customHeight="1" x14ac:dyDescent="0.35">
      <c r="C39" s="124"/>
    </row>
    <row r="40" spans="3:9" ht="15.5" x14ac:dyDescent="0.35">
      <c r="C40" s="124"/>
    </row>
    <row r="43" spans="3:9" x14ac:dyDescent="0.35">
      <c r="I43">
        <v>0</v>
      </c>
    </row>
  </sheetData>
  <mergeCells count="23">
    <mergeCell ref="D20:G20"/>
    <mergeCell ref="D18:G18"/>
    <mergeCell ref="C38:F38"/>
    <mergeCell ref="G38:I38"/>
    <mergeCell ref="D22:I25"/>
    <mergeCell ref="C26:I27"/>
    <mergeCell ref="G29:I29"/>
    <mergeCell ref="C31:F31"/>
    <mergeCell ref="C32:F32"/>
    <mergeCell ref="G32:I32"/>
    <mergeCell ref="C33:F33"/>
    <mergeCell ref="G33:I33"/>
    <mergeCell ref="C34:F34"/>
    <mergeCell ref="C37:F37"/>
    <mergeCell ref="G37:I37"/>
    <mergeCell ref="L18:O19"/>
    <mergeCell ref="C2:I2"/>
    <mergeCell ref="C10:I13"/>
    <mergeCell ref="D14:I16"/>
    <mergeCell ref="D17:G17"/>
    <mergeCell ref="H17:I17"/>
    <mergeCell ref="E3:G3"/>
    <mergeCell ref="D19:G19"/>
  </mergeCells>
  <printOptions horizontalCentered="1"/>
  <pageMargins left="0.7" right="0.7" top="0.75" bottom="0.75" header="0.3" footer="0.3"/>
  <pageSetup paperSize="9" scale="9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CB174-04FD-44F3-85C2-F809ACD8CCF1}">
  <dimension ref="B2:J45"/>
  <sheetViews>
    <sheetView view="pageBreakPreview" topLeftCell="A7" zoomScaleNormal="100" zoomScaleSheetLayoutView="100" workbookViewId="0">
      <selection activeCell="C25" sqref="C25:I25"/>
    </sheetView>
  </sheetViews>
  <sheetFormatPr defaultColWidth="9.1796875" defaultRowHeight="14.5" x14ac:dyDescent="0.35"/>
  <cols>
    <col min="1" max="1" width="9.1796875" style="1"/>
    <col min="2" max="2" width="3.7265625" style="1" customWidth="1"/>
    <col min="3" max="3" width="3" style="1" customWidth="1"/>
    <col min="4" max="4" width="8" style="1" customWidth="1"/>
    <col min="5" max="5" width="3.81640625" style="1" customWidth="1"/>
    <col min="6" max="6" width="2.81640625" style="1" customWidth="1"/>
    <col min="7" max="7" width="31.7265625" style="1" customWidth="1"/>
    <col min="8" max="8" width="9.1796875" style="1"/>
    <col min="9" max="9" width="17" style="1" customWidth="1"/>
    <col min="10" max="16384" width="9.1796875" style="1"/>
  </cols>
  <sheetData>
    <row r="2" spans="2:9" ht="22.5" x14ac:dyDescent="0.35">
      <c r="B2" s="105"/>
      <c r="C2" s="105"/>
      <c r="D2" s="105"/>
      <c r="E2" s="105" t="s">
        <v>0</v>
      </c>
    </row>
    <row r="3" spans="2:9" ht="22.5" x14ac:dyDescent="0.4">
      <c r="B3" s="105"/>
      <c r="C3" s="105"/>
      <c r="D3" s="105"/>
      <c r="E3" s="140" t="s">
        <v>197</v>
      </c>
    </row>
    <row r="5" spans="2:9" x14ac:dyDescent="0.35">
      <c r="B5" s="37"/>
      <c r="C5" s="37"/>
      <c r="D5" s="37"/>
      <c r="E5" s="37"/>
    </row>
    <row r="6" spans="2:9" x14ac:dyDescent="0.35">
      <c r="B6" s="37" t="s">
        <v>50</v>
      </c>
      <c r="C6" s="37"/>
      <c r="D6" s="37"/>
      <c r="E6" s="37"/>
      <c r="F6" s="37" t="s">
        <v>3</v>
      </c>
      <c r="G6" s="37" t="s">
        <v>51</v>
      </c>
    </row>
    <row r="7" spans="2:9" x14ac:dyDescent="0.35">
      <c r="B7" s="37" t="s">
        <v>52</v>
      </c>
      <c r="C7" s="37"/>
      <c r="D7" s="37"/>
      <c r="E7" s="37"/>
      <c r="F7" s="37" t="s">
        <v>3</v>
      </c>
      <c r="G7" s="37" t="str">
        <f>DATA!D6&amp;" ("&amp;DATA!D8&amp;")"</f>
        <v>Luthfiani Nur Aisyah, S.Tr.Stat. (Pelaksana)</v>
      </c>
      <c r="H7" s="37"/>
    </row>
    <row r="8" spans="2:9" x14ac:dyDescent="0.35">
      <c r="G8" s="37" t="s">
        <v>48</v>
      </c>
    </row>
    <row r="9" spans="2:9" x14ac:dyDescent="0.35">
      <c r="B9" s="37" t="s">
        <v>53</v>
      </c>
      <c r="C9" s="37"/>
      <c r="D9" s="37"/>
      <c r="E9" s="37"/>
      <c r="F9" s="37" t="s">
        <v>3</v>
      </c>
      <c r="G9" s="37" t="s">
        <v>33</v>
      </c>
    </row>
    <row r="10" spans="2:9" x14ac:dyDescent="0.35">
      <c r="B10" s="37"/>
      <c r="C10" s="37"/>
      <c r="D10" s="37"/>
      <c r="E10" s="37"/>
    </row>
    <row r="11" spans="2:9" x14ac:dyDescent="0.35">
      <c r="B11" s="369" t="s">
        <v>54</v>
      </c>
      <c r="C11" s="369"/>
      <c r="D11" s="369"/>
      <c r="E11" s="369"/>
      <c r="F11" s="369"/>
      <c r="G11" s="369"/>
      <c r="H11" s="369"/>
      <c r="I11" s="369"/>
    </row>
    <row r="12" spans="2:9" x14ac:dyDescent="0.35">
      <c r="B12" s="106"/>
      <c r="C12" s="106"/>
      <c r="D12" s="106"/>
      <c r="E12" s="106"/>
    </row>
    <row r="13" spans="2:9" x14ac:dyDescent="0.35">
      <c r="B13" s="106" t="s">
        <v>57</v>
      </c>
      <c r="C13" s="106" t="s">
        <v>56</v>
      </c>
    </row>
    <row r="14" spans="2:9" x14ac:dyDescent="0.35">
      <c r="C14" s="37" t="s">
        <v>36</v>
      </c>
      <c r="D14" s="368" t="str">
        <f>+Kuitansi!F13</f>
        <v>Surat Tugas Nomor: B-1122/62130/KU.340/2026 tanggal 13 Agustus 2026</v>
      </c>
      <c r="E14" s="368"/>
      <c r="F14" s="368"/>
      <c r="G14" s="368"/>
      <c r="H14" s="368"/>
      <c r="I14" s="368"/>
    </row>
    <row r="15" spans="2:9" x14ac:dyDescent="0.35">
      <c r="C15" s="37" t="s">
        <v>37</v>
      </c>
      <c r="D15" s="368" t="str">
        <f>+Kuitansi!F14</f>
        <v>SPD Nomor: 231/62130/KU.340/2026, tanggal 13 Agustus 2026</v>
      </c>
      <c r="E15" s="368"/>
      <c r="F15" s="368"/>
      <c r="G15" s="368"/>
      <c r="H15" s="368"/>
      <c r="I15" s="368"/>
    </row>
    <row r="16" spans="2:9" x14ac:dyDescent="0.35">
      <c r="B16" s="37"/>
      <c r="C16" s="37"/>
      <c r="D16" s="37"/>
      <c r="E16" s="37"/>
    </row>
    <row r="17" spans="2:10" x14ac:dyDescent="0.35">
      <c r="B17" s="106" t="s">
        <v>59</v>
      </c>
      <c r="C17" s="106" t="s">
        <v>58</v>
      </c>
      <c r="D17" s="106"/>
      <c r="E17" s="106"/>
    </row>
    <row r="18" spans="2:10" ht="14.5" customHeight="1" x14ac:dyDescent="0.35">
      <c r="C18" s="371" t="str">
        <f>DATA!D11</f>
        <v>Melakukan Pengawasan Pendataan Sakernas Agustus 2026 di Desa Juking Supan</v>
      </c>
      <c r="D18" s="371"/>
      <c r="E18" s="371"/>
      <c r="F18" s="371"/>
      <c r="G18" s="371"/>
      <c r="H18" s="371"/>
      <c r="I18" s="371"/>
    </row>
    <row r="19" spans="2:10" x14ac:dyDescent="0.35">
      <c r="B19" s="37"/>
      <c r="C19" s="371"/>
      <c r="D19" s="371"/>
      <c r="E19" s="371"/>
      <c r="F19" s="371"/>
      <c r="G19" s="371"/>
      <c r="H19" s="371"/>
      <c r="I19" s="371"/>
    </row>
    <row r="20" spans="2:10" x14ac:dyDescent="0.35">
      <c r="B20" s="106" t="s">
        <v>61</v>
      </c>
      <c r="C20" s="106" t="s">
        <v>60</v>
      </c>
      <c r="D20" s="83"/>
      <c r="E20" s="83"/>
      <c r="F20" s="83"/>
      <c r="G20" s="83"/>
    </row>
    <row r="21" spans="2:10" ht="35.25" customHeight="1" x14ac:dyDescent="0.35">
      <c r="C21" s="368" t="str">
        <f>CONCATENATE("Kegiatan dilaksanakan di ",DATA!D21," selama ",DATA!D22,", pada tanggal ",DATA!D12,"")</f>
        <v>Kegiatan dilaksanakan di Kabupaten Murung Raya selama 1 (satu) hari, pada tanggal 15 Agustus 2026 s.d. 15 Agustus 2026</v>
      </c>
      <c r="D21" s="368"/>
      <c r="E21" s="368"/>
      <c r="F21" s="368"/>
      <c r="G21" s="368"/>
      <c r="H21" s="368"/>
      <c r="I21" s="368"/>
    </row>
    <row r="22" spans="2:10" ht="0.75" customHeight="1" x14ac:dyDescent="0.35">
      <c r="B22" s="37"/>
      <c r="C22" s="368"/>
      <c r="D22" s="368"/>
      <c r="E22" s="368"/>
      <c r="F22" s="368"/>
      <c r="G22" s="368"/>
      <c r="H22" s="368"/>
      <c r="I22" s="368"/>
    </row>
    <row r="23" spans="2:10" ht="3.75" customHeight="1" x14ac:dyDescent="0.35">
      <c r="B23" s="37"/>
      <c r="C23" s="37"/>
      <c r="D23" s="37"/>
      <c r="E23" s="37"/>
    </row>
    <row r="24" spans="2:10" x14ac:dyDescent="0.35">
      <c r="B24" s="106" t="s">
        <v>65</v>
      </c>
      <c r="C24" s="106" t="s">
        <v>64</v>
      </c>
      <c r="D24" s="106"/>
      <c r="E24" s="106"/>
    </row>
    <row r="25" spans="2:10" ht="54" customHeight="1" x14ac:dyDescent="0.35">
      <c r="C25" s="370" t="str">
        <f>DATA!D40</f>
        <v>TULISKAN LAPORAN DI SHEET LAPORAN v2</v>
      </c>
      <c r="D25" s="370"/>
      <c r="E25" s="370"/>
      <c r="F25" s="370"/>
      <c r="G25" s="370"/>
      <c r="H25" s="370"/>
      <c r="I25" s="370"/>
      <c r="J25" s="37"/>
    </row>
    <row r="26" spans="2:10" ht="6" customHeight="1" x14ac:dyDescent="0.35">
      <c r="B26" s="37"/>
      <c r="C26" s="37"/>
      <c r="D26" s="37"/>
      <c r="E26" s="37"/>
      <c r="F26" s="37"/>
      <c r="G26" s="37"/>
      <c r="H26" s="37"/>
      <c r="I26" s="37"/>
    </row>
    <row r="27" spans="2:10" hidden="1" x14ac:dyDescent="0.35">
      <c r="B27" s="106"/>
      <c r="C27" s="106"/>
      <c r="D27" s="106"/>
      <c r="E27" s="106"/>
    </row>
    <row r="28" spans="2:10" x14ac:dyDescent="0.35">
      <c r="B28" s="106" t="s">
        <v>63</v>
      </c>
      <c r="C28" s="372" t="s">
        <v>62</v>
      </c>
      <c r="D28" s="372"/>
      <c r="E28" s="372"/>
      <c r="F28" s="372"/>
      <c r="G28" s="372"/>
      <c r="H28" s="372"/>
      <c r="I28" s="372"/>
    </row>
    <row r="29" spans="2:10" x14ac:dyDescent="0.35">
      <c r="B29" s="106"/>
      <c r="C29" s="372"/>
      <c r="D29" s="372"/>
      <c r="E29" s="372"/>
      <c r="F29" s="372"/>
      <c r="G29" s="372"/>
      <c r="H29" s="372"/>
      <c r="I29" s="372"/>
    </row>
    <row r="30" spans="2:10" x14ac:dyDescent="0.35">
      <c r="B30" s="106"/>
      <c r="C30" s="373" t="s">
        <v>95</v>
      </c>
      <c r="D30" s="373"/>
      <c r="E30" s="373"/>
      <c r="F30" s="104"/>
      <c r="G30" s="104"/>
      <c r="H30" s="104"/>
      <c r="I30" s="104"/>
    </row>
    <row r="31" spans="2:10" x14ac:dyDescent="0.35">
      <c r="C31" s="368">
        <f>DATA!D41</f>
        <v>0</v>
      </c>
      <c r="D31" s="368"/>
      <c r="E31" s="368"/>
      <c r="F31" s="368"/>
      <c r="G31" s="368"/>
      <c r="H31" s="368"/>
      <c r="I31" s="368"/>
    </row>
    <row r="32" spans="2:10" x14ac:dyDescent="0.35">
      <c r="B32" s="37"/>
      <c r="C32" s="368"/>
      <c r="D32" s="368"/>
      <c r="E32" s="368"/>
      <c r="F32" s="368"/>
      <c r="G32" s="368"/>
      <c r="H32" s="368"/>
      <c r="I32" s="368"/>
    </row>
    <row r="33" spans="2:9" ht="57" customHeight="1" x14ac:dyDescent="0.35">
      <c r="B33" s="37"/>
      <c r="C33" s="368"/>
      <c r="D33" s="368"/>
      <c r="E33" s="368"/>
      <c r="F33" s="368"/>
      <c r="G33" s="368"/>
      <c r="H33" s="368"/>
      <c r="I33" s="368"/>
    </row>
    <row r="34" spans="2:9" x14ac:dyDescent="0.35">
      <c r="B34" s="37"/>
      <c r="C34" s="373" t="s">
        <v>96</v>
      </c>
      <c r="D34" s="373"/>
      <c r="E34" s="37"/>
    </row>
    <row r="35" spans="2:9" x14ac:dyDescent="0.35">
      <c r="B35" s="37"/>
      <c r="C35" s="371">
        <f>DATA!D42</f>
        <v>0</v>
      </c>
      <c r="D35" s="371"/>
      <c r="E35" s="371"/>
      <c r="F35" s="371"/>
      <c r="G35" s="371"/>
      <c r="H35" s="371"/>
      <c r="I35" s="371"/>
    </row>
    <row r="36" spans="2:9" ht="46.5" customHeight="1" x14ac:dyDescent="0.35">
      <c r="B36" s="37"/>
      <c r="C36" s="371"/>
      <c r="D36" s="371"/>
      <c r="E36" s="371"/>
      <c r="F36" s="371"/>
      <c r="G36" s="371"/>
      <c r="H36" s="371"/>
      <c r="I36" s="371"/>
    </row>
    <row r="37" spans="2:9" x14ac:dyDescent="0.35">
      <c r="B37" s="368" t="s">
        <v>55</v>
      </c>
      <c r="C37" s="368"/>
      <c r="D37" s="368"/>
      <c r="E37" s="368"/>
      <c r="F37" s="368"/>
      <c r="G37" s="368"/>
      <c r="H37" s="368"/>
      <c r="I37" s="368"/>
    </row>
    <row r="38" spans="2:9" x14ac:dyDescent="0.35">
      <c r="B38" s="368"/>
      <c r="C38" s="368"/>
      <c r="D38" s="368"/>
      <c r="E38" s="368"/>
      <c r="F38" s="368"/>
      <c r="G38" s="368"/>
      <c r="H38" s="368"/>
      <c r="I38" s="368"/>
    </row>
    <row r="39" spans="2:9" x14ac:dyDescent="0.35">
      <c r="B39" s="37"/>
      <c r="C39" s="37"/>
      <c r="D39" s="37"/>
      <c r="E39" s="37"/>
    </row>
    <row r="40" spans="2:9" x14ac:dyDescent="0.35">
      <c r="B40" s="37" t="str">
        <f>Riil!G29</f>
        <v>Puruk Cahu, 18 Agustus 2026</v>
      </c>
      <c r="C40" s="37"/>
      <c r="D40" s="37"/>
      <c r="E40" s="37"/>
      <c r="H40" s="37" t="s">
        <v>166</v>
      </c>
      <c r="I40" s="37"/>
    </row>
    <row r="41" spans="2:9" x14ac:dyDescent="0.35">
      <c r="B41" s="37" t="s">
        <v>196</v>
      </c>
      <c r="C41" s="38"/>
      <c r="D41" s="38"/>
      <c r="E41" s="38"/>
      <c r="F41" s="38"/>
      <c r="G41" s="38"/>
      <c r="H41" s="37" t="str">
        <f>DATA!D4</f>
        <v>Kepala BPS Kabupaten Murung Raya</v>
      </c>
      <c r="I41" s="37"/>
    </row>
    <row r="42" spans="2:9" ht="30.75" customHeight="1" x14ac:dyDescent="0.35">
      <c r="C42" s="37"/>
      <c r="D42" s="37"/>
      <c r="E42" s="37"/>
      <c r="H42" s="37"/>
      <c r="I42" s="37"/>
    </row>
    <row r="43" spans="2:9" x14ac:dyDescent="0.35">
      <c r="B43" s="37"/>
      <c r="C43" s="37"/>
      <c r="D43" s="37"/>
      <c r="E43" s="37"/>
      <c r="H43" s="37"/>
      <c r="I43" s="37"/>
    </row>
    <row r="44" spans="2:9" x14ac:dyDescent="0.35">
      <c r="B44" s="125" t="str">
        <f>+Riil!G37</f>
        <v>Luthfiani Nur Aisyah, S.Tr.Stat.</v>
      </c>
      <c r="C44" s="37"/>
      <c r="D44" s="37"/>
      <c r="E44" s="37"/>
      <c r="H44" s="37" t="str">
        <f>DATA!D3</f>
        <v>Restu Kristianto, S.Pi.</v>
      </c>
      <c r="I44" s="37"/>
    </row>
    <row r="45" spans="2:9" x14ac:dyDescent="0.35">
      <c r="B45" s="37" t="str">
        <f>+Riil!G38</f>
        <v>NIP. 20030629 202603 2 001</v>
      </c>
      <c r="C45" s="37"/>
      <c r="D45" s="37"/>
      <c r="E45" s="37"/>
      <c r="H45" s="37" t="str">
        <f>"NIP. "&amp;DATA!D5</f>
        <v>NIP. 19780715 200212 1 006</v>
      </c>
      <c r="I45" s="37"/>
    </row>
  </sheetData>
  <mergeCells count="12">
    <mergeCell ref="B37:I38"/>
    <mergeCell ref="B11:I11"/>
    <mergeCell ref="D14:I14"/>
    <mergeCell ref="D15:I15"/>
    <mergeCell ref="C21:I22"/>
    <mergeCell ref="C25:I25"/>
    <mergeCell ref="C18:I19"/>
    <mergeCell ref="C28:I29"/>
    <mergeCell ref="C30:E30"/>
    <mergeCell ref="C31:I33"/>
    <mergeCell ref="C34:D34"/>
    <mergeCell ref="C35:I36"/>
  </mergeCells>
  <printOptions horizontalCentered="1"/>
  <pageMargins left="0.7" right="0.7" top="0.75" bottom="0.5" header="0.3" footer="0.3"/>
  <pageSetup paperSize="9" scale="89"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98898-30E4-4E79-9277-4E8775D6F47E}">
  <sheetPr>
    <pageSetUpPr fitToPage="1"/>
  </sheetPr>
  <dimension ref="B1:I42"/>
  <sheetViews>
    <sheetView view="pageBreakPreview" topLeftCell="A11" zoomScaleNormal="100" zoomScaleSheetLayoutView="100" workbookViewId="0">
      <selection activeCell="E18" sqref="E18:I19"/>
    </sheetView>
  </sheetViews>
  <sheetFormatPr defaultColWidth="9.1796875" defaultRowHeight="14.5" x14ac:dyDescent="0.35"/>
  <cols>
    <col min="1" max="1" width="9.1796875" style="1"/>
    <col min="2" max="2" width="4.7265625" style="1" customWidth="1"/>
    <col min="3" max="3" width="28.54296875" style="1" bestFit="1" customWidth="1"/>
    <col min="4" max="4" width="1.7265625" style="1" customWidth="1"/>
    <col min="5" max="5" width="17.81640625" style="1" customWidth="1"/>
    <col min="6" max="6" width="2.81640625" style="1" customWidth="1"/>
    <col min="7" max="7" width="29.453125" style="1" customWidth="1"/>
    <col min="8" max="8" width="9.7265625" style="1" customWidth="1"/>
    <col min="9" max="9" width="24" style="1" customWidth="1"/>
    <col min="10" max="10" width="3.7265625" style="1" customWidth="1"/>
    <col min="11" max="16384" width="9.1796875" style="1"/>
  </cols>
  <sheetData>
    <row r="1" spans="2:9" x14ac:dyDescent="0.35">
      <c r="B1" s="4"/>
      <c r="C1" s="4"/>
      <c r="D1" s="4"/>
      <c r="E1" s="4"/>
      <c r="F1" s="4"/>
      <c r="G1" s="4"/>
      <c r="H1" s="4"/>
      <c r="I1" s="4"/>
    </row>
    <row r="2" spans="2:9" ht="22.5" x14ac:dyDescent="0.3">
      <c r="B2" s="105"/>
      <c r="C2" s="105"/>
      <c r="D2" s="105"/>
      <c r="E2" s="143" t="s">
        <v>212</v>
      </c>
      <c r="F2" s="4"/>
      <c r="G2" s="4"/>
      <c r="H2" s="4"/>
      <c r="I2" s="4"/>
    </row>
    <row r="3" spans="2:9" ht="22.5" x14ac:dyDescent="0.4">
      <c r="B3" s="105"/>
      <c r="C3" s="105"/>
      <c r="D3" s="105"/>
      <c r="E3" s="140"/>
      <c r="F3" s="4"/>
      <c r="G3" s="4"/>
      <c r="H3" s="4"/>
      <c r="I3" s="4"/>
    </row>
    <row r="4" spans="2:9" x14ac:dyDescent="0.35">
      <c r="B4" s="4" t="s">
        <v>50</v>
      </c>
      <c r="C4" s="4"/>
      <c r="D4" s="4" t="s">
        <v>3</v>
      </c>
      <c r="E4" s="4" t="s">
        <v>51</v>
      </c>
      <c r="F4" s="4"/>
      <c r="G4" s="4"/>
      <c r="H4" s="4"/>
      <c r="I4" s="4"/>
    </row>
    <row r="5" spans="2:9" x14ac:dyDescent="0.35">
      <c r="B5" s="4" t="s">
        <v>213</v>
      </c>
      <c r="C5" s="4"/>
      <c r="D5" s="4" t="s">
        <v>3</v>
      </c>
      <c r="E5" s="257" t="str">
        <f>_xlfn.CONCAT("Laporan Perjalanan Dinas untuk ",DATA!D10)</f>
        <v>Laporan Perjalanan Dinas untuk Pengawasan Pendataan Sakernas Agustus 2026</v>
      </c>
      <c r="F5" s="257"/>
      <c r="G5" s="257"/>
      <c r="H5" s="257"/>
      <c r="I5" s="257"/>
    </row>
    <row r="6" spans="2:9" x14ac:dyDescent="0.35">
      <c r="B6" s="4"/>
      <c r="C6" s="4"/>
      <c r="D6" s="4"/>
      <c r="E6" s="257"/>
      <c r="F6" s="257"/>
      <c r="G6" s="257"/>
      <c r="H6" s="257"/>
      <c r="I6" s="257"/>
    </row>
    <row r="7" spans="2:9" x14ac:dyDescent="0.35">
      <c r="B7" s="147"/>
      <c r="C7" s="147"/>
      <c r="D7" s="147"/>
      <c r="E7" s="147"/>
      <c r="F7" s="4"/>
      <c r="G7" s="4"/>
      <c r="H7" s="4"/>
      <c r="I7" s="4"/>
    </row>
    <row r="8" spans="2:9" x14ac:dyDescent="0.35">
      <c r="B8" s="147" t="s">
        <v>57</v>
      </c>
      <c r="C8" s="147" t="s">
        <v>214</v>
      </c>
      <c r="D8" s="4"/>
      <c r="E8" s="4"/>
      <c r="F8" s="4"/>
      <c r="G8" s="4"/>
      <c r="H8" s="4"/>
      <c r="I8" s="4"/>
    </row>
    <row r="9" spans="2:9" ht="15" customHeight="1" x14ac:dyDescent="0.35">
      <c r="B9" s="4"/>
      <c r="C9" s="4"/>
      <c r="D9" s="4"/>
      <c r="E9" s="4" t="s">
        <v>184</v>
      </c>
      <c r="F9" s="4" t="s">
        <v>3</v>
      </c>
      <c r="G9" s="4" t="str">
        <f>DATA!D6</f>
        <v>Luthfiani Nur Aisyah, S.Tr.Stat.</v>
      </c>
      <c r="H9" s="4"/>
      <c r="I9" s="4"/>
    </row>
    <row r="10" spans="2:9" ht="15" customHeight="1" x14ac:dyDescent="0.35">
      <c r="B10" s="4"/>
      <c r="C10" s="4"/>
      <c r="D10" s="4"/>
      <c r="E10" s="4" t="s">
        <v>185</v>
      </c>
      <c r="F10" s="4" t="s">
        <v>3</v>
      </c>
      <c r="G10" s="148" t="str">
        <f>DATA!D7</f>
        <v>20030629 202603 2 001</v>
      </c>
      <c r="H10" s="4"/>
      <c r="I10" s="4"/>
    </row>
    <row r="11" spans="2:9" ht="15" customHeight="1" x14ac:dyDescent="0.35">
      <c r="B11" s="4"/>
      <c r="C11" s="4"/>
      <c r="D11" s="4"/>
      <c r="E11" s="4" t="s">
        <v>165</v>
      </c>
      <c r="F11" s="4" t="s">
        <v>3</v>
      </c>
      <c r="G11" s="4" t="str">
        <f>DATA!D8</f>
        <v>Pelaksana</v>
      </c>
      <c r="H11" s="4"/>
      <c r="I11" s="4"/>
    </row>
    <row r="12" spans="2:9" ht="8.15" customHeight="1" x14ac:dyDescent="0.35">
      <c r="B12" s="4"/>
      <c r="C12" s="4"/>
      <c r="D12" s="4"/>
      <c r="E12" s="4"/>
      <c r="F12" s="4"/>
      <c r="G12" s="4"/>
      <c r="H12" s="4"/>
      <c r="I12" s="4"/>
    </row>
    <row r="13" spans="2:9" x14ac:dyDescent="0.35">
      <c r="B13" s="147" t="s">
        <v>59</v>
      </c>
      <c r="C13" s="147" t="s">
        <v>215</v>
      </c>
      <c r="D13" s="147"/>
      <c r="E13" s="147"/>
      <c r="F13" s="4"/>
      <c r="G13" s="4"/>
      <c r="H13" s="4"/>
      <c r="I13" s="4"/>
    </row>
    <row r="14" spans="2:9" ht="15" customHeight="1" x14ac:dyDescent="0.35">
      <c r="B14" s="4"/>
      <c r="C14" s="4"/>
      <c r="D14" s="4"/>
      <c r="E14" s="94" t="s">
        <v>207</v>
      </c>
      <c r="F14" s="94" t="s">
        <v>3</v>
      </c>
      <c r="G14" s="4" t="str">
        <f>_xlfn.CONCAT(DATA!D1," tanggal ",DATA!D2)</f>
        <v>B-1122/62130/KU.340/2026 tanggal 13 Agustus 2026</v>
      </c>
      <c r="H14" s="94"/>
      <c r="I14" s="94"/>
    </row>
    <row r="15" spans="2:9" ht="15" customHeight="1" x14ac:dyDescent="0.35">
      <c r="B15" s="4"/>
      <c r="C15" s="4"/>
      <c r="D15" s="4"/>
      <c r="E15" s="94" t="str">
        <f>IF(DATA!D15&lt;&gt;"","Nomor SPD","")</f>
        <v>Nomor SPD</v>
      </c>
      <c r="F15" s="94" t="str">
        <f>IF(DATA!D15&lt;&gt;"",":","")</f>
        <v>:</v>
      </c>
      <c r="G15" s="4" t="str">
        <f>IF(DATA!D15&lt;&gt;"",_xlfn.CONCAT(DATA!D15," tanggal ",DATA!D16),"")</f>
        <v>231/62130/KU.340/2026 tanggal 13 Agustus 2026</v>
      </c>
      <c r="H15" s="94"/>
      <c r="I15" s="94"/>
    </row>
    <row r="16" spans="2:9" ht="15" customHeight="1" x14ac:dyDescent="0.35">
      <c r="B16" s="4"/>
      <c r="C16" s="4"/>
      <c r="D16" s="4"/>
      <c r="E16" s="94" t="str">
        <f>IF(DATA!D37&lt;&gt;"","Surat Undangan","")</f>
        <v/>
      </c>
      <c r="F16" s="94" t="str">
        <f>IF(DATA!D37&lt;&gt;"",":","")</f>
        <v/>
      </c>
      <c r="G16" s="210" t="str">
        <f>IF(DATA!D37&lt;&gt;"",_xlfn.CONCAT(DATA!D37," tanggal ",DATA!D38),"")</f>
        <v/>
      </c>
      <c r="H16" s="94"/>
      <c r="I16" s="94"/>
    </row>
    <row r="17" spans="2:9" ht="8.15" customHeight="1" x14ac:dyDescent="0.35">
      <c r="B17" s="4"/>
      <c r="C17" s="94"/>
      <c r="D17" s="94"/>
      <c r="E17" s="94"/>
      <c r="F17" s="94"/>
      <c r="G17" s="94"/>
      <c r="H17" s="94"/>
      <c r="I17" s="94"/>
    </row>
    <row r="18" spans="2:9" x14ac:dyDescent="0.35">
      <c r="B18" s="147" t="s">
        <v>61</v>
      </c>
      <c r="C18" s="147" t="s">
        <v>216</v>
      </c>
      <c r="D18" s="142" t="s">
        <v>3</v>
      </c>
      <c r="E18" s="257" t="str">
        <f>DATA!D11</f>
        <v>Melakukan Pengawasan Pendataan Sakernas Agustus 2026 di Desa Juking Supan</v>
      </c>
      <c r="F18" s="257"/>
      <c r="G18" s="257"/>
      <c r="H18" s="257"/>
      <c r="I18" s="257"/>
    </row>
    <row r="19" spans="2:9" ht="15" customHeight="1" x14ac:dyDescent="0.35">
      <c r="B19" s="4"/>
      <c r="C19" s="4"/>
      <c r="D19" s="4"/>
      <c r="E19" s="257"/>
      <c r="F19" s="257"/>
      <c r="G19" s="257"/>
      <c r="H19" s="257"/>
      <c r="I19" s="257"/>
    </row>
    <row r="20" spans="2:9" x14ac:dyDescent="0.35">
      <c r="B20" s="147" t="s">
        <v>65</v>
      </c>
      <c r="C20" s="147" t="s">
        <v>217</v>
      </c>
      <c r="D20" s="4" t="s">
        <v>3</v>
      </c>
      <c r="E20" s="374" t="str">
        <f>_xlfn.CONCAT("Desa ",DATA!D20,", ",DATA!D21)</f>
        <v>Desa Desa Juking Supan, Kabupaten Murung Raya</v>
      </c>
      <c r="F20" s="374"/>
      <c r="G20" s="374"/>
      <c r="H20" s="374"/>
      <c r="I20" s="374"/>
    </row>
    <row r="21" spans="2:9" ht="8.15" customHeight="1" x14ac:dyDescent="0.35">
      <c r="B21" s="147"/>
      <c r="C21" s="147"/>
      <c r="D21" s="4"/>
      <c r="E21" s="147"/>
      <c r="F21" s="4"/>
      <c r="G21" s="4"/>
      <c r="H21" s="4"/>
      <c r="I21" s="4"/>
    </row>
    <row r="22" spans="2:9" ht="15" customHeight="1" x14ac:dyDescent="0.35">
      <c r="B22" s="147" t="s">
        <v>63</v>
      </c>
      <c r="C22" s="147" t="s">
        <v>5</v>
      </c>
      <c r="D22" s="4" t="s">
        <v>3</v>
      </c>
      <c r="E22" s="4" t="str">
        <f>DATA!D12</f>
        <v>15 Agustus 2026 s.d. 15 Agustus 2026</v>
      </c>
      <c r="F22" s="147"/>
      <c r="G22" s="147"/>
      <c r="H22" s="147"/>
      <c r="I22" s="147"/>
    </row>
    <row r="23" spans="2:9" ht="8.15" customHeight="1" x14ac:dyDescent="0.35">
      <c r="B23" s="147"/>
      <c r="C23" s="147"/>
      <c r="D23" s="4"/>
      <c r="E23" s="147"/>
      <c r="F23" s="147"/>
      <c r="G23" s="147"/>
      <c r="H23" s="147"/>
      <c r="I23" s="147"/>
    </row>
    <row r="24" spans="2:9" ht="15" customHeight="1" x14ac:dyDescent="0.35">
      <c r="B24" s="147" t="s">
        <v>218</v>
      </c>
      <c r="C24" s="147" t="s">
        <v>220</v>
      </c>
      <c r="D24" s="4" t="s">
        <v>3</v>
      </c>
      <c r="E24" s="257" t="s">
        <v>367</v>
      </c>
      <c r="F24" s="257"/>
      <c r="G24" s="257"/>
      <c r="H24" s="257"/>
      <c r="I24" s="257"/>
    </row>
    <row r="25" spans="2:9" ht="35.15" customHeight="1" x14ac:dyDescent="0.35">
      <c r="B25" s="147"/>
      <c r="C25" s="147"/>
      <c r="D25" s="4"/>
      <c r="E25" s="257"/>
      <c r="F25" s="257"/>
      <c r="G25" s="257"/>
      <c r="H25" s="257"/>
      <c r="I25" s="257"/>
    </row>
    <row r="26" spans="2:9" ht="35.15" customHeight="1" x14ac:dyDescent="0.35">
      <c r="B26" s="147"/>
      <c r="C26" s="147"/>
      <c r="D26" s="4"/>
      <c r="E26" s="257"/>
      <c r="F26" s="257"/>
      <c r="G26" s="257"/>
      <c r="H26" s="257"/>
      <c r="I26" s="257"/>
    </row>
    <row r="27" spans="2:9" ht="35.15" customHeight="1" x14ac:dyDescent="0.35">
      <c r="B27" s="147"/>
      <c r="C27" s="147"/>
      <c r="D27" s="4"/>
      <c r="E27" s="257"/>
      <c r="F27" s="257"/>
      <c r="G27" s="257"/>
      <c r="H27" s="257"/>
      <c r="I27" s="257"/>
    </row>
    <row r="28" spans="2:9" ht="114.75" customHeight="1" x14ac:dyDescent="0.35">
      <c r="B28" s="147"/>
      <c r="C28" s="147"/>
      <c r="D28" s="4"/>
      <c r="E28" s="257"/>
      <c r="F28" s="257"/>
      <c r="G28" s="257"/>
      <c r="H28" s="257"/>
      <c r="I28" s="257"/>
    </row>
    <row r="29" spans="2:9" ht="15" customHeight="1" x14ac:dyDescent="0.35">
      <c r="B29" s="147" t="s">
        <v>219</v>
      </c>
      <c r="C29" s="147" t="s">
        <v>221</v>
      </c>
      <c r="D29" s="4" t="s">
        <v>3</v>
      </c>
      <c r="E29" s="4" t="s">
        <v>224</v>
      </c>
      <c r="F29" s="147"/>
      <c r="G29" s="147"/>
      <c r="H29" s="147"/>
      <c r="I29" s="147"/>
    </row>
    <row r="30" spans="2:9" ht="33" customHeight="1" x14ac:dyDescent="0.35">
      <c r="B30" s="147"/>
      <c r="C30" s="147"/>
      <c r="D30" s="4"/>
      <c r="E30" s="257" t="s">
        <v>368</v>
      </c>
      <c r="F30" s="257"/>
      <c r="G30" s="257"/>
      <c r="H30" s="257"/>
      <c r="I30" s="257"/>
    </row>
    <row r="31" spans="2:9" ht="36.75" customHeight="1" x14ac:dyDescent="0.35">
      <c r="B31" s="147"/>
      <c r="C31" s="147"/>
      <c r="D31" s="4"/>
      <c r="E31" s="257" t="s">
        <v>369</v>
      </c>
      <c r="F31" s="257"/>
      <c r="G31" s="257"/>
      <c r="H31" s="257"/>
      <c r="I31" s="257"/>
    </row>
    <row r="32" spans="2:9" s="37" customFormat="1" ht="44.25" customHeight="1" x14ac:dyDescent="0.35">
      <c r="B32" s="4"/>
      <c r="C32" s="4"/>
      <c r="D32" s="4"/>
      <c r="E32" s="257" t="s">
        <v>370</v>
      </c>
      <c r="F32" s="257"/>
      <c r="G32" s="257"/>
      <c r="H32" s="257"/>
      <c r="I32" s="257"/>
    </row>
    <row r="33" spans="2:9" s="37" customFormat="1" ht="30" customHeight="1" x14ac:dyDescent="0.35">
      <c r="B33" s="4"/>
      <c r="C33" s="4"/>
      <c r="D33" s="4"/>
      <c r="E33" s="142"/>
      <c r="F33" s="142"/>
      <c r="G33" s="142"/>
      <c r="H33" s="142"/>
      <c r="I33" s="142"/>
    </row>
    <row r="34" spans="2:9" x14ac:dyDescent="0.35">
      <c r="B34" s="354" t="s">
        <v>222</v>
      </c>
      <c r="C34" s="354"/>
      <c r="D34" s="354"/>
      <c r="E34" s="354"/>
      <c r="F34" s="354"/>
      <c r="G34" s="354"/>
      <c r="H34" s="354"/>
      <c r="I34" s="354"/>
    </row>
    <row r="35" spans="2:9" x14ac:dyDescent="0.35">
      <c r="B35" s="354"/>
      <c r="C35" s="354"/>
      <c r="D35" s="354"/>
      <c r="E35" s="354"/>
      <c r="F35" s="354"/>
      <c r="G35" s="354"/>
      <c r="H35" s="354"/>
      <c r="I35" s="354"/>
    </row>
    <row r="36" spans="2:9" x14ac:dyDescent="0.35">
      <c r="B36" s="4"/>
      <c r="C36" s="4"/>
      <c r="D36" s="4"/>
      <c r="E36" s="4"/>
      <c r="F36" s="4"/>
      <c r="G36" s="4"/>
      <c r="H36" s="4"/>
      <c r="I36" s="4"/>
    </row>
    <row r="37" spans="2:9" x14ac:dyDescent="0.35">
      <c r="B37" s="260" t="s">
        <v>188</v>
      </c>
      <c r="C37" s="260"/>
      <c r="D37" s="260"/>
      <c r="E37" s="4"/>
      <c r="F37" s="4"/>
      <c r="G37" s="4"/>
      <c r="H37" s="260" t="str">
        <f>Riil!G29</f>
        <v>Puruk Cahu, 18 Agustus 2026</v>
      </c>
      <c r="I37" s="260"/>
    </row>
    <row r="38" spans="2:9" x14ac:dyDescent="0.35">
      <c r="B38" s="260" t="str">
        <f>DATA!D4</f>
        <v>Kepala BPS Kabupaten Murung Raya</v>
      </c>
      <c r="C38" s="260"/>
      <c r="D38" s="260"/>
      <c r="E38" s="85"/>
      <c r="F38" s="85"/>
      <c r="G38" s="85"/>
      <c r="H38" s="260" t="s">
        <v>228</v>
      </c>
      <c r="I38" s="260"/>
    </row>
    <row r="39" spans="2:9" ht="30.75" customHeight="1" x14ac:dyDescent="0.35">
      <c r="B39" s="4"/>
      <c r="C39" s="4"/>
      <c r="D39" s="4"/>
      <c r="E39" s="4"/>
      <c r="F39" s="4"/>
      <c r="G39" s="4"/>
      <c r="H39" s="4"/>
      <c r="I39" s="4"/>
    </row>
    <row r="40" spans="2:9" x14ac:dyDescent="0.35">
      <c r="B40" s="4"/>
      <c r="C40" s="4"/>
      <c r="D40" s="4"/>
      <c r="E40" s="4"/>
      <c r="F40" s="4"/>
      <c r="G40" s="4"/>
      <c r="H40" s="4"/>
      <c r="I40" s="4"/>
    </row>
    <row r="41" spans="2:9" x14ac:dyDescent="0.35">
      <c r="B41" s="333" t="str">
        <f>DATA!D3</f>
        <v>Restu Kristianto, S.Pi.</v>
      </c>
      <c r="C41" s="333"/>
      <c r="D41" s="333"/>
      <c r="E41" s="4"/>
      <c r="F41" s="4"/>
      <c r="G41" s="4"/>
      <c r="H41" s="260" t="str">
        <f>DATA!D6</f>
        <v>Luthfiani Nur Aisyah, S.Tr.Stat.</v>
      </c>
      <c r="I41" s="260"/>
    </row>
    <row r="42" spans="2:9" x14ac:dyDescent="0.35">
      <c r="B42" s="260" t="str">
        <f>"NIP. "&amp;DATA!D5</f>
        <v>NIP. 19780715 200212 1 006</v>
      </c>
      <c r="C42" s="260"/>
      <c r="D42" s="260"/>
      <c r="E42" s="4"/>
      <c r="F42" s="4"/>
      <c r="G42" s="4"/>
      <c r="H42" s="260" t="str">
        <f>"NIP. "&amp;DATA!D7</f>
        <v>NIP. 20030629 202603 2 001</v>
      </c>
      <c r="I42" s="260"/>
    </row>
  </sheetData>
  <mergeCells count="16">
    <mergeCell ref="E5:I6"/>
    <mergeCell ref="B34:I35"/>
    <mergeCell ref="E30:I30"/>
    <mergeCell ref="E31:I31"/>
    <mergeCell ref="E32:I32"/>
    <mergeCell ref="E18:I19"/>
    <mergeCell ref="E24:I28"/>
    <mergeCell ref="E20:I20"/>
    <mergeCell ref="B37:D37"/>
    <mergeCell ref="B38:D38"/>
    <mergeCell ref="B41:D41"/>
    <mergeCell ref="B42:D42"/>
    <mergeCell ref="H37:I37"/>
    <mergeCell ref="H38:I38"/>
    <mergeCell ref="H41:I41"/>
    <mergeCell ref="H42:I42"/>
  </mergeCells>
  <pageMargins left="0.25" right="0.1" top="0.75" bottom="0.75" header="0.3" footer="0.3"/>
  <pageSetup paperSize="9" scale="82"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017CC-658C-4A78-A897-7B0A462689BC}">
  <sheetPr>
    <pageSetUpPr fitToPage="1"/>
  </sheetPr>
  <dimension ref="B2:S37"/>
  <sheetViews>
    <sheetView view="pageBreakPreview" topLeftCell="A22" zoomScaleNormal="100" zoomScaleSheetLayoutView="100" workbookViewId="0">
      <selection activeCell="B12" sqref="B12:K12"/>
    </sheetView>
  </sheetViews>
  <sheetFormatPr defaultRowHeight="14.5" x14ac:dyDescent="0.35"/>
  <cols>
    <col min="1" max="1" width="7.1796875" customWidth="1"/>
    <col min="2" max="2" width="5" customWidth="1"/>
    <col min="3" max="3" width="17.81640625" bestFit="1" customWidth="1"/>
    <col min="4" max="4" width="2" customWidth="1"/>
    <col min="5" max="5" width="9.1796875" customWidth="1"/>
    <col min="11" max="11" width="9.90625" customWidth="1"/>
  </cols>
  <sheetData>
    <row r="2" spans="2:19" ht="15.5" x14ac:dyDescent="0.35">
      <c r="B2" s="131"/>
      <c r="C2" s="376"/>
      <c r="D2" s="376"/>
      <c r="E2" s="376"/>
      <c r="F2" s="376"/>
      <c r="G2" s="131"/>
      <c r="H2" s="131"/>
      <c r="I2" s="376"/>
      <c r="J2" s="376"/>
      <c r="K2" s="131"/>
      <c r="L2" s="131"/>
      <c r="M2" s="130"/>
    </row>
    <row r="3" spans="2:19" ht="15.5" x14ac:dyDescent="0.35">
      <c r="B3" s="204"/>
      <c r="C3" s="315"/>
      <c r="D3" s="315"/>
      <c r="E3" s="315"/>
      <c r="F3" s="315"/>
      <c r="G3" s="204"/>
      <c r="H3" s="204"/>
      <c r="I3" s="315"/>
      <c r="J3" s="315"/>
      <c r="K3" s="204"/>
      <c r="L3" s="131"/>
      <c r="M3" s="130"/>
    </row>
    <row r="4" spans="2:19" ht="15.5" x14ac:dyDescent="0.35">
      <c r="B4" s="377" t="s">
        <v>181</v>
      </c>
      <c r="C4" s="377"/>
      <c r="D4" s="377"/>
      <c r="E4" s="377"/>
      <c r="F4" s="377"/>
      <c r="G4" s="377"/>
      <c r="H4" s="377"/>
      <c r="I4" s="377"/>
      <c r="J4" s="377"/>
      <c r="K4" s="377"/>
      <c r="L4" s="130"/>
      <c r="M4" s="130"/>
    </row>
    <row r="5" spans="2:19" ht="15.5" x14ac:dyDescent="0.35">
      <c r="B5" s="377" t="s">
        <v>182</v>
      </c>
      <c r="C5" s="377"/>
      <c r="D5" s="377"/>
      <c r="E5" s="377"/>
      <c r="F5" s="377"/>
      <c r="G5" s="377"/>
      <c r="H5" s="377"/>
      <c r="I5" s="377"/>
      <c r="J5" s="377"/>
      <c r="K5" s="377"/>
      <c r="L5" s="130"/>
      <c r="M5" s="130"/>
    </row>
    <row r="6" spans="2:19" ht="15.5" x14ac:dyDescent="0.35">
      <c r="B6" s="203"/>
      <c r="C6" s="204"/>
      <c r="D6" s="315"/>
      <c r="E6" s="315"/>
      <c r="F6" s="315"/>
      <c r="G6" s="315"/>
      <c r="H6" s="315"/>
      <c r="I6" s="315"/>
      <c r="J6" s="315"/>
      <c r="K6" s="315"/>
      <c r="L6" s="130"/>
      <c r="M6" s="130"/>
    </row>
    <row r="7" spans="2:19" ht="15.5" x14ac:dyDescent="0.35">
      <c r="B7" s="310" t="s">
        <v>183</v>
      </c>
      <c r="C7" s="310"/>
      <c r="D7" s="310"/>
      <c r="E7" s="310"/>
      <c r="F7" s="310"/>
      <c r="G7" s="310"/>
      <c r="H7" s="310"/>
      <c r="I7" s="310"/>
      <c r="J7" s="310"/>
      <c r="K7" s="310"/>
      <c r="L7" s="130"/>
      <c r="M7" s="130"/>
    </row>
    <row r="8" spans="2:19" ht="15.75" customHeight="1" x14ac:dyDescent="0.35">
      <c r="B8" s="310" t="s">
        <v>184</v>
      </c>
      <c r="C8" s="310"/>
      <c r="D8" s="195" t="s">
        <v>66</v>
      </c>
      <c r="E8" s="311" t="str">
        <f>DATA!D6</f>
        <v>Luthfiani Nur Aisyah, S.Tr.Stat.</v>
      </c>
      <c r="F8" s="311"/>
      <c r="G8" s="311"/>
      <c r="H8" s="311"/>
      <c r="I8" s="311"/>
      <c r="J8" s="311"/>
      <c r="K8" s="311"/>
      <c r="L8" s="130"/>
      <c r="M8" s="130"/>
    </row>
    <row r="9" spans="2:19" ht="15.75" customHeight="1" x14ac:dyDescent="0.35">
      <c r="B9" s="310" t="s">
        <v>185</v>
      </c>
      <c r="C9" s="310"/>
      <c r="D9" s="195" t="s">
        <v>3</v>
      </c>
      <c r="E9" s="378" t="str">
        <f>DATA!D7</f>
        <v>20030629 202603 2 001</v>
      </c>
      <c r="F9" s="311"/>
      <c r="G9" s="311"/>
      <c r="H9" s="311"/>
      <c r="I9" s="311"/>
      <c r="J9" s="311"/>
      <c r="K9" s="311"/>
      <c r="L9" s="130"/>
      <c r="M9" s="130"/>
    </row>
    <row r="10" spans="2:19" ht="15.75" customHeight="1" x14ac:dyDescent="0.35">
      <c r="B10" s="310" t="s">
        <v>165</v>
      </c>
      <c r="C10" s="310"/>
      <c r="D10" s="195" t="s">
        <v>3</v>
      </c>
      <c r="E10" s="311" t="str">
        <f>DATA!D8</f>
        <v>Pelaksana</v>
      </c>
      <c r="F10" s="311"/>
      <c r="G10" s="311"/>
      <c r="H10" s="311"/>
      <c r="I10" s="311"/>
      <c r="J10" s="311"/>
      <c r="K10" s="311"/>
      <c r="L10" s="130"/>
      <c r="M10" s="375" t="s">
        <v>235</v>
      </c>
      <c r="N10" s="375"/>
      <c r="O10" s="375"/>
      <c r="P10" s="375"/>
      <c r="Q10" s="375"/>
      <c r="R10" s="375"/>
      <c r="S10" s="375"/>
    </row>
    <row r="11" spans="2:19" ht="15.5" x14ac:dyDescent="0.35">
      <c r="B11" s="152"/>
      <c r="C11" s="204"/>
      <c r="D11" s="315"/>
      <c r="E11" s="315"/>
      <c r="F11" s="315"/>
      <c r="G11" s="315"/>
      <c r="H11" s="315"/>
      <c r="I11" s="315"/>
      <c r="J11" s="315"/>
      <c r="K11" s="315"/>
      <c r="L11" s="130"/>
      <c r="M11" s="375"/>
      <c r="N11" s="375"/>
      <c r="O11" s="375"/>
      <c r="P11" s="375"/>
      <c r="Q11" s="375"/>
      <c r="R11" s="375"/>
      <c r="S11" s="375"/>
    </row>
    <row r="12" spans="2:19" ht="28.5" customHeight="1" x14ac:dyDescent="0.35">
      <c r="B12" s="310" t="s">
        <v>186</v>
      </c>
      <c r="C12" s="310"/>
      <c r="D12" s="310"/>
      <c r="E12" s="310"/>
      <c r="F12" s="310"/>
      <c r="G12" s="310"/>
      <c r="H12" s="310"/>
      <c r="I12" s="310"/>
      <c r="J12" s="310"/>
      <c r="K12" s="310"/>
      <c r="L12" s="130"/>
      <c r="M12" s="375"/>
      <c r="N12" s="375"/>
      <c r="O12" s="375"/>
      <c r="P12" s="375"/>
      <c r="Q12" s="375"/>
      <c r="R12" s="375"/>
      <c r="S12" s="375"/>
    </row>
    <row r="13" spans="2:19" ht="15.75" customHeight="1" x14ac:dyDescent="0.35">
      <c r="B13" s="152" t="s">
        <v>36</v>
      </c>
      <c r="C13" s="184" t="s">
        <v>207</v>
      </c>
      <c r="D13" s="152" t="s">
        <v>3</v>
      </c>
      <c r="E13" s="311" t="str">
        <f>_xlfn.CONCAT(DATA!D1,", tanggal ",DATA!D2)</f>
        <v>B-1122/62130/KU.340/2026, tanggal 13 Agustus 2026</v>
      </c>
      <c r="F13" s="311"/>
      <c r="G13" s="311"/>
      <c r="H13" s="311"/>
      <c r="I13" s="311"/>
      <c r="J13" s="311"/>
      <c r="K13" s="311"/>
      <c r="L13" s="130"/>
      <c r="M13" s="130"/>
    </row>
    <row r="14" spans="2:19" ht="15.75" customHeight="1" x14ac:dyDescent="0.35">
      <c r="B14" s="152" t="s">
        <v>37</v>
      </c>
      <c r="C14" s="184" t="s">
        <v>208</v>
      </c>
      <c r="D14" s="152" t="s">
        <v>3</v>
      </c>
      <c r="E14" s="311" t="str">
        <f>IF(DATA!D15&lt;&gt;"",_xlfn.CONCAT(DATA!D15,", tanggal ",DATA!D16),"-")</f>
        <v>231/62130/KU.340/2026, tanggal 13 Agustus 2026</v>
      </c>
      <c r="F14" s="311"/>
      <c r="G14" s="311"/>
      <c r="H14" s="311"/>
      <c r="I14" s="311"/>
      <c r="J14" s="311"/>
      <c r="K14" s="311"/>
      <c r="L14" s="130"/>
      <c r="M14" s="130"/>
    </row>
    <row r="15" spans="2:19" ht="15.75" customHeight="1" x14ac:dyDescent="0.35">
      <c r="B15" s="152" t="s">
        <v>187</v>
      </c>
      <c r="C15" s="184" t="s">
        <v>209</v>
      </c>
      <c r="D15" s="152" t="s">
        <v>3</v>
      </c>
      <c r="E15" s="328" t="str">
        <f>_xlfn.CONCAT(DATA!D11," selama ",DATA!D22," pada tanggal 15 Agustus 2026")</f>
        <v>Melakukan Pengawasan Pendataan Sakernas Agustus 2026 di Desa Juking Supan selama 1 (satu) hari pada tanggal 15 Agustus 2026</v>
      </c>
      <c r="F15" s="328"/>
      <c r="G15" s="328"/>
      <c r="H15" s="328"/>
      <c r="I15" s="328"/>
      <c r="J15" s="328"/>
      <c r="K15" s="199"/>
      <c r="L15" s="130"/>
      <c r="M15" s="130"/>
    </row>
    <row r="16" spans="2:19" ht="16" customHeight="1" x14ac:dyDescent="0.35">
      <c r="B16" s="156"/>
      <c r="C16" s="152"/>
      <c r="D16" s="152"/>
      <c r="E16" s="328"/>
      <c r="F16" s="328"/>
      <c r="G16" s="328"/>
      <c r="H16" s="328"/>
      <c r="I16" s="328"/>
      <c r="J16" s="328"/>
      <c r="K16" s="199"/>
      <c r="L16" s="130"/>
      <c r="M16" s="130"/>
    </row>
    <row r="17" spans="2:16" ht="16" customHeight="1" x14ac:dyDescent="0.35">
      <c r="B17" s="156"/>
      <c r="C17" s="156"/>
      <c r="D17" s="156"/>
      <c r="E17" s="328"/>
      <c r="F17" s="328"/>
      <c r="G17" s="328"/>
      <c r="H17" s="328"/>
      <c r="I17" s="328"/>
      <c r="J17" s="328"/>
      <c r="K17" s="199"/>
      <c r="L17" s="130"/>
      <c r="M17" s="130"/>
    </row>
    <row r="18" spans="2:16" ht="16" customHeight="1" x14ac:dyDescent="0.35">
      <c r="B18" s="184"/>
      <c r="C18" s="184"/>
      <c r="D18" s="184"/>
      <c r="E18" s="328"/>
      <c r="F18" s="328"/>
      <c r="G18" s="328"/>
      <c r="H18" s="328"/>
      <c r="I18" s="328"/>
      <c r="J18" s="328"/>
      <c r="K18" s="199"/>
      <c r="L18" s="130"/>
      <c r="M18" s="130"/>
    </row>
    <row r="19" spans="2:16" ht="16" customHeight="1" x14ac:dyDescent="0.35">
      <c r="B19" s="205"/>
      <c r="C19" s="152"/>
      <c r="D19" s="152"/>
      <c r="E19" s="328"/>
      <c r="F19" s="328"/>
      <c r="G19" s="328"/>
      <c r="H19" s="328"/>
      <c r="I19" s="328"/>
      <c r="J19" s="328"/>
      <c r="K19" s="199"/>
      <c r="L19" s="130"/>
      <c r="M19" s="351" t="s">
        <v>198</v>
      </c>
      <c r="N19" s="351"/>
      <c r="O19" s="351"/>
      <c r="P19" s="351"/>
    </row>
    <row r="20" spans="2:16" ht="9" customHeight="1" x14ac:dyDescent="0.35">
      <c r="B20" s="205"/>
      <c r="C20" s="152"/>
      <c r="D20" s="152"/>
      <c r="E20" s="328"/>
      <c r="F20" s="328"/>
      <c r="G20" s="328"/>
      <c r="H20" s="328"/>
      <c r="I20" s="328"/>
      <c r="J20" s="328"/>
      <c r="K20" s="199"/>
      <c r="L20" s="130"/>
      <c r="M20" s="351"/>
      <c r="N20" s="351"/>
      <c r="O20" s="351"/>
      <c r="P20" s="351"/>
    </row>
    <row r="21" spans="2:16" ht="9" customHeight="1" x14ac:dyDescent="0.35">
      <c r="B21" s="205"/>
      <c r="C21" s="152"/>
      <c r="D21" s="152"/>
      <c r="E21" s="328"/>
      <c r="F21" s="328"/>
      <c r="G21" s="328"/>
      <c r="H21" s="328"/>
      <c r="I21" s="328"/>
      <c r="J21" s="328"/>
      <c r="K21" s="199"/>
      <c r="L21" s="130"/>
      <c r="M21" s="351"/>
      <c r="N21" s="351"/>
      <c r="O21" s="351"/>
      <c r="P21" s="351"/>
    </row>
    <row r="22" spans="2:16" ht="9.75" customHeight="1" x14ac:dyDescent="0.35">
      <c r="B22" s="205"/>
      <c r="C22" s="152"/>
      <c r="D22" s="152"/>
      <c r="E22" s="328"/>
      <c r="F22" s="328"/>
      <c r="G22" s="328"/>
      <c r="H22" s="328"/>
      <c r="I22" s="328"/>
      <c r="J22" s="328"/>
      <c r="K22" s="152"/>
      <c r="L22" s="130"/>
      <c r="M22" s="351"/>
      <c r="N22" s="351"/>
      <c r="O22" s="351"/>
      <c r="P22" s="351"/>
    </row>
    <row r="23" spans="2:16" ht="9" customHeight="1" x14ac:dyDescent="0.35">
      <c r="B23" s="205"/>
      <c r="C23" s="152"/>
      <c r="D23" s="152"/>
      <c r="E23" s="328"/>
      <c r="F23" s="328"/>
      <c r="G23" s="328"/>
      <c r="H23" s="328"/>
      <c r="I23" s="328"/>
      <c r="J23" s="328"/>
      <c r="K23" s="152"/>
      <c r="L23" s="130"/>
      <c r="M23" s="351"/>
      <c r="N23" s="351"/>
      <c r="O23" s="351"/>
      <c r="P23" s="351"/>
    </row>
    <row r="24" spans="2:16" ht="20.149999999999999" customHeight="1" x14ac:dyDescent="0.35">
      <c r="B24" s="311" t="s">
        <v>210</v>
      </c>
      <c r="C24" s="311"/>
      <c r="D24" s="311"/>
      <c r="E24" s="311"/>
      <c r="F24" s="311"/>
      <c r="G24" s="311"/>
      <c r="H24" s="311"/>
      <c r="I24" s="311"/>
      <c r="J24" s="311"/>
      <c r="K24" s="152"/>
      <c r="L24" s="130"/>
      <c r="M24" s="351"/>
      <c r="N24" s="351"/>
      <c r="O24" s="351"/>
      <c r="P24" s="351"/>
    </row>
    <row r="25" spans="2:16" ht="30.75" customHeight="1" x14ac:dyDescent="0.35">
      <c r="B25" s="311" t="s">
        <v>211</v>
      </c>
      <c r="C25" s="311"/>
      <c r="D25" s="311"/>
      <c r="E25" s="311"/>
      <c r="F25" s="311"/>
      <c r="G25" s="311"/>
      <c r="H25" s="311"/>
      <c r="I25" s="311"/>
      <c r="J25" s="311"/>
      <c r="K25" s="156"/>
      <c r="L25" s="130"/>
      <c r="M25" s="351"/>
      <c r="N25" s="351"/>
      <c r="O25" s="351"/>
      <c r="P25" s="351"/>
    </row>
    <row r="26" spans="2:16" ht="15.75" customHeight="1" x14ac:dyDescent="0.35">
      <c r="B26" s="156"/>
      <c r="C26" s="156"/>
      <c r="D26" s="156"/>
      <c r="E26" s="156"/>
      <c r="F26" s="156"/>
      <c r="G26" s="156"/>
      <c r="H26" s="156"/>
      <c r="I26" s="156"/>
      <c r="J26" s="156"/>
      <c r="K26" s="156"/>
      <c r="L26" s="130"/>
      <c r="M26" s="130"/>
    </row>
    <row r="27" spans="2:16" ht="29.25" customHeight="1" x14ac:dyDescent="0.35">
      <c r="B27" s="184"/>
      <c r="C27" s="184"/>
      <c r="D27" s="184"/>
      <c r="E27" s="184"/>
      <c r="F27" s="184"/>
      <c r="G27" s="184"/>
      <c r="H27" s="317" t="str">
        <f>Kuitansi!H19</f>
        <v>Puruk Cahu, 18 Agustus 2026</v>
      </c>
      <c r="I27" s="317"/>
      <c r="J27" s="317"/>
      <c r="K27" s="317"/>
      <c r="L27" s="130"/>
      <c r="M27" s="130"/>
    </row>
    <row r="28" spans="2:16" ht="15.5" x14ac:dyDescent="0.35">
      <c r="B28" s="317" t="s">
        <v>188</v>
      </c>
      <c r="C28" s="317"/>
      <c r="D28" s="317"/>
      <c r="E28" s="317"/>
      <c r="F28" s="152"/>
      <c r="G28" s="204"/>
      <c r="H28" s="204"/>
      <c r="I28" s="204"/>
      <c r="J28" s="315"/>
      <c r="K28" s="315"/>
      <c r="L28" s="130"/>
      <c r="M28" s="130"/>
    </row>
    <row r="29" spans="2:16" ht="20.149999999999999" customHeight="1" x14ac:dyDescent="0.35">
      <c r="B29" s="317" t="s">
        <v>33</v>
      </c>
      <c r="C29" s="317"/>
      <c r="D29" s="317"/>
      <c r="E29" s="317"/>
      <c r="F29" s="152"/>
      <c r="G29" s="152"/>
      <c r="H29" s="152"/>
      <c r="I29" s="184"/>
      <c r="J29" s="184"/>
      <c r="K29" s="184"/>
      <c r="L29" s="130"/>
      <c r="M29" s="130"/>
    </row>
    <row r="30" spans="2:16" ht="20.149999999999999" customHeight="1" x14ac:dyDescent="0.35">
      <c r="B30" s="317" t="s">
        <v>189</v>
      </c>
      <c r="C30" s="317"/>
      <c r="D30" s="317"/>
      <c r="E30" s="317"/>
      <c r="F30" s="152"/>
      <c r="G30" s="152"/>
      <c r="H30" s="317" t="s">
        <v>190</v>
      </c>
      <c r="I30" s="317"/>
      <c r="J30" s="317"/>
      <c r="K30" s="317"/>
      <c r="L30" s="130"/>
      <c r="M30" s="130"/>
    </row>
    <row r="31" spans="2:16" ht="15.5" x14ac:dyDescent="0.35">
      <c r="B31" s="195"/>
      <c r="C31" s="204"/>
      <c r="D31" s="315"/>
      <c r="E31" s="315"/>
      <c r="F31" s="315"/>
      <c r="G31" s="315"/>
      <c r="H31" s="315"/>
      <c r="I31" s="315"/>
      <c r="J31" s="315"/>
      <c r="K31" s="315"/>
      <c r="L31" s="130"/>
      <c r="M31" s="130"/>
    </row>
    <row r="32" spans="2:16" ht="15.5" x14ac:dyDescent="0.35">
      <c r="B32" s="155"/>
      <c r="C32" s="204"/>
      <c r="D32" s="315"/>
      <c r="E32" s="315"/>
      <c r="F32" s="315"/>
      <c r="G32" s="315"/>
      <c r="H32" s="315"/>
      <c r="I32" s="315"/>
      <c r="J32" s="315"/>
      <c r="K32" s="315"/>
      <c r="L32" s="130"/>
      <c r="M32" s="130"/>
    </row>
    <row r="33" spans="2:13" ht="15.5" x14ac:dyDescent="0.35">
      <c r="B33" s="155"/>
      <c r="C33" s="204"/>
      <c r="D33" s="315"/>
      <c r="E33" s="315"/>
      <c r="F33" s="315"/>
      <c r="G33" s="315"/>
      <c r="H33" s="315"/>
      <c r="I33" s="315"/>
      <c r="J33" s="315"/>
      <c r="K33" s="315"/>
      <c r="L33" s="130"/>
      <c r="M33" s="130"/>
    </row>
    <row r="34" spans="2:13" ht="20.149999999999999" customHeight="1" x14ac:dyDescent="0.35">
      <c r="B34" s="319" t="str">
        <f>Kuitansi!C27</f>
        <v>Khoirul Anwar, S.Tr.Stat.</v>
      </c>
      <c r="C34" s="319"/>
      <c r="D34" s="319"/>
      <c r="E34" s="319"/>
      <c r="F34" s="206"/>
      <c r="G34" s="206"/>
      <c r="H34" s="319" t="str">
        <f>Kuitansi!H27</f>
        <v>Luthfiani Nur Aisyah, S.Tr.Stat.</v>
      </c>
      <c r="I34" s="319"/>
      <c r="J34" s="319"/>
      <c r="K34" s="319"/>
      <c r="L34" s="130"/>
      <c r="M34" s="130"/>
    </row>
    <row r="35" spans="2:13" ht="20.149999999999999" customHeight="1" x14ac:dyDescent="0.35">
      <c r="B35" s="317" t="str">
        <f>Kuitansi!C28</f>
        <v>NIP. 19990307 202104 1 001</v>
      </c>
      <c r="C35" s="317"/>
      <c r="D35" s="317"/>
      <c r="E35" s="317"/>
      <c r="F35" s="152"/>
      <c r="G35" s="152"/>
      <c r="H35" s="317" t="str">
        <f>Kuitansi!H28</f>
        <v>NIP. 20030629 202603 2 001</v>
      </c>
      <c r="I35" s="317"/>
      <c r="J35" s="317"/>
      <c r="K35" s="317"/>
      <c r="L35" s="130"/>
      <c r="M35" s="130"/>
    </row>
    <row r="36" spans="2:13" ht="15.5" x14ac:dyDescent="0.35">
      <c r="B36" s="130"/>
      <c r="C36" s="130"/>
      <c r="D36" s="130"/>
      <c r="E36" s="130"/>
      <c r="F36" s="130"/>
      <c r="G36" s="130"/>
      <c r="H36" s="130"/>
      <c r="I36" s="130"/>
      <c r="J36" s="130"/>
      <c r="K36" s="130"/>
      <c r="L36" s="130"/>
      <c r="M36" s="130"/>
    </row>
    <row r="37" spans="2:13" ht="15.5" x14ac:dyDescent="0.35">
      <c r="B37" s="133"/>
    </row>
  </sheetData>
  <mergeCells count="48">
    <mergeCell ref="E14:K14"/>
    <mergeCell ref="J28:K28"/>
    <mergeCell ref="E15:J23"/>
    <mergeCell ref="B30:E30"/>
    <mergeCell ref="H27:K27"/>
    <mergeCell ref="B28:E28"/>
    <mergeCell ref="B29:E29"/>
    <mergeCell ref="B24:J24"/>
    <mergeCell ref="B25:J25"/>
    <mergeCell ref="H30:K30"/>
    <mergeCell ref="D33:E33"/>
    <mergeCell ref="F33:I33"/>
    <mergeCell ref="J33:K33"/>
    <mergeCell ref="D31:E31"/>
    <mergeCell ref="F31:I31"/>
    <mergeCell ref="J31:K31"/>
    <mergeCell ref="D32:E32"/>
    <mergeCell ref="F32:I32"/>
    <mergeCell ref="J32:K32"/>
    <mergeCell ref="B4:K4"/>
    <mergeCell ref="B5:K5"/>
    <mergeCell ref="B7:K7"/>
    <mergeCell ref="B8:C8"/>
    <mergeCell ref="B9:C9"/>
    <mergeCell ref="E8:K8"/>
    <mergeCell ref="E9:K9"/>
    <mergeCell ref="C2:D2"/>
    <mergeCell ref="E2:F2"/>
    <mergeCell ref="I2:J2"/>
    <mergeCell ref="C3:D3"/>
    <mergeCell ref="E3:F3"/>
    <mergeCell ref="I3:J3"/>
    <mergeCell ref="H35:K35"/>
    <mergeCell ref="M19:P25"/>
    <mergeCell ref="M10:S12"/>
    <mergeCell ref="D6:E6"/>
    <mergeCell ref="F6:I6"/>
    <mergeCell ref="J6:K6"/>
    <mergeCell ref="B12:K12"/>
    <mergeCell ref="B10:C10"/>
    <mergeCell ref="D11:E11"/>
    <mergeCell ref="F11:I11"/>
    <mergeCell ref="J11:K11"/>
    <mergeCell ref="E10:K10"/>
    <mergeCell ref="E13:K13"/>
    <mergeCell ref="B34:E34"/>
    <mergeCell ref="B35:E35"/>
    <mergeCell ref="H34:K34"/>
  </mergeCells>
  <pageMargins left="0.25" right="0.1" top="0.75" bottom="0.75" header="0.3" footer="0.3"/>
  <pageSetup paperSize="9"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AB704-1500-4E01-884B-47D396601300}">
  <sheetPr>
    <pageSetUpPr fitToPage="1"/>
  </sheetPr>
  <dimension ref="B1:S37"/>
  <sheetViews>
    <sheetView view="pageBreakPreview" zoomScaleNormal="100" zoomScaleSheetLayoutView="100" workbookViewId="0">
      <selection activeCell="B13" sqref="B13:K26"/>
    </sheetView>
  </sheetViews>
  <sheetFormatPr defaultRowHeight="14.5" x14ac:dyDescent="0.35"/>
  <cols>
    <col min="2" max="2" width="3.54296875" customWidth="1"/>
    <col min="3" max="3" width="13.7265625" customWidth="1"/>
    <col min="4" max="4" width="2" customWidth="1"/>
    <col min="5" max="5" width="9.1796875" customWidth="1"/>
    <col min="11" max="11" width="15.08984375" customWidth="1"/>
    <col min="16" max="16" width="62" bestFit="1" customWidth="1"/>
    <col min="17" max="17" width="29" bestFit="1" customWidth="1"/>
    <col min="18" max="18" width="24.7265625" bestFit="1" customWidth="1"/>
  </cols>
  <sheetData>
    <row r="1" spans="2:19" x14ac:dyDescent="0.35">
      <c r="B1" s="184"/>
      <c r="C1" s="184"/>
      <c r="D1" s="184"/>
      <c r="E1" s="184"/>
      <c r="F1" s="184"/>
      <c r="G1" s="184"/>
      <c r="H1" s="184"/>
      <c r="I1" s="184"/>
      <c r="J1" s="184"/>
      <c r="K1" s="184"/>
    </row>
    <row r="2" spans="2:19" ht="15.5" x14ac:dyDescent="0.35">
      <c r="B2" s="184"/>
      <c r="C2" s="184"/>
      <c r="D2" s="184"/>
      <c r="E2" s="184"/>
      <c r="F2" s="184"/>
      <c r="G2" s="184"/>
      <c r="H2" s="184"/>
      <c r="I2" s="184"/>
      <c r="J2" s="184"/>
      <c r="K2" s="184"/>
      <c r="L2" s="131"/>
      <c r="M2" s="130"/>
      <c r="N2" s="135"/>
      <c r="O2" s="136"/>
      <c r="P2" s="136"/>
      <c r="Q2" s="136"/>
      <c r="R2" s="136"/>
      <c r="S2" s="136"/>
    </row>
    <row r="3" spans="2:19" ht="17.5" x14ac:dyDescent="0.35">
      <c r="B3" s="184"/>
      <c r="C3" s="184"/>
      <c r="D3" s="184"/>
      <c r="E3" s="184"/>
      <c r="F3" s="184"/>
      <c r="G3" s="184"/>
      <c r="H3" s="184"/>
      <c r="I3" s="184"/>
      <c r="J3" s="184"/>
      <c r="K3" s="184"/>
      <c r="L3" s="131"/>
      <c r="M3" s="130"/>
      <c r="N3" s="135"/>
      <c r="O3" s="136"/>
      <c r="P3" s="137"/>
      <c r="Q3" s="136"/>
      <c r="R3" s="136"/>
      <c r="S3" s="136"/>
    </row>
    <row r="4" spans="2:19" ht="17.5" x14ac:dyDescent="0.35">
      <c r="B4" s="377" t="s">
        <v>191</v>
      </c>
      <c r="C4" s="377"/>
      <c r="D4" s="377"/>
      <c r="E4" s="377"/>
      <c r="F4" s="377"/>
      <c r="G4" s="377"/>
      <c r="H4" s="377"/>
      <c r="I4" s="377"/>
      <c r="J4" s="377"/>
      <c r="K4" s="377"/>
      <c r="L4" s="130"/>
      <c r="M4" s="130"/>
      <c r="N4" s="135"/>
      <c r="O4" s="136"/>
      <c r="P4" s="137"/>
      <c r="Q4" s="136"/>
      <c r="R4" s="136"/>
      <c r="S4" s="136"/>
    </row>
    <row r="5" spans="2:19" ht="15.5" x14ac:dyDescent="0.35">
      <c r="B5" s="377" t="s">
        <v>192</v>
      </c>
      <c r="C5" s="377"/>
      <c r="D5" s="377"/>
      <c r="E5" s="377"/>
      <c r="F5" s="377"/>
      <c r="G5" s="377"/>
      <c r="H5" s="377"/>
      <c r="I5" s="377"/>
      <c r="J5" s="377"/>
      <c r="K5" s="377"/>
      <c r="L5" s="130"/>
      <c r="M5" s="130"/>
      <c r="N5" s="135"/>
      <c r="O5" s="136"/>
      <c r="P5" s="138"/>
      <c r="Q5" s="136"/>
      <c r="R5" s="136"/>
      <c r="S5" s="136"/>
    </row>
    <row r="6" spans="2:19" ht="15.5" x14ac:dyDescent="0.35">
      <c r="B6" s="203"/>
      <c r="C6" s="204"/>
      <c r="D6" s="315"/>
      <c r="E6" s="315"/>
      <c r="F6" s="204"/>
      <c r="G6" s="204"/>
      <c r="H6" s="204"/>
      <c r="I6" s="204"/>
      <c r="J6" s="204"/>
      <c r="K6" s="204"/>
      <c r="L6" s="130"/>
      <c r="M6" s="130"/>
      <c r="N6" s="135"/>
      <c r="O6" s="136"/>
      <c r="P6" s="138"/>
      <c r="Q6" s="136"/>
      <c r="R6" s="136"/>
      <c r="S6" s="136"/>
    </row>
    <row r="7" spans="2:19" ht="20.25" customHeight="1" x14ac:dyDescent="0.35">
      <c r="B7" s="310" t="s">
        <v>195</v>
      </c>
      <c r="C7" s="310"/>
      <c r="D7" s="310"/>
      <c r="E7" s="310"/>
      <c r="F7" s="310"/>
      <c r="G7" s="310"/>
      <c r="H7" s="310"/>
      <c r="I7" s="310"/>
      <c r="J7" s="310"/>
      <c r="K7" s="310"/>
      <c r="L7" s="130"/>
      <c r="M7" s="130"/>
      <c r="N7" s="135"/>
      <c r="O7" s="136"/>
      <c r="P7" s="139"/>
      <c r="Q7" s="136"/>
      <c r="R7" s="136"/>
      <c r="S7" s="136"/>
    </row>
    <row r="8" spans="2:19" ht="15.75" customHeight="1" x14ac:dyDescent="0.35">
      <c r="B8" s="310" t="s">
        <v>184</v>
      </c>
      <c r="C8" s="310"/>
      <c r="D8" s="195" t="s">
        <v>66</v>
      </c>
      <c r="E8" s="311" t="str">
        <f>DATA!D6</f>
        <v>Luthfiani Nur Aisyah, S.Tr.Stat.</v>
      </c>
      <c r="F8" s="311"/>
      <c r="G8" s="311"/>
      <c r="H8" s="311"/>
      <c r="I8" s="311"/>
      <c r="J8" s="311"/>
      <c r="K8" s="311"/>
      <c r="L8" s="130"/>
      <c r="M8" s="375" t="s">
        <v>201</v>
      </c>
      <c r="N8" s="375"/>
      <c r="O8" s="375"/>
      <c r="P8" s="375"/>
      <c r="Q8" s="136"/>
      <c r="R8" s="139"/>
      <c r="S8" s="136"/>
    </row>
    <row r="9" spans="2:19" ht="15.75" customHeight="1" x14ac:dyDescent="0.35">
      <c r="B9" s="310" t="s">
        <v>185</v>
      </c>
      <c r="C9" s="310"/>
      <c r="D9" s="195" t="s">
        <v>3</v>
      </c>
      <c r="E9" s="378" t="str">
        <f>DATA!D7</f>
        <v>20030629 202603 2 001</v>
      </c>
      <c r="F9" s="311"/>
      <c r="G9" s="311"/>
      <c r="H9" s="311"/>
      <c r="I9" s="311"/>
      <c r="J9" s="311"/>
      <c r="K9" s="311"/>
      <c r="L9" s="130"/>
      <c r="M9" s="375"/>
      <c r="N9" s="375"/>
      <c r="O9" s="375"/>
      <c r="P9" s="375"/>
      <c r="Q9" s="136"/>
      <c r="R9" s="139"/>
      <c r="S9" s="136"/>
    </row>
    <row r="10" spans="2:19" ht="15.75" customHeight="1" x14ac:dyDescent="0.35">
      <c r="B10" s="310" t="s">
        <v>193</v>
      </c>
      <c r="C10" s="310"/>
      <c r="D10" s="195" t="s">
        <v>3</v>
      </c>
      <c r="E10" s="311" t="s">
        <v>33</v>
      </c>
      <c r="F10" s="311"/>
      <c r="G10" s="311"/>
      <c r="H10" s="311"/>
      <c r="I10" s="311"/>
      <c r="J10" s="311"/>
      <c r="K10" s="311"/>
      <c r="L10" s="130"/>
      <c r="M10" s="375"/>
      <c r="N10" s="375"/>
      <c r="O10" s="375"/>
      <c r="P10" s="375"/>
      <c r="Q10" s="139"/>
      <c r="R10" s="136"/>
      <c r="S10" s="136"/>
    </row>
    <row r="11" spans="2:19" ht="15.75" customHeight="1" x14ac:dyDescent="0.35">
      <c r="B11" s="311" t="s">
        <v>165</v>
      </c>
      <c r="C11" s="311"/>
      <c r="D11" s="155" t="s">
        <v>3</v>
      </c>
      <c r="E11" s="379" t="str">
        <f>DATA!D8</f>
        <v>Pelaksana</v>
      </c>
      <c r="F11" s="379"/>
      <c r="G11" s="379"/>
      <c r="H11" s="379"/>
      <c r="I11" s="379"/>
      <c r="J11" s="379"/>
      <c r="K11" s="379"/>
      <c r="L11" s="130"/>
      <c r="M11" s="130"/>
      <c r="N11" s="135"/>
      <c r="O11" s="136"/>
      <c r="P11" s="139"/>
      <c r="Q11" s="136"/>
      <c r="R11" s="139"/>
      <c r="S11" s="136"/>
    </row>
    <row r="12" spans="2:19" ht="15.5" x14ac:dyDescent="0.35">
      <c r="B12" s="310"/>
      <c r="C12" s="310"/>
      <c r="D12" s="310"/>
      <c r="E12" s="310"/>
      <c r="F12" s="310"/>
      <c r="G12" s="310"/>
      <c r="H12" s="310"/>
      <c r="I12" s="310"/>
      <c r="J12" s="310"/>
      <c r="K12" s="310"/>
      <c r="L12" s="130"/>
      <c r="M12" s="130"/>
      <c r="N12" s="135"/>
      <c r="O12" s="136"/>
      <c r="P12" s="139"/>
      <c r="Q12" s="136"/>
      <c r="R12" s="136"/>
      <c r="S12" s="136"/>
    </row>
    <row r="13" spans="2:19" ht="20.149999999999999" customHeight="1" x14ac:dyDescent="0.35">
      <c r="B13" s="328" t="str">
        <f>_xlfn.CONCAT("Menerangkan bahwa dalam rangka melaksanakan perjalanan dinas untuk melaksanankan tugas kedinasan sesuai SPD nomor: ",DATA!D15," saya benar-benar tidak menggunakan kendaraan dinas. 
Demikian pernyataan ini kami buat dengan sebenar-benarnya untuk dipergunakan sebagaimana mestinya. ","Apabila terdapat kekeliruan dalam pertanggungjawaban  dan mengakibatkan kerugian negara, saya bersedia dituntut sesuai peraturan yang berlaku dan mengembalikan biaya transport atau biaya transport lokal yang sudah terlanjur saya terima ke kas negara.")</f>
        <v>Menerangkan bahwa dalam rangka melaksanakan perjalanan dinas untuk melaksanankan tugas kedinasan sesuai SPD nomor: 231/62130/KU.340/2026 saya benar-benar tidak menggunakan kendaraan dinas. 
Demikian pernyataan ini kami buat dengan sebenar-benarnya untuk dipergunakan sebagaimana mestinya. Apabila terdapat kekeliruan dalam pertanggungjawaban  dan mengakibatkan kerugian negara, saya bersedia dituntut sesuai peraturan yang berlaku dan mengembalikan biaya transport atau biaya transport lokal yang sudah terlanjur saya terima ke kas negara.</v>
      </c>
      <c r="C13" s="328"/>
      <c r="D13" s="328"/>
      <c r="E13" s="328"/>
      <c r="F13" s="328"/>
      <c r="G13" s="328"/>
      <c r="H13" s="328"/>
      <c r="I13" s="328"/>
      <c r="J13" s="328"/>
      <c r="K13" s="328"/>
      <c r="L13" s="130"/>
      <c r="M13" s="130"/>
      <c r="N13" s="135"/>
      <c r="O13" s="136"/>
      <c r="P13" s="139"/>
      <c r="Q13" s="136"/>
      <c r="R13" s="136"/>
      <c r="S13" s="136"/>
    </row>
    <row r="14" spans="2:19" ht="12.75" customHeight="1" x14ac:dyDescent="0.35">
      <c r="B14" s="328"/>
      <c r="C14" s="328"/>
      <c r="D14" s="328"/>
      <c r="E14" s="328"/>
      <c r="F14" s="328"/>
      <c r="G14" s="328"/>
      <c r="H14" s="328"/>
      <c r="I14" s="328"/>
      <c r="J14" s="328"/>
      <c r="K14" s="328"/>
      <c r="L14" s="130"/>
      <c r="M14" s="130"/>
      <c r="N14" s="135"/>
      <c r="O14" s="136"/>
      <c r="P14" s="139"/>
      <c r="Q14" s="136"/>
      <c r="R14" s="136"/>
      <c r="S14" s="136"/>
    </row>
    <row r="15" spans="2:19" ht="5.25" hidden="1" customHeight="1" x14ac:dyDescent="0.35">
      <c r="B15" s="328"/>
      <c r="C15" s="328"/>
      <c r="D15" s="328"/>
      <c r="E15" s="328"/>
      <c r="F15" s="328"/>
      <c r="G15" s="328"/>
      <c r="H15" s="328"/>
      <c r="I15" s="328"/>
      <c r="J15" s="328"/>
      <c r="K15" s="328"/>
      <c r="L15" s="130"/>
      <c r="M15" s="130"/>
      <c r="N15" s="135"/>
      <c r="O15" s="136"/>
      <c r="P15" s="139"/>
      <c r="Q15" s="136"/>
      <c r="R15" s="136"/>
      <c r="S15" s="136"/>
    </row>
    <row r="16" spans="2:19" ht="15.75" hidden="1" customHeight="1" x14ac:dyDescent="0.35">
      <c r="B16" s="328"/>
      <c r="C16" s="328"/>
      <c r="D16" s="328"/>
      <c r="E16" s="328"/>
      <c r="F16" s="328"/>
      <c r="G16" s="328"/>
      <c r="H16" s="328"/>
      <c r="I16" s="328"/>
      <c r="J16" s="328"/>
      <c r="K16" s="328"/>
      <c r="L16" s="130"/>
      <c r="M16" s="130"/>
      <c r="N16" s="135"/>
      <c r="O16" s="136"/>
      <c r="P16" s="139"/>
      <c r="Q16" s="136"/>
      <c r="R16" s="136"/>
      <c r="S16" s="136"/>
    </row>
    <row r="17" spans="2:19" ht="27" hidden="1" customHeight="1" x14ac:dyDescent="0.35">
      <c r="B17" s="328"/>
      <c r="C17" s="328"/>
      <c r="D17" s="328"/>
      <c r="E17" s="328"/>
      <c r="F17" s="328"/>
      <c r="G17" s="328"/>
      <c r="H17" s="328"/>
      <c r="I17" s="328"/>
      <c r="J17" s="328"/>
      <c r="K17" s="328"/>
      <c r="L17" s="130"/>
      <c r="M17" s="130"/>
      <c r="N17" s="135"/>
      <c r="O17" s="136"/>
      <c r="P17" s="139"/>
      <c r="Q17" s="136"/>
      <c r="R17" s="136"/>
      <c r="S17" s="136"/>
    </row>
    <row r="18" spans="2:19" ht="15" customHeight="1" x14ac:dyDescent="0.35">
      <c r="B18" s="328"/>
      <c r="C18" s="328"/>
      <c r="D18" s="328"/>
      <c r="E18" s="328"/>
      <c r="F18" s="328"/>
      <c r="G18" s="328"/>
      <c r="H18" s="328"/>
      <c r="I18" s="328"/>
      <c r="J18" s="328"/>
      <c r="K18" s="328"/>
      <c r="L18" s="130"/>
      <c r="M18" s="130"/>
      <c r="N18" s="135"/>
      <c r="O18" s="136"/>
      <c r="P18" s="139"/>
      <c r="Q18" s="136"/>
      <c r="R18" s="136"/>
      <c r="S18" s="136"/>
    </row>
    <row r="19" spans="2:19" ht="20.149999999999999" customHeight="1" x14ac:dyDescent="0.35">
      <c r="B19" s="328"/>
      <c r="C19" s="328"/>
      <c r="D19" s="328"/>
      <c r="E19" s="328"/>
      <c r="F19" s="328"/>
      <c r="G19" s="328"/>
      <c r="H19" s="328"/>
      <c r="I19" s="328"/>
      <c r="J19" s="328"/>
      <c r="K19" s="328"/>
      <c r="L19" s="130"/>
      <c r="M19" s="130"/>
      <c r="N19" s="135"/>
      <c r="O19" s="136"/>
      <c r="P19" s="139"/>
      <c r="Q19" s="136"/>
      <c r="R19" s="136"/>
      <c r="S19" s="136"/>
    </row>
    <row r="20" spans="2:19" ht="20.149999999999999" customHeight="1" x14ac:dyDescent="0.35">
      <c r="B20" s="328"/>
      <c r="C20" s="328"/>
      <c r="D20" s="328"/>
      <c r="E20" s="328"/>
      <c r="F20" s="328"/>
      <c r="G20" s="328"/>
      <c r="H20" s="328"/>
      <c r="I20" s="328"/>
      <c r="J20" s="328"/>
      <c r="K20" s="328"/>
      <c r="L20" s="130"/>
      <c r="M20" s="130"/>
      <c r="N20" s="135"/>
      <c r="O20" s="136"/>
      <c r="P20" s="139"/>
      <c r="Q20" s="136"/>
      <c r="R20" s="136"/>
      <c r="S20" s="136"/>
    </row>
    <row r="21" spans="2:19" ht="20.149999999999999" customHeight="1" x14ac:dyDescent="0.35">
      <c r="B21" s="328"/>
      <c r="C21" s="328"/>
      <c r="D21" s="328"/>
      <c r="E21" s="328"/>
      <c r="F21" s="328"/>
      <c r="G21" s="328"/>
      <c r="H21" s="328"/>
      <c r="I21" s="328"/>
      <c r="J21" s="328"/>
      <c r="K21" s="328"/>
      <c r="L21" s="130"/>
      <c r="M21" s="130"/>
      <c r="N21" s="135"/>
      <c r="O21" s="136"/>
      <c r="P21" s="139"/>
      <c r="Q21" s="136"/>
      <c r="R21" s="136"/>
      <c r="S21" s="136"/>
    </row>
    <row r="22" spans="2:19" ht="6" customHeight="1" x14ac:dyDescent="0.35">
      <c r="B22" s="328"/>
      <c r="C22" s="328"/>
      <c r="D22" s="328"/>
      <c r="E22" s="328"/>
      <c r="F22" s="328"/>
      <c r="G22" s="328"/>
      <c r="H22" s="328"/>
      <c r="I22" s="328"/>
      <c r="J22" s="328"/>
      <c r="K22" s="328"/>
      <c r="L22" s="130"/>
      <c r="M22" s="130"/>
      <c r="N22" s="135"/>
      <c r="O22" s="136"/>
      <c r="P22" s="139"/>
      <c r="Q22" s="136"/>
      <c r="R22" s="136"/>
      <c r="S22" s="136"/>
    </row>
    <row r="23" spans="2:19" ht="19.5" hidden="1" customHeight="1" x14ac:dyDescent="0.35">
      <c r="B23" s="328"/>
      <c r="C23" s="328"/>
      <c r="D23" s="328"/>
      <c r="E23" s="328"/>
      <c r="F23" s="328"/>
      <c r="G23" s="328"/>
      <c r="H23" s="328"/>
      <c r="I23" s="328"/>
      <c r="J23" s="328"/>
      <c r="K23" s="328"/>
      <c r="L23" s="130"/>
      <c r="M23" s="130"/>
      <c r="N23" s="135"/>
      <c r="O23" s="136"/>
      <c r="P23" s="139"/>
      <c r="Q23" s="136"/>
      <c r="R23" s="136"/>
      <c r="S23" s="136"/>
    </row>
    <row r="24" spans="2:19" ht="19.5" hidden="1" customHeight="1" x14ac:dyDescent="0.35">
      <c r="B24" s="328"/>
      <c r="C24" s="328"/>
      <c r="D24" s="328"/>
      <c r="E24" s="328"/>
      <c r="F24" s="328"/>
      <c r="G24" s="328"/>
      <c r="H24" s="328"/>
      <c r="I24" s="328"/>
      <c r="J24" s="328"/>
      <c r="K24" s="328"/>
      <c r="L24" s="130"/>
      <c r="M24" s="130"/>
      <c r="N24" s="135"/>
      <c r="O24" s="136"/>
      <c r="P24" s="136"/>
      <c r="Q24" s="136"/>
      <c r="R24" s="136"/>
      <c r="S24" s="136"/>
    </row>
    <row r="25" spans="2:19" ht="20.149999999999999" customHeight="1" x14ac:dyDescent="0.35">
      <c r="B25" s="328"/>
      <c r="C25" s="328"/>
      <c r="D25" s="328"/>
      <c r="E25" s="328"/>
      <c r="F25" s="328"/>
      <c r="G25" s="328"/>
      <c r="H25" s="328"/>
      <c r="I25" s="328"/>
      <c r="J25" s="328"/>
      <c r="K25" s="328"/>
      <c r="L25" s="130"/>
      <c r="M25" s="130"/>
      <c r="N25" s="135"/>
      <c r="O25" s="136"/>
      <c r="P25" s="136"/>
      <c r="Q25" s="136"/>
      <c r="R25" s="136"/>
      <c r="S25" s="136"/>
    </row>
    <row r="26" spans="2:19" ht="15.5" x14ac:dyDescent="0.35">
      <c r="B26" s="328"/>
      <c r="C26" s="328"/>
      <c r="D26" s="328"/>
      <c r="E26" s="328"/>
      <c r="F26" s="328"/>
      <c r="G26" s="328"/>
      <c r="H26" s="328"/>
      <c r="I26" s="328"/>
      <c r="J26" s="328"/>
      <c r="K26" s="328"/>
      <c r="L26" s="130"/>
      <c r="M26" s="130"/>
      <c r="N26" s="135"/>
      <c r="O26" s="136"/>
      <c r="P26" s="136"/>
      <c r="Q26" s="136"/>
      <c r="R26" s="136"/>
      <c r="S26" s="136"/>
    </row>
    <row r="27" spans="2:19" ht="15.5" x14ac:dyDescent="0.35">
      <c r="B27" s="152"/>
      <c r="C27" s="152"/>
      <c r="D27" s="152"/>
      <c r="E27" s="152"/>
      <c r="F27" s="152"/>
      <c r="G27" s="152"/>
      <c r="H27" s="152"/>
      <c r="I27" s="152"/>
      <c r="J27" s="152"/>
      <c r="K27" s="152"/>
      <c r="L27" s="130"/>
      <c r="M27" s="130"/>
      <c r="N27" s="135"/>
      <c r="O27" s="136"/>
      <c r="P27" s="136"/>
      <c r="Q27" s="136"/>
      <c r="R27" s="136"/>
      <c r="S27" s="136"/>
    </row>
    <row r="28" spans="2:19" ht="15.5" x14ac:dyDescent="0.35">
      <c r="B28" s="156"/>
      <c r="C28" s="204"/>
      <c r="D28" s="204"/>
      <c r="E28" s="204"/>
      <c r="F28" s="204"/>
      <c r="G28" s="204"/>
      <c r="H28" s="204"/>
      <c r="I28" s="204"/>
      <c r="J28" s="204"/>
      <c r="K28" s="204"/>
      <c r="L28" s="130"/>
      <c r="M28" s="130"/>
      <c r="O28" s="134"/>
      <c r="P28" s="134"/>
      <c r="Q28" s="134"/>
      <c r="R28" s="134"/>
      <c r="S28" s="134"/>
    </row>
    <row r="29" spans="2:19" ht="25.5" customHeight="1" x14ac:dyDescent="0.35">
      <c r="B29" s="152"/>
      <c r="C29" s="152"/>
      <c r="D29" s="152"/>
      <c r="E29" s="152"/>
      <c r="F29" s="152"/>
      <c r="G29" s="152"/>
      <c r="H29" s="317" t="s">
        <v>390</v>
      </c>
      <c r="I29" s="317"/>
      <c r="J29" s="317"/>
      <c r="K29" s="317"/>
      <c r="L29" s="130"/>
      <c r="M29" s="130"/>
    </row>
    <row r="30" spans="2:19" ht="20.149999999999999" customHeight="1" x14ac:dyDescent="0.35">
      <c r="B30" s="152"/>
      <c r="C30" s="152"/>
      <c r="D30" s="152"/>
      <c r="E30" s="152"/>
      <c r="F30" s="152"/>
      <c r="G30" s="152"/>
      <c r="H30" s="317" t="s">
        <v>190</v>
      </c>
      <c r="I30" s="317"/>
      <c r="J30" s="317"/>
      <c r="K30" s="317"/>
      <c r="L30" s="130"/>
      <c r="M30" s="130"/>
    </row>
    <row r="31" spans="2:19" ht="15.5" x14ac:dyDescent="0.35">
      <c r="B31" s="195"/>
      <c r="C31" s="204"/>
      <c r="D31" s="204"/>
      <c r="E31" s="204"/>
      <c r="F31" s="204"/>
      <c r="G31" s="204"/>
      <c r="H31" s="204"/>
      <c r="I31" s="204"/>
      <c r="J31" s="204"/>
      <c r="K31" s="204"/>
      <c r="L31" s="130"/>
      <c r="M31" s="130"/>
    </row>
    <row r="32" spans="2:19" ht="15.5" x14ac:dyDescent="0.35">
      <c r="B32" s="155"/>
      <c r="C32" s="204"/>
      <c r="D32" s="204"/>
      <c r="E32" s="204"/>
      <c r="F32" s="204"/>
      <c r="G32" s="204"/>
      <c r="H32" s="204"/>
      <c r="I32" s="204"/>
      <c r="J32" s="204"/>
      <c r="K32" s="204"/>
      <c r="L32" s="130"/>
      <c r="M32" s="130"/>
    </row>
    <row r="33" spans="2:13" ht="15.5" x14ac:dyDescent="0.35">
      <c r="B33" s="155"/>
      <c r="C33" s="204"/>
      <c r="D33" s="204"/>
      <c r="E33" s="204"/>
      <c r="F33" s="204"/>
      <c r="G33" s="204"/>
      <c r="H33" s="204"/>
      <c r="I33" s="204"/>
      <c r="J33" s="204"/>
      <c r="K33" s="204"/>
      <c r="L33" s="130"/>
      <c r="M33" s="130"/>
    </row>
    <row r="34" spans="2:13" ht="20.149999999999999" customHeight="1" x14ac:dyDescent="0.35">
      <c r="B34" s="206"/>
      <c r="C34" s="206"/>
      <c r="D34" s="206"/>
      <c r="E34" s="206"/>
      <c r="F34" s="206"/>
      <c r="G34" s="206"/>
      <c r="H34" s="319" t="str">
        <f>Kuitansi!H27</f>
        <v>Luthfiani Nur Aisyah, S.Tr.Stat.</v>
      </c>
      <c r="I34" s="319"/>
      <c r="J34" s="319"/>
      <c r="K34" s="319"/>
      <c r="L34" s="130"/>
      <c r="M34" s="130"/>
    </row>
    <row r="35" spans="2:13" ht="20.149999999999999" customHeight="1" x14ac:dyDescent="0.35">
      <c r="B35" s="152"/>
      <c r="C35" s="152"/>
      <c r="D35" s="152"/>
      <c r="E35" s="152"/>
      <c r="F35" s="152"/>
      <c r="G35" s="152"/>
      <c r="H35" s="317" t="str">
        <f>Kuitansi!H28</f>
        <v>NIP. 20030629 202603 2 001</v>
      </c>
      <c r="I35" s="317"/>
      <c r="J35" s="317"/>
      <c r="K35" s="317"/>
      <c r="L35" s="130"/>
      <c r="M35" s="130"/>
    </row>
    <row r="36" spans="2:13" ht="15.5" x14ac:dyDescent="0.35">
      <c r="B36" s="130"/>
      <c r="C36" s="130"/>
      <c r="D36" s="130"/>
      <c r="E36" s="130"/>
      <c r="F36" s="130"/>
      <c r="G36" s="130"/>
      <c r="H36" s="130"/>
      <c r="I36" s="130"/>
      <c r="J36" s="130"/>
      <c r="K36" s="130"/>
      <c r="L36" s="130"/>
      <c r="M36" s="130"/>
    </row>
    <row r="37" spans="2:13" ht="15.5" x14ac:dyDescent="0.35">
      <c r="B37" s="133"/>
    </row>
  </sheetData>
  <mergeCells count="19">
    <mergeCell ref="H34:K34"/>
    <mergeCell ref="H30:K30"/>
    <mergeCell ref="H35:K35"/>
    <mergeCell ref="B11:C11"/>
    <mergeCell ref="E11:K11"/>
    <mergeCell ref="B12:K12"/>
    <mergeCell ref="B13:K26"/>
    <mergeCell ref="H29:K29"/>
    <mergeCell ref="B4:K4"/>
    <mergeCell ref="B5:K5"/>
    <mergeCell ref="D6:E6"/>
    <mergeCell ref="B7:K7"/>
    <mergeCell ref="M8:P10"/>
    <mergeCell ref="B8:C8"/>
    <mergeCell ref="E8:K8"/>
    <mergeCell ref="B9:C9"/>
    <mergeCell ref="E9:K9"/>
    <mergeCell ref="B10:C10"/>
    <mergeCell ref="E10:K10"/>
  </mergeCells>
  <printOptions horizontalCentere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9F93-738E-4424-ABD2-FC1DC2B1A66C}">
  <sheetPr>
    <pageSetUpPr fitToPage="1"/>
  </sheetPr>
  <dimension ref="B1:S38"/>
  <sheetViews>
    <sheetView view="pageBreakPreview" zoomScaleNormal="100" zoomScaleSheetLayoutView="100" workbookViewId="0">
      <selection activeCell="B27" sqref="B27"/>
    </sheetView>
  </sheetViews>
  <sheetFormatPr defaultRowHeight="14.5" x14ac:dyDescent="0.35"/>
  <cols>
    <col min="2" max="2" width="3.54296875" customWidth="1"/>
    <col min="3" max="3" width="13.7265625" customWidth="1"/>
    <col min="4" max="4" width="2" customWidth="1"/>
    <col min="5" max="5" width="9.1796875" customWidth="1"/>
    <col min="16" max="16" width="62" bestFit="1" customWidth="1"/>
    <col min="17" max="17" width="29" bestFit="1" customWidth="1"/>
    <col min="18" max="18" width="24.7265625" bestFit="1" customWidth="1"/>
  </cols>
  <sheetData>
    <row r="1" spans="2:19" x14ac:dyDescent="0.35">
      <c r="B1" s="184"/>
      <c r="C1" s="184"/>
      <c r="D1" s="184"/>
      <c r="E1" s="184"/>
      <c r="F1" s="184"/>
      <c r="G1" s="184"/>
      <c r="H1" s="184"/>
      <c r="I1" s="184"/>
      <c r="J1" s="184"/>
      <c r="K1" s="184"/>
    </row>
    <row r="2" spans="2:19" ht="15.5" x14ac:dyDescent="0.35">
      <c r="B2" s="184"/>
      <c r="C2" s="184"/>
      <c r="D2" s="184"/>
      <c r="E2" s="184"/>
      <c r="F2" s="184"/>
      <c r="G2" s="184"/>
      <c r="H2" s="184"/>
      <c r="I2" s="184"/>
      <c r="J2" s="184"/>
      <c r="K2" s="184"/>
      <c r="L2" s="131"/>
      <c r="M2" s="130"/>
      <c r="N2" s="135"/>
      <c r="O2" s="136"/>
      <c r="P2" s="136"/>
      <c r="Q2" s="136"/>
      <c r="R2" s="136"/>
      <c r="S2" s="136"/>
    </row>
    <row r="3" spans="2:19" ht="17.5" x14ac:dyDescent="0.35">
      <c r="B3" s="184"/>
      <c r="C3" s="184"/>
      <c r="D3" s="184"/>
      <c r="E3" s="184"/>
      <c r="F3" s="184"/>
      <c r="G3" s="184"/>
      <c r="H3" s="184"/>
      <c r="I3" s="184"/>
      <c r="J3" s="184"/>
      <c r="K3" s="184"/>
      <c r="L3" s="131"/>
      <c r="M3" s="130"/>
      <c r="N3" s="135"/>
      <c r="O3" s="136"/>
      <c r="P3" s="137"/>
      <c r="Q3" s="136"/>
      <c r="R3" s="136"/>
      <c r="S3" s="136"/>
    </row>
    <row r="4" spans="2:19" ht="17.5" x14ac:dyDescent="0.35">
      <c r="B4" s="377" t="s">
        <v>191</v>
      </c>
      <c r="C4" s="377"/>
      <c r="D4" s="377"/>
      <c r="E4" s="377"/>
      <c r="F4" s="377"/>
      <c r="G4" s="377"/>
      <c r="H4" s="377"/>
      <c r="I4" s="377"/>
      <c r="J4" s="377"/>
      <c r="K4" s="377"/>
      <c r="L4" s="130"/>
      <c r="M4" s="130"/>
      <c r="N4" s="135"/>
      <c r="O4" s="136"/>
      <c r="P4" s="137"/>
      <c r="Q4" s="136"/>
      <c r="R4" s="136"/>
      <c r="S4" s="136"/>
    </row>
    <row r="5" spans="2:19" ht="28.5" customHeight="1" x14ac:dyDescent="0.35">
      <c r="B5" s="377" t="s">
        <v>194</v>
      </c>
      <c r="C5" s="377"/>
      <c r="D5" s="377"/>
      <c r="E5" s="377"/>
      <c r="F5" s="377"/>
      <c r="G5" s="377"/>
      <c r="H5" s="377"/>
      <c r="I5" s="377"/>
      <c r="J5" s="377"/>
      <c r="K5" s="377"/>
      <c r="L5" s="130"/>
      <c r="M5" s="130"/>
      <c r="N5" s="135"/>
      <c r="O5" s="136"/>
      <c r="P5" s="138"/>
      <c r="Q5" s="136"/>
      <c r="R5" s="136"/>
      <c r="S5" s="136"/>
    </row>
    <row r="6" spans="2:19" ht="15.5" x14ac:dyDescent="0.35">
      <c r="B6" s="203"/>
      <c r="C6" s="204"/>
      <c r="D6" s="315"/>
      <c r="E6" s="315"/>
      <c r="F6" s="204"/>
      <c r="G6" s="204"/>
      <c r="H6" s="204"/>
      <c r="I6" s="204"/>
      <c r="J6" s="204"/>
      <c r="K6" s="204"/>
      <c r="L6" s="130"/>
      <c r="M6" s="130"/>
      <c r="N6" s="135"/>
      <c r="O6" s="136"/>
      <c r="P6" s="138"/>
      <c r="Q6" s="136"/>
      <c r="R6" s="136"/>
      <c r="S6" s="136"/>
    </row>
    <row r="7" spans="2:19" ht="20.25" customHeight="1" x14ac:dyDescent="0.35">
      <c r="B7" s="310" t="s">
        <v>195</v>
      </c>
      <c r="C7" s="310"/>
      <c r="D7" s="310"/>
      <c r="E7" s="310"/>
      <c r="F7" s="310"/>
      <c r="G7" s="310"/>
      <c r="H7" s="310"/>
      <c r="I7" s="310"/>
      <c r="J7" s="310"/>
      <c r="K7" s="310"/>
      <c r="L7" s="130"/>
      <c r="M7" s="375" t="s">
        <v>200</v>
      </c>
      <c r="N7" s="375"/>
      <c r="O7" s="375"/>
      <c r="P7" s="375"/>
      <c r="Q7" s="136"/>
      <c r="R7" s="136"/>
      <c r="S7" s="136"/>
    </row>
    <row r="8" spans="2:19" ht="15.75" customHeight="1" x14ac:dyDescent="0.35">
      <c r="B8" s="310" t="s">
        <v>184</v>
      </c>
      <c r="C8" s="310"/>
      <c r="D8" s="195" t="s">
        <v>66</v>
      </c>
      <c r="E8" s="311" t="str">
        <f>DATA!D6</f>
        <v>Luthfiani Nur Aisyah, S.Tr.Stat.</v>
      </c>
      <c r="F8" s="311"/>
      <c r="G8" s="311"/>
      <c r="H8" s="311"/>
      <c r="I8" s="311"/>
      <c r="J8" s="311"/>
      <c r="K8" s="311"/>
      <c r="L8" s="130"/>
      <c r="M8" s="375"/>
      <c r="N8" s="375"/>
      <c r="O8" s="375"/>
      <c r="P8" s="375"/>
      <c r="Q8" s="136"/>
      <c r="R8" s="139"/>
      <c r="S8" s="136"/>
    </row>
    <row r="9" spans="2:19" ht="15.75" customHeight="1" x14ac:dyDescent="0.35">
      <c r="B9" s="310" t="s">
        <v>185</v>
      </c>
      <c r="C9" s="310"/>
      <c r="D9" s="195" t="s">
        <v>3</v>
      </c>
      <c r="E9" s="378" t="str">
        <f>DATA!D7</f>
        <v>20030629 202603 2 001</v>
      </c>
      <c r="F9" s="311"/>
      <c r="G9" s="311"/>
      <c r="H9" s="311"/>
      <c r="I9" s="311"/>
      <c r="J9" s="311"/>
      <c r="K9" s="311"/>
      <c r="L9" s="130"/>
      <c r="M9" s="375"/>
      <c r="N9" s="375"/>
      <c r="O9" s="375"/>
      <c r="P9" s="375"/>
      <c r="Q9" s="136"/>
      <c r="R9" s="139"/>
      <c r="S9" s="136"/>
    </row>
    <row r="10" spans="2:19" ht="15.75" customHeight="1" x14ac:dyDescent="0.35">
      <c r="B10" s="310" t="s">
        <v>206</v>
      </c>
      <c r="C10" s="310"/>
      <c r="D10" s="195" t="s">
        <v>3</v>
      </c>
      <c r="E10" s="378" t="str">
        <f>DATA!D9</f>
        <v>Penata Muda / III/a</v>
      </c>
      <c r="F10" s="311"/>
      <c r="G10" s="311"/>
      <c r="H10" s="311"/>
      <c r="I10" s="311"/>
      <c r="J10" s="311"/>
      <c r="K10" s="311"/>
      <c r="L10" s="130"/>
      <c r="M10" s="141"/>
      <c r="N10" s="141"/>
      <c r="O10" s="141"/>
      <c r="P10" s="141"/>
      <c r="Q10" s="136"/>
      <c r="R10" s="139"/>
      <c r="S10" s="136"/>
    </row>
    <row r="11" spans="2:19" ht="15.75" customHeight="1" x14ac:dyDescent="0.35">
      <c r="B11" s="310" t="s">
        <v>193</v>
      </c>
      <c r="C11" s="310"/>
      <c r="D11" s="195" t="s">
        <v>3</v>
      </c>
      <c r="E11" s="311" t="s">
        <v>33</v>
      </c>
      <c r="F11" s="311"/>
      <c r="G11" s="311"/>
      <c r="H11" s="311"/>
      <c r="I11" s="311"/>
      <c r="J11" s="311"/>
      <c r="K11" s="311"/>
      <c r="L11" s="130"/>
      <c r="M11" s="130"/>
      <c r="N11" s="135"/>
      <c r="O11" s="136"/>
      <c r="P11" s="139"/>
      <c r="Q11" s="139"/>
      <c r="R11" s="136"/>
      <c r="S11" s="136"/>
    </row>
    <row r="12" spans="2:19" ht="15.75" customHeight="1" x14ac:dyDescent="0.35">
      <c r="B12" s="311" t="s">
        <v>165</v>
      </c>
      <c r="C12" s="311"/>
      <c r="D12" s="155" t="s">
        <v>3</v>
      </c>
      <c r="E12" s="379" t="str">
        <f>DATA!D8</f>
        <v>Pelaksana</v>
      </c>
      <c r="F12" s="379"/>
      <c r="G12" s="379"/>
      <c r="H12" s="379"/>
      <c r="I12" s="379"/>
      <c r="J12" s="379"/>
      <c r="K12" s="379"/>
      <c r="L12" s="130"/>
      <c r="M12" s="130"/>
      <c r="N12" s="135"/>
      <c r="O12" s="136"/>
      <c r="P12" s="139"/>
      <c r="Q12" s="136"/>
      <c r="R12" s="139"/>
      <c r="S12" s="136"/>
    </row>
    <row r="13" spans="2:19" ht="15.5" x14ac:dyDescent="0.35">
      <c r="B13" s="310"/>
      <c r="C13" s="310"/>
      <c r="D13" s="310"/>
      <c r="E13" s="310"/>
      <c r="F13" s="310"/>
      <c r="G13" s="310"/>
      <c r="H13" s="310"/>
      <c r="I13" s="310"/>
      <c r="J13" s="310"/>
      <c r="K13" s="310"/>
      <c r="L13" s="130"/>
      <c r="M13" s="130"/>
      <c r="N13" s="135"/>
      <c r="O13" s="136"/>
      <c r="P13" s="139"/>
      <c r="Q13" s="136"/>
      <c r="R13" s="136"/>
      <c r="S13" s="136"/>
    </row>
    <row r="14" spans="2:19" ht="20.149999999999999" customHeight="1" x14ac:dyDescent="0.35">
      <c r="B14" s="328" t="str">
        <f>_xlfn.CONCAT("Menerangkan bahwa selama melaksanakan perjalanan dinas dalam rangka ",DATA!D11," pada tanggal ",DATA!D12,", saya benar-benar tidak menginap di hotel atau jasa akomodasi komersial lainnya.","
Demikian pernyataan ini saya buat dengan sebenar-benarnya untuk dipergunakan sebagaimana mestinya. ","Apabila terdapat kekeliruan dalam pertanggung jawaban SPD dan mengakibatkan kerugian negara, saya"," bersedia dituntut sesuai peraturan yang berlaku dan mengembalikan biaya kompensasi menginap di hotel atau jasa akomodasi komersial lainnya yang sudah terlanjur saya terima ke kas negara.")</f>
        <v>Menerangkan bahwa selama melaksanakan perjalanan dinas dalam rangka Melakukan Pengawasan Pendataan Sakernas Agustus 2026 di Desa Juking Supan pada tanggal 15 Agustus 2026 s.d. 15 Agustus 2026, saya benar-benar tidak menginap di hotel atau jasa akomodasi komersial lainnya.
Demikian pernyataan ini saya buat dengan sebenar-benarnya untuk dipergunakan sebagaimana mestinya. Apabila terdapat kekeliruan dalam pertanggung jawaban SPD dan mengakibatkan kerugian negara, saya bersedia dituntut sesuai peraturan yang berlaku dan mengembalikan biaya kompensasi menginap di hotel atau jasa akomodasi komersial lainnya yang sudah terlanjur saya terima ke kas negara.</v>
      </c>
      <c r="C14" s="328"/>
      <c r="D14" s="328"/>
      <c r="E14" s="328"/>
      <c r="F14" s="328"/>
      <c r="G14" s="328"/>
      <c r="H14" s="328"/>
      <c r="I14" s="328"/>
      <c r="J14" s="328"/>
      <c r="K14" s="328"/>
      <c r="L14" s="130"/>
      <c r="M14" s="130"/>
      <c r="N14" s="135"/>
      <c r="O14" s="136"/>
      <c r="P14" s="139"/>
      <c r="Q14" s="136"/>
      <c r="R14" s="136"/>
      <c r="S14" s="136"/>
    </row>
    <row r="15" spans="2:19" ht="12.75" customHeight="1" x14ac:dyDescent="0.35">
      <c r="B15" s="328"/>
      <c r="C15" s="328"/>
      <c r="D15" s="328"/>
      <c r="E15" s="328"/>
      <c r="F15" s="328"/>
      <c r="G15" s="328"/>
      <c r="H15" s="328"/>
      <c r="I15" s="328"/>
      <c r="J15" s="328"/>
      <c r="K15" s="328"/>
      <c r="L15" s="130"/>
      <c r="M15" s="130"/>
      <c r="N15" s="135"/>
      <c r="O15" s="136"/>
      <c r="P15" s="139"/>
      <c r="Q15" s="136"/>
      <c r="R15" s="136"/>
      <c r="S15" s="136"/>
    </row>
    <row r="16" spans="2:19" ht="5.25" hidden="1" customHeight="1" x14ac:dyDescent="0.35">
      <c r="B16" s="328"/>
      <c r="C16" s="328"/>
      <c r="D16" s="328"/>
      <c r="E16" s="328"/>
      <c r="F16" s="328"/>
      <c r="G16" s="328"/>
      <c r="H16" s="328"/>
      <c r="I16" s="328"/>
      <c r="J16" s="328"/>
      <c r="K16" s="328"/>
      <c r="L16" s="130"/>
      <c r="M16" s="130"/>
      <c r="N16" s="135"/>
      <c r="O16" s="136"/>
      <c r="P16" s="139"/>
      <c r="Q16" s="136"/>
      <c r="R16" s="136"/>
      <c r="S16" s="136"/>
    </row>
    <row r="17" spans="2:19" ht="15.75" hidden="1" customHeight="1" x14ac:dyDescent="0.35">
      <c r="B17" s="328"/>
      <c r="C17" s="328"/>
      <c r="D17" s="328"/>
      <c r="E17" s="328"/>
      <c r="F17" s="328"/>
      <c r="G17" s="328"/>
      <c r="H17" s="328"/>
      <c r="I17" s="328"/>
      <c r="J17" s="328"/>
      <c r="K17" s="328"/>
      <c r="L17" s="130"/>
      <c r="M17" s="130"/>
      <c r="N17" s="135"/>
      <c r="O17" s="136"/>
      <c r="P17" s="139"/>
      <c r="Q17" s="136"/>
      <c r="R17" s="136"/>
      <c r="S17" s="136"/>
    </row>
    <row r="18" spans="2:19" ht="27" hidden="1" customHeight="1" x14ac:dyDescent="0.35">
      <c r="B18" s="328"/>
      <c r="C18" s="328"/>
      <c r="D18" s="328"/>
      <c r="E18" s="328"/>
      <c r="F18" s="328"/>
      <c r="G18" s="328"/>
      <c r="H18" s="328"/>
      <c r="I18" s="328"/>
      <c r="J18" s="328"/>
      <c r="K18" s="328"/>
      <c r="L18" s="130"/>
      <c r="M18" s="130"/>
      <c r="N18" s="135"/>
      <c r="O18" s="136"/>
      <c r="P18" s="139"/>
      <c r="Q18" s="136"/>
      <c r="R18" s="136"/>
      <c r="S18" s="136"/>
    </row>
    <row r="19" spans="2:19" ht="15" customHeight="1" x14ac:dyDescent="0.35">
      <c r="B19" s="328"/>
      <c r="C19" s="328"/>
      <c r="D19" s="328"/>
      <c r="E19" s="328"/>
      <c r="F19" s="328"/>
      <c r="G19" s="328"/>
      <c r="H19" s="328"/>
      <c r="I19" s="328"/>
      <c r="J19" s="328"/>
      <c r="K19" s="328"/>
      <c r="L19" s="130"/>
      <c r="M19" s="130"/>
      <c r="N19" s="135"/>
      <c r="O19" s="136"/>
      <c r="P19" s="139"/>
      <c r="Q19" s="136"/>
      <c r="R19" s="136"/>
      <c r="S19" s="136"/>
    </row>
    <row r="20" spans="2:19" ht="20.149999999999999" customHeight="1" x14ac:dyDescent="0.35">
      <c r="B20" s="328"/>
      <c r="C20" s="328"/>
      <c r="D20" s="328"/>
      <c r="E20" s="328"/>
      <c r="F20" s="328"/>
      <c r="G20" s="328"/>
      <c r="H20" s="328"/>
      <c r="I20" s="328"/>
      <c r="J20" s="328"/>
      <c r="K20" s="328"/>
      <c r="L20" s="130"/>
      <c r="M20" s="130"/>
      <c r="N20" s="135"/>
      <c r="O20" s="136"/>
      <c r="P20" s="139"/>
      <c r="Q20" s="136"/>
      <c r="R20" s="136"/>
      <c r="S20" s="136"/>
    </row>
    <row r="21" spans="2:19" ht="20.149999999999999" customHeight="1" x14ac:dyDescent="0.35">
      <c r="B21" s="328"/>
      <c r="C21" s="328"/>
      <c r="D21" s="328"/>
      <c r="E21" s="328"/>
      <c r="F21" s="328"/>
      <c r="G21" s="328"/>
      <c r="H21" s="328"/>
      <c r="I21" s="328"/>
      <c r="J21" s="328"/>
      <c r="K21" s="328"/>
      <c r="L21" s="130"/>
      <c r="M21" s="130"/>
      <c r="N21" s="135"/>
      <c r="O21" s="136"/>
      <c r="P21" s="139"/>
      <c r="Q21" s="136"/>
      <c r="R21" s="136"/>
      <c r="S21" s="136"/>
    </row>
    <row r="22" spans="2:19" ht="20.149999999999999" customHeight="1" x14ac:dyDescent="0.35">
      <c r="B22" s="328"/>
      <c r="C22" s="328"/>
      <c r="D22" s="328"/>
      <c r="E22" s="328"/>
      <c r="F22" s="328"/>
      <c r="G22" s="328"/>
      <c r="H22" s="328"/>
      <c r="I22" s="328"/>
      <c r="J22" s="328"/>
      <c r="K22" s="328"/>
      <c r="L22" s="130"/>
      <c r="M22" s="130"/>
      <c r="N22" s="135"/>
      <c r="O22" s="136"/>
      <c r="P22" s="139"/>
      <c r="Q22" s="136"/>
      <c r="R22" s="136"/>
      <c r="S22" s="136"/>
    </row>
    <row r="23" spans="2:19" ht="38.25" customHeight="1" x14ac:dyDescent="0.35">
      <c r="B23" s="328"/>
      <c r="C23" s="328"/>
      <c r="D23" s="328"/>
      <c r="E23" s="328"/>
      <c r="F23" s="328"/>
      <c r="G23" s="328"/>
      <c r="H23" s="328"/>
      <c r="I23" s="328"/>
      <c r="J23" s="328"/>
      <c r="K23" s="328"/>
      <c r="L23" s="130"/>
      <c r="M23" s="130"/>
      <c r="N23" s="135"/>
      <c r="O23" s="136"/>
      <c r="P23" s="139"/>
      <c r="Q23" s="136"/>
      <c r="R23" s="136"/>
      <c r="S23" s="136"/>
    </row>
    <row r="24" spans="2:19" ht="19.5" hidden="1" customHeight="1" x14ac:dyDescent="0.35">
      <c r="B24" s="328"/>
      <c r="C24" s="328"/>
      <c r="D24" s="328"/>
      <c r="E24" s="328"/>
      <c r="F24" s="328"/>
      <c r="G24" s="328"/>
      <c r="H24" s="328"/>
      <c r="I24" s="328"/>
      <c r="J24" s="328"/>
      <c r="K24" s="328"/>
      <c r="L24" s="130"/>
      <c r="M24" s="130"/>
      <c r="N24" s="135"/>
      <c r="O24" s="136"/>
      <c r="P24" s="139"/>
      <c r="Q24" s="136"/>
      <c r="R24" s="136"/>
      <c r="S24" s="136"/>
    </row>
    <row r="25" spans="2:19" ht="4.5" customHeight="1" x14ac:dyDescent="0.35">
      <c r="B25" s="328"/>
      <c r="C25" s="328"/>
      <c r="D25" s="328"/>
      <c r="E25" s="328"/>
      <c r="F25" s="328"/>
      <c r="G25" s="328"/>
      <c r="H25" s="328"/>
      <c r="I25" s="328"/>
      <c r="J25" s="328"/>
      <c r="K25" s="328"/>
      <c r="L25" s="130"/>
      <c r="M25" s="130"/>
      <c r="N25" s="135"/>
      <c r="O25" s="136"/>
      <c r="P25" s="136"/>
      <c r="Q25" s="136"/>
      <c r="R25" s="136"/>
      <c r="S25" s="136"/>
    </row>
    <row r="26" spans="2:19" ht="20.149999999999999" customHeight="1" x14ac:dyDescent="0.35">
      <c r="B26" s="328"/>
      <c r="C26" s="328"/>
      <c r="D26" s="328"/>
      <c r="E26" s="328"/>
      <c r="F26" s="328"/>
      <c r="G26" s="328"/>
      <c r="H26" s="328"/>
      <c r="I26" s="328"/>
      <c r="J26" s="328"/>
      <c r="K26" s="328"/>
      <c r="L26" s="130"/>
      <c r="M26" s="130"/>
      <c r="N26" s="135"/>
      <c r="O26" s="136"/>
      <c r="P26" s="136"/>
      <c r="Q26" s="136"/>
      <c r="R26" s="136"/>
      <c r="S26" s="136"/>
    </row>
    <row r="27" spans="2:19" ht="0.75" customHeight="1" x14ac:dyDescent="0.35">
      <c r="B27" s="152"/>
      <c r="C27" s="152"/>
      <c r="D27" s="152"/>
      <c r="E27" s="152"/>
      <c r="F27" s="152"/>
      <c r="G27" s="152"/>
      <c r="H27" s="152"/>
      <c r="I27" s="152"/>
      <c r="J27" s="152"/>
      <c r="K27" s="152"/>
      <c r="L27" s="130"/>
      <c r="M27" s="130"/>
      <c r="N27" s="135"/>
      <c r="O27" s="136"/>
      <c r="P27" s="136"/>
      <c r="Q27" s="136"/>
      <c r="R27" s="136"/>
      <c r="S27" s="136"/>
    </row>
    <row r="28" spans="2:19" ht="0.75" customHeight="1" x14ac:dyDescent="0.35">
      <c r="B28" s="152"/>
      <c r="C28" s="152"/>
      <c r="D28" s="152"/>
      <c r="E28" s="152"/>
      <c r="F28" s="152"/>
      <c r="G28" s="152"/>
      <c r="H28" s="152"/>
      <c r="I28" s="152"/>
      <c r="J28" s="152"/>
      <c r="K28" s="152"/>
      <c r="L28" s="130"/>
      <c r="M28" s="130"/>
      <c r="N28" s="135"/>
      <c r="O28" s="136"/>
      <c r="P28" s="136"/>
      <c r="Q28" s="136"/>
      <c r="R28" s="136"/>
      <c r="S28" s="136"/>
    </row>
    <row r="29" spans="2:19" ht="15.5" x14ac:dyDescent="0.35">
      <c r="B29" s="156"/>
      <c r="C29" s="204"/>
      <c r="D29" s="204"/>
      <c r="E29" s="204"/>
      <c r="F29" s="204"/>
      <c r="G29" s="204"/>
      <c r="H29" s="204"/>
      <c r="I29" s="204"/>
      <c r="J29" s="204"/>
      <c r="K29" s="204"/>
      <c r="L29" s="130"/>
      <c r="M29" s="130"/>
      <c r="O29" s="134"/>
      <c r="P29" s="134"/>
      <c r="Q29" s="134"/>
      <c r="R29" s="134"/>
      <c r="S29" s="134"/>
    </row>
    <row r="30" spans="2:19" ht="20.149999999999999" customHeight="1" x14ac:dyDescent="0.35">
      <c r="B30" s="152"/>
      <c r="C30" s="152"/>
      <c r="D30" s="152"/>
      <c r="E30" s="152"/>
      <c r="F30" s="152"/>
      <c r="G30" s="152"/>
      <c r="H30" s="317" t="str">
        <f>Kuitansi!H19</f>
        <v>Puruk Cahu, 18 Agustus 2026</v>
      </c>
      <c r="I30" s="317"/>
      <c r="J30" s="317"/>
      <c r="K30" s="317"/>
      <c r="L30" s="130"/>
      <c r="M30" s="130"/>
    </row>
    <row r="31" spans="2:19" ht="20.149999999999999" customHeight="1" x14ac:dyDescent="0.35">
      <c r="B31" s="152"/>
      <c r="C31" s="152"/>
      <c r="D31" s="152"/>
      <c r="E31" s="152"/>
      <c r="F31" s="152"/>
      <c r="G31" s="152"/>
      <c r="H31" s="317" t="s">
        <v>190</v>
      </c>
      <c r="I31" s="317"/>
      <c r="J31" s="317"/>
      <c r="K31" s="317"/>
      <c r="L31" s="130"/>
      <c r="M31" s="130"/>
    </row>
    <row r="32" spans="2:19" ht="15.5" x14ac:dyDescent="0.35">
      <c r="B32" s="195"/>
      <c r="C32" s="204"/>
      <c r="D32" s="204"/>
      <c r="E32" s="204"/>
      <c r="F32" s="204"/>
      <c r="G32" s="204"/>
      <c r="H32" s="204"/>
      <c r="I32" s="204"/>
      <c r="J32" s="204"/>
      <c r="K32" s="204"/>
      <c r="L32" s="130"/>
      <c r="M32" s="130"/>
    </row>
    <row r="33" spans="2:13" ht="15.5" x14ac:dyDescent="0.35">
      <c r="B33" s="155"/>
      <c r="C33" s="204"/>
      <c r="D33" s="204"/>
      <c r="E33" s="204"/>
      <c r="F33" s="204"/>
      <c r="G33" s="204"/>
      <c r="H33" s="204"/>
      <c r="I33" s="204"/>
      <c r="J33" s="204"/>
      <c r="K33" s="204"/>
      <c r="L33" s="130"/>
      <c r="M33" s="130"/>
    </row>
    <row r="34" spans="2:13" ht="15.5" x14ac:dyDescent="0.35">
      <c r="B34" s="155"/>
      <c r="C34" s="204"/>
      <c r="D34" s="204"/>
      <c r="E34" s="204"/>
      <c r="F34" s="204"/>
      <c r="G34" s="204"/>
      <c r="H34" s="204"/>
      <c r="I34" s="204"/>
      <c r="J34" s="204"/>
      <c r="K34" s="204"/>
      <c r="L34" s="130"/>
      <c r="M34" s="130"/>
    </row>
    <row r="35" spans="2:13" ht="20.149999999999999" customHeight="1" x14ac:dyDescent="0.35">
      <c r="B35" s="206"/>
      <c r="C35" s="206"/>
      <c r="D35" s="206"/>
      <c r="E35" s="206"/>
      <c r="F35" s="206"/>
      <c r="G35" s="206"/>
      <c r="H35" s="319" t="str">
        <f>Kuitansi!H27</f>
        <v>Luthfiani Nur Aisyah, S.Tr.Stat.</v>
      </c>
      <c r="I35" s="319"/>
      <c r="J35" s="319"/>
      <c r="K35" s="319"/>
      <c r="L35" s="130"/>
      <c r="M35" s="130"/>
    </row>
    <row r="36" spans="2:13" ht="20.149999999999999" customHeight="1" x14ac:dyDescent="0.35">
      <c r="B36" s="152"/>
      <c r="C36" s="152"/>
      <c r="D36" s="152"/>
      <c r="E36" s="152"/>
      <c r="F36" s="152"/>
      <c r="G36" s="152"/>
      <c r="H36" s="317" t="str">
        <f>Kuitansi!H28</f>
        <v>NIP. 20030629 202603 2 001</v>
      </c>
      <c r="I36" s="317"/>
      <c r="J36" s="317"/>
      <c r="K36" s="317"/>
      <c r="L36" s="130"/>
      <c r="M36" s="130"/>
    </row>
    <row r="37" spans="2:13" ht="15.5" x14ac:dyDescent="0.35">
      <c r="B37" s="130"/>
      <c r="C37" s="130"/>
      <c r="D37" s="130"/>
      <c r="E37" s="130"/>
      <c r="F37" s="130"/>
      <c r="G37" s="130"/>
      <c r="H37" s="130"/>
      <c r="I37" s="130"/>
      <c r="J37" s="130"/>
      <c r="K37" s="130"/>
      <c r="L37" s="130"/>
      <c r="M37" s="130"/>
    </row>
    <row r="38" spans="2:13" ht="15.5" x14ac:dyDescent="0.35">
      <c r="B38" s="133"/>
    </row>
  </sheetData>
  <mergeCells count="21">
    <mergeCell ref="B10:C10"/>
    <mergeCell ref="E10:K10"/>
    <mergeCell ref="B14:K26"/>
    <mergeCell ref="H35:K35"/>
    <mergeCell ref="H36:K36"/>
    <mergeCell ref="H31:K31"/>
    <mergeCell ref="H30:K30"/>
    <mergeCell ref="B11:C11"/>
    <mergeCell ref="E11:K11"/>
    <mergeCell ref="B12:C12"/>
    <mergeCell ref="E12:K12"/>
    <mergeCell ref="B13:K13"/>
    <mergeCell ref="M7:P9"/>
    <mergeCell ref="B4:K4"/>
    <mergeCell ref="B5:K5"/>
    <mergeCell ref="D6:E6"/>
    <mergeCell ref="B7:K7"/>
    <mergeCell ref="B8:C8"/>
    <mergeCell ref="E8:K8"/>
    <mergeCell ref="B9:C9"/>
    <mergeCell ref="E9:K9"/>
  </mergeCells>
  <printOptions horizontalCentere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0B352-4EB6-4FCA-88D7-C5C098A6C35E}">
  <dimension ref="A2:Q42"/>
  <sheetViews>
    <sheetView view="pageBreakPreview" topLeftCell="A16" zoomScaleNormal="100" zoomScaleSheetLayoutView="100" workbookViewId="0">
      <selection activeCell="C22" sqref="C22:J22"/>
    </sheetView>
  </sheetViews>
  <sheetFormatPr defaultRowHeight="14.5" x14ac:dyDescent="0.35"/>
  <cols>
    <col min="3" max="3" width="2.7265625" customWidth="1"/>
  </cols>
  <sheetData>
    <row r="2" spans="1:10" ht="20" x14ac:dyDescent="0.35">
      <c r="B2" s="189" t="s">
        <v>0</v>
      </c>
    </row>
    <row r="3" spans="1:10" ht="20" x14ac:dyDescent="0.35">
      <c r="B3" s="189" t="s">
        <v>197</v>
      </c>
    </row>
    <row r="4" spans="1:10" x14ac:dyDescent="0.35">
      <c r="B4" s="190" t="s">
        <v>238</v>
      </c>
    </row>
    <row r="5" spans="1:10" x14ac:dyDescent="0.35">
      <c r="B5" s="190" t="s">
        <v>239</v>
      </c>
    </row>
    <row r="6" spans="1:10" x14ac:dyDescent="0.35">
      <c r="B6" s="191"/>
    </row>
    <row r="7" spans="1:10" ht="15.5" x14ac:dyDescent="0.35">
      <c r="B7" s="124"/>
    </row>
    <row r="8" spans="1:10" x14ac:dyDescent="0.35">
      <c r="A8" s="184"/>
      <c r="B8" s="184"/>
      <c r="C8" s="184"/>
      <c r="D8" s="184"/>
      <c r="E8" s="184"/>
      <c r="F8" s="192" t="s">
        <v>191</v>
      </c>
      <c r="G8" s="184"/>
      <c r="H8" s="184"/>
      <c r="I8" s="184"/>
      <c r="J8" s="184"/>
    </row>
    <row r="9" spans="1:10" x14ac:dyDescent="0.35">
      <c r="A9" s="184"/>
      <c r="B9" s="184"/>
      <c r="C9" s="184"/>
      <c r="D9" s="184"/>
      <c r="E9" s="184"/>
      <c r="F9" s="192" t="s">
        <v>240</v>
      </c>
      <c r="G9" s="184"/>
      <c r="H9" s="184"/>
      <c r="I9" s="184"/>
      <c r="J9" s="184"/>
    </row>
    <row r="10" spans="1:10" x14ac:dyDescent="0.35">
      <c r="A10" s="184"/>
      <c r="B10" s="193"/>
      <c r="C10" s="184"/>
      <c r="D10" s="184"/>
      <c r="E10" s="184"/>
      <c r="F10" s="184"/>
      <c r="G10" s="184"/>
      <c r="H10" s="184"/>
      <c r="I10" s="184"/>
      <c r="J10" s="184"/>
    </row>
    <row r="11" spans="1:10" x14ac:dyDescent="0.35">
      <c r="A11" s="184"/>
      <c r="B11" s="193"/>
      <c r="C11" s="184"/>
      <c r="D11" s="184"/>
      <c r="E11" s="184"/>
      <c r="F11" s="184"/>
      <c r="G11" s="184"/>
      <c r="H11" s="184"/>
      <c r="I11" s="184"/>
      <c r="J11" s="184"/>
    </row>
    <row r="12" spans="1:10" x14ac:dyDescent="0.35">
      <c r="A12" s="184"/>
      <c r="B12" s="194" t="s">
        <v>195</v>
      </c>
      <c r="C12" s="184"/>
      <c r="D12" s="184"/>
      <c r="E12" s="184"/>
      <c r="F12" s="184"/>
      <c r="G12" s="184"/>
      <c r="H12" s="184"/>
      <c r="I12" s="184"/>
      <c r="J12" s="184"/>
    </row>
    <row r="13" spans="1:10" x14ac:dyDescent="0.35">
      <c r="A13" s="184"/>
      <c r="B13" s="194"/>
      <c r="C13" s="184"/>
      <c r="D13" s="184"/>
      <c r="E13" s="184"/>
      <c r="F13" s="184"/>
      <c r="G13" s="184"/>
      <c r="H13" s="184"/>
      <c r="I13" s="184"/>
      <c r="J13" s="184"/>
    </row>
    <row r="14" spans="1:10" x14ac:dyDescent="0.35">
      <c r="A14" s="184"/>
      <c r="B14" s="194" t="s">
        <v>184</v>
      </c>
      <c r="C14" s="194" t="s">
        <v>3</v>
      </c>
      <c r="D14" s="194" t="str">
        <f>Hotel!E8</f>
        <v>Luthfiani Nur Aisyah, S.Tr.Stat.</v>
      </c>
      <c r="E14" s="184"/>
      <c r="F14" s="184"/>
      <c r="G14" s="184"/>
      <c r="H14" s="184"/>
      <c r="I14" s="184"/>
      <c r="J14" s="184"/>
    </row>
    <row r="15" spans="1:10" x14ac:dyDescent="0.35">
      <c r="A15" s="184"/>
      <c r="B15" s="194" t="s">
        <v>185</v>
      </c>
      <c r="C15" s="194" t="s">
        <v>3</v>
      </c>
      <c r="D15" s="197" t="str">
        <f>Hotel!E9</f>
        <v>20030629 202603 2 001</v>
      </c>
      <c r="E15" s="184"/>
      <c r="F15" s="184"/>
      <c r="G15" s="184"/>
      <c r="H15" s="184"/>
      <c r="I15" s="184"/>
      <c r="J15" s="184"/>
    </row>
    <row r="16" spans="1:10" x14ac:dyDescent="0.35">
      <c r="A16" s="184"/>
      <c r="B16" s="194" t="s">
        <v>165</v>
      </c>
      <c r="C16" s="194" t="s">
        <v>3</v>
      </c>
      <c r="D16" s="194" t="str">
        <f>Hotel!E12</f>
        <v>Pelaksana</v>
      </c>
      <c r="E16" s="184"/>
      <c r="F16" s="184"/>
      <c r="G16" s="184"/>
      <c r="H16" s="184"/>
      <c r="I16" s="184"/>
      <c r="J16" s="184"/>
    </row>
    <row r="17" spans="1:17" x14ac:dyDescent="0.35">
      <c r="A17" s="184"/>
      <c r="B17" s="193"/>
      <c r="C17" s="184"/>
      <c r="D17" s="184"/>
      <c r="E17" s="184"/>
      <c r="F17" s="184"/>
      <c r="G17" s="184"/>
      <c r="H17" s="184"/>
      <c r="I17" s="184"/>
      <c r="J17" s="184"/>
    </row>
    <row r="18" spans="1:17" x14ac:dyDescent="0.35">
      <c r="A18" s="184"/>
      <c r="B18" s="194" t="s">
        <v>241</v>
      </c>
      <c r="C18" s="184"/>
      <c r="D18" s="184"/>
      <c r="E18" s="184"/>
      <c r="F18" s="184"/>
      <c r="G18" s="184"/>
      <c r="H18" s="184"/>
      <c r="I18" s="184"/>
      <c r="J18" s="184"/>
    </row>
    <row r="19" spans="1:17" ht="20.149999999999999" customHeight="1" x14ac:dyDescent="0.35">
      <c r="A19" s="184"/>
      <c r="B19" s="200" t="s">
        <v>114</v>
      </c>
      <c r="C19" s="381" t="str">
        <f>_xlfn.CONCAT("Telah terjadi keterlambatan mengajukan hak tagihan kepada Pejabat Pembuat Komitmen (PPK) BPS Kabupaten Murung Raya atas pelaksanaan perjalanan dinas ",DATA!D10," yang telah selesai dilaksanakan pada tanggal ",'Laporan v2'!E22,".")</f>
        <v>Telah terjadi keterlambatan mengajukan hak tagihan kepada Pejabat Pembuat Komitmen (PPK) BPS Kabupaten Murung Raya atas pelaksanaan perjalanan dinas Pengawasan Pendataan Sakernas Agustus 2026 yang telah selesai dilaksanakan pada tanggal 15 Agustus 2026 s.d. 15 Agustus 2026.</v>
      </c>
      <c r="D19" s="381"/>
      <c r="E19" s="381"/>
      <c r="F19" s="381"/>
      <c r="G19" s="381"/>
      <c r="H19" s="381"/>
      <c r="I19" s="381"/>
      <c r="J19" s="381"/>
      <c r="L19" s="380" t="s">
        <v>246</v>
      </c>
      <c r="M19" s="380"/>
      <c r="N19" s="380"/>
      <c r="O19" s="380"/>
      <c r="P19" s="380"/>
      <c r="Q19" s="380"/>
    </row>
    <row r="20" spans="1:17" ht="66" customHeight="1" x14ac:dyDescent="0.35">
      <c r="A20" s="184"/>
      <c r="B20" s="201"/>
      <c r="C20" s="381"/>
      <c r="D20" s="381"/>
      <c r="E20" s="381"/>
      <c r="F20" s="381"/>
      <c r="G20" s="381"/>
      <c r="H20" s="381"/>
      <c r="I20" s="381"/>
      <c r="J20" s="381"/>
      <c r="L20" s="380"/>
      <c r="M20" s="380"/>
      <c r="N20" s="380"/>
      <c r="O20" s="380"/>
      <c r="P20" s="380"/>
      <c r="Q20" s="380"/>
    </row>
    <row r="21" spans="1:17" ht="30" customHeight="1" x14ac:dyDescent="0.35">
      <c r="A21" s="184"/>
      <c r="B21" s="201"/>
      <c r="C21" s="381" t="str">
        <f>_xlfn.CONCAT("Berdasarkan ", 'Kuitansi v2'!E20:J20)</f>
        <v>Berdasarkan Surat Tugas Nomor: B-1122/62130/KU.340/2026 tanggal 13 Agustus 2026</v>
      </c>
      <c r="D21" s="381"/>
      <c r="E21" s="381"/>
      <c r="F21" s="381"/>
      <c r="G21" s="381"/>
      <c r="H21" s="381"/>
      <c r="I21" s="381"/>
      <c r="J21" s="381"/>
      <c r="L21" s="208"/>
      <c r="M21" s="208"/>
      <c r="N21" s="208"/>
      <c r="O21" s="208"/>
      <c r="P21" s="208"/>
      <c r="Q21" s="208"/>
    </row>
    <row r="22" spans="1:17" ht="30" customHeight="1" x14ac:dyDescent="0.35">
      <c r="A22" s="184"/>
      <c r="B22" s="201"/>
      <c r="C22" s="381" t="str">
        <f>IF(DATA!D15&lt;&gt;"",_xlfn.CONCAT("dan ",'Kuitansi v2'!E21:J21),"")</f>
        <v>dan SPD Nomor: 231/62130/KU.340/2026 tanggal 13 Agustus 2026</v>
      </c>
      <c r="D22" s="381"/>
      <c r="E22" s="381"/>
      <c r="F22" s="381"/>
      <c r="G22" s="381"/>
      <c r="H22" s="381"/>
      <c r="I22" s="381"/>
      <c r="J22" s="381"/>
      <c r="L22" s="198"/>
      <c r="M22" s="198"/>
      <c r="N22" s="198"/>
      <c r="O22" s="198"/>
      <c r="P22" s="198"/>
      <c r="Q22" s="198"/>
    </row>
    <row r="23" spans="1:17" ht="27" customHeight="1" x14ac:dyDescent="0.35">
      <c r="A23" s="184"/>
      <c r="B23" s="200" t="s">
        <v>28</v>
      </c>
      <c r="C23" s="311" t="s">
        <v>251</v>
      </c>
      <c r="D23" s="311"/>
      <c r="E23" s="311"/>
      <c r="F23" s="311"/>
      <c r="G23" s="311"/>
      <c r="H23" s="311"/>
      <c r="I23" s="311"/>
      <c r="J23" s="311"/>
      <c r="K23" s="202" t="s">
        <v>247</v>
      </c>
      <c r="L23" s="382" t="s">
        <v>243</v>
      </c>
      <c r="M23" s="382"/>
      <c r="N23" s="382"/>
      <c r="O23" s="382"/>
      <c r="P23" s="382"/>
      <c r="Q23" s="382"/>
    </row>
    <row r="24" spans="1:17" ht="20.149999999999999" customHeight="1" x14ac:dyDescent="0.35">
      <c r="A24" s="184"/>
      <c r="B24" s="200" t="s">
        <v>105</v>
      </c>
      <c r="C24" s="381" t="s">
        <v>244</v>
      </c>
      <c r="D24" s="381"/>
      <c r="E24" s="381"/>
      <c r="F24" s="381"/>
      <c r="G24" s="381"/>
      <c r="H24" s="381"/>
      <c r="I24" s="381"/>
      <c r="J24" s="381"/>
    </row>
    <row r="25" spans="1:17" ht="45" customHeight="1" x14ac:dyDescent="0.35">
      <c r="A25" s="184"/>
      <c r="B25" s="152"/>
      <c r="C25" s="381"/>
      <c r="D25" s="381"/>
      <c r="E25" s="381"/>
      <c r="F25" s="381"/>
      <c r="G25" s="381"/>
      <c r="H25" s="381"/>
      <c r="I25" s="381"/>
      <c r="J25" s="381"/>
    </row>
    <row r="26" spans="1:17" ht="45" customHeight="1" x14ac:dyDescent="0.35">
      <c r="A26" s="184"/>
      <c r="B26" s="152"/>
      <c r="C26" s="381"/>
      <c r="D26" s="381"/>
      <c r="E26" s="381"/>
      <c r="F26" s="381"/>
      <c r="G26" s="381"/>
      <c r="H26" s="381"/>
      <c r="I26" s="381"/>
      <c r="J26" s="381"/>
    </row>
    <row r="27" spans="1:17" x14ac:dyDescent="0.35">
      <c r="A27" s="184"/>
      <c r="B27" s="194" t="s">
        <v>245</v>
      </c>
      <c r="C27" s="184"/>
      <c r="D27" s="184"/>
      <c r="E27" s="184"/>
      <c r="F27" s="184"/>
      <c r="G27" s="184"/>
      <c r="H27" s="184"/>
      <c r="I27" s="184"/>
      <c r="J27" s="184"/>
    </row>
    <row r="28" spans="1:17" x14ac:dyDescent="0.35">
      <c r="A28" s="184"/>
      <c r="B28" s="193"/>
      <c r="C28" s="184"/>
      <c r="D28" s="184"/>
      <c r="E28" s="184"/>
      <c r="F28" s="184"/>
      <c r="G28" s="184"/>
      <c r="H28" s="184"/>
      <c r="I28" s="184"/>
      <c r="J28" s="184"/>
    </row>
    <row r="29" spans="1:17" x14ac:dyDescent="0.35">
      <c r="A29" s="184"/>
      <c r="B29" s="193"/>
      <c r="C29" s="184"/>
      <c r="D29" s="184"/>
      <c r="E29" s="184"/>
      <c r="F29" s="184"/>
      <c r="G29" s="184"/>
      <c r="H29" s="184"/>
      <c r="I29" s="184"/>
      <c r="J29" s="184"/>
    </row>
    <row r="30" spans="1:17" x14ac:dyDescent="0.35">
      <c r="A30" s="184"/>
      <c r="B30" s="184"/>
      <c r="C30" s="184"/>
      <c r="D30" s="184"/>
      <c r="E30" s="184"/>
      <c r="F30" s="184"/>
      <c r="G30" s="184"/>
      <c r="H30" s="184"/>
      <c r="I30" s="184"/>
      <c r="J30" s="184"/>
    </row>
    <row r="31" spans="1:17" ht="15" customHeight="1" x14ac:dyDescent="0.35">
      <c r="A31" s="184"/>
      <c r="B31" s="152"/>
      <c r="C31" s="184"/>
      <c r="D31" s="184"/>
      <c r="E31" s="184"/>
      <c r="F31" s="184"/>
      <c r="G31" s="317" t="str">
        <f>Hotel!H30</f>
        <v>Puruk Cahu, 18 Agustus 2026</v>
      </c>
      <c r="H31" s="317"/>
      <c r="I31" s="317"/>
      <c r="J31" s="317"/>
    </row>
    <row r="32" spans="1:17" ht="15" customHeight="1" x14ac:dyDescent="0.35">
      <c r="A32" s="184"/>
      <c r="B32" s="152"/>
      <c r="C32" s="195"/>
      <c r="D32" s="195"/>
      <c r="E32" s="184"/>
      <c r="F32" s="184"/>
      <c r="G32" s="317" t="s">
        <v>242</v>
      </c>
      <c r="H32" s="317"/>
      <c r="I32" s="317"/>
      <c r="J32" s="317"/>
    </row>
    <row r="33" spans="1:10" x14ac:dyDescent="0.35">
      <c r="A33" s="184"/>
      <c r="B33" s="152"/>
      <c r="C33" s="195"/>
      <c r="D33" s="195"/>
      <c r="E33" s="184"/>
      <c r="F33" s="184"/>
      <c r="G33" s="184"/>
      <c r="H33" s="184"/>
      <c r="I33" s="184"/>
      <c r="J33" s="184"/>
    </row>
    <row r="34" spans="1:10" x14ac:dyDescent="0.35">
      <c r="A34" s="184"/>
      <c r="B34" s="152"/>
      <c r="C34" s="195"/>
      <c r="D34" s="195"/>
      <c r="E34" s="184"/>
      <c r="F34" s="184"/>
      <c r="G34" s="184"/>
      <c r="H34" s="184"/>
      <c r="I34" s="184"/>
      <c r="J34" s="184"/>
    </row>
    <row r="35" spans="1:10" x14ac:dyDescent="0.35">
      <c r="A35" s="184"/>
      <c r="B35" s="152"/>
      <c r="C35" s="195"/>
      <c r="D35" s="195"/>
      <c r="E35" s="184"/>
      <c r="F35" s="184"/>
      <c r="G35" s="184"/>
      <c r="H35" s="184"/>
      <c r="I35" s="184"/>
      <c r="J35" s="184"/>
    </row>
    <row r="36" spans="1:10" ht="15" customHeight="1" x14ac:dyDescent="0.35">
      <c r="A36" s="184"/>
      <c r="B36" s="152"/>
      <c r="C36" s="196"/>
      <c r="D36" s="196"/>
      <c r="E36" s="184"/>
      <c r="F36" s="184"/>
      <c r="G36" s="319" t="str">
        <f>Hotel!H35</f>
        <v>Luthfiani Nur Aisyah, S.Tr.Stat.</v>
      </c>
      <c r="H36" s="319"/>
      <c r="I36" s="319"/>
      <c r="J36" s="319"/>
    </row>
    <row r="37" spans="1:10" ht="15" customHeight="1" x14ac:dyDescent="0.35">
      <c r="A37" s="184"/>
      <c r="B37" s="152"/>
      <c r="C37" s="195"/>
      <c r="D37" s="195"/>
      <c r="E37" s="184"/>
      <c r="F37" s="184"/>
      <c r="G37" s="317" t="str">
        <f>Hotel!H36</f>
        <v>NIP. 20030629 202603 2 001</v>
      </c>
      <c r="H37" s="317"/>
      <c r="I37" s="317"/>
      <c r="J37" s="317"/>
    </row>
    <row r="38" spans="1:10" x14ac:dyDescent="0.35">
      <c r="B38" s="193"/>
    </row>
    <row r="39" spans="1:10" x14ac:dyDescent="0.35">
      <c r="B39" s="193"/>
    </row>
    <row r="40" spans="1:10" x14ac:dyDescent="0.35">
      <c r="B40" s="194"/>
    </row>
    <row r="41" spans="1:10" x14ac:dyDescent="0.35">
      <c r="B41" s="194"/>
    </row>
    <row r="42" spans="1:10" x14ac:dyDescent="0.35">
      <c r="B42" s="183"/>
    </row>
  </sheetData>
  <mergeCells count="11">
    <mergeCell ref="G37:J37"/>
    <mergeCell ref="G31:J31"/>
    <mergeCell ref="G32:J32"/>
    <mergeCell ref="L19:Q20"/>
    <mergeCell ref="C19:J20"/>
    <mergeCell ref="C21:J21"/>
    <mergeCell ref="C22:J22"/>
    <mergeCell ref="L23:Q23"/>
    <mergeCell ref="C23:J23"/>
    <mergeCell ref="C24:J26"/>
    <mergeCell ref="G36:J36"/>
  </mergeCells>
  <pageMargins left="0.7" right="0.7" top="0.75" bottom="0.75" header="0.3" footer="0.3"/>
  <pageSetup paperSize="9" scale="95"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31B36-5290-46CA-A44D-6A650714D9A3}">
  <sheetPr>
    <pageSetUpPr fitToPage="1"/>
  </sheetPr>
  <dimension ref="A1:I156"/>
  <sheetViews>
    <sheetView showWhiteSpace="0" view="pageBreakPreview" zoomScale="40" zoomScaleNormal="100" zoomScaleSheetLayoutView="40" zoomScalePageLayoutView="55" workbookViewId="0">
      <selection activeCell="J45" sqref="J45"/>
    </sheetView>
  </sheetViews>
  <sheetFormatPr defaultRowHeight="14.5" x14ac:dyDescent="0.35"/>
  <cols>
    <col min="1" max="1" width="89.26953125" customWidth="1"/>
  </cols>
  <sheetData>
    <row r="1" spans="1:9" ht="48" customHeight="1" x14ac:dyDescent="0.35">
      <c r="A1" s="383" t="str">
        <f>CONCATENATE("Dokumentasi ",DATA!D11)</f>
        <v>Dokumentasi Melakukan Pengawasan Pendataan Sakernas Agustus 2026 di Desa Juking Supan</v>
      </c>
      <c r="B1" s="84"/>
      <c r="C1" s="84"/>
      <c r="D1" s="84"/>
      <c r="E1" s="84"/>
      <c r="F1" s="84"/>
      <c r="G1" s="84"/>
      <c r="H1" s="84"/>
      <c r="I1" s="84"/>
    </row>
    <row r="2" spans="1:9" x14ac:dyDescent="0.35">
      <c r="A2" s="383"/>
    </row>
    <row r="3" spans="1:9" x14ac:dyDescent="0.35">
      <c r="A3" s="144" t="s">
        <v>231</v>
      </c>
    </row>
    <row r="51" spans="1:1" x14ac:dyDescent="0.35">
      <c r="A51" s="144" t="s">
        <v>231</v>
      </c>
    </row>
    <row r="95" spans="1:1" x14ac:dyDescent="0.35">
      <c r="A95" s="144" t="s">
        <v>229</v>
      </c>
    </row>
    <row r="97" spans="1:3" x14ac:dyDescent="0.35">
      <c r="C97" t="s">
        <v>48</v>
      </c>
    </row>
    <row r="110" spans="1:3" x14ac:dyDescent="0.35">
      <c r="A110" s="144" t="s">
        <v>230</v>
      </c>
    </row>
    <row r="125" spans="1:1" x14ac:dyDescent="0.35">
      <c r="A125" s="144" t="s">
        <v>232</v>
      </c>
    </row>
    <row r="140" spans="1:1" x14ac:dyDescent="0.35">
      <c r="A140" s="144" t="s">
        <v>233</v>
      </c>
    </row>
    <row r="155" spans="1:9" x14ac:dyDescent="0.35">
      <c r="C155" s="384" t="s">
        <v>237</v>
      </c>
      <c r="D155" s="384"/>
      <c r="E155" s="384"/>
      <c r="F155" s="384"/>
      <c r="G155" s="384"/>
      <c r="H155" s="384"/>
      <c r="I155" s="384"/>
    </row>
    <row r="156" spans="1:9" x14ac:dyDescent="0.35">
      <c r="A156" s="144" t="s">
        <v>234</v>
      </c>
      <c r="C156" s="384"/>
      <c r="D156" s="384"/>
      <c r="E156" s="384"/>
      <c r="F156" s="384"/>
      <c r="G156" s="384"/>
      <c r="H156" s="384"/>
      <c r="I156" s="384"/>
    </row>
  </sheetData>
  <mergeCells count="2">
    <mergeCell ref="A1:A2"/>
    <mergeCell ref="C155:I156"/>
  </mergeCells>
  <pageMargins left="0.25" right="0.25" top="0.75" bottom="0.75" header="0.3" footer="0.3"/>
  <pageSetup paperSize="9" fitToHeight="2" orientation="portrait" horizontalDpi="360" verticalDpi="360" r:id="rId1"/>
  <rowBreaks count="3" manualBreakCount="3">
    <brk id="49" man="1"/>
    <brk id="93" man="1"/>
    <brk id="15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DATA</vt:lpstr>
      <vt:lpstr>DB</vt:lpstr>
      <vt:lpstr>ST</vt:lpstr>
      <vt:lpstr>SPD</vt:lpstr>
      <vt:lpstr>Kuitansi</vt:lpstr>
      <vt:lpstr>Kuitansi v2</vt:lpstr>
      <vt:lpstr>Rincian</vt:lpstr>
      <vt:lpstr>Riil</vt:lpstr>
      <vt:lpstr>Laporan</vt:lpstr>
      <vt:lpstr>Laporan v2</vt:lpstr>
      <vt:lpstr>&gt;8 Jam</vt:lpstr>
      <vt:lpstr>Kendaraan</vt:lpstr>
      <vt:lpstr>Hotel</vt:lpstr>
      <vt:lpstr>Keterlambatan</vt:lpstr>
      <vt:lpstr>dokumentasi</vt:lpstr>
      <vt:lpstr>Keterlambatan!_Hlk168301166</vt:lpstr>
      <vt:lpstr>'&gt;8 Jam'!Print_Area</vt:lpstr>
      <vt:lpstr>dokumentasi!Print_Area</vt:lpstr>
      <vt:lpstr>Hotel!Print_Area</vt:lpstr>
      <vt:lpstr>Kendaraan!Print_Area</vt:lpstr>
      <vt:lpstr>Keterlambatan!Print_Area</vt:lpstr>
      <vt:lpstr>Kuitansi!Print_Area</vt:lpstr>
      <vt:lpstr>'Kuitansi v2'!Print_Area</vt:lpstr>
      <vt:lpstr>'Laporan v2'!Print_Area</vt:lpstr>
      <vt:lpstr>Riil!Print_Area</vt:lpstr>
      <vt:lpstr>Rincian!Print_Area</vt:lpstr>
      <vt:lpstr>SPD!Print_Area</vt:lpstr>
      <vt:lpstr>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2026-08-18T08:39:55Z</dcterms:modified>
</cp:coreProperties>
</file>