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ta Cilegon" sheetId="1" r:id="rId4"/>
    <sheet state="visible" name="Kota Serang" sheetId="2" r:id="rId5"/>
    <sheet state="visible" name="Kota Tangerang" sheetId="3" r:id="rId6"/>
    <sheet state="visible" name="Kota Tangerang Selatan" sheetId="4" r:id="rId7"/>
    <sheet state="visible" name="Kab Lebak" sheetId="5" r:id="rId8"/>
    <sheet state="visible" name="Kab Pandeglang" sheetId="6" r:id="rId9"/>
    <sheet state="visible" name="Kab Serang" sheetId="7" r:id="rId10"/>
    <sheet state="visible" name="Kab Tangerang" sheetId="8" r:id="rId11"/>
  </sheets>
  <definedNames/>
  <calcPr/>
</workbook>
</file>

<file path=xl/sharedStrings.xml><?xml version="1.0" encoding="utf-8"?>
<sst xmlns="http://schemas.openxmlformats.org/spreadsheetml/2006/main" count="3130" uniqueCount="1495">
  <si>
    <t>Real Category</t>
  </si>
  <si>
    <t>Row Labels</t>
  </si>
  <si>
    <t>Address</t>
  </si>
  <si>
    <t>City</t>
  </si>
  <si>
    <t>State</t>
  </si>
  <si>
    <t>Postal Code</t>
  </si>
  <si>
    <t>Country</t>
  </si>
  <si>
    <t>Phone</t>
  </si>
  <si>
    <t>Latitude</t>
  </si>
  <si>
    <t>Longitude</t>
  </si>
  <si>
    <t>Map Link</t>
  </si>
  <si>
    <t>Median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</si>
  <si>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</si>
  <si>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</si>
  <si>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</si>
  <si>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</si>
  <si>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</si>
  <si>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</si>
  <si>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</si>
  <si>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</si>
  <si>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</si>
  <si>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</si>
  <si>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</si>
  <si>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</si>
  <si>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</si>
  <si>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Sumber</t>
  </si>
  <si>
    <t>Komplek perumahan</t>
  </si>
  <si>
    <t>Alfa Jerang Residence</t>
  </si>
  <si>
    <t>X374+6WQ, Karangasem, Kec. Cibeber, Kota Cilegon, Banten 42426</t>
  </si>
  <si>
    <t>Karangasem, Kec. Cibeber, Kota Cilegon</t>
  </si>
  <si>
    <t>BANTEN</t>
  </si>
  <si>
    <t>Indonesia</t>
  </si>
  <si>
    <t>https://maps.google.com/?cid=0x0:0x6c224ac148f2c69</t>
  </si>
  <si>
    <t>N/A</t>
  </si>
  <si>
    <t>Cilegon Golden Village</t>
  </si>
  <si>
    <t>Cilegon golden village, Kedaleman, Kec. Cibeber, Kota Cilegon, Banten</t>
  </si>
  <si>
    <t>Kota Cilegon, Banten</t>
  </si>
  <si>
    <t>(blank)</t>
  </si>
  <si>
    <t>https://maps.google.com/?cid=0x0:0x3bf792b402bb21a9</t>
  </si>
  <si>
    <t>https://www.facebook.com/groups/585980898661313/posts/1623042134955179/</t>
  </si>
  <si>
    <t>komplek housing</t>
  </si>
  <si>
    <t>Cilegon Hills Residence</t>
  </si>
  <si>
    <t>W3W4+WGR, Jl. Cikerai, Kalitimbang, Kec. Cibeber, Kota Cilegon, Banten 42426</t>
  </si>
  <si>
    <t>Jl. Cikerai, Kalitimbang, Kec. Cibeber, Kota Cilegon</t>
  </si>
  <si>
    <t>https://maps.google.com/?cid=0x0:0x5642ebbcb70e2bf0</t>
  </si>
  <si>
    <t>https://www.pinhome.id/dijual/rumah-sekunder/unit/dijual-rumah-full-furnished-di-cilegon-hills-residence-di-jalan-raya-cikerai</t>
  </si>
  <si>
    <t>Cluster Mimosa</t>
  </si>
  <si>
    <t>Grand Cilegon, Cluster Mimosa, Jl. Mimosa 2 No.18, Cibeber, Kec. Cibeber, Kota Cilegon, Banten 42426</t>
  </si>
  <si>
    <t>Cluster Mimosa, Jl. Mimosa 2 No.18, Cibeber, Kec. Cibeber, Kota Cilegon</t>
  </si>
  <si>
    <t>https://maps.google.com/?cid=0x0:0xc24abf8a2899bb06</t>
  </si>
  <si>
    <t>https://www.pinhome.id/dijual/rumah-sekunder/unit/dijual-rumah-di-cluster-mimosa</t>
  </si>
  <si>
    <t>Grand Cilegon Residence</t>
  </si>
  <si>
    <t>Cibeber, Kec. Cibeber, Kota Cilegon, Banten 42426</t>
  </si>
  <si>
    <t>Kec. Cibeber, Kota Cilegon</t>
  </si>
  <si>
    <t>https://maps.google.com/?cid=0x0:0x76fb415a04d59dd3</t>
  </si>
  <si>
    <t>https://www.rumah123.com/venue/grand-cilegon-residence-vcm20722/</t>
  </si>
  <si>
    <t>Griya Alam Cikerai</t>
  </si>
  <si>
    <t>W3H2+J4, Jl. Smpn 8, Cikerai, Kec. Cibeber, Kota Cilegon, Banten 42422</t>
  </si>
  <si>
    <t>Jl. Smpn 8, Cikerai, Kec. Cibeber, Kota Cilegon</t>
  </si>
  <si>
    <t>https://maps.google.com/?cid=0x0:0xe1a7e22a7b000293</t>
  </si>
  <si>
    <t>https://www.99.co/id/properti/rumah-dijual-390jt-cibeber-1001439750</t>
  </si>
  <si>
    <t>Griya Nizhfie</t>
  </si>
  <si>
    <t>2362+CJ2, Jl. Pabean, Purwakarta, Kec. Purwakarta, Kota Cilegon, Banten 42437</t>
  </si>
  <si>
    <t>Jl. Pabean, Purwakarta, Kec. Purwakarta, Kota Cilegon</t>
  </si>
  <si>
    <t>https://maps.google.com/?cid=0x0:0x29b94fe1da331bf3</t>
  </si>
  <si>
    <t>Griya Sambirata Permai 2</t>
  </si>
  <si>
    <t>X368+G78, Jl. Sambirata, Cibeber, Kec. Cibeber, Kota Cilegon, Banten 42426</t>
  </si>
  <si>
    <t>Jl. Sambirata, Cibeber, Kec. Cibeber, Kota Cilegon</t>
  </si>
  <si>
    <t>https://maps.google.com/?cid=0x0:0x3f8721b821ec1dbf</t>
  </si>
  <si>
    <t>Griya Satria Cibeber Perumnas</t>
  </si>
  <si>
    <t>X356+CHV, Cibeber, Kec. Cibeber, Kota Cilegon, Banten 42426</t>
  </si>
  <si>
    <t>Cibeber, Kec. Cibeber, Kota Cilegon</t>
  </si>
  <si>
    <t>https://maps.google.com/?cid=0x0:0x1df872d55b5fa1ad</t>
  </si>
  <si>
    <t>https://www.lamudi.co.id/jual/banten/cilegon/rumah-2-lantai-hook-di-griya-satria-cibeber-cilego-173885778928/</t>
  </si>
  <si>
    <t>Kavling baru permai</t>
  </si>
  <si>
    <t>Jl. Kavlingan H. Jali, Kedaleman, Kec. Cibeber, Kota Cilegon, Banten 42422</t>
  </si>
  <si>
    <t>Kedaleman, Kec. Cibeber, Kota Cilegon</t>
  </si>
  <si>
    <t>https://maps.google.com/?cid=0x0:0x6497ea4ecd1d2625</t>
  </si>
  <si>
    <t>Kluster Laurel Perumnas Grand Cilegon</t>
  </si>
  <si>
    <t>X3F8+38R, Cibeber, Kec. Cibeber, Kota Cilegon, Banten 42426</t>
  </si>
  <si>
    <t>https://maps.google.com/?cid=0x0:0x47300bf9f8a11607</t>
  </si>
  <si>
    <t>https://www.rumah123.com/properti/cilegon/hos18493168/</t>
  </si>
  <si>
    <t>Melia Residence Cilegon</t>
  </si>
  <si>
    <t>Kedaleman, Kec. Cibeber, Kota Cilegon, Banten 42422</t>
  </si>
  <si>
    <t>https://maps.google.com/?cid=0x0:0xfa5d8d451e48e592</t>
  </si>
  <si>
    <t>https://www.properti123.com/properti-jual/17741-melia-residence-cilegon-kota-rumah-2-lantai-baru-bagus-bebas-banjir-950jt-nego-sampai-jadi</t>
  </si>
  <si>
    <t>Perumahan</t>
  </si>
  <si>
    <t>PERUMAHAN KRAMAT</t>
  </si>
  <si>
    <t>Jl. H. Hamjah No.3, RT.1/RW.3, Suralaya, Kec. Pulomerak, Kota Cilegon, Banten 42439</t>
  </si>
  <si>
    <t>RT.1/RW.3, Suralaya, Kec. Pulomerak, Kota Cilegon</t>
  </si>
  <si>
    <t>https://maps.google.com/?cid=0x0:0x5c82ea15dc3a56f3</t>
  </si>
  <si>
    <t>Perumahan Metro Cilegon</t>
  </si>
  <si>
    <t>Jl. Kapt. Piere Tendean, Panggung Rawi, Kec. Jombang, Kota Cilegon, Banten 42412</t>
  </si>
  <si>
    <t>Panggung Rawi, Kec. Jombang, Kota Cilegon</t>
  </si>
  <si>
    <t>https://maps.google.com/?cid=0x0:0x472d8eb2069a7080</t>
  </si>
  <si>
    <t>https://www.rumah123.com/venue/metro-cilegon-vcm16442/</t>
  </si>
  <si>
    <t>Perumahan Sekembang Larangan</t>
  </si>
  <si>
    <t>Jalan Lingkar Selatan KM 02,kmp Larangan, Harjatanj,Kramatwatu serang, Harjatani, Kec. Kramatwatu, Kota Cilegon, Banten 42161</t>
  </si>
  <si>
    <t>Harjatanj,Kramatwatu serang, Harjatani, Kec. Kramatwatu, Kota Cilegon</t>
  </si>
  <si>
    <t>https://maps.google.com/?cid=0x0:0x94a87bd7a190c373</t>
  </si>
  <si>
    <t>https://www.facebook.com/groups/719303069228276/posts/1409977896827453/</t>
  </si>
  <si>
    <t>Perumnas Cibeber</t>
  </si>
  <si>
    <t>X355+HW6, Jl. Gagak 2, Cibeber, Kec. Cibeber, Kota Cilegon, Banten 42426</t>
  </si>
  <si>
    <t>Jl. Gagak 2, Cibeber, Kec. Cibeber, Kota Cilegon</t>
  </si>
  <si>
    <t>https://maps.google.com/?cid=0x0:0xf49db47c38fc66c7</t>
  </si>
  <si>
    <t>Puri Cluster Cibeber</t>
  </si>
  <si>
    <t>X38C+M7J, Jl. Imam Bonjol, Cibeber, Kec. Cibeber, Kota Cilegon, Banten 42426</t>
  </si>
  <si>
    <t>Jl. Imam Bonjol, Cibeber, Kec. Cibeber, Kota Cilegon</t>
  </si>
  <si>
    <t>https://maps.google.com/?cid=0x0:0x43920b2215aa715d</t>
  </si>
  <si>
    <t>Residence Pecinan</t>
  </si>
  <si>
    <t>325W+HVW, Link.Pecinan, RT.03/RW.01, Pabean, Kec. Purwakarta, Kota Cilegon, Banten 42437</t>
  </si>
  <si>
    <t>Link.Pecinan, RT.03/RW.01, Pabean, Kec. Purwakarta, Kota Cilegon</t>
  </si>
  <si>
    <t>https://maps.google.com/?cid=0x0:0x29e7b69be30f6bd1</t>
  </si>
  <si>
    <t>SAKINAH RESIDENCE CILEGON 2</t>
  </si>
  <si>
    <t>Jl. Kedung Baya, Kalitimbang, Kec. Cibeber, Kota Cilegon, Banten 42424</t>
  </si>
  <si>
    <t>Kalitimbang, Kec. Cibeber, Kota Cilegon</t>
  </si>
  <si>
    <t>https://maps.google.com/?cid=0x0:0xa8edaedd082bb497</t>
  </si>
  <si>
    <t>https://rumah.trovit.co.id/listing/rumah-murah-cilegon-2-lantai-sakinah-residence.e52f1e7f-5724-45fa-af5c-3c3940c2463a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</si>
  <si>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</si>
  <si>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</si>
  <si>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</si>
  <si>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</si>
  <si>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</si>
  <si>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</si>
  <si>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</si>
  <si>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</si>
  <si>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</si>
  <si>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</si>
  <si>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</si>
  <si>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</si>
  <si>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</si>
  <si>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komplek Housing</t>
  </si>
  <si>
    <t>Azzahra Residence Serang</t>
  </si>
  <si>
    <t>V6R3+7J2, Jl. Akses Perumahan, Panancangan, Kec. Cipocok Jaya, Kota Serang, Banten 42124</t>
  </si>
  <si>
    <t>Jl. Akses Perumahan, Panancangan, Kec. Cipocok Jaya, Kota Serang</t>
  </si>
  <si>
    <t>https://maps.google.com/?cid=0x0:0xa41a4b7c85119fa</t>
  </si>
  <si>
    <t>https://www.btnproperti.co.id/property/perumahan/detail/azzahra-residence-2838139</t>
  </si>
  <si>
    <t>Cendana Residence Serang</t>
  </si>
  <si>
    <t>Jl. Kp. Baru, Panancangan, Kec. Cipocok Jaya, Kota Serang, Banten 42124</t>
  </si>
  <si>
    <t>Panancangan, Kec. Cipocok Jaya, Kota Serang</t>
  </si>
  <si>
    <t>https://maps.google.com/?cid=0x0:0x9e2dc4c9167ba15d</t>
  </si>
  <si>
    <t>https://www.rumah123.com/venue/cendana-residence-serang-vcm25036/</t>
  </si>
  <si>
    <t>GCR Residence</t>
  </si>
  <si>
    <t>Jl. Bongla, Tembong, Kec. Cipocok Jaya, Kota Serang, Banten 42126</t>
  </si>
  <si>
    <t>Tembong, Kec. Cipocok Jaya, Kota Serang</t>
  </si>
  <si>
    <t>https://maps.google.com/?cid=0x0:0x9daa8e5b9dfa69d7</t>
  </si>
  <si>
    <t>https://jendela360.com/properti/jual/RMH402</t>
  </si>
  <si>
    <t>Gerbang Akasia Cendana Residence</t>
  </si>
  <si>
    <t>V6R2+PH3, Jl. Akses Perumahan, Panancangan, Kec. Cipocok Jaya, Kota Serang, Banten 42124</t>
  </si>
  <si>
    <t>https://maps.google.com/?cid=0x0:0x97760aa118a19eeb</t>
  </si>
  <si>
    <t>Grand Serang Asri</t>
  </si>
  <si>
    <t>Jl. Perum Griya Serang Asri No.02, Cipocok Jaya, Kec. Cipocok Jaya, Kota Serang, Banten 42121</t>
  </si>
  <si>
    <t>Cipocok Jaya, Kec. Cipocok Jaya, Kota Serang</t>
  </si>
  <si>
    <t>https://maps.google.com/?cid=0x0:0x9a33ff7e06d1e9c0</t>
  </si>
  <si>
    <t>https://www.rumah123.com/properti/serang/hos19084308/</t>
  </si>
  <si>
    <t>Green Serang Indah</t>
  </si>
  <si>
    <t>V5GW+JR, Banjaragung, Kec. Cipocok Jaya, Kota Serang, Banten 42122</t>
  </si>
  <si>
    <t>Banjaragung, Kec. Cipocok Jaya, Kota Serang</t>
  </si>
  <si>
    <t>https://maps.google.com/?cid=0x0:0xf7f41173284f75a2</t>
  </si>
  <si>
    <t>https://infolelang.bri.co.id/sale/rumah-di-perumahan-green-serang-indah_112643</t>
  </si>
  <si>
    <t>Green Serang Madani</t>
  </si>
  <si>
    <t>Jl. Pakupatan No.258, Panancangan, Kec. Cipocok Jaya, Kota Serang, Banten 42124</t>
  </si>
  <si>
    <t>https://maps.google.com/?cid=0x0:0x528ba0c24f8a8b7c</t>
  </si>
  <si>
    <t>https://www.rumah123.com/properti/serang/hos16415624/</t>
  </si>
  <si>
    <t>Griya Permata Asri</t>
  </si>
  <si>
    <t>Jl. Utama Griya Permata Asri No.26 BLOK F11, Dalung, Kec. Cipocok Jaya, Kota Serang, Banten 42127</t>
  </si>
  <si>
    <t>Dalung, Kec. Cipocok Jaya, Kota Serang</t>
  </si>
  <si>
    <t>https://maps.google.com/?cid=0x0:0x848bbc78cdb2bc56</t>
  </si>
  <si>
    <t>https://www.99.co/id/komplek-perumahan/3381-griya-permata-asri/units</t>
  </si>
  <si>
    <t>Kavling Cluster Nancang Jaya Indah</t>
  </si>
  <si>
    <t>Karundang, Kec. Cipocok Jaya, Kota Serang, Banten 42125</t>
  </si>
  <si>
    <t>Kec. Cipocok Jaya, Kota Serang</t>
  </si>
  <si>
    <t>https://maps.google.com/?cid=0x0:0x808cdd3f6be5f50a</t>
  </si>
  <si>
    <t>Kavling Permai Cipocok Jaya</t>
  </si>
  <si>
    <t>V56H+HQC, link. sumur putat, Cipocok Jaya, Kec. Cipocok Jaya, Kota Serang, Banten 42121</t>
  </si>
  <si>
    <t>link. sumur putat, Cipocok Jaya, Kec. Cipocok Jaya, Kota Serang</t>
  </si>
  <si>
    <t>https://maps.google.com/?cid=0x0:0xc4b52af01710e565</t>
  </si>
  <si>
    <t>Komplek Puri Kartika Banjarsari</t>
  </si>
  <si>
    <t>Komplek Puri Kartika Banjarsari blok C3 no.08, Banjarsari, Cipocok Jaya, Serang City, Banten 42123</t>
  </si>
  <si>
    <t>Banjarsari, Cipocok Jaya, Serang City</t>
  </si>
  <si>
    <t>https://maps.google.com/?cid=0x0:0x288f5d42de782a1e</t>
  </si>
  <si>
    <t>https://www.instagram.com/infoserang/p/C4pTVr-Ld4n/#:~:text=infoserang-,Cepet%20cepetan%2C%20Rumah%20Luas%20Mewah%20di%20depan%20Polda%20Banten%20Kota,%2D9775%2D9665%20(fauzan)</t>
  </si>
  <si>
    <t>Komplek Rss Pemda Cipocok Jaya</t>
  </si>
  <si>
    <t>Komplek Rss Pemda Blok A2 No 12A, Banjarsari, Kec. Cipocok Jaya, Kota Serang, Banten 42123</t>
  </si>
  <si>
    <t>Banjarsari, Kec. Cipocok Jaya, Kota Serang</t>
  </si>
  <si>
    <t>https://maps.google.com/?cid=0x0:0xe102532db3e31fbe</t>
  </si>
  <si>
    <t>https://id.carousell.com/p/dijual-rumah-komplek-rss-pemda-serang-banten-1114332228/</t>
  </si>
  <si>
    <t>Kompleks Tumaritis Indah</t>
  </si>
  <si>
    <t>V579+XXH, Jl. Durian, Cipocok Jaya, Kec. Cipocok Jaya, Kota Serang, Banten 42121</t>
  </si>
  <si>
    <t>Jl. Durian, Cipocok Jaya, Kec. Cipocok Jaya, Kota Serang</t>
  </si>
  <si>
    <t>https://maps.google.com/?cid=0x0:0x6140172475910b88</t>
  </si>
  <si>
    <t>Kongkow village</t>
  </si>
  <si>
    <t>V682+FRH, Banjaragung, Kec. Cipocok Jaya, Kota Serang, Banten 42122</t>
  </si>
  <si>
    <t>https://maps.google.com/?cid=0x0:0x2acbe8f0ecd0ea5f</t>
  </si>
  <si>
    <t>Permata Banjar Asri</t>
  </si>
  <si>
    <t>R5RP+F5Q, Unnamed Road, Banjarsari, Kec. Cipocok Jaya, Kota Serang, Banten 42123</t>
  </si>
  <si>
    <t>Unnamed Road, Banjarsari, Kec. Cipocok Jaya, Kota Serang</t>
  </si>
  <si>
    <t>https://maps.google.com/?cid=0x0:0x56c275d9f615f8e2</t>
  </si>
  <si>
    <t>https://www.99.co/id/komplek-perumahan/6396-permata-banjar-asri/units</t>
  </si>
  <si>
    <t>Perum Dalung Mandira</t>
  </si>
  <si>
    <t>V46X+7M7, Jl. Jagarayu, Dalung, Kec. Cipocok Jaya, Kota Serang, Banten 42127</t>
  </si>
  <si>
    <t>Jl. Jagarayu, Dalung, Kec. Cipocok Jaya, Kota Serang</t>
  </si>
  <si>
    <t>https://maps.google.com/?cid=0x0:0x42484d2e6a6d38e5</t>
  </si>
  <si>
    <t>https://web.facebook.com/profile.php?id=100064068163891&amp;locale=ru_RU&amp;_rdc=1&amp;_rdr#</t>
  </si>
  <si>
    <t>Perum Puri Kartika</t>
  </si>
  <si>
    <t>V52Q+WRC, Jl. Rama, Banjarsari, Kec. Cipocok Jaya, Kota Serang, Banten 42123</t>
  </si>
  <si>
    <t>Jl. Rama, Banjarsari, Kec. Cipocok Jaya, Kota Serang</t>
  </si>
  <si>
    <t>https://maps.google.com/?cid=0x0:0x5e9b94f06c7d7202</t>
  </si>
  <si>
    <t>https://www.99.co/id/komplek-perumahan/27383-puri-kartika/units</t>
  </si>
  <si>
    <t>Perumahan Banjarsari Permai</t>
  </si>
  <si>
    <t>V54W+939, Banjarsari, Kec. Cipocok Jaya, Kota Serang, Banten 42123</t>
  </si>
  <si>
    <t>https://maps.google.com/?cid=0x0:0x421e07d9890bf83</t>
  </si>
  <si>
    <t>https://www.rumah123.com/properti/serang/hos12376037/</t>
  </si>
  <si>
    <t>Perumahan Citra Gading</t>
  </si>
  <si>
    <t>Komplek Citra Gading Blok.E 5 No.26, 002/006, Karundang, Kec. Cipocok Jaya, Kota Serang, Banten 42121</t>
  </si>
  <si>
    <t>002/006, Karundang, Kec. Cipocok Jaya, Kota Serang</t>
  </si>
  <si>
    <t>https://maps.google.com/?cid=0x0:0x2d864d07cb9479e3</t>
  </si>
  <si>
    <t>https://www.99.co/id/komplek-perumahan/35919-citra-gading/units</t>
  </si>
  <si>
    <t>Perumahan Dalung Green Village</t>
  </si>
  <si>
    <t>Gelam, Kec. Cipocok Jaya, Kota Serang, Banten 42128</t>
  </si>
  <si>
    <t>https://maps.google.com/?cid=0x0:0x9afb575d554067b5</t>
  </si>
  <si>
    <t>https://www.instagram.com/dalung.green.village/reel/DEeWLTtz5rb/</t>
  </si>
  <si>
    <t>Perumahan Green Dalung</t>
  </si>
  <si>
    <t>Dalung, Kec. Cipocok Jaya, Kota Serang, Banten 42127</t>
  </si>
  <si>
    <t>https://maps.google.com/?cid=0x0:0x3d5b0d15923e5a47</t>
  </si>
  <si>
    <t>Kantor Perusahaan</t>
  </si>
  <si>
    <t>Perumahan Griya Reang Indah</t>
  </si>
  <si>
    <t>R5WP+4P5, Jl. Mayabon, Banjarsari, Kec. Cipocok Jaya, Kota Serang, Banten 42123</t>
  </si>
  <si>
    <t>Jl. Mayabon, Banjarsari, Kec. Cipocok Jaya, Kota Serang</t>
  </si>
  <si>
    <t>https://maps.google.com/?cid=0x0:0xc20776c28007619b</t>
  </si>
  <si>
    <t>https://properti1.com/iklan/dipasarkan-rumah-subsidi-griya-reang-indah-serang-banten-sale-akhir-tahun-676a68cf1a8b8942c32c2f64</t>
  </si>
  <si>
    <t>Perumahan Highland Park</t>
  </si>
  <si>
    <t>V5FR+G97, Banjaragung, Kec. Cipocok Jaya, Kota Serang, Banten 42122</t>
  </si>
  <si>
    <t>https://maps.google.com/?cid=0x0:0x46b7394a703f8e12</t>
  </si>
  <si>
    <t>https://www.99.co/id/komplek-perumahan/39304-highland-park/units</t>
  </si>
  <si>
    <t>Perumahan Kamilan Ciracas Permai</t>
  </si>
  <si>
    <t>Komplek Kamilan Ciracas Permai, Jl. Gelam No.8-9, Dalung, Kec. Cipocok Jaya, Kota Serang, Banten 42128</t>
  </si>
  <si>
    <t>Jl. Gelam No.8-9, Dalung, Kec. Cipocok Jaya, Kota Serang</t>
  </si>
  <si>
    <t>https://maps.google.com/?cid=0x0:0x9442b5649774b472</t>
  </si>
  <si>
    <t>perumahan karisma gelam asri</t>
  </si>
  <si>
    <t>asri perumahan karisma blok i, Gelam, Cipocok Jaya, Serang City, Banten 42162</t>
  </si>
  <si>
    <t>Gelam, Cipocok Jaya, Serang City</t>
  </si>
  <si>
    <t>https://maps.google.com/?cid=0x0:0x8042206c9956193c</t>
  </si>
  <si>
    <t>https://web.facebook.com/groups/kpmbserang/permalink/2661999900595078/?_rdc=1&amp;_rdr#</t>
  </si>
  <si>
    <t>Perumahan Kedaton Grande</t>
  </si>
  <si>
    <t>R5RC+RMM, Jl. Cipocok Raya, Cilaku, Kec. Curug, Kota Serang, Banten 42171</t>
  </si>
  <si>
    <t>Jl. Cipocok Raya, Cilaku, Kec. Curug, Kota Serang</t>
  </si>
  <si>
    <t>https://maps.google.com/?cid=0x0:0x19d7d125fda82669</t>
  </si>
  <si>
    <t>https://century21.co.id/detail-listing?slug=hunian-minimalis-berikut-furniture-kedaton-grande-rog4-ea</t>
  </si>
  <si>
    <t>Perumahan Nancang Jaya Indah</t>
  </si>
  <si>
    <t>R5R6+P2P, Karundang, Kec. Cipocok Jaya, Kota Serang, Banten 42125</t>
  </si>
  <si>
    <t>Karundang, Kec. Cipocok Jaya, Kota Serang</t>
  </si>
  <si>
    <t>https://maps.google.com/?cid=0x0:0x55a74b7f3b128f13</t>
  </si>
  <si>
    <t>https://www.rumah123.com/properti/serang/hos14086687/</t>
  </si>
  <si>
    <t>Perumahan Nuansa Alam Banjar</t>
  </si>
  <si>
    <t>Jl. Syekh Moh. Nawawi Albantani No.16, Banjarsari, Kec. Cipocok Jaya, Kota Serang, Banten 42123</t>
  </si>
  <si>
    <t>https://maps.google.com/?cid=0x0:0x26a08147b5aca003</t>
  </si>
  <si>
    <t>Perumahan Puri Sava</t>
  </si>
  <si>
    <t>R4WH+C7, Jl. Raya Sepang, Gelam, Kec. Cipocok Jaya, Kota Serang, Banten 42128</t>
  </si>
  <si>
    <t>Jl. Raya Sepang, Gelam, Kec. Cipocok Jaya, Kota Serang</t>
  </si>
  <si>
    <t>https://maps.google.com/?cid=0x0:0x4b4729620d73d856</t>
  </si>
  <si>
    <t>https://www.btnproperti.co.id/property/perumahan/detail/puri-sava-sukamaju-4218504</t>
  </si>
  <si>
    <t>Perumahan Puri Serang Hijau</t>
  </si>
  <si>
    <t>V53G+FQH, Cipocok Jaya, Kec. Cipocok Jaya, Kota Serang, Banten 42121</t>
  </si>
  <si>
    <t>https://maps.google.com/?cid=0x0:0x50e28761ab11677e</t>
  </si>
  <si>
    <t>https://www.rumah123.com/venue/puri-serang-hijau-vcm22634/</t>
  </si>
  <si>
    <t>Perumahan Senopati Banjarsari</t>
  </si>
  <si>
    <t>https://maps.google.com/?cid=0x0:0x432a190484522db2</t>
  </si>
  <si>
    <t>Perumahan Taman Banjar Agung Serang</t>
  </si>
  <si>
    <t>V6G2+Q6H, Jl. Belakang Terminal, Panancangan, Kec. Cipocok Jaya, Kota Serang, Banten 42124</t>
  </si>
  <si>
    <t>Jl. Belakang Terminal, Panancangan, Kec. Cipocok Jaya, Kota Serang</t>
  </si>
  <si>
    <t>https://maps.google.com/?cid=0x0:0x6dd8ca2261106b40</t>
  </si>
  <si>
    <t>https://www.rumah123.com/properti/serang/hos15257848/</t>
  </si>
  <si>
    <t>Puri agung banten tembong</t>
  </si>
  <si>
    <t>mesjid, Jl. Baru Ciomas Tembong, Tembong, Kec. Cipocok Jaya, Kota Serang, Banten 42126</t>
  </si>
  <si>
    <t>Jl. Baru Ciomas Tembong, Tembong, Kec. Cipocok Jaya, Kota Serang</t>
  </si>
  <si>
    <t>https://maps.google.com/?cid=0x0:0xb16faf2491511bfc</t>
  </si>
  <si>
    <t>Puri Cempaka Serang</t>
  </si>
  <si>
    <t>Ruko Puri Cempaka Serang blok R1 no 89, Kota Serang, Banten 42124</t>
  </si>
  <si>
    <t>Kota Serang</t>
  </si>
  <si>
    <t>https://maps.google.com/?cid=0x0:0xf4e39538be343aee</t>
  </si>
  <si>
    <t>https://www.99.co/id/komplek-perumahan/136298-puri-cempaka/units</t>
  </si>
  <si>
    <t>SERANG PALMA RESIDENCE</t>
  </si>
  <si>
    <t>V58G+VQ2, Cipocok Jaya, Kec. Cipocok Jaya, Kota Serang, Banten 42121</t>
  </si>
  <si>
    <t>https://maps.google.com/?cid=0x0:0xea42f88a706981c5</t>
  </si>
  <si>
    <t>https://asiaone.co.id/properties/dijual-rumah-di-serang-palma-residence/</t>
  </si>
  <si>
    <t>TAMAN BANJAR AGUNG INDAH</t>
  </si>
  <si>
    <t>V6G2+V6H, Jl. Belakang Terminal, Panancangan, Kec. Cipocok Jaya, Kota Serang, Banten 42124</t>
  </si>
  <si>
    <t>https://maps.google.com/?cid=0x0:0xb7cf7458a10c01e3</t>
  </si>
  <si>
    <t>https://www.rumah123.com/properti/serang/hos15605935/</t>
  </si>
  <si>
    <t>Taman Puri Hijau</t>
  </si>
  <si>
    <t>R4MM+HR7, Jl. Bongla, Tembong, Kec. Cipocok Jaya, Kota Serang, Banten 42126</t>
  </si>
  <si>
    <t>Jl. Bongla, Tembong, Kec. Cipocok Jaya, Kota Serang</t>
  </si>
  <si>
    <t>https://maps.google.com/?cid=0x0:0x71b7ac2108fe5ab</t>
  </si>
  <si>
    <t>https://www.lamudi.co.id/jual/banten/serang/rumah-di-taman-puri-hijau-murah-siap-huni-5km-dr-a-172464731328/</t>
  </si>
  <si>
    <t>Villa Houston Serang</t>
  </si>
  <si>
    <t>Jl. Jenderal Sudirman, Banjaragung, Kec. Cipocok Jaya, Kota Serang, Banten 42122</t>
  </si>
  <si>
    <t>https://maps.google.com/?cid=0x0:0x4387a1c951f45400</t>
  </si>
  <si>
    <t>https://villahouston.com/</t>
  </si>
  <si>
    <t>Villa putriis</t>
  </si>
  <si>
    <t>https://maps.google.com/?cid=0x0:0x756f688c91fd98b2</t>
  </si>
  <si>
    <t>Aeroland Residence</t>
  </si>
  <si>
    <t>Jl. Komp. Puri Lestari, RT.003/RW.007, Jurumudi, Kec. Benda, Kota Tangerang, Banten 15124</t>
  </si>
  <si>
    <t>RT.003/RW.007, Jurumudi, Kec. Benda, Kota Tangerang</t>
  </si>
  <si>
    <t>https://maps.google.com/?cid=0x0:0xd40f24944b3f4691</t>
  </si>
  <si>
    <t>https://www.rumah123.com/venue/aeroland-residence-vcm21921/</t>
  </si>
  <si>
    <t>Aleyra Residence</t>
  </si>
  <si>
    <t>RT.8/RW.05, RT.005/RW.005, Buaran Indah, Kec. Tangerang, Kota Tangerang, Banten 15119</t>
  </si>
  <si>
    <t>RT.005/RW.005, Buaran Indah, Kec. Tangerang, Kota Tangerang</t>
  </si>
  <si>
    <t>https://maps.google.com/?cid=0x0:0xa513a9b7a58db814</t>
  </si>
  <si>
    <t>https://www.99.co/id/komplek-perumahan/89098-aleyra-residence/units</t>
  </si>
  <si>
    <t>Aria Residence Tangerang</t>
  </si>
  <si>
    <t>Jl. Aria Santika No.36, Margasari, Kec. Karawaci, Kota Tangerang, Banten 15113</t>
  </si>
  <si>
    <t>Margasari, Kec. Karawaci, Kota Tangerang</t>
  </si>
  <si>
    <t>https://maps.google.com/?cid=0x0:0x49a81705d29875e0</t>
  </si>
  <si>
    <t>https://www.pinhome.id/dijual/rumah-baru/aria-residence-karawaci-4?utm_source=google&amp;utm_medium=sem&amp;utm_campaign=platform_conversion_search_pcw_wa_click&amp;utm_term=primary_dynamic&amp;utm_content=&amp;gad_source=1&amp;gclid=CjwKCAiArKW-BhAzEiwAZhWsIH5oFkZIH0EUmR3NX_Ji0fgn_NadXj9xAhnGwaJzgaVqN00ZCPsEXxoCTGkQAvD_BwE</t>
  </si>
  <si>
    <t>Batu Ceper Permai</t>
  </si>
  <si>
    <t>Jl. Mutiara No.8 Blok E, RT.001/RW.009, Batuceper, Kec. Batuceper, Kota Tangerang, Banten 15122</t>
  </si>
  <si>
    <t>RT.001/RW.009, Batuceper, Kec. Batuceper, Kota Tangerang</t>
  </si>
  <si>
    <t>https://maps.google.com/?cid=0x0:0x859f4a66eb3893f1</t>
  </si>
  <si>
    <t>https://pashouses.id/rumah-dijual/perumahan/perumahan-batuceper-permai?gclid=CjwKCAiArKW-BhAzEiwAZhWsIN0tYn7dIzPhVmr__nf2nq0YgCe_MUqCOWrDwqWsmcCNLjulYpmdLxoC8BoQAvD_BwE&amp;utm_source=adwords&amp;utm_campaign=sem-aon-buyer-geo-campaign-05102023&amp;utm_agid=153009578134&amp;utm_term=&amp;creative=676219183180&amp;device=c&amp;placement=&amp;gad_source=1</t>
  </si>
  <si>
    <t>Penginapan</t>
  </si>
  <si>
    <t>Cluster Bavaria Residence</t>
  </si>
  <si>
    <t>RJ7V+3QH, Jl. Ruko Modern Land, RT.004/RW.007, Babakan, Kec. Tangerang, Kota Tangerang, Banten 15118</t>
  </si>
  <si>
    <t>Jl. Ruko Modern Land, RT.004/RW.007, Babakan, Kec. Tangerang, Kota Tangerang</t>
  </si>
  <si>
    <t>https://maps.google.com/?cid=0x0:0x4de86c43364f5311</t>
  </si>
  <si>
    <t>https://rumah.trovit.co.id/listing/rumah-dijual-di-modernland-tangerang-idr-2500000.u1w1ikF1R18W</t>
  </si>
  <si>
    <t>Cluster Beverly Hills - Duta Garden</t>
  </si>
  <si>
    <t>Duta Garden Square, Jl. Flamboyan I RW.008, RT.026/RW.008, Jurumudi Baru, Benda, Tangerang City, Banten 15124</t>
  </si>
  <si>
    <t>Jl. Flamboyan I RW.008, RT.026/RW.008, Jurumudi Baru, Benda, Tangerang City</t>
  </si>
  <si>
    <t>https://maps.google.com/?cid=0x0:0x26611d14c871a520</t>
  </si>
  <si>
    <t>https://rumah.trovit.co.id/listing/rumah-mewah-siap-huni-di-beverly-hills-duta-garden-tangerang-dgbh040772116-tzz.1PYKdcA2f</t>
  </si>
  <si>
    <t>Cluster Jati</t>
  </si>
  <si>
    <t>Taman Royal, Jl. Jati 5 No.17, RT.006/RW.015, Tanah Tinggi, Kec. Tangerang, Kota Tangerang, Banten 15119</t>
  </si>
  <si>
    <t>Jl. Jati 5 No.17, RT.006/RW.015, Tanah Tinggi, Kec. Tangerang, Kota Tangerang</t>
  </si>
  <si>
    <t>https://maps.google.com/?cid=0x0:0x5e7da1d28577f7ba</t>
  </si>
  <si>
    <t>Cluster Mediteranian - Duta Garden</t>
  </si>
  <si>
    <t>VM3H+2VJ, Jl. Mahkota Kencana 1, RT.018/RW.008, Jurumudi Baru, Kec. Benda, Kota Tangerang, Banten 15124</t>
  </si>
  <si>
    <t>Jl. Mahkota Kencana 1, RT.018/RW.008, Jurumudi Baru, Kec. Benda, Kota Tangerang</t>
  </si>
  <si>
    <t>https://maps.google.com/?cid=0x0:0x838370483932b117</t>
  </si>
  <si>
    <t>Cluster Mutiara Kencana 1</t>
  </si>
  <si>
    <t>Jalan K.H. Mustofa, RT.04 RW.03, Kel, RT.002/RW.013, Poris Gaga Baru, Kec. Batuceper, Kota Tangerang, Banten 15122</t>
  </si>
  <si>
    <t>RT.04 RW.03, Kel, RT.002/RW.013, Poris Gaga Baru, Kec. Batuceper, Kota Tangerang</t>
  </si>
  <si>
    <t>https://maps.google.com/?cid=0x0:0x9b892a23dbdf9327</t>
  </si>
  <si>
    <t>https://www.rumah123.com/properti/tangerang/hos11518135/</t>
  </si>
  <si>
    <t>Cluster Mutiara Kencana 2</t>
  </si>
  <si>
    <t>Cluster mutiara kencana 2, Blk. A No.13, RT.002/RW.010, Poris Plawad Utara, Kec. Cipondoh, Kota Tangerang, Banten 15141</t>
  </si>
  <si>
    <t>Blk. A No.13, RT.002/RW.010, Poris Plawad Utara, Kec. Cipondoh, Kota Tangerang</t>
  </si>
  <si>
    <t>https://maps.google.com/?cid=0x0:0x8c56801b06dfc77d</t>
  </si>
  <si>
    <t>https://www.99.co/id/properti/rumah-siap-huni-di-cluster-mutiara-kencana-2-poris-tangerang-1006843374</t>
  </si>
  <si>
    <t>Pembangunan Perumahan</t>
  </si>
  <si>
    <t>Cluster palem taman royal 3</t>
  </si>
  <si>
    <t>RT.002/RW.010, Poris Plawad, Kec. Cipondoh, Kota Tangerang, Banten 15141</t>
  </si>
  <si>
    <t>Poris Plawad, Kec. Cipondoh, Kota Tangerang</t>
  </si>
  <si>
    <t>https://maps.google.com/?cid=0x0:0x7d1ad0c4378c8370</t>
  </si>
  <si>
    <t>https://www.99.co/id/properti/dijual-rumah-cluster-di-taman-royal-3-1008976319</t>
  </si>
  <si>
    <t>Cluster Perancis - Kota Modern</t>
  </si>
  <si>
    <t>Cluster Francis, Jalan Perancis, RT.001/RW.003, Klp. Indah, Kec. Tangerang, Kota Tangerang, Banten 15117</t>
  </si>
  <si>
    <t>Jalan Perancis, RT.001/RW.003, Klp. Indah, Kec. Tangerang, Kota Tangerang</t>
  </si>
  <si>
    <t>https://maps.google.com/?cid=0x0:0x2ff2aeedb0c248b9</t>
  </si>
  <si>
    <t>https://rumah.trovit.co.id/listing/rumah-siap-huni-di-cluster-perancis-modernland.9ic131v1S1G-</t>
  </si>
  <si>
    <t>Cluster Picardie</t>
  </si>
  <si>
    <t>RT.002/RW.003, Klp. Indah, Kec. Pinang, Kota Tangerang, Banten 15117</t>
  </si>
  <si>
    <t>Klp. Indah, Kec. Pinang, Kota Tangerang</t>
  </si>
  <si>
    <t>https://maps.google.com/?cid=0x0:0xe32ce073f6c1a0d8</t>
  </si>
  <si>
    <t>https://rumah.trovit.co.id/listing/dijual-murah-rumah-hoek-2-lantai-di-cluster-picardie-modernland.d871ea8b-a064-45f8-94b9-f7696af2a7df</t>
  </si>
  <si>
    <t>Cluster Teras Modern Cikokol</t>
  </si>
  <si>
    <t>QJRV+2R4, Jl. Buaran Jl. Musholla, RT.003/RW.004, Cikokol, Kec. Tangerang, Kota Tangerang, Banten 15117</t>
  </si>
  <si>
    <t>Jl. Buaran Jl. Musholla, RT.003/RW.004, Cikokol, Kec. Tangerang, Kota Tangerang</t>
  </si>
  <si>
    <t>https://maps.google.com/?cid=0x0:0x63c29f0f67ccb1ba</t>
  </si>
  <si>
    <t>Cluster Vienna</t>
  </si>
  <si>
    <t>Jl. Hartono Raya No.41, RT.003/RW.011, Cipete, Kec. Pinang, Kota Tangerang, Banten 15117</t>
  </si>
  <si>
    <t>RT.003/RW.011, Cipete, Kec. Pinang, Kota Tangerang</t>
  </si>
  <si>
    <t>https://maps.google.com/?cid=0x0:0x216538b87d71cc0c</t>
  </si>
  <si>
    <t>https://rumah.trovit.co.id/listing/dipasarkan-rumah-di-cluster-vienna-modernland-tangerang.1paz3h1x1XR</t>
  </si>
  <si>
    <t>Cluster Villa Poris Plawad 2</t>
  </si>
  <si>
    <t>Jl. Karya Damai No.V, RT.008/RW.003, Buaran Indah, Kec. Tangerang, Kota Tangerang, Banten 15119</t>
  </si>
  <si>
    <t>RT.008/RW.003, Buaran Indah, Kec. Tangerang, Kota Tangerang</t>
  </si>
  <si>
    <t>https://maps.google.com/?cid=0x0:0xeef6c000cf638cb3</t>
  </si>
  <si>
    <t>https://www.dekoruma.com/properti/dijual-tangerang-tangerang-rumah-1-lantai-santai-oleh-andi-S8JiMR7HeN?srsltid=AfmBOoqigYgA_0h5Gjw7QdMKKTFOP3V-xW2X1HnSGQb9LbC6RdPir0a2</t>
  </si>
  <si>
    <t>Duta Garden H1/09</t>
  </si>
  <si>
    <t>VM2P+V6F, RT.001/RW.006, Jurumudi Baru, Kec. Benda, Kota Tangerang, Banten 15124</t>
  </si>
  <si>
    <t>RT.001/RW.006, Jurumudi Baru, Kec. Benda, Kota Tangerang</t>
  </si>
  <si>
    <t>https://maps.google.com/?cid=0x0:0x57c62090c07f2366</t>
  </si>
  <si>
    <t>Komplek Pengayoman</t>
  </si>
  <si>
    <t>Jl. Banding II No.1 Blok D4, RT.7/RW.008, Sukasari, Kec. Tangerang, Kota Tangerang, Banten 15118</t>
  </si>
  <si>
    <t>RT.7/RW.008, Sukasari, Kec. Tangerang, Kota Tangerang</t>
  </si>
  <si>
    <t>https://maps.google.com/?cid=0x0:0xebaec472304e6329</t>
  </si>
  <si>
    <t>https://rumah.trovit.co.id/listing/rumah-dijual-di-tangerang-kota-tangerang-idr-1550000.Ka1Qyn1o1F1G</t>
  </si>
  <si>
    <t>Grand Duta Garden</t>
  </si>
  <si>
    <t>RT.001/RW.008, Jurumudi Baru, Kec. Benda, Kota Tangerang, Banten 15124</t>
  </si>
  <si>
    <t>Jurumudi Baru, Kec. Benda, Kota Tangerang</t>
  </si>
  <si>
    <t>https://maps.google.com/?cid=0x0:0xf01faf4b76fb9351</t>
  </si>
  <si>
    <t>https://www.rumah123.com/venue/grand-duta-garden-vcm27417/</t>
  </si>
  <si>
    <t>Perumahan Alam Raya</t>
  </si>
  <si>
    <t>VM5C+7XR, Unnamed Road, RT.003/RW.010, Belendung, Benda, Tangerang City, Banten 15123</t>
  </si>
  <si>
    <t>Unnamed Road, RT.003/RW.010, Belendung, Benda, Tangerang City</t>
  </si>
  <si>
    <t>https://maps.google.com/?cid=0x0:0x1d31de23feb5e950</t>
  </si>
  <si>
    <t>https://www.99.co/id/properti/rumah-dijual-8750jt-benda-1008483709</t>
  </si>
  <si>
    <t>Perumahan angkasa pura 2</t>
  </si>
  <si>
    <t>VM25+9RG, Jl. Paniai, RT.001/RW.005, Batujaya, Kec. Batuceper, Kota Tangerang, Banten 15121</t>
  </si>
  <si>
    <t>Jl. Paniai, RT.001/RW.005, Batujaya, Kec. Batuceper, Kota Tangerang</t>
  </si>
  <si>
    <t>https://maps.google.com/?cid=0x0:0x3a4ad91c0289c6bc</t>
  </si>
  <si>
    <t>Perumahan Banjar Wijaya</t>
  </si>
  <si>
    <t>QMV3+G9R, Jl. Perdamaian, RT.002/RW.012, Poris Plawad Indah, Kec. Cipondoh, Kota Tangerang, Banten 15141</t>
  </si>
  <si>
    <t>Jl. Perdamaian, RT.002/RW.012, Poris Plawad Indah, Kec. Cipondoh, Kota Tangerang</t>
  </si>
  <si>
    <t>https://maps.google.com/?cid=0x0:0x52ba7a266f8d4d74</t>
  </si>
  <si>
    <t>https://www.99.co/id/jual/rumah/area-tangerang/banjar-wijaya</t>
  </si>
  <si>
    <t>Perumahan Bona Sarana Indah</t>
  </si>
  <si>
    <t>Perumahan Bona Sarana Indah blok d 1 19, Jl. Bona Tim. No.10k, S17Cikokol, Kec. Tangerang, Kota Tangerang, Banten 15117</t>
  </si>
  <si>
    <t>Jl. Bona Tim. No.10k, S17Cikokol, Kec. Tangerang, Kota Tangerang</t>
  </si>
  <si>
    <t>https://maps.google.com/?cid=0x0:0x6f83c7029982578</t>
  </si>
  <si>
    <t>https://www.rumah123.com/venue/bona-sarana-indah-vcm20035/</t>
  </si>
  <si>
    <t>Perumahan Budi Indah</t>
  </si>
  <si>
    <t>Jl. Dieng 4 No.22, RT.010/RW.007, Poris Gaga, Kec. Batuceper, Kota Tangerang, Banten 15122</t>
  </si>
  <si>
    <t>RT.010/RW.007, Poris Gaga, Kec. Batuceper, Kota Tangerang</t>
  </si>
  <si>
    <t>https://maps.google.com/?cid=0x0:0xa8462ec3a73b77d6</t>
  </si>
  <si>
    <t>https://www.olx.co.id/item/dijual-rumah-budi-indah-hitung-tanah-di-cluster-acasia-iid-924882321</t>
  </si>
  <si>
    <t>Perumahan Cluster Kedaung</t>
  </si>
  <si>
    <t>VJFF+V76, Perumahan Cluster Kedaung Blok E No. 1, RT.006/RW.002, Kedaung Wetan, Kec. Neglasari, Kota Tangerang, Banten 15128</t>
  </si>
  <si>
    <t>Perumahan Cluster Kedaung Blok E No. 1, RT.006/RW.002, Kedaung Wetan, Kec. Neglasari, Kota Tangerang</t>
  </si>
  <si>
    <t>https://maps.google.com/?cid=0x0:0x90d3ca72bfd4cda0</t>
  </si>
  <si>
    <t>Perumahan Cluster Pulau Dewa Modernland</t>
  </si>
  <si>
    <t>QJVM+WVH, Jl. Honoris Raya Bulevar Raya, RT.006/RW.002, Klp. Indah, Kec. Tangerang, Kota Tangerang, Banten 15117</t>
  </si>
  <si>
    <t>Jl. Honoris Raya Bulevar Raya, RT.006/RW.002, Klp. Indah, Kec. Tangerang, Kota Tangerang</t>
  </si>
  <si>
    <t>https://maps.google.com/?cid=0x0:0x21b403d5e42255bd</t>
  </si>
  <si>
    <t>https://rumah.trovit.co.id/listing/murah-rumah-cluster-pulau-dewa-modernland-tangerang.1k1oZ1JDqZ13</t>
  </si>
  <si>
    <t>Perumahan Daan Mogot arcadia</t>
  </si>
  <si>
    <t>Arcadia Sport Club, Jl. Daan Mogot No.KM. 21, RT.001/RW.006, Batuceper, Kec. Batuceper, Kota Tangerang, Banten 15119</t>
  </si>
  <si>
    <t>Jl. Daan Mogot No.KM. 21, RT.001/RW.006, Batuceper, Kec. Batuceper, Kota Tangerang</t>
  </si>
  <si>
    <t>https://maps.google.com/?cid=0x0:0xe56e9cbe5898cf5a</t>
  </si>
  <si>
    <t>https://www.olx.co.id/item/dijual-rumah-daan-mogot-arcadia-iid-924397761</t>
  </si>
  <si>
    <t>Perumahan Dinas Perhubungan Tangerang</t>
  </si>
  <si>
    <t>Jl. Husein Sastranegara Ff No.6, RT.026/RW.008, Jurumudi, Kec. Benda, Kota Tangerang, Banten 15124</t>
  </si>
  <si>
    <t>RT.026/RW.008, Jurumudi, Kec. Benda, Kota Tangerang</t>
  </si>
  <si>
    <t>https://maps.google.com/?cid=0x0:0x84d0f1e611b39974</t>
  </si>
  <si>
    <t>Perumahan Grand Plawad</t>
  </si>
  <si>
    <t>Jl. Panglima Polim No.9, RT.006/RW.005, Poris Plawad Utara, Kec. Cipondoh, Kota Tangerang, Banten 15141</t>
  </si>
  <si>
    <t>RT.006/RW.005, Poris Plawad Utara, Kec. Cipondoh, Kota Tangerang</t>
  </si>
  <si>
    <t>https://maps.google.com/?cid=0x0:0x19b73006653a448f</t>
  </si>
  <si>
    <t>https://www.rumah123.com/venue/grand-plawad-vcm19389/</t>
  </si>
  <si>
    <t>PERUMAHAN MAHKOTA MAS</t>
  </si>
  <si>
    <t>Blok O5no 12, RT.002/RW.009, Cikokol, Kec. Tangerang, Kota Tangerang, Banten 15117</t>
  </si>
  <si>
    <t>RT.002/RW.009, Cikokol, Kec. Tangerang, Kota Tangerang</t>
  </si>
  <si>
    <t>https://maps.google.com/?cid=0x0:0xb79356bb6deda575</t>
  </si>
  <si>
    <t>https://www.rumah123.com/venue/mahkota-mas-vcm19297/</t>
  </si>
  <si>
    <t>PERUMAHAN MODERNLAND</t>
  </si>
  <si>
    <t>QJVW+624, RT.002/RW.003, Klp. Indah, Kec. Pinang, Kota Tangerang, Banten 15117</t>
  </si>
  <si>
    <t>RT.002/RW.003, Klp. Indah, Kec. Pinang, Kota Tangerang</t>
  </si>
  <si>
    <t>https://maps.google.com/?cid=0x0:0xabf523c4862a54e2</t>
  </si>
  <si>
    <t>https://www.olx.co.id/item/dijual-rumah-mahkota-modernland-tangerang-iid-932113794</t>
  </si>
  <si>
    <t>Perumahan Pelangi</t>
  </si>
  <si>
    <t>Jl. Irmas, Jl. Kb. Nanas Gg. Gaol, RT.001/RW.10, Cikokol, Kec. Tangerang, Kota Tangerang, Banten 15117</t>
  </si>
  <si>
    <t>Jl. Kb. Nanas Gg. Gaol, RT.001/RW.10, Cikokol, Kec. Tangerang, Kota Tangerang</t>
  </si>
  <si>
    <t>https://maps.google.com/?cid=0x0:0xf6283f08e2a5604a</t>
  </si>
  <si>
    <t>Perumahan sabar ganda</t>
  </si>
  <si>
    <t>kp.gondang RT005/RW013, Jl. Perintis, Jurumudi, Kec. Benda, Kota Tangerang, Banten 15124</t>
  </si>
  <si>
    <t>Jl. Perintis, Jurumudi, Kec. Benda, Kota Tangerang</t>
  </si>
  <si>
    <t>https://maps.google.com/?cid=0x0:0xa8f18e1bf0fffa9c</t>
  </si>
  <si>
    <t>Perumahan Sakinah Residence</t>
  </si>
  <si>
    <t>RM69+HHH, Jl. Tugu Karya I, RT.005/RW.003, Poris Plawad Utara, Kec. Cipondoh, Kota Tangerang, Banten 15122</t>
  </si>
  <si>
    <t>Jl. Tugu Karya I, RT.005/RW.003, Poris Plawad Utara, Kec. Cipondoh, Kota Tangerang</t>
  </si>
  <si>
    <t>https://maps.google.com/?cid=0x0:0x6a051d8873d5481c</t>
  </si>
  <si>
    <t>Perumahan Taman Adhiloka</t>
  </si>
  <si>
    <t>Jl. Pembangunan 3 No.19, RT.001/RW.015, Karang Sari, Kec. Neglasari, Kota Tangerang, Banten 15121</t>
  </si>
  <si>
    <t>RT.001/RW.015, Karang Sari, Kec. Neglasari, Kota Tangerang</t>
  </si>
  <si>
    <t>https://maps.google.com/?cid=0x0:0x83b5f33f60ce6695</t>
  </si>
  <si>
    <t>https://www.rumah123.com/venue/taman-adhiloka-vcm28846/</t>
  </si>
  <si>
    <t>Perumahan Taman Anyelir Kebon Nanas Tangerang</t>
  </si>
  <si>
    <t>QJPQ+74W, RT.001/RW.004, Panunggangan Utara, Kec. Pinang, Kota Tangerang, Banten 15143</t>
  </si>
  <si>
    <t>RT.001/RW.004, Panunggangan Utara, Kec. Pinang, Kota Tangerang</t>
  </si>
  <si>
    <t>https://maps.google.com/?cid=0x0:0xa1406bd8dd653704</t>
  </si>
  <si>
    <t>https://www.olx.co.id/item/rumah-dijual-di-perumahan-taman-anyelir-dekat-tol-tangerang-2-j-19371-iid-932084258</t>
  </si>
  <si>
    <t>Perumahan Taman Royal 1</t>
  </si>
  <si>
    <t>RM76+HGH, Bulevar Raya, RT.004/RW.001, Poris Plawad Utara, Kec. Cipondoh, Kota Tangerang, Banten 15141</t>
  </si>
  <si>
    <t>Bulevar Raya, RT.004/RW.001, Poris Plawad Utara, Kec. Cipondoh, Kota Tangerang</t>
  </si>
  <si>
    <t>https://maps.google.com/?cid=0x0:0xd582c0b367b4f556</t>
  </si>
  <si>
    <t>https://www.olx.co.id/item/rumah-minimalis-siap-huni-lokasi-taman-royal-1-cipondoh-tangerang-iid-932174481</t>
  </si>
  <si>
    <t>Perumahan Tangerang Indah</t>
  </si>
  <si>
    <t>RJJJ+5JP, Jl. Benteng Makasar IV, RT.006/RW.004, Sukarasa, Kec. Tangerang, Kota Tangerang, Banten 15111</t>
  </si>
  <si>
    <t>Jl. Benteng Makasar IV, RT.006/RW.004, Sukarasa, Kec. Tangerang, Kota Tangerang</t>
  </si>
  <si>
    <t>https://maps.google.com/?cid=0x0:0x6964319e57b04d4b</t>
  </si>
  <si>
    <t>https://www.99.co/id/properti/di-jual-rumah-2-lt-full-di-villa-tangerang-indah-tangerang-kota-1003610917</t>
  </si>
  <si>
    <t>Perumahan, komplek, hunian Batu Ceper</t>
  </si>
  <si>
    <t>Jl. Daan Mogot No.Km.21, Batuceper, Kec. Batuceper, Kota Tangerang, Banten 15122</t>
  </si>
  <si>
    <t>Batuceper, Kec. Batuceper, Kota Tangerang</t>
  </si>
  <si>
    <t>https://maps.google.com/?cid=0x0:0xb156339f8465ddd4</t>
  </si>
  <si>
    <t>Premier Residence</t>
  </si>
  <si>
    <t>QJVV+XVH, Jl. Hartono Raya, RT.002/RW.005, Klp. Indah, Kec. Tangerang, Kota Tangerang, Banten 15117</t>
  </si>
  <si>
    <t>Jl. Hartono Raya, RT.002/RW.005, Klp. Indah, Kec. Tangerang, Kota Tangerang</t>
  </si>
  <si>
    <t>https://maps.google.com/?cid=0x0:0x22d2d90e675b2967</t>
  </si>
  <si>
    <t>https://www.99.co/id/properti/rumah-tusa-2-lantai-hadap-selatan-di-premier-residence-modernland-1008947144</t>
  </si>
  <si>
    <t>Savana Cikokol Residence</t>
  </si>
  <si>
    <t>RT.004/RW.014, Cikokol, Kec. Pinang, Kota Tangerang, Banten 15117</t>
  </si>
  <si>
    <t>Cikokol, Kec. Pinang, Kota Tangerang</t>
  </si>
  <si>
    <t>https://maps.google.com/?cid=0x0:0x781501934440ab89</t>
  </si>
  <si>
    <t>https://www.rumah123.com/properti/tangerang/hos17950700/</t>
  </si>
  <si>
    <t>TAMAN PERMATA MULIA</t>
  </si>
  <si>
    <t>QJXH+M5C, RT.005/RW.002, Cikokol, Kec. Tangerang, Kota Tangerang, Banten 15117</t>
  </si>
  <si>
    <t>RT.005/RW.002, Cikokol, Kec. Tangerang, Kota Tangerang</t>
  </si>
  <si>
    <t>https://maps.google.com/?cid=0x0:0xf7263c42e5a51297</t>
  </si>
  <si>
    <t>https://rumah.trovit.co.id/listing/rumah-luas-posisi-hook-di-taman-permata-mulia-cikokol-tangerang.mGx1n171L1p1G</t>
  </si>
  <si>
    <t>Tangerang Kencana Residence</t>
  </si>
  <si>
    <t>Tangerang Kencana Residence No.B1/E7, RT.004/RW.004, Karang Sari, Kec. Neglasari, Kota Tangerang, Banten 15121</t>
  </si>
  <si>
    <t>RT.004/RW.004, Karang Sari, Kec. Neglasari, Kota Tangerang</t>
  </si>
  <si>
    <t>https://maps.google.com/?cid=0x0:0x8d58e994905dc42b</t>
  </si>
  <si>
    <t>https://www.dekoruma.com/properti/static/perumahan-tangerang-kencana-residence-neglasari-tangerang?srsltid=AfmBOoqn8COkQSXHvRiptV6ZTeGPogE6PKKOOcLIFc3E0QtUpICPj4io</t>
  </si>
  <si>
    <t>Tugu Perumahan Budi Indah</t>
  </si>
  <si>
    <t>PAK YONO ICHA, Jl. Budi Indah KONTRAKAN No.20, RT.004/RW.004, Poris Gaga, Kec. Batuceper, Kota Tangerang, Banten 15122</t>
  </si>
  <si>
    <t>Jl. Budi Indah KONTRAKAN No.20, RT.004/RW.004, Poris Gaga, Kec. Batuceper, Kota Tangerang</t>
  </si>
  <si>
    <t>https://maps.google.com/?cid=0x0:0x9ddd3a16c970cac4</t>
  </si>
  <si>
    <t>https://rumah.trovit.co.id/listing/dijual-rumah-di-perumahan-budi-indah-tangerang-siap-huni-nyaman-amp-aman-lokasi-strategis.af526e57-e676-47ed-b787-c334f51887c8</t>
  </si>
  <si>
    <t>Borneo Residence</t>
  </si>
  <si>
    <t>MPPC+XJC, Jl. Pahlawan, Serua, Kec. Ciputat, Kota Tangerang Selatan, Banten 15414</t>
  </si>
  <si>
    <t>Jl. Pahlawan, Serua, Kec. Ciputat, Kota Tangerang Selatan</t>
  </si>
  <si>
    <t>https://maps.google.com/?cid=0x0:0x302e3058dc49cd41</t>
  </si>
  <si>
    <t>https://www.rumah123.com/venue/borneo-residence-vcm16431/</t>
  </si>
  <si>
    <t>Catha Rempoa Residence</t>
  </si>
  <si>
    <t>Jl. Jambu, Cemp. Putih, Kec. Ciputat Tim., Kota Tangerang Selatan, Banten 15412</t>
  </si>
  <si>
    <t>Cemp. Putih, Kec. Ciputat Tim., Kota Tangerang Selatan</t>
  </si>
  <si>
    <t>https://maps.google.com/?cid=0x0:0x15ac61e632c198f7</t>
  </si>
  <si>
    <t>https://www.rumah123.com/perumahan-baru/properti/tangerang-selatan/catha-rempoa/nps3104/</t>
  </si>
  <si>
    <t>Cattleya Residence</t>
  </si>
  <si>
    <t>Jl. Garuda II, Rempoa, Kec. Ciputat Tim., Kota Tangerang Selatan, Banten 15412</t>
  </si>
  <si>
    <t>Rempoa, Kec. Ciputat Tim., Kota Tangerang Selatan</t>
  </si>
  <si>
    <t>https://maps.google.com/?cid=0x0:0x3c64bde4a5a36c53</t>
  </si>
  <si>
    <t>https://www.rumah123.com/properti/tangerang/hos19287437/</t>
  </si>
  <si>
    <t>Cendana Residence</t>
  </si>
  <si>
    <t>Jl. Cendana Residence No.C2/21, Serua, Kec. Ciputat, Kota Tangerang Selatan, Banten 15414</t>
  </si>
  <si>
    <t>Serua, Kec. Ciputat, Kota Tangerang Selatan</t>
  </si>
  <si>
    <t>https://maps.google.com/?cid=0x0:0x16ad9b814d44a34d</t>
  </si>
  <si>
    <t>https://www.99.co/id/komplek-perumahan/403-cendana-residence/units</t>
  </si>
  <si>
    <t>Countrywoods Residences</t>
  </si>
  <si>
    <t>Jl. W R Supratman No.54, Rengas, Kec. Ciputat Tim., Kota Tangerang Selatan, Banten 15412</t>
  </si>
  <si>
    <t>Rengas, Kec. Ciputat Tim., Kota Tangerang Selatan</t>
  </si>
  <si>
    <t>https://maps.google.com/?cid=0x0:0x9e3aea335766173a</t>
  </si>
  <si>
    <t>Graha Permai</t>
  </si>
  <si>
    <t>Jl. Jati No.a1 no3, Sawah Lama, Kec. Ciputat, Kota Tangerang Selatan, Banten 15413</t>
  </si>
  <si>
    <t>Sawah Lama, Kec. Ciputat, Kota Tangerang Selatan</t>
  </si>
  <si>
    <t>https://maps.google.com/?cid=0x0:0xac1ab6e26b0f51c0</t>
  </si>
  <si>
    <t>https://www.rumah123.com/venue/graha-permai-vcm15938/</t>
  </si>
  <si>
    <t>Grand Ciputat Residence</t>
  </si>
  <si>
    <t>Jl. Merpati, Cipayung, Kec. Ciputat, Kota Tangerang Selatan, Banten 15411</t>
  </si>
  <si>
    <t>Cipayung, Kec. Ciputat, Kota Tangerang Selatan</t>
  </si>
  <si>
    <t>https://maps.google.com/?cid=0x0:0x8f569e2615ff2d0b</t>
  </si>
  <si>
    <t>https://www.rumah123.com/perumahan-baru/properti/tangerang-selatan/grand-ciputat-residence/nps2093/</t>
  </si>
  <si>
    <t>Grand Nangka Residence</t>
  </si>
  <si>
    <t>Ciputat, Kec. Ciputat, Kota Tangerang Selatan, Banten 15411</t>
  </si>
  <si>
    <t>Kec. Ciputat, Kota Tangerang Selatan</t>
  </si>
  <si>
    <t>https://maps.google.com/?cid=0x0:0xe2b2cfe0e5f4390d</t>
  </si>
  <si>
    <t>https://www.rumah123.com/venue/grand-pasir-nangka-vcm22161/</t>
  </si>
  <si>
    <t>Grand Serpong Residence 2</t>
  </si>
  <si>
    <t>Jl. Serua Raya, Serua, Kec. Ciputat, Kota Tangerang Selatan, Banten 15414</t>
  </si>
  <si>
    <t>https://maps.google.com/?cid=0x0:0x94cf79def1f7af35</t>
  </si>
  <si>
    <t>https://www.rumah123.com/venue/grand-serpong-2-vcm19186/</t>
  </si>
  <si>
    <t>Green Gardena Residence</t>
  </si>
  <si>
    <t>Sawah Baru, Kec. Ciputat, Kota Tangerang Selatan, Banten 15413</t>
  </si>
  <si>
    <t>https://maps.google.com/?cid=0x0:0x312b252c1252c934</t>
  </si>
  <si>
    <t>Green hills estate Ciputat</t>
  </si>
  <si>
    <t>Jl. Aria Putra No.89, Serua Indah, Kec. Ciputat, Kota Tangerang Selatan, Banten 15414</t>
  </si>
  <si>
    <t>Serua Indah, Kec. Ciputat, Kota Tangerang Selatan</t>
  </si>
  <si>
    <t>https://maps.google.com/?cid=0x0:0x57196d009741583f</t>
  </si>
  <si>
    <t>https://www.rumah123.com/venue/green-hills-estate-vcm18566/</t>
  </si>
  <si>
    <t>Green Karya Soenito Residences</t>
  </si>
  <si>
    <t>Jl. Suka Asih No.4, Serua Indah, Kec. Ciputat, Kota Tangerang Selatan, Banten 15414</t>
  </si>
  <si>
    <t>https://maps.google.com/?cid=0x0:0xd7ef69e3bdfccb76</t>
  </si>
  <si>
    <t>https://www.rumah123.com/properti/tangerang-selatan/hos13886829/</t>
  </si>
  <si>
    <t>Griya Aviva Townhouse</t>
  </si>
  <si>
    <t>PP4M+CW7, Jl. Menjangan, Ciputat, Sawah Lama, Tangerang Selatan, Banten, 15413</t>
  </si>
  <si>
    <t>Jl. Menjangan, Ciputat, Sawah Lama, Tangerang Selatan</t>
  </si>
  <si>
    <t>https://maps.google.com/?cid=0x0:0x61be436046eb60b3</t>
  </si>
  <si>
    <t>https://www.99.co/id/komplek-perumahan/60539-griya-aviva/units</t>
  </si>
  <si>
    <t>Griya Bintaro Estate</t>
  </si>
  <si>
    <t>Jl. Griya Bintaro Estate, Sawah Lama, Kec. Ciputat, Kota Tangerang Selatan, Banten 15413</t>
  </si>
  <si>
    <t>https://maps.google.com/?cid=0x0:0x9dc421477b38d263</t>
  </si>
  <si>
    <t>https://www.rumah123.com/venue/griya-bintaro-estate-vcm22677/</t>
  </si>
  <si>
    <t>Griya Kampung Utan Residence</t>
  </si>
  <si>
    <t>Jl. W R Supratman No.33, Rengas, Kec. Ciputat Tim., Kota Tangerang Selatan, Banten 15412</t>
  </si>
  <si>
    <t>https://maps.google.com/?cid=0x0:0x40762a5205c9fc5d</t>
  </si>
  <si>
    <t>https://www.rumah123.com/venue/griya-kampung-utan-residence-vcm14913/</t>
  </si>
  <si>
    <t>Griya Nafatra</t>
  </si>
  <si>
    <t>Jl. Cendrawasih Raya No.46, Sawah Baru, Kec. Ciputat, Kota Tangerang Selatan, Banten 15413</t>
  </si>
  <si>
    <t>Sawah Baru, Kec. Ciputat, Kota Tangerang Selatan</t>
  </si>
  <si>
    <t>https://maps.google.com/?cid=0x0:0x1999ee3e26500161</t>
  </si>
  <si>
    <t>Griya Rajawali 1 Bintaro</t>
  </si>
  <si>
    <t>Jl. Cendrawasih V, Sawah Baru, Kec. Ciputat, Kota Tangerang Selatan, Banten 15413</t>
  </si>
  <si>
    <t>https://maps.google.com/?cid=0x0:0xfb55be43419abed7</t>
  </si>
  <si>
    <t>https://www.rumah123.com/venue/griya-rajawali-bintaro-vcm18272/</t>
  </si>
  <si>
    <t>Griya Rosela</t>
  </si>
  <si>
    <t>Jl. Mujair 1, Serua Indah, Kec. Ciputat, Kota Tangerang Selatan, Banten 15414</t>
  </si>
  <si>
    <t>https://maps.google.com/?cid=0x0:0x61fd16425358c10</t>
  </si>
  <si>
    <t>https://www.rumah123.com/venue/griya-rosela-vcm14886/</t>
  </si>
  <si>
    <t>Griya Serpong Serua</t>
  </si>
  <si>
    <t>Jl. Ciater Raya, Serua, Kec. Ciputat, Kota Tangerang Selatan, Banten 15414</t>
  </si>
  <si>
    <t>https://maps.google.com/?cid=0x0:0x16d8b71026eae901</t>
  </si>
  <si>
    <t>https://www.rumah123.com/venue/griya-serpong-serua-vcm25329/</t>
  </si>
  <si>
    <t>Griya Taman Exclusive Residence</t>
  </si>
  <si>
    <t>MPJ9+FV6, Jl. Suka Karya, Serua, Kec. Ciputat, Kota Tangerang Selatan, Banten 15414</t>
  </si>
  <si>
    <t>Jl. Suka Karya, Serua, Kec. Ciputat, Kota Tangerang Selatan</t>
  </si>
  <si>
    <t>https://maps.google.com/?cid=0x0:0x4e919ae7d15bf2e5</t>
  </si>
  <si>
    <t>Harvest Bintaro Residence</t>
  </si>
  <si>
    <t>Jl. Merpati Raya No..103, Sawah Lama, Kec. Ciputat, Kota Tangerang Selatan, Banten 15413</t>
  </si>
  <si>
    <t>https://maps.google.com/?cid=0x0:0xdb428b0746e8390e</t>
  </si>
  <si>
    <t>https://www.rumah123.com/venue/harvest-bintaro-residence-vcm14814/</t>
  </si>
  <si>
    <t>Komp. Harperindo</t>
  </si>
  <si>
    <t>Jl. Harapan Permai I No.14, Cemp. Putih, Kec. Ciputat Tim., Kota Tangerang Selatan, Banten 15412</t>
  </si>
  <si>
    <t>https://maps.google.com/?cid=0x0:0x391427a154411d53</t>
  </si>
  <si>
    <t>Komplek Beranda Rempoa Townhouse</t>
  </si>
  <si>
    <t>Jl. Delima Jaya No.I, RT./RW/RW.006/002, Rempoa, Kec. Ciputat Tim., Kota Tangerang Selatan, Banten 15412</t>
  </si>
  <si>
    <t>RT./RW/RW.006/002, Rempoa, Kec. Ciputat Tim., Kota Tangerang Selatan</t>
  </si>
  <si>
    <t>https://maps.google.com/?cid=0x0:0x2d11b83922bd2694</t>
  </si>
  <si>
    <t>https://www.dekoruma.com/properti/dijual-ciputat-tangerang-selatan-rumah-sederhana-oleh-soraya-dwinanda-tyNWDSDCKZ?srsltid=AfmBOophcAUWqV8YKF7COz4oqRfemDnolP690s4C8XPdZQ-EMtb34soG</t>
  </si>
  <si>
    <t>Komplek Ciputat Baru</t>
  </si>
  <si>
    <t>Jl. Teratai Gg. Buntu no AA1A, Sawah Lama, Kec. Ciputat, Kota Tangerang Selatan, Banten 15413</t>
  </si>
  <si>
    <t>https://maps.google.com/?cid=0x0:0xcd75dfe26b367108</t>
  </si>
  <si>
    <t>https://www.99.co/id/komplek-perumahan/1371-ciputat-baru/units</t>
  </si>
  <si>
    <t>Komplek Graha Permai</t>
  </si>
  <si>
    <t>Jl. Graha Permai No.45-95, Sawah Lama, Kec. Ciputat, Kota Tangerang Selatan, Banten 15413</t>
  </si>
  <si>
    <t>https://maps.google.com/?cid=0x0:0x3fc85feefb189461</t>
  </si>
  <si>
    <t>Komplek Griya Serua Permai</t>
  </si>
  <si>
    <t>MPJG+C85, Jl. Sukamulya IV, Serua Indah, Kec. Ciputat, Kota Tangerang Selatan, Banten 15414</t>
  </si>
  <si>
    <t>Jl. Sukamulya IV, Serua Indah, Kec. Ciputat, Kota Tangerang Selatan</t>
  </si>
  <si>
    <t>https://maps.google.com/?cid=0x0:0x8df851b4f7ba85e3</t>
  </si>
  <si>
    <t>https://www.rumah123.com/venue/griya-serua-permai-vcm27598/</t>
  </si>
  <si>
    <t>Komplek. Depkes</t>
  </si>
  <si>
    <t>MPXF+659, Sawah Baru, Kec. Ciputat Tim., Kota Tangerang Selatan, Banten 15413</t>
  </si>
  <si>
    <t>Sawah Baru, Kec. Ciputat Tim., Kota Tangerang Selatan</t>
  </si>
  <si>
    <t>https://maps.google.com/?cid=0x0:0xd59a5dd78be8db50</t>
  </si>
  <si>
    <t>Kompleks Dosen Universitas Indonesia Ciputat Timur</t>
  </si>
  <si>
    <t>MQW5+JW9, Jl. Ir H. Juanda, Cireundeu, Kec. Ciputat Tim., Kota Tangerang Selatan, Banten 15419</t>
  </si>
  <si>
    <t>Jl. Ir H. Juanda, Cireundeu, Kec. Ciputat Tim., Kota Tangerang Selatan</t>
  </si>
  <si>
    <t>https://maps.google.com/?cid=0x0:0x810975bde1838fc8</t>
  </si>
  <si>
    <t>Kontrakan Griya K Plus</t>
  </si>
  <si>
    <t>Jl. Otista Raya No.39, Ciputat, Kec. Ciputat, Kota Tangerang Selatan, Banten 15411</t>
  </si>
  <si>
    <t>Ciputat, Kec. Ciputat, Kota Tangerang Selatan</t>
  </si>
  <si>
    <t>https://maps.google.com/?cid=0x0:0x72a76e6078f1900e</t>
  </si>
  <si>
    <t>Kostawira Residence</t>
  </si>
  <si>
    <t>Jl. Beruang Raya No.10, Pd. Ranji, Kec. Ciputat Tim., Kota Tangerang Selatan, Banten 15412</t>
  </si>
  <si>
    <t>Pd. Ranji, Kec. Ciputat Tim., Kota Tangerang Selatan</t>
  </si>
  <si>
    <t>https://maps.google.com/?cid=0x0:0x37e26df82d403140</t>
  </si>
  <si>
    <t>NEVILLE RESIDENCE</t>
  </si>
  <si>
    <t>Jl. Menjangan 2, Pd. Ranji, Kec. Ciputat, Kota Tangerang Selatan, Banten 15412</t>
  </si>
  <si>
    <t>Pd. Ranji, Kec. Ciputat, Kota Tangerang Selatan</t>
  </si>
  <si>
    <t>https://maps.google.com/?cid=0x0:0xfc6c695905e5a81c</t>
  </si>
  <si>
    <t>https://www.dekoruma.com/properti/perumahan-neville-residence-tangerang-selatan?srsltid=AfmBOooXJfdWf4XMhOnz-WHKqJIX4NZJEsybuYQXEYxYhL1oXBrhGmI3</t>
  </si>
  <si>
    <t>Olivia Residence Ciputat</t>
  </si>
  <si>
    <t>Gg. Mandor, Ciputat, Kec. Ciputat, Kota Tangerang Selatan, Banten 15411</t>
  </si>
  <si>
    <t>https://maps.google.com/?cid=0x0:0xd1c19bc69eb8872d</t>
  </si>
  <si>
    <t>Palm Residence Ciputat</t>
  </si>
  <si>
    <t>Jl. Musyawarah, Sawah Lama, Kec. Ciputat, Kota Tangerang Selatan, Banten 15413</t>
  </si>
  <si>
    <t>https://maps.google.com/?cid=0x0:0x2ea77ef1233b2870</t>
  </si>
  <si>
    <t>https://www.99.co/id/komplek-perumahan/110247-palm-residence-ciputat/units</t>
  </si>
  <si>
    <t>Perumahan Ciputat Baru</t>
  </si>
  <si>
    <t>PP3R+HHQ, Jl. Ciputat Baru, Sawah Lama, Kec. Ciputat Tim., Kota Tangerang Selatan, Banten 15413</t>
  </si>
  <si>
    <t>Jl. Ciputat Baru, Sawah Lama, Kec. Ciputat Tim., Kota Tangerang Selatan</t>
  </si>
  <si>
    <t>https://maps.google.com/?cid=0x0:0x84a3d6acf4caf428</t>
  </si>
  <si>
    <t>Perumahan Grand Bintaro Asri</t>
  </si>
  <si>
    <t>Jl. Kihajar Dewantara No.114, RT.2/RW.4, Sawah Lama, Kec. Ciputat, Kota Tangerang Selatan, Banten 15413</t>
  </si>
  <si>
    <t>RT.2/RW.4, Sawah Lama, Kec. Ciputat, Kota Tangerang Selatan</t>
  </si>
  <si>
    <t>https://maps.google.com/?cid=0x0:0xece6cd6d21343c79</t>
  </si>
  <si>
    <t>https://www.rumah123.com/venue/grand-bintaro-asri-vcm14585/</t>
  </si>
  <si>
    <t>Perumahan Grand Cendrawasih Asri Ciputat</t>
  </si>
  <si>
    <t>MQF2+3PQ, Jl. Cendrawasih, RT.1/RW.6, Cipayung, Kec. Ciputat Tim., Kota Tangerang Selatan, Banten 15411</t>
  </si>
  <si>
    <t>Jl. Cendrawasih, RT.1/RW.6, Cipayung, Kec. Ciputat Tim., Kota Tangerang Selatan</t>
  </si>
  <si>
    <t>https://maps.google.com/?cid=0x0:0xe8f3ef46ff83ddf3</t>
  </si>
  <si>
    <t>https://www.dekoruma.com/properti/perumahan-grand-cendrawasih-asri-tangerang-selatan?srsltid=AfmBOoqPpk3N22Kh3fLS1B7Ifc9pwOisrZsB0CKZDqDg0TnuQwRADU84</t>
  </si>
  <si>
    <t>Perumahan Mahoni Residence</t>
  </si>
  <si>
    <t>MQW3+6CC, Jl. Mahoni, Cemp. Putih, Kec. Ciputat Tim., Kota Tangerang Selatan, Banten 15412</t>
  </si>
  <si>
    <t>Jl. Mahoni, Cemp. Putih, Kec. Ciputat Tim., Kota Tangerang Selatan</t>
  </si>
  <si>
    <t>https://maps.google.com/?cid=0x0:0x1514efeb60f11492</t>
  </si>
  <si>
    <t>Perumahan Nuri Bintaro Jaya</t>
  </si>
  <si>
    <t>PP5M+JP2, Bintaro Utama, Ciputat, Jl. Nuri Bintaro Utama, Pd. Ranji, Kec. Ciputat Tim., Kota Tangerang Selatan, Banten 15412</t>
  </si>
  <si>
    <t>Bintaro Utama, Ciputat, Jl. Nuri Bintaro Utama, Pd. Ranji, Kec. Ciputat Tim., Kota Tangerang Selatan</t>
  </si>
  <si>
    <t>https://maps.google.com/?cid=0x0:0x6ad17b0d8d2b8550</t>
  </si>
  <si>
    <t>https://www.99.co/id/komplek-perumahan/33496-nuri-bintaro-jaya/units</t>
  </si>
  <si>
    <t>Perumahan Pamulang Asri</t>
  </si>
  <si>
    <t>Serua Indah, Kec. Ciputat, Kota Tangerang Selatan, Banten 15414</t>
  </si>
  <si>
    <t>https://maps.google.com/?cid=0x0:0x5f4bd49bb6d8b0e7</t>
  </si>
  <si>
    <t>https://www.99.co/id/komplek-perumahan/22541-pamulang-asri/units</t>
  </si>
  <si>
    <t>Perumahan Puri Bintaro</t>
  </si>
  <si>
    <t>Jl. Komp. Puri Bintaro No.24 PB 7, Sawah Baru, Kec. Ciputat, Kota Tangerang Selatan, Banten 15413</t>
  </si>
  <si>
    <t>https://maps.google.com/?cid=0x0:0x8085c4ad1525681b</t>
  </si>
  <si>
    <t>Perumahan Puri Kristal</t>
  </si>
  <si>
    <t>Sawah Lama, Kec. Ciputat, Kota Tangerang Selatan, Banten</t>
  </si>
  <si>
    <t>Kota Tangerang Selatan, Banten</t>
  </si>
  <si>
    <t>https://maps.google.com/?cid=0x0:0xe08598fc75d3bb59</t>
  </si>
  <si>
    <t>https://www.99.co/id/komplek-perumahan/66309-puri-kristal/units</t>
  </si>
  <si>
    <t>Perumahan serua barokah</t>
  </si>
  <si>
    <t>MPQ5+889, Jl. Palapa, Serua, Kec. Ciputat, Kota Tangerang Selatan, Banten 15414</t>
  </si>
  <si>
    <t>Jl. Palapa, Serua, Kec. Ciputat, Kota Tangerang Selatan</t>
  </si>
  <si>
    <t>https://maps.google.com/?cid=0x0:0xc5210a4a69cac20</t>
  </si>
  <si>
    <t>Perumahan Serua Indah</t>
  </si>
  <si>
    <t>MPM8+8P7, Jl.komplek serua indah, Serua, Kec. Ciputat, Kota Tangerang Selatan, Banten 15414</t>
  </si>
  <si>
    <t>Jl.komplek serua indah, Serua, Kec. Ciputat, Kota Tangerang Selatan</t>
  </si>
  <si>
    <t>https://maps.google.com/?cid=0x0:0x7b8989017d438352</t>
  </si>
  <si>
    <t>Perumahan The Minimanis</t>
  </si>
  <si>
    <t>Jl. Cendrawasih Raya No.V, Sawah Baru, Kec. Ciputat, Kota Tangerang Selatan, Banten 15413</t>
  </si>
  <si>
    <t>https://maps.google.com/?cid=0x0:0x83ffb73f7bd3c02f</t>
  </si>
  <si>
    <t>Perumahan Villa Mutiara</t>
  </si>
  <si>
    <t>Jl. Mirah Raya Blk. W-AW No.4, Sawah Baru, Kec. Ciputat, Kota Tangerang Selatan, Banten 15413</t>
  </si>
  <si>
    <t>https://maps.google.com/?cid=0x0:0x9c97803849419901</t>
  </si>
  <si>
    <t>Puri Marissa</t>
  </si>
  <si>
    <t>MP7X+V2P, Jl. Isabela, Cipayung, Kec. Ciputat, Kota Tangerang Selatan, Banten 15411</t>
  </si>
  <si>
    <t>Jl. Isabela, Cipayung, Kec. Ciputat, Kota Tangerang Selatan</t>
  </si>
  <si>
    <t>https://maps.google.com/?cid=0x0:0x4b3b23164f05443</t>
  </si>
  <si>
    <t>Sasak Tinggi Residence</t>
  </si>
  <si>
    <t>Jl. Otto Iskandar Dinata No.38, Jl. Ciputat Raya No.11, Ciputat, Kec. Ciputat, Kota Tangerang Selatan, Banten 14511</t>
  </si>
  <si>
    <t>Jl. Ciputat Raya No.11, Ciputat, Kec. Ciputat, Kota Tangerang Selatan</t>
  </si>
  <si>
    <t>https://maps.google.com/?cid=0x0:0x2a28cdfc75812094</t>
  </si>
  <si>
    <t>https://www.dekoruma.com/properti/dijual-ciputat-tangerang-selatan-rumah-2-lantai-modern-oleh-mulyani-U5DZEhBWAV?srsltid=AfmBOoqkRByIk6v1a7gxa0wlJcu_ZJtZige65yFmzNU4VvtV5Aa95pTo</t>
  </si>
  <si>
    <t>Savira Residence</t>
  </si>
  <si>
    <t>Jl. Suka Bakti II No.41, Serua Indah, Kec. Ciputat, Kota Tangerang Selatan, Banten 15414</t>
  </si>
  <si>
    <t>https://maps.google.com/?cid=0x0:0x367f208b1934ff8c</t>
  </si>
  <si>
    <t>Secret Residence</t>
  </si>
  <si>
    <t>Jl. Gelatik No.18, Sawah Lama, Kec. Ciputat, Kota Tangerang Selatan, Banten 15413</t>
  </si>
  <si>
    <t>https://maps.google.com/?cid=0x0:0xc495b21a5af74c2b</t>
  </si>
  <si>
    <t>Terrace Garden</t>
  </si>
  <si>
    <t>Jl. Suka Bakti III No.2, Serua Indah, Kec. Ciputat, Kota Tangerang Selatan, Banten 15414</t>
  </si>
  <si>
    <t>https://maps.google.com/?cid=0x0:0x537b90ea833e4ccd</t>
  </si>
  <si>
    <t>http://rumah123.com/venue/terrace-garden-vcm14178/</t>
  </si>
  <si>
    <t>The Green Park 2 Residence</t>
  </si>
  <si>
    <t>Jl. Sukabakti 1, Serua Indah, Kec. Ciputat, Kota Tangerang Selatan, Banten 15414</t>
  </si>
  <si>
    <t>https://maps.google.com/?cid=0x0:0x17e4a0da25e340f0</t>
  </si>
  <si>
    <t>Tria Adara</t>
  </si>
  <si>
    <t>Jl. Bukit Indah, Serua, Kec. Ciputat, Kota Tangerang Selatan, Banten 15414</t>
  </si>
  <si>
    <t>https://maps.google.com/?cid=0x0:0x4123f7577795123d</t>
  </si>
  <si>
    <t>https://www.rumah123.com/properti/tangerang-selatan/hos18963006/</t>
  </si>
  <si>
    <t>Villa Cendana</t>
  </si>
  <si>
    <t>Jl. W R Supratman No.42, Cemp. Putih, Kec. Ciputat Tim., Kota Tangerang Selatan, Banten 15412</t>
  </si>
  <si>
    <t>https://maps.google.com/?cid=0x0:0xc60be8b9c09e3dd0</t>
  </si>
  <si>
    <t>https://www.rumah123.com/venue/villa-cendana-vcm20252/</t>
  </si>
  <si>
    <t>Villa Dago Tol</t>
  </si>
  <si>
    <t>Jl. Kenari No.8 blok C1, Serua, Kec. Ciputat, Kota Tangerang Selatan, Banten 15414</t>
  </si>
  <si>
    <t>https://maps.google.com/?cid=0x0:0x1047c80873eeb0d9</t>
  </si>
  <si>
    <t>https://www.99.co/id/komplek-perumahan/21828-villa-dago-tol/units</t>
  </si>
  <si>
    <t>Villa Gunung Lestari</t>
  </si>
  <si>
    <t>Kantor Pemasaran Vigules, Blok A6 No.7, Jl. Bukit Barisan, Jombang, Kec. Ciputat, Kota Tangerang Selatan, Banten 15414</t>
  </si>
  <si>
    <t>Blok A6 No.7, Jl. Bukit Barisan, Jombang, Kec. Ciputat, Kota Tangerang Selatan</t>
  </si>
  <si>
    <t>https://maps.google.com/?cid=0x0:0x410cc1ff3d340609</t>
  </si>
  <si>
    <t>Villa Mutiara</t>
  </si>
  <si>
    <t>MPWC+X9H, Jl. Intan Raya, Sawah Baru, Kec. Ciputat, Kota Tangerang Selatan, Banten 15413</t>
  </si>
  <si>
    <t>Jl. Intan Raya, Sawah Baru, Kec. Ciputat, Kota Tangerang Selatan</t>
  </si>
  <si>
    <t>https://maps.google.com/?cid=0x0:0xaa9565e7217150d6</t>
  </si>
  <si>
    <t>ANDARA RESIDENCE 2 Lebaktipar Cilograng</t>
  </si>
  <si>
    <t>383X+WP, Cilograng, Kec. Cilograng, Kabupaten Lebak, Banten</t>
  </si>
  <si>
    <t>Kabupaten Lebak, Banten</t>
  </si>
  <si>
    <t>https://maps.google.com/?cid=0x0:0xae08ffa97aa7cc03</t>
  </si>
  <si>
    <t>https://www.medcom.id/properti/news-properti/0k8rnjON-rekomendasi-rumah-di-lebak-harganya-mulai-rp140-jutaan</t>
  </si>
  <si>
    <t>Bunga Residence Rangkasbitung</t>
  </si>
  <si>
    <t>Jl. Arief Rahman Hakim Kaduagung No.30, Ps. Keong, Kec. Cibadak, Kabupaten Lebak, Banten 42357</t>
  </si>
  <si>
    <t>Ps. Keong, Kec. Cibadak, Kabupaten Lebak</t>
  </si>
  <si>
    <t>https://maps.google.com/?cid=0x0:0x1a0185f32a068930</t>
  </si>
  <si>
    <t>Permata Mutiara Maja</t>
  </si>
  <si>
    <t>M95M+375, Jl. Boulevard Permata Mutiara, Curug Badak, Kec. Maja, Kabupaten Lebak, Banten 42381</t>
  </si>
  <si>
    <t>Jl. Boulevard Permata Mutiara, Curug Badak, Kec. Maja, Kabupaten Lebak</t>
  </si>
  <si>
    <t>https://maps.google.com/?cid=0x0:0xf61d56fc8b04f4f1</t>
  </si>
  <si>
    <t>https://www.rumah123.com/venue/permata-mutiara-maja-vcm24195/</t>
  </si>
  <si>
    <t>Kompleks Apartemen</t>
  </si>
  <si>
    <t>Graha Kanza Mutiara</t>
  </si>
  <si>
    <t>368X+57W, Bayah Bar., Kec. Bayah, Kabupaten Lebak, Banten 42393</t>
  </si>
  <si>
    <t>Bayah Bar., Kec. Bayah, Kabupaten Lebak</t>
  </si>
  <si>
    <t>https://maps.google.com/?cid=0x0:0x4d6a2de3dbde3a8f</t>
  </si>
  <si>
    <t>https://www.kompas.com/properti/read/2023/10/07/060000521/hanya-rp-162-juta-rumah-murah-di-kabupaten-lebak-ii-</t>
  </si>
  <si>
    <t>GRAND CIMARGA RESIDENCE</t>
  </si>
  <si>
    <t>H6PM+GMC, Jl. Raya Leuwidamar, Marga Jaya, Kec. Cimarga, Kabupaten Lebak, Banten 42361</t>
  </si>
  <si>
    <t>Jl. Raya Leuwidamar, Marga Jaya, Kec. Cimarga, Kabupaten Lebak</t>
  </si>
  <si>
    <t>https://maps.google.com/?cid=0x0:0x743c7e5532a8c59f</t>
  </si>
  <si>
    <t>Griya Kaduagung Indah Blok D71 Ais Home</t>
  </si>
  <si>
    <t>M65M+WW9, Unnamed Road, Pasar Keong, Cibadak, Lebak Regency, Banten 42357</t>
  </si>
  <si>
    <t>Unnamed Road, Pasar Keong, Cibadak, Lebak Regency</t>
  </si>
  <si>
    <t>https://maps.google.com/?cid=0x0:0xeeb8979839569464</t>
  </si>
  <si>
    <t>https://www.facebook.com/groups/jualbelirangkasbitung/posts/9612418855459065/</t>
  </si>
  <si>
    <t>Griya Kula</t>
  </si>
  <si>
    <t>39VM+5WH, Cikamunding, Kec. Cilograng, Kabupaten Lebak, Banten 42393</t>
  </si>
  <si>
    <t>Cikamunding, Kec. Cilograng, Kabupaten Lebak</t>
  </si>
  <si>
    <t>https://maps.google.com/?cid=0x0:0x805f3d7b00aded7b</t>
  </si>
  <si>
    <t>Gunungkencana</t>
  </si>
  <si>
    <t>Kec. Gunungkencana, Kabupaten Lebak, Banten</t>
  </si>
  <si>
    <t>https://maps.google.com/?cid=0x0:0x81838f79e39c4a52</t>
  </si>
  <si>
    <t>Komp. Ranau Estate I (Satu)</t>
  </si>
  <si>
    <t>J6RC+6R7, Jl. Raya, Bojongleles, Kec. Cibadak, Kabupaten Lebak, Banten 42357</t>
  </si>
  <si>
    <t>Jl. Raya, Bojongleles, Kec. Cibadak, Kabupaten Lebak</t>
  </si>
  <si>
    <t>https://maps.google.com/?cid=0x0:0xaf79839416f17e01</t>
  </si>
  <si>
    <t>Komplek Griya Bayah Permai</t>
  </si>
  <si>
    <t>36FM+98Q, Bayah Bar., Kec. Bayah, Kabupaten Lebak, Banten 42393</t>
  </si>
  <si>
    <t>https://maps.google.com/?cid=0x0:0x6fe7c4c757736c9d</t>
  </si>
  <si>
    <t>Komplek Kacapi hills</t>
  </si>
  <si>
    <t>Wanasari, Kec. Cibeber, Kabupaten Lebak, Banten 42394</t>
  </si>
  <si>
    <t>Kec. Cibeber, Kabupaten Lebak</t>
  </si>
  <si>
    <t>https://maps.google.com/?cid=0x0:0x41caa0c1d99bf546</t>
  </si>
  <si>
    <t>Komplek Lebak Asri</t>
  </si>
  <si>
    <t>Kp. Lebak Asri No.003, RT.004, Kaduagung Tim., Kec. Cibadak, Kabupaten Lebak, Banten</t>
  </si>
  <si>
    <t>https://maps.google.com/?cid=0x0:0xab80f2983d32ae5d</t>
  </si>
  <si>
    <t>Kota Mutiara Lebak</t>
  </si>
  <si>
    <t>Cilangkap, Kec. Kalanganyar, Kabupaten Lebak, Banten 42312</t>
  </si>
  <si>
    <t>Kec. Kalanganyar, Kabupaten Lebak</t>
  </si>
  <si>
    <t>https://maps.google.com/?cid=0x0:0x72ad51f3f83df4e2</t>
  </si>
  <si>
    <t>Nuansa Kirana Residence</t>
  </si>
  <si>
    <t>Jl. RE. Martadinata, Narimbang Mulia, Kec. Rangkasbitung, Kabupaten Lebak, Banten 42315</t>
  </si>
  <si>
    <t>Narimbang Mulia, Kec. Rangkasbitung, Kabupaten Lebak</t>
  </si>
  <si>
    <t>https://maps.google.com/?cid=0x0:0x4bf625a1efb5ada4</t>
  </si>
  <si>
    <t>PANWASLU Kec.Gunungkencana</t>
  </si>
  <si>
    <t>C397+MR2, Kp.Gunung kidul, Gunungkencana, Kec. Gunungkencana, Kabupaten Lebak, Banten 42354</t>
  </si>
  <si>
    <t>Kp.Gunung kidul, Gunungkencana, Kec. Gunungkencana, Kabupaten Lebak</t>
  </si>
  <si>
    <t>https://maps.google.com/?cid=0x0:0x4a9daacb42a2cd3c</t>
  </si>
  <si>
    <t>Permata Mutiara</t>
  </si>
  <si>
    <t>Jl. Boulevard Permata Mutiara, Maja, Kec. Maja, Kabupaten Lebak, Banten 42381</t>
  </si>
  <si>
    <t>Maja, Kec. Maja, Kabupaten Lebak</t>
  </si>
  <si>
    <t>https://maps.google.com/?cid=0x0:0xd08e1d49790df1e</t>
  </si>
  <si>
    <t>Permata mutiara Maja</t>
  </si>
  <si>
    <t>Cluster, Jl. Saphire II Permata Mutiara Maja No.21 Blok J1, Curug Badak, Kec. Maja, Kabupaten Lebak, Banten 42381</t>
  </si>
  <si>
    <t>Jl. Saphire II Permata Mutiara Maja No.21 Blok J1, Curug Badak, Kec. Maja, Kabupaten Lebak</t>
  </si>
  <si>
    <t>https://maps.google.com/?cid=0x0:0x7d1ad9278a3129bc</t>
  </si>
  <si>
    <t>https://property.birulangit.info/property/paket-full-furnished-di-cluster-ruby-permata-mutiara-maja/</t>
  </si>
  <si>
    <t>PERUM Cibadak Residence I</t>
  </si>
  <si>
    <t>Jl, Ilham jaya, Kec. Cibadak, Kabupaten Lebak, Banten 42357</t>
  </si>
  <si>
    <t>Ilham jaya, Kec. Cibadak, Kabupaten Lebak</t>
  </si>
  <si>
    <t>https://maps.google.com/?cid=0x0:0x3bc17d7117c35805</t>
  </si>
  <si>
    <t>Perum GPI Bojongleles</t>
  </si>
  <si>
    <t>J6WG+9J7, Bojongleles, Kec. Cibadak, Kabupaten Lebak, Banten 42357</t>
  </si>
  <si>
    <t>Bojongleles, Kec. Cibadak, Kabupaten Lebak</t>
  </si>
  <si>
    <t>https://maps.google.com/?cid=0x0:0xfd730fec6991ea60</t>
  </si>
  <si>
    <t>J6JR+M67, Aweh, Kec. Kalanganyar, Kabupaten Lebak, Banten 42312</t>
  </si>
  <si>
    <t>Aweh, Kec. Kalanganyar, Kabupaten Lebak</t>
  </si>
  <si>
    <t>https://maps.google.com/?cid=0x0:0xcc2502f77ec0a903</t>
  </si>
  <si>
    <t>Perumahan Acenk41</t>
  </si>
  <si>
    <t>9XPM+PF2, Jl. Raya Saketi - Malingping, Tamansari, Kec. Banjarsari, Kabupaten Lebak, Banten 42355</t>
  </si>
  <si>
    <t>Jl. Raya Saketi - Malingping, Tamansari, Kec. Banjarsari, Kabupaten Lebak</t>
  </si>
  <si>
    <t>https://maps.google.com/?cid=0x0:0x15875238f1e8f532</t>
  </si>
  <si>
    <t>Perumahan Aweh Residence</t>
  </si>
  <si>
    <t>Perumahan Aweh Residence, Aweh, Blok G no 11, Gg Ludo, Kalanganyar, Lebak Regency, Banten 42312</t>
  </si>
  <si>
    <t>Aweh, Blok G no 11, Gg Ludo, Kalanganyar, Lebak Regency</t>
  </si>
  <si>
    <t>https://maps.google.com/?cid=0x0:0xf6b4bc166ca77317</t>
  </si>
  <si>
    <t>PERUMAHAN BTN PEPABRI CURUG</t>
  </si>
  <si>
    <t>J7PJ+HRG, Narimbang Mulia, Kec. Rangkasbitung, Kabupaten Lebak, Banten 42315</t>
  </si>
  <si>
    <t>https://maps.google.com/?cid=0x0:0x9aa09f1ef1434d76</t>
  </si>
  <si>
    <t>Perumahan Bukit Kiara Payung Indah</t>
  </si>
  <si>
    <t>36Q9+6Q5, Panggarangan, Kec. Panggarangan, Kabupaten Lebak, Banten</t>
  </si>
  <si>
    <t>https://maps.google.com/?cid=0x0:0x88cd13cc9072f4c5</t>
  </si>
  <si>
    <t>https://www.btnproperti.co.id/property/perumahan/detail/bukit-kiara-payung-indah-2704030</t>
  </si>
  <si>
    <t>Perhimpunan Pengembang Perumahan</t>
  </si>
  <si>
    <t>Perumahan bumi kencana asri lebak</t>
  </si>
  <si>
    <t>Bumi kencana asri, Ciginggang, gunung barat, Kabupaten Lebak, Banten</t>
  </si>
  <si>
    <t>https://maps.google.com/?cid=0x0:0x501a46bb42334699</t>
  </si>
  <si>
    <t>Perumahan bumi raja asri</t>
  </si>
  <si>
    <t>Pertigaan Pasir Peuteuy, Jl. Raya Maja, Kopi Sangiang Maja, Desa, Padasuka, Kec. Maja, Kabupaten Lebak, Banten 42381</t>
  </si>
  <si>
    <t>Jl. Raya Maja, Kopi Sangiang Maja, Desa, Padasuka, Kec. Maja, Kabupaten Lebak</t>
  </si>
  <si>
    <t>https://maps.google.com/?cid=0x0:0x1011d8be43c00c59</t>
  </si>
  <si>
    <t>https://www.medcom.id/properti/news-properti/lKY82wVk-pilihan-rumah-di-lebak-serba-rp160-jutaan</t>
  </si>
  <si>
    <t>Perumahan Cempa Residence</t>
  </si>
  <si>
    <t>Kampung Desa Kecamatan, Jl. Maulana Hasanudin, Cilangkap, Kec. Kalanganyar, Kabupaten Lebak, Banten 42312</t>
  </si>
  <si>
    <t>Jl. Maulana Hasanudin, Cilangkap, Kec. Kalanganyar, Kabupaten Lebak</t>
  </si>
  <si>
    <t>https://maps.google.com/?cid=0x0:0x1c95170e4933ffad</t>
  </si>
  <si>
    <t>https://www.instagram.com/inforangkasbitung/p/C-SJr07SEde/?hl=id&amp;img_index=1</t>
  </si>
  <si>
    <t>Perumahan Graha Beka Residence</t>
  </si>
  <si>
    <t>Jl. R.E. Martadinata Kp. Semi, Narimbang Mulia, Kec. Rangkasbitung, Kabupaten Lebak, Banten 42315</t>
  </si>
  <si>
    <t>https://maps.google.com/?cid=0x0:0x1ab05aa6c99fd1a0</t>
  </si>
  <si>
    <t>PERUMAHAN GREEN VILLES 2</t>
  </si>
  <si>
    <t>M6FJ+67J, Ps. Keong, Kec. Cibadak, Kabupaten Lebak, Banten 42357</t>
  </si>
  <si>
    <t>https://maps.google.com/?cid=0x0:0xaa0cb2ff1280ef8b</t>
  </si>
  <si>
    <t>https://www.facebook.com/photo/?fbid=122189813246185898&amp;set=gm.1993254757845167&amp;idorvanity=1617652665405380</t>
  </si>
  <si>
    <t>Perumahan kembang harum</t>
  </si>
  <si>
    <t>1 Blok E, Perumahan Jl. Kembang Harum No.19, Bojongleles, Kec. Cibadak, Kabupaten Lebak, Banten 42357</t>
  </si>
  <si>
    <t>Perumahan Jl. Kembang Harum No.19, Bojongleles, Kec. Cibadak, Kabupaten Lebak</t>
  </si>
  <si>
    <t>https://maps.google.com/?cid=0x0:0x17b5aa575543b7bd</t>
  </si>
  <si>
    <t>Perumahan Permata Mutiara Maja</t>
  </si>
  <si>
    <t>Curug Badak, Kec. Maja, Kabupaten Lebak, Banten 42381</t>
  </si>
  <si>
    <t>Kec. Maja, Kabupaten Lebak</t>
  </si>
  <si>
    <t>https://maps.google.com/?cid=0x0:0x2ec918ff6c165ea5</t>
  </si>
  <si>
    <t>https://property.birulangit.info/property/cluster-topaz-rumah-subsidi-di-permata-mutiara-maja/#:~:text=Dijual%20Rp140.000.000%20%2D%20Residensial%2C%20Rumah%20Subsidi&amp;text=Permata%20Mutiara%20Maja%20dengan%20cluster,area%20komersial%20dan%20area%20wisata.</t>
  </si>
  <si>
    <t>Perumahan PESONA LEBAK</t>
  </si>
  <si>
    <t>J6QR+Q4H, Jl. Raya Leuwidamar, Aweh, Kec. Kalanganyar, Kabupaten Lebak, Banten 42312</t>
  </si>
  <si>
    <t>Jl. Raya Leuwidamar, Aweh, Kec. Kalanganyar, Kabupaten Lebak</t>
  </si>
  <si>
    <t>https://maps.google.com/?cid=0x0:0xf2ea44a95fbbdc15</t>
  </si>
  <si>
    <t>Perumahan Puri Kirana Asri</t>
  </si>
  <si>
    <t>J6PP+M9Q, Jl. Maulana Hasanudin, Aweh, Kec. Kalanganyar, Kabupaten Lebak, Banten 42312</t>
  </si>
  <si>
    <t>Jl. Maulana Hasanudin, Aweh, Kec. Kalanganyar, Kabupaten Lebak</t>
  </si>
  <si>
    <t>https://maps.google.com/?cid=0x0:0x5873d3b90e153461</t>
  </si>
  <si>
    <t>Perumahan Royal Garden</t>
  </si>
  <si>
    <t>J7MF+CHP, Jl. Siliwangi, Rangkasbitung Tim., Kec. Rangkasbitung, Kabupaten Lebak, Banten 42313</t>
  </si>
  <si>
    <t>Jl. Siliwangi, Rangkasbitung Tim., Kec. Rangkasbitung, Kabupaten Lebak</t>
  </si>
  <si>
    <t>https://maps.google.com/?cid=0x0:0xc074d5e1bac48da1</t>
  </si>
  <si>
    <t>https://www.instagram.com/inforangkasbitung/p/CdiONbSr8kV/?img_index=1</t>
  </si>
  <si>
    <t>Perumahan Royal Green Land</t>
  </si>
  <si>
    <t>J7G6+VGH, Rangkasbitung Tim., Kec. Rangkasbitung, Kabupaten Lebak, Banten 42313</t>
  </si>
  <si>
    <t>Rangkasbitung Tim., Kec. Rangkasbitung, Kabupaten Lebak</t>
  </si>
  <si>
    <t>https://maps.google.com/?cid=0x0:0x7bc879f30a97b603</t>
  </si>
  <si>
    <t>https://www.kompas.com/properti/read/2023/05/13/081940121/deretan-rumah-murah-di-lebak-banten-harga-rp-150-jutaan-ii</t>
  </si>
  <si>
    <t>PERUMAHAN ROYAL SOETA</t>
  </si>
  <si>
    <t>Cijoro Pasir, Kec. Rangkasbitung, Kabupaten Lebak, Banten 42316</t>
  </si>
  <si>
    <t>Kec. Rangkasbitung, Kabupaten Lebak</t>
  </si>
  <si>
    <t>https://maps.google.com/?cid=0x0:0xf618ecda7031e570</t>
  </si>
  <si>
    <t>https://www.pinhome.id/dijual/rumah-sekunder/unit/dijual-rumah-di-perumahan-royal-soeta-rangkasbitung</t>
  </si>
  <si>
    <t>Pengembang Realestat</t>
  </si>
  <si>
    <t>Perumahan Saka Hill</t>
  </si>
  <si>
    <t>M76H+WW4, Sukamanah Rajeg, Sukamanah, Kec. Rangkasbitung, Kabupaten Lebak, Banten 42312</t>
  </si>
  <si>
    <t>Sukamanah Rajeg, Sukamanah, Kec. Rangkasbitung, Kabupaten Lebak</t>
  </si>
  <si>
    <t>https://maps.google.com/?cid=0x0:0x80c2894ec34ff8b</t>
  </si>
  <si>
    <t>https://www.btnproperti.co.id/property/tipe/detail/saka-hill-TPR2021053111312716</t>
  </si>
  <si>
    <t>Pondok Alma</t>
  </si>
  <si>
    <t>H63F+79X, Jl. Raya Leuwidamar, Cimarga, Kec. Cimarga, Kabupaten Lebak, Banten 42361</t>
  </si>
  <si>
    <t>Jl. Raya Leuwidamar, Cimarga, Kec. Cimarga, Kabupaten Lebak</t>
  </si>
  <si>
    <t>https://maps.google.com/?cid=0x0:0x534dc0015299e2d9</t>
  </si>
  <si>
    <t>Komplek Pelangi Bayah</t>
  </si>
  <si>
    <t>367X+44H, Jl. Nasional III, Bayah Bar., Kec. Bayah, Kabupaten Lebak, Banten 42393</t>
  </si>
  <si>
    <t>Jl. Nasional III, Bayah Bar., Kec. Bayah, Kabupaten Lebak</t>
  </si>
  <si>
    <t>https://maps.google.com/?cid=0x0:0x83ad80e140682307</t>
  </si>
  <si>
    <t>Puri Cihuni Curugpanjang</t>
  </si>
  <si>
    <t>Curugpanjang, Kec. Cikulur, Kabupaten Lebak, Banten 42356</t>
  </si>
  <si>
    <t>Kec. Cikulur, Kabupaten Lebak</t>
  </si>
  <si>
    <t>https://maps.google.com/?cid=0x0:0xa0a7b5734e741882</t>
  </si>
  <si>
    <t>Puri Cinali Indah</t>
  </si>
  <si>
    <t>Jl. Raya Leuwidamar Jalan Desa No.Pertigaan, Cigembor, Kec. Cimarga, Kabupaten Lebak, Banten 42361</t>
  </si>
  <si>
    <t>Cigembor, Kec. Cimarga, Kabupaten Lebak</t>
  </si>
  <si>
    <t>https://maps.google.com/?cid=0x0:0x60641d4598617988</t>
  </si>
  <si>
    <t>Tulip Rangkas Residence</t>
  </si>
  <si>
    <t>Marketing Office Jl. Maulana Hasanudin RT 005 RW 004 Desa Kaduagung Timur Kecamatan Cibadak, Kabupaten Lebak, Kabupaten Tangerang, Banten 42357</t>
  </si>
  <si>
    <t>Kabupaten Lebak, Kabupaten Tangerang</t>
  </si>
  <si>
    <t>https://maps.google.com/?cid=0x0:0xc1ced6e184b18454</t>
  </si>
  <si>
    <t>https://www.tuliprangkasresidence.com/</t>
  </si>
  <si>
    <t>Villa Kencana Rangkasbitung</t>
  </si>
  <si>
    <t>Selaraja Kecamatan Warunggunung Jl, Pasir Nangka Kp.Cilembun No.Rt13/02, Selaraja, Kec. Warunggunung, Kabupaten Lebak, Banten 42352</t>
  </si>
  <si>
    <t>Pasir Nangka Kp.Cilembun No.Rt13/02, Selaraja, Kec. Warunggunung, Kabupaten Lebak</t>
  </si>
  <si>
    <t>https://maps.google.com/?cid=0x0:0x70d0163113f145a8</t>
  </si>
  <si>
    <t>Vila</t>
  </si>
  <si>
    <t>Villa Kuning</t>
  </si>
  <si>
    <t>5359+43X, Ciparahu, Kec. Cihara, Kabupaten Lebak, Banten 42392</t>
  </si>
  <si>
    <t>Ciparahu, Kec. Cihara, Kabupaten Lebak</t>
  </si>
  <si>
    <t>https://maps.google.com/?cid=0x0:0x590a9131d0192596</t>
  </si>
  <si>
    <t>C365+5C2, Cicaringin, Kec. Gunungkencana, Kabupaten Lebak, Banten 42354</t>
  </si>
  <si>
    <t>Cicaringin, Kec. Gunungkencana, Kabupaten Lebak</t>
  </si>
  <si>
    <t>https://maps.google.com/?cid=0x0:0xae3f061e672cf97d</t>
  </si>
  <si>
    <t>Aswanda Residence Labuan</t>
  </si>
  <si>
    <t>JR9Q+GJ5, Sukamaju, Kec. Labuan, Kabupaten Pandeglang, Banten 42264</t>
  </si>
  <si>
    <t>Sukamaju, Kec. Labuan, Kabupaten Pandeglang</t>
  </si>
  <si>
    <t>https://maps.google.com/?cid=0x0:0x7f84cc198d6f305f</t>
  </si>
  <si>
    <t>Cahaya Mandiri Complex</t>
  </si>
  <si>
    <t>Jl. KH. Abdul Halim No.60, Sukaratu, Kec. Majasari, Kabupaten Pandeglang, Banten 42211</t>
  </si>
  <si>
    <t>Sukaratu, Kec. Majasari, Kabupaten Pandeglang</t>
  </si>
  <si>
    <t>https://maps.google.com/?cid=0x0:0x1cdbd8f5194f8b60</t>
  </si>
  <si>
    <t>Gemilang Residence</t>
  </si>
  <si>
    <t>JR7Q+7XF, Sukamaju, Kec. Labuan, Kabupaten Pandeglang, Banten</t>
  </si>
  <si>
    <t>Kabupaten Pandeglang, Banten</t>
  </si>
  <si>
    <t>https://maps.google.com/?cid=0x0:0x6b6a04f7fb5b0963</t>
  </si>
  <si>
    <t>Komplek cahaya mandiri</t>
  </si>
  <si>
    <t>Jl. KH. Abdul Halim No.Km. 3, Sukaratu, Kec. Majasari, Kabupaten Pandeglang, Banten 42217</t>
  </si>
  <si>
    <t>https://maps.google.com/?cid=0x0:0x85f11c4b45ea5e3b</t>
  </si>
  <si>
    <t>Komplek Cidongke</t>
  </si>
  <si>
    <t>JX28+CF, Talagasari, Kec. Saketi, Kabupaten Pandeglang, Banten 42273</t>
  </si>
  <si>
    <t>Talagasari, Kec. Saketi, Kabupaten Pandeglang</t>
  </si>
  <si>
    <t>https://maps.google.com/?cid=0x0:0xd319fa3dc2ec6951</t>
  </si>
  <si>
    <t>Komplek Cipancur</t>
  </si>
  <si>
    <t>H3R4+W8Q, Unnamed Road, Wirasinga, Kec. Mekarjaya, Kabupaten Pandeglang, Banten 42271</t>
  </si>
  <si>
    <t>Unnamed Road, Wirasinga, Kec. Mekarjaya, Kabupaten Pandeglang</t>
  </si>
  <si>
    <t>https://maps.google.com/?cid=0x0:0xfc687367d4dac1f1</t>
  </si>
  <si>
    <t>Rumah Pondokan</t>
  </si>
  <si>
    <t>Komplek Graha Aman Mandiri</t>
  </si>
  <si>
    <t>M3CP+5PV, Unnamed Road, Saruni, Kec. Majasari, Kabupaten Pandeglang, Banten 42219</t>
  </si>
  <si>
    <t>Unnamed Road, Saruni, Kec. Majasari, Kabupaten Pandeglang</t>
  </si>
  <si>
    <t>https://maps.google.com/?cid=0x0:0xa129184e534ba6f0</t>
  </si>
  <si>
    <t>https://www.ayojualrumah.com/user/properti/dijual-rumah-di-perumahan-graha-aman-mandiri-jalan-raya-labuan/51943</t>
  </si>
  <si>
    <t>Salon Kecantikan</t>
  </si>
  <si>
    <t>Komplek Graha Cipacung</t>
  </si>
  <si>
    <t>Komplek Graha Cipacung, Saruni, Majasari, Pandeglang Regency, Banten 42219</t>
  </si>
  <si>
    <t>Saruni, Majasari, Pandeglang Regency</t>
  </si>
  <si>
    <t>https://maps.google.com/?cid=0x0:0x7152f2b741530125</t>
  </si>
  <si>
    <t>Komplek Green Valley</t>
  </si>
  <si>
    <t>M3JV+M5F, Cilaja, Kec. Majasari, Kabupaten Pandeglang, Banten 42211</t>
  </si>
  <si>
    <t>Cilaja, Kec. Majasari, Kabupaten Pandeglang</t>
  </si>
  <si>
    <t>https://maps.google.com/?cid=0x0:0x86daa5292411008a</t>
  </si>
  <si>
    <t>Otoritas Perumahan</t>
  </si>
  <si>
    <t>Komplek Maja Indah</t>
  </si>
  <si>
    <t>Gg. Mawar No.3, Sukaratu, Kec. Majasari, Kabupaten Pandeglang, Banten 42217</t>
  </si>
  <si>
    <t>https://maps.google.com/?cid=0x0:0xdf27f21155739619</t>
  </si>
  <si>
    <t>Kompleks Townhouse</t>
  </si>
  <si>
    <t>Kompleks Gunung Karang Town House</t>
  </si>
  <si>
    <t>M3VX+PQJ, Pandeglang, Kec. Pandeglang, Kabupaten Pandeglang, Banten 42211</t>
  </si>
  <si>
    <t>Pandeglang, Kec. Pandeglang, Kabupaten Pandeglang</t>
  </si>
  <si>
    <t>https://maps.google.com/?cid=0x0:0xf0e3f6b303a0182a</t>
  </si>
  <si>
    <t>Kompleks Majasari</t>
  </si>
  <si>
    <t>M3CV+M6P, Jl. Nusa Indah, Sukaratu, Kec. Majasari, Kabupaten Pandeglang, Banten 42211</t>
  </si>
  <si>
    <t>Jl. Nusa Indah, Sukaratu, Kec. Majasari, Kabupaten Pandeglang</t>
  </si>
  <si>
    <t>https://maps.google.com/?cid=0x0:0x839f1eab2052a0fd</t>
  </si>
  <si>
    <t>Lahan Perumahan Sumarnah</t>
  </si>
  <si>
    <t>Kp. Kiarakoneng, Kotadukuh, Kec. Munjul, Kabupaten Pandeglang, Banten 42276</t>
  </si>
  <si>
    <t>Kotadukuh, Kec. Munjul, Kabupaten Pandeglang</t>
  </si>
  <si>
    <t>https://maps.google.com/?cid=0x0:0x586009dc8bae5ec6</t>
  </si>
  <si>
    <t>Malika Cadasari Residence</t>
  </si>
  <si>
    <t>Cadasari, Kec. Cadasari, Kabupaten Pandeglang, Banten 42251</t>
  </si>
  <si>
    <t>Kec. Cadasari, Kabupaten Pandeglang</t>
  </si>
  <si>
    <t>https://maps.google.com/?cid=0x0:0x2c98847925772cc5</t>
  </si>
  <si>
    <t>Perum Griya Sabi Indah pandeglang</t>
  </si>
  <si>
    <t>M4HM+5PP, Bangkonol, Kec. Koroncong, Kabupaten Pandeglang, Banten 42251</t>
  </si>
  <si>
    <t>Bangkonol, Kec. Koroncong, Kabupaten Pandeglang</t>
  </si>
  <si>
    <t>https://maps.google.com/?cid=0x0:0xc9eec132797aa34</t>
  </si>
  <si>
    <t>Perum Saruni Permai</t>
  </si>
  <si>
    <t>M3HQ+MQW, Saruni, Kec. Majasari, Kabupaten Pandeglang, Banten 42219</t>
  </si>
  <si>
    <t>Saruni, Kec. Majasari, Kabupaten Pandeglang</t>
  </si>
  <si>
    <t>https://maps.google.com/?cid=0x0:0x64a12b1f726b964c</t>
  </si>
  <si>
    <t>Perumahan Astama Cipacung</t>
  </si>
  <si>
    <t>M3GG+RVG Perumahan Astama Cipacung, RT./RW/RW.OO4/007, Saruni, Kec. Majasari, Kabupaten Pandeglang, Banten</t>
  </si>
  <si>
    <t>https://maps.google.com/?cid=0x0:0xd13e47a7d6478cd2</t>
  </si>
  <si>
    <t>Perumahan Astama Kaduhejo</t>
  </si>
  <si>
    <t>M4F5+R6V, Kadomas, Kec. Pandeglang, Kabupaten Pandeglang, Banten 42211</t>
  </si>
  <si>
    <t>Kadomas, Kec. Pandeglang, Kabupaten Pandeglang</t>
  </si>
  <si>
    <t>https://maps.google.com/?cid=0x0:0x524978736c8453be</t>
  </si>
  <si>
    <t>https://www.facebook.com/groups/1174193999314164/posts/8334134406653385/</t>
  </si>
  <si>
    <t>Perumahan Astama Picung</t>
  </si>
  <si>
    <t>Jl. Raya Saketi - Malingping No.77, Cililitan, Kec. Picung, Kabupaten Pandeglang, Banten 42275</t>
  </si>
  <si>
    <t>Cililitan, Kec. Picung, Kabupaten Pandeglang</t>
  </si>
  <si>
    <t>https://maps.google.com/?cid=0x0:0xc4e67bcd21c29751</t>
  </si>
  <si>
    <t>Perumahan AURA Residence 2</t>
  </si>
  <si>
    <t>JV5V+PMV, Jl. Raya Labuan - Pandeglang, Cipicung, Kec. Cikedal, Kabupaten Pandeglang, Banten 42271</t>
  </si>
  <si>
    <t>Jl. Raya Labuan - Pandeglang, Cipicung, Kec. Cikedal, Kabupaten Pandeglang</t>
  </si>
  <si>
    <t>https://maps.google.com/?cid=0x0:0x5e66489f4e1ab36d</t>
  </si>
  <si>
    <t>Perumahan BPC Bumi Pesona Cipacung</t>
  </si>
  <si>
    <t>M3CH+WMX, Saruni, Kec. Majasari, Kabupaten Pandeglang, Banten 42219</t>
  </si>
  <si>
    <t>https://maps.google.com/?cid=0x0:0x1a1b99a4ca108a82</t>
  </si>
  <si>
    <t>Perumahan D'Saruni Residence</t>
  </si>
  <si>
    <t>Saruni, Kec. Majasari, Kabupaten Pandeglang, Banten 42219</t>
  </si>
  <si>
    <t>Kec. Majasari, Kabupaten Pandeglang</t>
  </si>
  <si>
    <t>https://maps.google.com/?cid=0x0:0x678c4faa3be8e883</t>
  </si>
  <si>
    <t>Perumahan green valley</t>
  </si>
  <si>
    <t>P32M+3R8, Cilaja, Kec. Majasari, Kabupaten Pandeglang, Banten</t>
  </si>
  <si>
    <t>https://maps.google.com/?cid=0x0:0x12668c1da07d9653</t>
  </si>
  <si>
    <t>Perumahan Green Valley</t>
  </si>
  <si>
    <t>M3JV+C5P, Jl. Ciekek Pabuaran, Cilaja, Kec. Majasari, Kabupaten Pandeglang, Banten</t>
  </si>
  <si>
    <t>https://maps.google.com/?cid=0x0:0x163b933501608ce7</t>
  </si>
  <si>
    <t>Perumahan GRIYA PASIR TANGKIL</t>
  </si>
  <si>
    <t>Jl. Raya Rangkasbitung Pandeglang, Pasirtangkil, Kec. Warunggunung, Kabupaten Pandeglang, Banten 42352</t>
  </si>
  <si>
    <t>Pasirtangkil, Kec. Warunggunung, Kabupaten Pandeglang</t>
  </si>
  <si>
    <t>https://maps.google.com/?cid=0x0:0x3543651ec3602e95</t>
  </si>
  <si>
    <t>https://www.instagram.com/ptmitraputeramandiri/p/BfxU61Zh_n0/</t>
  </si>
  <si>
    <t>Perumahan Indah Permai</t>
  </si>
  <si>
    <t>Perumahan Juhut Indah Permai (JIP, Jl. Gn. Mauk, Juhut, Kec. Karang Tj., Kabupaten Pandeglang, Banten 42251</t>
  </si>
  <si>
    <t>Jl. Gn. Mauk, Juhut, Kec. Karang Tj., Kabupaten Pandeglang</t>
  </si>
  <si>
    <t>https://maps.google.com/?cid=0x0:0xf2583e4a8b058754</t>
  </si>
  <si>
    <t>Perumahan Pesona Maja Indah</t>
  </si>
  <si>
    <t>https://maps.google.com/?cid=0x0:0x7641fb86122dc61f</t>
  </si>
  <si>
    <t>Penginapan Dalam Ruangan</t>
  </si>
  <si>
    <t>Perumahan Puri Sukasari Permai Pandeglang</t>
  </si>
  <si>
    <t>Sukasari, Kec. Kaduhejo, Kabupaten Pandeglang, Banten 42252</t>
  </si>
  <si>
    <t>Kec. Kaduhejo, Kabupaten Pandeglang</t>
  </si>
  <si>
    <t>https://maps.google.com/?cid=0x0:0xfd2dce3ec14e7f14</t>
  </si>
  <si>
    <t>https://www.kompas.com/properti/read/2022/12/11/110000921/harga-rumah-termurah-di-pandeglang-mulai-rp-150-jutaan-cek-di-sini-ii-</t>
  </si>
  <si>
    <t>Perumahan Ruyuk awi</t>
  </si>
  <si>
    <t>M4P7+248, Kabayan, Kec. Pandeglang, Kabupaten Pandeglang, Banten</t>
  </si>
  <si>
    <t>https://maps.google.com/?cid=0x0:0xbd8e032a55107935</t>
  </si>
  <si>
    <t>Perumahan Sahrull</t>
  </si>
  <si>
    <t>GRHW+P6M, Surianeun, Patia, Kabupaten Pandeglang, Banten 42265</t>
  </si>
  <si>
    <t>Surianeun, Patia, Kabupaten Pandeglang</t>
  </si>
  <si>
    <t>https://maps.google.com/?cid=0x0:0x4334e29c1db7b537</t>
  </si>
  <si>
    <t>Perumahan Samaboa Residence</t>
  </si>
  <si>
    <t>M484+QQG, KP. SAMABOA, Sukaratu, Kec. Majasari, Kabupaten Pandeglang, Banten</t>
  </si>
  <si>
    <t>https://maps.google.com/?cid=0x0:0x4f0dee578af9c3f4</t>
  </si>
  <si>
    <t>https://www.iklanrumah.com/list/detail/51633/cluster-exclusive-samaboa-residence-i-pandeglang</t>
  </si>
  <si>
    <t>Puri Anugrah Pratama 3</t>
  </si>
  <si>
    <t>M3JJ+4JR, Saruni, Kec. Majasari, Kabupaten Pandeglang, Banten 42219</t>
  </si>
  <si>
    <t>https://maps.google.com/?cid=0x0:0xb27fac7e07571609</t>
  </si>
  <si>
    <t>QING RESIDENCE</t>
  </si>
  <si>
    <t>FXXM+29R, Kp. Pasar Picung, RT./RW/RW.002/001, Cililitan, Kec. Picung, Kabupaten Pandeglang, Banten</t>
  </si>
  <si>
    <t>https://maps.google.com/?cid=0x0:0x625e851472fd733</t>
  </si>
  <si>
    <t>Rika residence 6 kadu tanggay</t>
  </si>
  <si>
    <t>Perumahan rika residence 6 kadu tanggay, Purwaraja, Kec. Menes</t>
  </si>
  <si>
    <t>https://maps.google.com/?cid=0x0:0x6152469b436cdceb</t>
  </si>
  <si>
    <t>Taman Asri Bahagia</t>
  </si>
  <si>
    <t>Unnamed Road, Kadumerak, Kec. Karang Tj., Kabupaten Pandeglang, Banten 42251</t>
  </si>
  <si>
    <t>Kadumerak, Kec. Karang Tj., Kabupaten Pandeglang</t>
  </si>
  <si>
    <t>https://maps.google.com/?cid=0x0:0x49a134be546a9032</t>
  </si>
  <si>
    <t>Taman jaya barat</t>
  </si>
  <si>
    <t>MWJV+4CM, Banjarwangi, Kec. Pulosari, Kabupaten Pandeglang, Banten 42262</t>
  </si>
  <si>
    <t>Banjarwangi, Kec. Pulosari, Kabupaten Pandeglang</t>
  </si>
  <si>
    <t>https://maps.google.com/?cid=0x0:0xc886a1e4e30c69a8</t>
  </si>
  <si>
    <t>Villa abuh</t>
  </si>
  <si>
    <t>JWWM+CJ2, Jl. Raya Labuan, Koranji, Kec. Pulosari, Kabupaten Pandeglang, Banten 42262</t>
  </si>
  <si>
    <t>Jl. Raya Labuan, Koranji, Kec. Pulosari, Kabupaten Pandeglang</t>
  </si>
  <si>
    <t>https://maps.google.com/?cid=0x0:0xf5a135963f0b9917</t>
  </si>
  <si>
    <t>Bumi Cikande asri</t>
  </si>
  <si>
    <t>Q8VH+V65 Moderen, Sukatani, Kec. Cikande, Kabupaten Serang, Banten 42186</t>
  </si>
  <si>
    <t>Sukatani, Kec. Cikande, Kabupaten Serang</t>
  </si>
  <si>
    <t>https://maps.google.com/?cid=0x0:0xf0d6944bd8095371</t>
  </si>
  <si>
    <t>Drangong Residence</t>
  </si>
  <si>
    <t>V4RH+HR5, Drangong, Kec. Taktakan, Kota Serang, Banten 42162</t>
  </si>
  <si>
    <t>Drangong, Kec. Taktakan, Kota Serang</t>
  </si>
  <si>
    <t>https://maps.google.com/?cid=0x0:0xd563be002d389661</t>
  </si>
  <si>
    <t>Gerbang jalan Utama Cikande Griya Asri</t>
  </si>
  <si>
    <t>Q9F2+422, Unnamed Road, Cikande, Kec. Cikande, Kabupaten Serang, Banten 42186</t>
  </si>
  <si>
    <t>Unnamed Road, Cikande, Kec. Cikande, Kabupaten Serang</t>
  </si>
  <si>
    <t>https://maps.google.com/?cid=0x0:0xdc9e6730e9182862</t>
  </si>
  <si>
    <t>Grand ANYER City</t>
  </si>
  <si>
    <t>WWV8+6CR, Mekarsari, Kec. Anyar, Kabupaten Serang, Banten 42166</t>
  </si>
  <si>
    <t>Mekarsari, Kec. Anyar, Kabupaten Serang</t>
  </si>
  <si>
    <t>https://maps.google.com/?cid=0x0:0xfae58661a1a54a84</t>
  </si>
  <si>
    <t>GRAND MAJA RESIDENCE</t>
  </si>
  <si>
    <t>Perumahan grand Maja residence, Jl. Kopo-Maja No.22 blok E1, Kopo, Kec. Kopo, Kabupaten Serang, Banten 42178</t>
  </si>
  <si>
    <t>Jl. Kopo-Maja No.22 blok E1, Kopo, Kec. Kopo, Kabupaten Serang</t>
  </si>
  <si>
    <t>https://maps.google.com/?cid=0x0:0xdf245cc65c2cb6a8</t>
  </si>
  <si>
    <t>https://www.btnproperti.co.id/property/perumahan/detail/grand-maja-residence-MAJARES</t>
  </si>
  <si>
    <t>Grand Sutera Kragilan</t>
  </si>
  <si>
    <t>Kendayakan, Kec. Kragilan, Kabupaten Serang, Banten 42184</t>
  </si>
  <si>
    <t>Kec. Kragilan, Kabupaten Serang</t>
  </si>
  <si>
    <t>https://maps.google.com/?cid=0x0:0x48fc4f6b4c390bd5</t>
  </si>
  <si>
    <t>https://www.btnproperti.co.id/property/perumahan/detail/grand-sutera-kragilan-4218499</t>
  </si>
  <si>
    <t>Green Cimeunti</t>
  </si>
  <si>
    <t>Jl. Raya Pabuaran No.KM.01, Gunung Sari, Kec. Ciomas, Kabupaten Serang, Banten 42164</t>
  </si>
  <si>
    <t>Gunung Sari, Kec. Ciomas, Kabupaten Serang</t>
  </si>
  <si>
    <t>https://maps.google.com/?cid=0x0:0xf558e5afd5411144</t>
  </si>
  <si>
    <t>Green Walantaka</t>
  </si>
  <si>
    <t>V64G+J8X, Pipitan, Kec. Walantaka, Kota Serang, Banten 42183</t>
  </si>
  <si>
    <t>Pipitan, Kec. Walantaka, Kota Serang</t>
  </si>
  <si>
    <t>https://maps.google.com/?cid=0x0:0x679dd74791405895</t>
  </si>
  <si>
    <t>https://rumah.trovit.co.id/listing/rumah-rusak-di-graha-walantaka-dekat-pasar-ciruas.8a54efc3-fe57-47d6-a296-3b8fde602352</t>
  </si>
  <si>
    <t>Griya sahrudin</t>
  </si>
  <si>
    <t>Kp cibonteng, Kabupaten Serang, Banten 42183</t>
  </si>
  <si>
    <t>Kabupaten Serang</t>
  </si>
  <si>
    <t>https://maps.google.com/?cid=0x0:0x10f4dc4da0dc8cf0</t>
  </si>
  <si>
    <t>halimy residence</t>
  </si>
  <si>
    <t>V98G+795, Renged, Kec. Binuang, Kabupaten Serang, Banten 42196</t>
  </si>
  <si>
    <t>Renged, Kec. Binuang, Kabupaten Serang</t>
  </si>
  <si>
    <t>https://maps.google.com/?cid=0x0:0x68cdc151d3f5cb93</t>
  </si>
  <si>
    <t>Komplek Tomon</t>
  </si>
  <si>
    <t>Jl. Akses Perumahan, Kramatwatu, Kec. Kramatwatu, Kabupaten Serang, Banten 42616</t>
  </si>
  <si>
    <t>Kramatwatu, Kec. Kramatwatu, Kabupaten Serang</t>
  </si>
  <si>
    <t>https://maps.google.com/?cid=0x0:0x85c14e9f1ff3836e</t>
  </si>
  <si>
    <t>https://www.pinhome.id/dijual/rumah-sekunder/unit/dijual-rumah-di-jlwaringin-komplek-tomon-kramatwatu</t>
  </si>
  <si>
    <t>Kragilan griya sentosa</t>
  </si>
  <si>
    <t>Jl. Prum No.98, Sentul, Kec. Kragilan, Kabupaten Serang, Banten 42184</t>
  </si>
  <si>
    <t>Sentul, Kec. Kragilan, Kabupaten Serang</t>
  </si>
  <si>
    <t>https://maps.google.com/?cid=0x0:0xb953155e4c9f4f0</t>
  </si>
  <si>
    <t>https://www.btnproperti.co.id/property/tipe/detail/rumah-baru-TPR2023051111284416</t>
  </si>
  <si>
    <t>Kramat Permai</t>
  </si>
  <si>
    <t>Jl. Pinang III No.15, Kramatwatu, Kec. Kramatwatu, Kabupaten Serang, Banten 42161</t>
  </si>
  <si>
    <t>https://maps.google.com/?cid=0x0:0x986fa1336aad435</t>
  </si>
  <si>
    <t>https://www.99.co/id/properti/hunian-minimalis-kramat-permai-harga-miring-1006611842</t>
  </si>
  <si>
    <t>Link Pojok Permai</t>
  </si>
  <si>
    <t>Q3XR+98J, Pancanegara, Kec. Pabuaran, Kabupaten Serang, Banten 42163</t>
  </si>
  <si>
    <t>Pancanegara, Kec. Pabuaran, Kabupaten Serang</t>
  </si>
  <si>
    <t>https://maps.google.com/?cid=0x0:0x981c89ce321276a4</t>
  </si>
  <si>
    <t>MULIA GADING KENCANA</t>
  </si>
  <si>
    <t>Nagara, Kec. Kibin, Kabupaten Serang, Banten 42185</t>
  </si>
  <si>
    <t>Kec. Kibin, Kabupaten Serang</t>
  </si>
  <si>
    <t>https://maps.google.com/?cid=0x0:0x88f73a3b05c8c7b8</t>
  </si>
  <si>
    <t>PANORAMA ANYER RESIDENCE RUMAHKU SURGAKU</t>
  </si>
  <si>
    <t>Jl. Silet, Sindanglaya, Kec. Cinangka, Kabupaten Serang, Banten 42167</t>
  </si>
  <si>
    <t>Sindanglaya, Kec. Cinangka, Kabupaten Serang</t>
  </si>
  <si>
    <t>https://maps.google.com/?cid=0x0:0x2dc9b53434911d37</t>
  </si>
  <si>
    <t>Perum Bumi Ciruas Permai 2</t>
  </si>
  <si>
    <t>Jl. Raya Ciptayasa Ciruas No.Km 0, RW.5, Ciruas, Kec. Ciruas, Kabupaten Serang, Banten 42182</t>
  </si>
  <si>
    <t>RW.5, Ciruas, Kec. Ciruas, Kabupaten Serang</t>
  </si>
  <si>
    <t>https://maps.google.com/?cid=0x0:0x20ed701bc6e35710</t>
  </si>
  <si>
    <t>https://www.rumah123.com/venue/bumi-ciruas-permai-2-vcm754/</t>
  </si>
  <si>
    <t>Perum Bumi Ketos Regency</t>
  </si>
  <si>
    <t>Ketos, Kec. Kibin, Kabupaten Serang, Banten 42185</t>
  </si>
  <si>
    <t>https://maps.google.com/?cid=0x0:0x109e09661a3e9aa4</t>
  </si>
  <si>
    <t>Perum cikande permai</t>
  </si>
  <si>
    <t>Jl. Mawar 5 No.17 Blok H19, RT.5/RW.5, Situterate, Kec. Cikande, Kabupaten Serang, Banten 42186</t>
  </si>
  <si>
    <t>RT.5/RW.5, Situterate, Kec. Cikande, Kabupaten Serang</t>
  </si>
  <si>
    <t>https://maps.google.com/?cid=0x0:0x8f56d4b03069e411</t>
  </si>
  <si>
    <t>Perum Ciujung damai</t>
  </si>
  <si>
    <t>R7WF+R2Q No.15 Blok b7, Gg. Teratai Jl. danau batur 1 No.15, Kendayakan, Kec. Kragilan, Kabupaten Serang, Banten 42184</t>
  </si>
  <si>
    <t>Gg. Teratai Jl. danau batur 1 No.15, Kendayakan, Kec. Kragilan, Kabupaten Serang</t>
  </si>
  <si>
    <t>https://maps.google.com/?cid=0x0:0x9c1e46cf06e55089</t>
  </si>
  <si>
    <t>Perum. Bukit Kramatwatu Indah</t>
  </si>
  <si>
    <t>Jl. Waringin Kurung, Lebakwana, Kec. Kramatwatu, Kabupaten Serang, Banten 42161</t>
  </si>
  <si>
    <t>Lebakwana, Kec. Kramatwatu, Kabupaten Serang</t>
  </si>
  <si>
    <t>https://maps.google.com/?cid=0x0:0x11a3bce7ff592a2b</t>
  </si>
  <si>
    <t>https://www.rumah123.com/properti/serang/hos19235143/</t>
  </si>
  <si>
    <t>Perum. Cikande Griya Asri Cluster Palem</t>
  </si>
  <si>
    <t>Perumahan Griya Asri, Cluster Cempaka 1, RT.11/RW.08, Cikande, Kec. Cikande, Kabupaten Serang, Banten 42186</t>
  </si>
  <si>
    <t>Cluster Cempaka 1, RT.11/RW.08, Cikande, Kec. Cikande, Kabupaten Serang</t>
  </si>
  <si>
    <t>https://maps.google.com/?cid=0x0:0xd42acca916cd9e5b</t>
  </si>
  <si>
    <t>https://www.pinhome.id/dijual/rumah-lelang/unit/dilelang-rumah-siap-huni-di-cikande-griya-asri-cluster-palem-cikande-cikande-serang</t>
  </si>
  <si>
    <t>Perumahan BCP 2</t>
  </si>
  <si>
    <t>perumahn bcp 2 blok k11 no 18, Ranjeng, Kec. Ciruas, Kabupaten Serang, Banten</t>
  </si>
  <si>
    <t>Kabupaten Serang, Banten</t>
  </si>
  <si>
    <t>https://maps.google.com/?cid=0x0:0x6d4bdd6caf013821</t>
  </si>
  <si>
    <t>Perumahan Bumi Cikande Indah</t>
  </si>
  <si>
    <t>Q9P5+29H, Cikande, Kec. Cikande, Kabupaten Serang, Banten 42186</t>
  </si>
  <si>
    <t>Cikande, Kec. Cikande, Kabupaten Serang</t>
  </si>
  <si>
    <t>https://maps.google.com/?cid=0x0:0x60a6edd3e887d9ca</t>
  </si>
  <si>
    <t>Perumahan bumi kendayakan permai</t>
  </si>
  <si>
    <t>Jl. Raya Serang - Jkt No.km 15, Kendayakan, Kec. Kragilan, Kabupaten Serang, Banten 42184</t>
  </si>
  <si>
    <t>Kendayakan, Kec. Kragilan, Kabupaten Serang</t>
  </si>
  <si>
    <t>https://maps.google.com/?cid=0x0:0xf0dcc73903568cba</t>
  </si>
  <si>
    <t>Perumahan Bumi Waringin Asri</t>
  </si>
  <si>
    <t>WWMC+XXR, Jl. Raya Anyer - Jaha, Bunihara, Kec. Anyar, Kabupaten Serang, Banten 42166</t>
  </si>
  <si>
    <t>Jl. Raya Anyer - Jaha, Bunihara, Kec. Anyar, Kabupaten Serang</t>
  </si>
  <si>
    <t>https://maps.google.com/?cid=0x0:0xe203a69b44b8317d</t>
  </si>
  <si>
    <t>https://www.instagram.com/anyer_channel/p/C3XM94iL4a9/?img_index=1</t>
  </si>
  <si>
    <t>Perumahan global residen</t>
  </si>
  <si>
    <t>Q4VQ+233, Jl. Kp. Bojot, Bojot, Baros, Kabupaten Serang, Banten</t>
  </si>
  <si>
    <t>https://maps.google.com/?cid=0x0:0x88f313ff4b4bf91b</t>
  </si>
  <si>
    <t>Perumahan graha sukasari permai</t>
  </si>
  <si>
    <t>P58X+W22, Sukasari, Kec. Tunjung Teja, Kabupaten Serang, Banten 42174</t>
  </si>
  <si>
    <t>Sukasari, Kec. Tunjung Teja, Kabupaten Serang</t>
  </si>
  <si>
    <t>https://maps.google.com/?cid=0x0:0xd0f21821b0ebcbf2</t>
  </si>
  <si>
    <t>Perumahan Grand Kramatwatu</t>
  </si>
  <si>
    <t>Lebakwana, Kec. Kramatwatu, Kabupaten Serang, Banten 42161</t>
  </si>
  <si>
    <t>Kec. Kramatwatu, Kabupaten Serang</t>
  </si>
  <si>
    <t>https://maps.google.com/?cid=0x0:0x5543a6bd325a3769</t>
  </si>
  <si>
    <t>https://www.rumah123.com/venue/grand-kramatwatu-vcm902/</t>
  </si>
  <si>
    <t>Perumahan Grand Oliver Kragilan</t>
  </si>
  <si>
    <t>Pematang, Kec. Kragilan, Kabupaten Serang, Banten 42184</t>
  </si>
  <si>
    <t>https://maps.google.com/?cid=0x0:0xd36304db5ae96f61</t>
  </si>
  <si>
    <t>https://properti1.com/iklan/dijual-perumahan-subsidi-grand-oliver-di-kragilan-serang-banten-modal-ktp-bisa-akad-65f70f2167578b424098a509</t>
  </si>
  <si>
    <t>Perumahan Griya Pelangi Sakinah</t>
  </si>
  <si>
    <t>https://maps.google.com/?cid=0x0:0xf40843c8011ec8a</t>
  </si>
  <si>
    <t>Perumahan Griya Tunjung Teja Residence</t>
  </si>
  <si>
    <t>Jl. Raya Petir, Tunjung Teja, Kec. Tunjung Teja, Kabupaten Serang, Banten 42172</t>
  </si>
  <si>
    <t>Tunjung Teja, Kec. Tunjung Teja, Kabupaten Serang</t>
  </si>
  <si>
    <t>https://maps.google.com/?cid=0x0:0xd122aaf62645d06d</t>
  </si>
  <si>
    <t>https://www.olx.co.id/item/jual-rumah-pinggir-jalan-raya-bisa-buat-usaha-iid-924605025</t>
  </si>
  <si>
    <t>Perumahan Kayla Pabuaran Residence</t>
  </si>
  <si>
    <t>Q9G2+QQ5, Pabuaran, Kec. Cikande, Kabupaten Serang, Banten 42186</t>
  </si>
  <si>
    <t>Pabuaran, Kec. Cikande, Kabupaten Serang</t>
  </si>
  <si>
    <t>https://maps.google.com/?cid=0x0:0x23a6c932f2853833</t>
  </si>
  <si>
    <t>https://www.pinhome.id/dijual/rumah-sekunder/unit/dijual-rumah-di-kayla-pabuaran-residence</t>
  </si>
  <si>
    <t>Perumahan Kayla PANAMPING</t>
  </si>
  <si>
    <t>modern km 1, Jl. Cikande Permai, Situterate, Kec. Cikande, Kabupaten Serang, Banten 42186</t>
  </si>
  <si>
    <t>Jl. Cikande Permai, Situterate, Kec. Cikande, Kabupaten Serang</t>
  </si>
  <si>
    <t>https://maps.google.com/?cid=0x0:0x8a9b0d8a5bf191cb</t>
  </si>
  <si>
    <t>https://www.instagram.com/hendrikpurikencana/p/CpNBVRxvnp6/?img_index=1</t>
  </si>
  <si>
    <t>Perumahan Kierana Indah Serang</t>
  </si>
  <si>
    <t>W3H7+J2R, Sambilawang, Kec. Waringinkurung, Kabupaten Serang, Banten 42453</t>
  </si>
  <si>
    <t>Sambilawang, Kec. Waringinkurung, Kabupaten Serang</t>
  </si>
  <si>
    <t>https://maps.google.com/?cid=0x0:0x216c6b398deb9a09</t>
  </si>
  <si>
    <t>https://expertjayagroup.com/property/kierana-indah-serang/</t>
  </si>
  <si>
    <t>Perumahan Lebak Indah Griya Asri</t>
  </si>
  <si>
    <t>perumahan Lebak Indah Griya Asri Jl. Waringin Kurung RK,6, Lebakwana, Kec. Kramatwatu, Kabupaten Serang, Banten 42161</t>
  </si>
  <si>
    <t>https://maps.google.com/?cid=0x0:0x4e16a163f2c5a254</t>
  </si>
  <si>
    <t>https://www.rumah123.com/venue/lebak-indah-griya-asri-vcm498/</t>
  </si>
  <si>
    <t>Perumahan Murah Serang</t>
  </si>
  <si>
    <t>Link.Kubang Apu Widara Rt 07 Rw 02 Perumahan Walantaka Indah, Kepuren, Kec. Walantaka, Kota Serang, Banten 42119</t>
  </si>
  <si>
    <t>Kepuren, Kec. Walantaka, Kota Serang</t>
  </si>
  <si>
    <t>https://maps.google.com/?cid=0x0:0xf1dd9c23338112ab</t>
  </si>
  <si>
    <t>Perumahan pesona RR</t>
  </si>
  <si>
    <t>Grend pesona blok G7 no 05, Kertasana, Kec. Bojonegara, Kabupaten Serang, Banten 42454</t>
  </si>
  <si>
    <t>Kertasana, Kec. Bojonegara, Kabupaten Serang</t>
  </si>
  <si>
    <t>https://maps.google.com/?cid=0x0:0x67affe57654ec7a4</t>
  </si>
  <si>
    <t>Perumahan Senopati Cikande</t>
  </si>
  <si>
    <t>Blk. E6 No.55, Situterate, Kec. Cikande, Kabupaten Serang, Banten 42186</t>
  </si>
  <si>
    <t>Situterate, Kec. Cikande, Kabupaten Serang</t>
  </si>
  <si>
    <t>https://maps.google.com/?cid=0x0:0x1b934852cbebc226</t>
  </si>
  <si>
    <t>Perumahan Sukawana Asri</t>
  </si>
  <si>
    <t>R597+9RH, Unnamed Road, Sukawana, Curug, Serang City, Banten 42171</t>
  </si>
  <si>
    <t>Unnamed Road, Sukawana, Curug, Serang City</t>
  </si>
  <si>
    <t>https://maps.google.com/?cid=0x0:0xd679fc05587f71f6</t>
  </si>
  <si>
    <t>https://www.pinhome.id/dijual/rumah-sekunder/unit/dijual-rumah-2kt-60m-di-perumahan-sukawana-asri-palima-serang-71392</t>
  </si>
  <si>
    <t>Perumahan Tegal Jetak Indah</t>
  </si>
  <si>
    <t>Citerep, Kec. Ciruas, Kabupaten Serang, Banten 42182</t>
  </si>
  <si>
    <t>Kec. Ciruas, Kabupaten Serang</t>
  </si>
  <si>
    <t>https://maps.google.com/?cid=0x0:0x1e02d230b6f6fdd0</t>
  </si>
  <si>
    <t>PerumahanUntung Suropti</t>
  </si>
  <si>
    <t>Q8XV+25H, Cigoon Tegal, Cikande, Kec. Cikande, Kabupaten Serang, Banten 42186</t>
  </si>
  <si>
    <t>Cigoon Tegal, Cikande, Kec. Cikande, Kabupaten Serang</t>
  </si>
  <si>
    <t>https://maps.google.com/?cid=0x0:0x788fb1890e76922b</t>
  </si>
  <si>
    <t>https://www.medcom.id/properti/news-properti/JKRdQ5pb-pilihan-rumah-murah-di-serang-harga-mulai-rp160-juta</t>
  </si>
  <si>
    <t>Platinum Parakan Residence</t>
  </si>
  <si>
    <t>Jl. Kp. Cilegong Desa, RT.001/RW.002, Parakan, Kec. Jawilan, Kabupeten Serang, Banten 42177</t>
  </si>
  <si>
    <t>RT.001/RW.002, Parakan, Kec. Jawilan, Kabupeten Serang</t>
  </si>
  <si>
    <t>https://maps.google.com/?cid=0x0:0x47d7d5a21e4b10cc</t>
  </si>
  <si>
    <t>https://www.pinhome.id/dijual/rumah-baru/platinum-parakan-residence</t>
  </si>
  <si>
    <t>Pondok Pulo indah</t>
  </si>
  <si>
    <t>V7R3+WPJ, Pulo, Kec. Ciruas, Kabupaten Serang, Banten 42182</t>
  </si>
  <si>
    <t>Pulo, Kec. Ciruas, Kabupaten Serang</t>
  </si>
  <si>
    <t>https://maps.google.com/?cid=0x0:0xd5f8acf3daa7c439</t>
  </si>
  <si>
    <t>https://www.pinhome.id/dijual/rumah-baru/pondok-pulo-indah</t>
  </si>
  <si>
    <t>Puri Sava Sukamaju</t>
  </si>
  <si>
    <t>Kampung Laes, RT.12/RW.03, Sukamaju, Kec. Kibin, Kabupaten Serang, Banten</t>
  </si>
  <si>
    <t>https://maps.google.com/?cid=0x0:0xda6319db6300d8de</t>
  </si>
  <si>
    <t>https://www.btnproperti.co.id/property/tipe/detail/puri-sava-sukamaju-TPR2023102514222216</t>
  </si>
  <si>
    <t>Puri Sava Waringinkurung</t>
  </si>
  <si>
    <t>W3MC+63, Jl. Kramatwatu Waringinkurung, Sambilawang, Kec. Waringinkurung, Kabupaten Serang, Banten 42453</t>
  </si>
  <si>
    <t>Jl. Kramatwatu Waringinkurung, Sambilawang, Kec. Waringinkurung, Kabupaten Serang</t>
  </si>
  <si>
    <t>https://maps.google.com/?cid=0x0:0x8789c57337ca06d8</t>
  </si>
  <si>
    <t>https://www.pinhome.id/dijual/rumah-sekunder/unit/dijual-rumah-konsep-terkinini-di-rumah-subsidi-modern-puri-sava-warnginkurung-28800</t>
  </si>
  <si>
    <t>Puri Tambak Gemilang</t>
  </si>
  <si>
    <t>Perum.Puri Tambak Gemilang Ciagel Kibin, Ciagel, Kab, Serang Regency, Banten 42185</t>
  </si>
  <si>
    <t>Ciagel, Kab, Serang Regency</t>
  </si>
  <si>
    <t>https://maps.google.com/?cid=0x0:0x4a9ce382f8ab5341</t>
  </si>
  <si>
    <t>Purimas Cikande</t>
  </si>
  <si>
    <t>Q8HP+G96, RT.002/RW.004, Situterate, Kec. Cikande, Kabupaten Serang, Banten 42186</t>
  </si>
  <si>
    <t>RT.002/RW.004, Situterate, Kec. Cikande, Kabupaten Serang</t>
  </si>
  <si>
    <t>https://maps.google.com/?cid=0x0:0x174981d6cb44b777</t>
  </si>
  <si>
    <t>https://www.pinhome.id/dijual/rumah-sekunder/unit/dijual-rumah-di-perum-purimas-cikande</t>
  </si>
  <si>
    <t>Sentosa Garden</t>
  </si>
  <si>
    <t>Q4VP+36R, Baros, Kec. Baros, Kabupaten Serang, Banten 42173</t>
  </si>
  <si>
    <t>Baros, Kec. Baros, Kabupaten Serang</t>
  </si>
  <si>
    <t>https://maps.google.com/?cid=0x0:0x3544d62d478ab60</t>
  </si>
  <si>
    <t>https://www.pinhome.id/dijual/rumah-sekunder/unit/dijual-rumah-sentosa-garden-cukup-bayar-1-juta-di-jalan-raya-serang-pandeglang</t>
  </si>
  <si>
    <t>Sepang mountain residence</t>
  </si>
  <si>
    <t>Sepang, Kec. Taktakan, Kota Serang, Banten 42162</t>
  </si>
  <si>
    <t>Kec. Taktakan, Kota Serang</t>
  </si>
  <si>
    <t>https://maps.google.com/?cid=0x0:0x78ef85efe4f46eed</t>
  </si>
  <si>
    <t>https://www.pinhome.id/dijual/rumah-sekunder/unit/dijual-rumah-1-lantai-2kt-60m-di-sepang-mountain-residence-77630</t>
  </si>
  <si>
    <t>Taman Ciruas Permai</t>
  </si>
  <si>
    <t>Taman ciruas permai No.1, blok R1, Pelawad, Kec. Ciruas, Kota Serang, Banten 42182</t>
  </si>
  <si>
    <t>blok R1, Pelawad, Kec. Ciruas, Kota Serang</t>
  </si>
  <si>
    <t>https://maps.google.com/?cid=0x0:0xa338fd628a11a0e</t>
  </si>
  <si>
    <t>https://www.rumah123.com/venue/taman-ciruas-permai-vcm21606/</t>
  </si>
  <si>
    <t>Taman Graha Asri</t>
  </si>
  <si>
    <t>Jl. Atut Sulastri Raya, Serang, Kec. Serang, Kota Serang, Banten 42116</t>
  </si>
  <si>
    <t>Serang, Kec. Serang, Kota Serang</t>
  </si>
  <si>
    <t>https://maps.google.com/?cid=0x0:0x32a28de61ce8f9f</t>
  </si>
  <si>
    <t>https://www.rumah123.com/venue/taman-graha-asri-vcm20118/</t>
  </si>
  <si>
    <t>Villa ks</t>
  </si>
  <si>
    <t>Q4VP+XJ3, Baros, Kec. Baros, Kabupaten Serang, Banten 42173</t>
  </si>
  <si>
    <t>https://maps.google.com/?cid=0x0:0x2b8ce4c9071d66fe</t>
  </si>
  <si>
    <t>Bermis Serpong Asri Blok B</t>
  </si>
  <si>
    <t>MJ6P+7JX, Cibogo, Kec. Cisauk, Kabupaten Tangerang, Banten 15341</t>
  </si>
  <si>
    <t>Cibogo, Kec. Cisauk, Kabupaten Tangerang</t>
  </si>
  <si>
    <t>https://maps.google.com/?cid=0x0:0xf294e7c99a9622f</t>
  </si>
  <si>
    <t>Cikupa Asri Tangerang</t>
  </si>
  <si>
    <t>Cikupa asri, Pasir Gadung, Kec. Cikupa, Kabupaten Tangerang, Banten 15710</t>
  </si>
  <si>
    <t>Pasir Gadung, Kec. Cikupa, Kabupaten Tangerang</t>
  </si>
  <si>
    <t>https://maps.google.com/?cid=0x0:0x9c22a1bbb2b507b3</t>
  </si>
  <si>
    <t>https://www.rumah123.com/venue/cikupa-asri-vcm18734/</t>
  </si>
  <si>
    <t>Cluster D Green Royal Cisauk</t>
  </si>
  <si>
    <t>Jl. Gangga No.44, RT.006/RW.006, Cisauk, Kec. Cisauk, Kabupaten Tangerang, Banten 15341</t>
  </si>
  <si>
    <t>RT.006/RW.006, Cisauk, Kec. Cisauk, Kabupaten Tangerang</t>
  </si>
  <si>
    <t>https://maps.google.com/?cid=0x0:0x3f90e2af77b1f05d</t>
  </si>
  <si>
    <t>https://pasarproperti.com/rumah-mewah-2-lantai-seharga-1-lantai-di-daerah-kawasan-bsd-serpong</t>
  </si>
  <si>
    <t>Cluster Erie, Serpong Suradita Residence</t>
  </si>
  <si>
    <t>MJ3H+MCW, Suradita, Kec. Cisauk, Kabupaten Tangerang, Banten 15342</t>
  </si>
  <si>
    <t>Suradita, Kec. Cisauk, Kabupaten Tangerang</t>
  </si>
  <si>
    <t>https://maps.google.com/?cid=0x0:0xe7752a0b743982c3</t>
  </si>
  <si>
    <t>https://www.pinhome.id/dijual/rumah-sekunder/unit/dijual-rumah-siap-huni-di-cluster-erie</t>
  </si>
  <si>
    <t>Cluster Innari</t>
  </si>
  <si>
    <t>Jl. Raya Perum Korpri, Suradita, Kec. Cisauk, Kabupaten Tangerang, Banten 15343</t>
  </si>
  <si>
    <t>https://maps.google.com/?cid=0x0:0x84e6ef3174ff4b97</t>
  </si>
  <si>
    <t>https://www.dekoruma.com/properti/perumahan-innari-tangerang?srsltid=AfmBOoqHIxRB8DfnxMWAj44eYXURx903pfL3F8EcGYqaHbBNV6RoPOgm</t>
  </si>
  <si>
    <t>Cluster Maninjau</t>
  </si>
  <si>
    <t>Griya Suradita Indah, RT 20 RW 09, Blok M, Suradita, Cisauk, Tangerang Regency, Banten 15342</t>
  </si>
  <si>
    <t>RT 20 RW 09, Blok M, Suradita, Cisauk, Tangerang Regency</t>
  </si>
  <si>
    <t>https://maps.google.com/?cid=0x0:0x2881204aeda455e7</t>
  </si>
  <si>
    <t>https://homesyariah.com/properti/cluster-maninjau-perumahan-syariah-serpong-banten/</t>
  </si>
  <si>
    <t>Cluster Nubia</t>
  </si>
  <si>
    <t>Jalan Cluster Nubia, Suradita, Kec. Cisauk, Kabupaten Tangerang, Banten 15342</t>
  </si>
  <si>
    <t>https://maps.google.com/?cid=0x0:0x964b26c8c10076b</t>
  </si>
  <si>
    <t>https://www.rumah123.com/properti/tangerang/hos9678808/</t>
  </si>
  <si>
    <t>Cluster Saga Asri Balaraja</t>
  </si>
  <si>
    <t>RF94+49V, Saga, Kec. Balaraja, Kabupaten Tangerang, Banten 15610</t>
  </si>
  <si>
    <t>Saga, Kec. Balaraja, Kabupaten Tangerang</t>
  </si>
  <si>
    <t>https://maps.google.com/?cid=0x0:0x7af21facc101fef0</t>
  </si>
  <si>
    <t>https://www.properti123.com/properti-jual/41443-di-jual-rumah-di-perumahan-asri-foresta-residence-saga-balaraja</t>
  </si>
  <si>
    <t>Cluster sedaya</t>
  </si>
  <si>
    <t>Jl. Ki Laur Jl. Kp. Cicayur Pabuaran No.RT 003/006, Cisauk, Kec. Cisauk, Kabupaten Tangerang, Banten 15341</t>
  </si>
  <si>
    <t>Cisauk, Kec. Cisauk, Kabupaten Tangerang</t>
  </si>
  <si>
    <t>https://maps.google.com/?cid=0x0:0xf02ce8d969b9d9a1</t>
  </si>
  <si>
    <t>De Green Balaraja</t>
  </si>
  <si>
    <t>VC2V+FRV, Benda, Kec. Sukamulya, Kabupaten Tangerang, Banten 15610</t>
  </si>
  <si>
    <t>Benda, Kec. Sukamulya, Kabupaten Tangerang</t>
  </si>
  <si>
    <t>https://maps.google.com/?cid=0x0:0xf632cf7347d365f6</t>
  </si>
  <si>
    <t>https://belirumah.co/jual/rumah-baru/de-green-balaraja/464f9d29-be23-471d-985b-0784cd377376</t>
  </si>
  <si>
    <t>Graha Permata Cikupa</t>
  </si>
  <si>
    <t>Ciakar, Kec. Panongan, Kabupaten Tangerang, Banten 15710</t>
  </si>
  <si>
    <t>Kec. Panongan, Kabupaten Tangerang</t>
  </si>
  <si>
    <t>https://maps.google.com/?cid=0x0:0x6b5afde39bd51d0c</t>
  </si>
  <si>
    <t>https://www.pinhome.id/dijual/rumah-baru/graha-permata-cikupa</t>
  </si>
  <si>
    <t>Grand Kencana Cicayur</t>
  </si>
  <si>
    <t>Jl. Kp. Kandang, RT.4/RW.2, Mekarwangi, Kec. Cisauk, Kabupaten Tangerang, Banten 15340</t>
  </si>
  <si>
    <t>RT.4/RW.2, Mekarwangi, Kec. Cisauk, Kabupaten Tangerang</t>
  </si>
  <si>
    <t>https://maps.google.com/?cid=0x0:0x6dff3433b5573da6</t>
  </si>
  <si>
    <t>Green Garden Cisauk</t>
  </si>
  <si>
    <t>Green Garden, Cisauk, Kec. Cisauk, Kabupaten Tangerang, Banten 15341</t>
  </si>
  <si>
    <t>https://maps.google.com/?cid=0x0:0x3a82d7be5bdbf7ba</t>
  </si>
  <si>
    <t>https://www.pinhome.id/dijual/rumah-sekunder/unit/dijual-rumah-green-garden-cisauk-di-green-garden</t>
  </si>
  <si>
    <t>Green View</t>
  </si>
  <si>
    <t>Green View, Jl. Serpong Garden No.1 A5 No. 1, Cibogo, Cisauk, Tangerang Regency, Banten 15341</t>
  </si>
  <si>
    <t>Jl. Serpong Garden No.1 A5 No. 1, Cibogo, Cisauk, Tangerang Regency</t>
  </si>
  <si>
    <t>https://maps.google.com/?cid=0x0:0xd2f55721f2c25320</t>
  </si>
  <si>
    <t>https://pashouses.id/rumah/serpong-garden-cluster-green-view</t>
  </si>
  <si>
    <t>Griya Balaraja</t>
  </si>
  <si>
    <t>Jln Desa Perahu, Kubang, , Kabupaten Tangerang, Banten 15610</t>
  </si>
  <si>
    <t>Kubang, , Kabupaten Tangerang</t>
  </si>
  <si>
    <t>https://maps.google.com/?cid=0x0:0x281534a3c32ee216</t>
  </si>
  <si>
    <t>https://www.dekoruma.com/properti/dijual-tangerang-perumahan-subsidi-kwalitas-komersil-griya-balaraja-sukamulya-klasik-oleh-reywin-ZcOdT3NHwa#:~:text=Mengenai%20Properti%20ini,adalah%20Sertifikat%20Hak%20Guna%20Bangunan.</t>
  </si>
  <si>
    <t>GRIYA MULIA CISAUK</t>
  </si>
  <si>
    <t>Jl. Padat Karya, Cisauk, Kec. Cisauk, Kabupaten Tangerang, Banten 15341</t>
  </si>
  <si>
    <t>https://maps.google.com/?cid=0x0:0x6ad23c397599c265</t>
  </si>
  <si>
    <t>https://www.rumah123.com/perumahan-baru/properti/tangerang/griya-mulia-cisauk/nps1663/</t>
  </si>
  <si>
    <t>Griya Suradita Indah</t>
  </si>
  <si>
    <t>Jl. Raya Perum Korpri No.4 Blok H1, Suradita, Kec. Cisauk, Kabupaten Tangerang, Banten 15342</t>
  </si>
  <si>
    <t>https://maps.google.com/?cid=0x0:0x9a399c82fb9893e1</t>
  </si>
  <si>
    <t>https://www.99.co/id/komplek-perumahan/18638-griya-suradita-indah/units</t>
  </si>
  <si>
    <t>GYAN Serpong Residence</t>
  </si>
  <si>
    <t>Gyan Boulevard, Cisauk, Tangerang Regency, Banten 15341</t>
  </si>
  <si>
    <t>Cisauk, Tangerang Regency</t>
  </si>
  <si>
    <t>https://maps.google.com/?cid=0x0:0xba0f4c0d0505342b</t>
  </si>
  <si>
    <t>https://www.dekoruma.com/properti/perumahan-gyan-serpong-residence-tangerang?srsltid=AfmBOoqfVD5ZP9h1gVa4Gi-I1RttNfKpwjpeOrw1_1EfeUwpX5LzIBvx</t>
  </si>
  <si>
    <t>Permata Balaraja</t>
  </si>
  <si>
    <t>Jl. Jambrut 1 No.08 Blok A22, RT.01/RW.01, Saga, Kec. Balaraja, Kabupaten Tangerang, Banten 15610</t>
  </si>
  <si>
    <t>RT.01/RW.01, Saga, Kec. Balaraja, Kabupaten Tangerang</t>
  </si>
  <si>
    <t>https://maps.google.com/?cid=0x0:0xd7988720d1ac92f</t>
  </si>
  <si>
    <t>https://www.rumah123.com/venue/permata-balaraja-vcm26815/</t>
  </si>
  <si>
    <t>Perum Graha Cikupa Permai</t>
  </si>
  <si>
    <t>Kp.kadu, RT.08/RW.03, Sukamulya, Kec. Cikupa, Kabupaten Tangerang, Banten 15710</t>
  </si>
  <si>
    <t>RT.08/RW.03, Sukamulya, Kec. Cikupa, Kabupaten Tangerang</t>
  </si>
  <si>
    <t>https://maps.google.com/?cid=0x0:0x66a4ed327eed29e2</t>
  </si>
  <si>
    <t>Perum GRAHA RODA MUTIARA</t>
  </si>
  <si>
    <t>kp bulakan rt14 03, Bitung Jaya, Kec. Cikupa, Kabupaten Tangerang, Banten 15710</t>
  </si>
  <si>
    <t>Bitung Jaya, Kec. Cikupa, Kabupaten Tangerang</t>
  </si>
  <si>
    <t>https://maps.google.com/?cid=0x0:0x2cff8b1936faa139</t>
  </si>
  <si>
    <t>Perum Griya Yasa</t>
  </si>
  <si>
    <t>Talagasari, Kec. Cikupa, Kabupaten Tangerang, Banten 15710</t>
  </si>
  <si>
    <t>Kec. Cikupa, Kabupaten Tangerang</t>
  </si>
  <si>
    <t>https://maps.google.com/?cid=0x0:0x2d22b121afd2ccd6</t>
  </si>
  <si>
    <t>https://infolelang.bri.co.id/sale/rumah-di-perumahan-griya-yasa_60606</t>
  </si>
  <si>
    <t>Perumahan Bumi Mentari</t>
  </si>
  <si>
    <t>RFF4+7C8 Pekong, Jl. Raya Saga - Bunar Jalan Kampung, Saga, Kec. Balaraja, Kabupaten Tangerang, Banten 15610</t>
  </si>
  <si>
    <t>Jl. Raya Saga - Bunar Jalan Kampung, Saga, Kec. Balaraja, Kabupaten Tangerang</t>
  </si>
  <si>
    <t>https://maps.google.com/?cid=0x0:0xb631853636e25056</t>
  </si>
  <si>
    <t>https://www.brighton.co.id/cari-properti/view/perumahan-bumi-mentari-kel-saga-kec-balaraja-tangerang</t>
  </si>
  <si>
    <t>Perumahan Citra Pesona Cisauk</t>
  </si>
  <si>
    <t>MJ33+RGR, Mekarwangi, Kec. Cisauk, Kabupaten Tangerang, Banten 15340</t>
  </si>
  <si>
    <t>Mekarwangi, Kec. Cisauk, Kabupaten Tangerang</t>
  </si>
  <si>
    <t>https://maps.google.com/?cid=0x0:0x9b57efbfa0215331</t>
  </si>
  <si>
    <t>Perumahan citra raya</t>
  </si>
  <si>
    <t>QG6F+QFX, Jl. Citra Raya Boulevard, Cikupa, Kec. Cikupa, Kabupaten Tangerang, Banten 15710</t>
  </si>
  <si>
    <t>Jl. Citra Raya Boulevard, Cikupa, Kec. Cikupa, Kabupaten Tangerang</t>
  </si>
  <si>
    <t>https://maps.google.com/?cid=0x0:0xcf20b20b63cc086e</t>
  </si>
  <si>
    <t>https://www.dekoruma.com/rumah-dijual/di-area-citra-raya?srsltid=AfmBOorpqht13Nfe52-ERMrz3tO4yXXqCNbR4Q8cenGwCapcegL3lBGL</t>
  </si>
  <si>
    <t>Perumahan GO HOME RESIDENCE</t>
  </si>
  <si>
    <t>Jl. Gn. Maloko, Dangdang, Kec. Cisauk, Kabupaten Tangerang, Banten 15341</t>
  </si>
  <si>
    <t>Dangdang, Kec. Cisauk, Kabupaten Tangerang</t>
  </si>
  <si>
    <t>https://maps.google.com/?cid=0x0:0xdd96db56ea709ef6</t>
  </si>
  <si>
    <t>https://www.dekoruma.com/properti/perumahan-go-home-residence-tangerang?srsltid=AfmBOor8WpskyfDEuqfGNKD23-F4KjaYLNOiFJ2kE1UXHeN7GTqTQbVG</t>
  </si>
  <si>
    <t>Perumahan Grand Harmoni</t>
  </si>
  <si>
    <t>RFM5+47V, Jl. Raya Saga - Bunar, Bunar, Kec. Sukamulya, Kabupaten Tangerang, Banten 15610</t>
  </si>
  <si>
    <t>Jl. Raya Saga - Bunar, Bunar, Kec. Sukamulya, Kabupaten Tangerang</t>
  </si>
  <si>
    <t>https://maps.google.com/?cid=0x0:0x4a4fde308f26856</t>
  </si>
  <si>
    <t>Perumahan Green BSD Cibogo Permai</t>
  </si>
  <si>
    <t>Perum Green Bsd Cibogo Permai, Cibogo, Kec. Cisauk, Kabupaten Tangerang, Banten 15344</t>
  </si>
  <si>
    <t>https://maps.google.com/?cid=0x0:0xd84092fa78faacb</t>
  </si>
  <si>
    <t>https://www.99.co/id/komplek-perumahan/131637-green-bsd-cibogo-permai/units</t>
  </si>
  <si>
    <t>Perumahan Griya Pasir Jaya III</t>
  </si>
  <si>
    <t>Jl. Perdamaian No.48, Pasir Jaya, Kec. Cikupa, Kabupaten Tangerang, Banten 15710</t>
  </si>
  <si>
    <t>Pasir Jaya, Kec. Cikupa, Kabupaten Tangerang</t>
  </si>
  <si>
    <t>https://maps.google.com/?cid=0x0:0x465a08a40affdfc6</t>
  </si>
  <si>
    <t>Perumahan Mekar Asri 2 Blok G1 No.5</t>
  </si>
  <si>
    <t>2 Blok G1 No, Jl. Mekar Asri No.5, Mekar Bakti, Kec. Panongan, Kabupaten Tangerang, Banten 15710</t>
  </si>
  <si>
    <t>Jl. Mekar Asri No.5, Mekar Bakti, Kec. Panongan, Kabupaten Tangerang</t>
  </si>
  <si>
    <t>https://maps.google.com/?cid=0x0:0x249abd2544bae758</t>
  </si>
  <si>
    <t>Perumahan Pesona Jne</t>
  </si>
  <si>
    <t>MJ52+3M3, Mekarwangi, Kec. Cisauk, Kabupaten Tangerang, Banten 15340</t>
  </si>
  <si>
    <t>https://maps.google.com/?cid=0x0:0xa89fdfa7615528a6</t>
  </si>
  <si>
    <t>Perumahan Prima Alfa Balaraja</t>
  </si>
  <si>
    <t>kp, Jl. Kepuh desa, Saga, Kec. Balaraja, Kabupaten Tangerang, Banten 15610</t>
  </si>
  <si>
    <t>Jl. Kepuh desa, Saga, Kec. Balaraja, Kabupaten Tangerang</t>
  </si>
  <si>
    <t>https://maps.google.com/?cid=0x0:0xfa591bb5deea60c0</t>
  </si>
  <si>
    <t>Perumahan Royal Cikupa Permai</t>
  </si>
  <si>
    <t>Dukuh, Kec. Cikupa, Kabupaten Tangerang, Banten 15710</t>
  </si>
  <si>
    <t>https://maps.google.com/?cid=0x0:0xe12fe3594afc0a</t>
  </si>
  <si>
    <t>https://www.rumah123.com/venue/royal-cikupa-permai-vcm23803/</t>
  </si>
  <si>
    <t>PERUMAHAN SALAKA NAGARA</t>
  </si>
  <si>
    <t>Perumahan Salaka Nagara, Blok. C2 No.01, Saga, Kec. Balaraja, Kabupaten Tangerang, Banten 15610</t>
  </si>
  <si>
    <t>Blok. C2 No.01, Saga, Kec. Balaraja, Kabupaten Tangerang</t>
  </si>
  <si>
    <t>https://maps.google.com/?cid=0x0:0xf49555db15f2eaa5</t>
  </si>
  <si>
    <t>https://www.tribunjualbeli.com/banten/2381271/dijual-rumah-perumahan-salaka-nagara-siap-huni-tangerang</t>
  </si>
  <si>
    <t>Perumahan Taman Cikande</t>
  </si>
  <si>
    <t>Jl. Raya Serang No.KM 35, Cikande, Kec. Jayanti, Kabupaten Tangerang, Banten 15610</t>
  </si>
  <si>
    <t>Cikande, Kec. Jayanti, Kabupaten Tangerang</t>
  </si>
  <si>
    <t>https://maps.google.com/?cid=0x0:0x9c283ccbb49bae8f</t>
  </si>
  <si>
    <t>Puri Land Balaraja</t>
  </si>
  <si>
    <t>RC66+XQH, Jl. KH. Moh. Amin, Koper, Kec. Jayanti, Kabupaten Tangerang, Banten 15610</t>
  </si>
  <si>
    <t>Jl. KH. Moh. Amin, Koper, Kec. Jayanti, Kabupaten Tangerang</t>
  </si>
  <si>
    <t>https://maps.google.com/?cid=0x0:0x82079152651f3c47</t>
  </si>
  <si>
    <t>Serpong Garden</t>
  </si>
  <si>
    <t>Cluster Green studentia c18 no 5, Cibogo, Kec. Cisauk, Kabupaten Tangerang, Banten 15344</t>
  </si>
  <si>
    <t>https://maps.google.com/?cid=0x0:0x7a84b6a61d8e57ac</t>
  </si>
  <si>
    <t>Taman balaraja</t>
  </si>
  <si>
    <t>RCFR+9MF, Jl. Delima Raya Taman Balaraja, Parahu, Kec. Sukamulya, Kabupaten Tangerang, Banten 15610</t>
  </si>
  <si>
    <t>Jl. Delima Raya Taman Balaraja, Parahu, Kec. Sukamulya, Kabupaten Tangerang</t>
  </si>
  <si>
    <t>https://maps.google.com/?cid=0x0:0xe79ff14a276e1a05</t>
  </si>
  <si>
    <t>The Grand Mansion Cisauk</t>
  </si>
  <si>
    <t>Girang, Jl. Padat Karya, RT.003/RW.005, Cisauk, Kec. Cisauk, Kabupaten Tangerang, Banten 15341</t>
  </si>
  <si>
    <t>Jl. Padat Karya, RT.003/RW.005, Cisauk, Kec. Cisauk, Kabupaten Tangerang</t>
  </si>
  <si>
    <t>https://maps.google.com/?cid=0x0:0x731c395bb580f31e</t>
  </si>
  <si>
    <t>https://www.rumah123.com/perumahan-baru/properti/tangerang/the-grand-mansion/nps3474/</t>
  </si>
  <si>
    <t>Town House Cicayur</t>
  </si>
  <si>
    <t>Jl. Kp. Baru No.49, Dangdang, Kec. Cisauk, Kabupaten Tangerang, Banten 15342</t>
  </si>
  <si>
    <t>https://maps.google.com/?cid=0x0:0x96bdc07193e7224d</t>
  </si>
  <si>
    <t>Villa Balaraja</t>
  </si>
  <si>
    <t>Blok H9 H6 Perumahan Villa Balaraja, Jl. Al Barkah, Saga, Kec. Balaraja, Kabupaten Tangerang, Banten 15610</t>
  </si>
  <si>
    <t>Jl. Al Barkah, Saga, Kec. Balaraja, Kabupaten Tangerang</t>
  </si>
  <si>
    <t>https://maps.google.com/?cid=0x0:0x3b73a71cd8b97d1</t>
  </si>
  <si>
    <t>https://www.rumah123.com/venue/villa-balaraja-vcm16274/</t>
  </si>
  <si>
    <t>Villa Marco</t>
  </si>
  <si>
    <t>MJ54+9HM, Mekarwangi, Kec. Cisauk, Kabupaten Tangerang, Banten 15340</t>
  </si>
  <si>
    <t>https://maps.google.com/?cid=0x0:0x85b3605d239228b5</t>
  </si>
  <si>
    <t>Villa Verde Timur - Citra Raya</t>
  </si>
  <si>
    <t>QG68+XVJ, Jl. Verde 8, Cikupa, Kec. Cikupa, Kabupaten Tangerang, Banten 15710</t>
  </si>
  <si>
    <t>Jl. Verde 8, Cikupa, Kec. Cikupa, Kabupaten Tangerang</t>
  </si>
  <si>
    <t>https://maps.google.com/?cid=0x0:0xa0ae4d58c0aa02b</t>
  </si>
  <si>
    <t>https://www.pinhome.id/dijual/rumah-sekunder/unit/dijual-rumah-di-villa-verde-timur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</si>
</sst>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color theme="1"/>
      <name val="Arial"/>
      <scheme val="minor"/>
    </font>
    <font>
      <u/>
      <color rgb="FF0000FF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ABABAB"/>
      </lef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1" xfId="0" applyAlignment="1" applyBorder="1" applyFont="1" applyNumberForma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3" xfId="0" applyFont="1" applyNumberFormat="1"/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6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roperti123.com/properti-jual/17741-melia-residence-cilegon-kota-rumah-2-lantai-baru-bagus-bebas-banjir-950jt-nego-sampai-jadi" TargetMode="External"/><Relationship Id="rId22" Type="http://schemas.openxmlformats.org/officeDocument/2006/relationships/hyperlink" Target="https://maps.google.com/?cid=0x0:0x472d8eb2069a7080" TargetMode="External"/><Relationship Id="rId21" Type="http://schemas.openxmlformats.org/officeDocument/2006/relationships/hyperlink" Target="https://maps.google.com/?cid=0x0:0x5c82ea15dc3a56f3" TargetMode="External"/><Relationship Id="rId24" Type="http://schemas.openxmlformats.org/officeDocument/2006/relationships/hyperlink" Target="https://maps.google.com/?cid=0x0:0x94a87bd7a190c373" TargetMode="External"/><Relationship Id="rId23" Type="http://schemas.openxmlformats.org/officeDocument/2006/relationships/hyperlink" Target="https://www.rumah123.com/venue/metro-cilegon-vcm16442/" TargetMode="External"/><Relationship Id="rId1" Type="http://schemas.openxmlformats.org/officeDocument/2006/relationships/hyperlink" Target="https://maps.google.com/?cid=0x0:0x6c224ac148f2c69" TargetMode="External"/><Relationship Id="rId2" Type="http://schemas.openxmlformats.org/officeDocument/2006/relationships/hyperlink" Target="https://maps.google.com/?cid=0x0:0x3bf792b402bb21a9" TargetMode="External"/><Relationship Id="rId3" Type="http://schemas.openxmlformats.org/officeDocument/2006/relationships/hyperlink" Target="https://www.facebook.com/groups/585980898661313/posts/1623042134955179/" TargetMode="External"/><Relationship Id="rId4" Type="http://schemas.openxmlformats.org/officeDocument/2006/relationships/hyperlink" Target="https://maps.google.com/?cid=0x0:0x5642ebbcb70e2bf0" TargetMode="External"/><Relationship Id="rId9" Type="http://schemas.openxmlformats.org/officeDocument/2006/relationships/hyperlink" Target="https://www.rumah123.com/venue/grand-cilegon-residence-vcm20722/" TargetMode="External"/><Relationship Id="rId26" Type="http://schemas.openxmlformats.org/officeDocument/2006/relationships/hyperlink" Target="https://maps.google.com/?cid=0x0:0xf49db47c38fc66c7" TargetMode="External"/><Relationship Id="rId25" Type="http://schemas.openxmlformats.org/officeDocument/2006/relationships/hyperlink" Target="https://www.facebook.com/groups/719303069228276/posts/1409977896827453/" TargetMode="External"/><Relationship Id="rId28" Type="http://schemas.openxmlformats.org/officeDocument/2006/relationships/hyperlink" Target="https://maps.google.com/?cid=0x0:0x29e7b69be30f6bd1" TargetMode="External"/><Relationship Id="rId27" Type="http://schemas.openxmlformats.org/officeDocument/2006/relationships/hyperlink" Target="https://maps.google.com/?cid=0x0:0x43920b2215aa715d" TargetMode="External"/><Relationship Id="rId5" Type="http://schemas.openxmlformats.org/officeDocument/2006/relationships/hyperlink" Target="https://www.pinhome.id/dijual/rumah-sekunder/unit/dijual-rumah-full-furnished-di-cilegon-hills-residence-di-jalan-raya-cikerai" TargetMode="External"/><Relationship Id="rId6" Type="http://schemas.openxmlformats.org/officeDocument/2006/relationships/hyperlink" Target="https://maps.google.com/?cid=0x0:0xc24abf8a2899bb06" TargetMode="External"/><Relationship Id="rId29" Type="http://schemas.openxmlformats.org/officeDocument/2006/relationships/hyperlink" Target="https://maps.google.com/?cid=0x0:0xa8edaedd082bb497" TargetMode="External"/><Relationship Id="rId7" Type="http://schemas.openxmlformats.org/officeDocument/2006/relationships/hyperlink" Target="https://www.pinhome.id/dijual/rumah-sekunder/unit/dijual-rumah-di-cluster-mimosa" TargetMode="External"/><Relationship Id="rId8" Type="http://schemas.openxmlformats.org/officeDocument/2006/relationships/hyperlink" Target="https://maps.google.com/?cid=0x0:0x76fb415a04d59dd3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rumah.trovit.co.id/listing/rumah-murah-cilegon-2-lantai-sakinah-residence.e52f1e7f-5724-45fa-af5c-3c3940c2463a" TargetMode="External"/><Relationship Id="rId11" Type="http://schemas.openxmlformats.org/officeDocument/2006/relationships/hyperlink" Target="https://www.99.co/id/properti/rumah-dijual-390jt-cibeber-1001439750" TargetMode="External"/><Relationship Id="rId10" Type="http://schemas.openxmlformats.org/officeDocument/2006/relationships/hyperlink" Target="https://maps.google.com/?cid=0x0:0xe1a7e22a7b000293" TargetMode="External"/><Relationship Id="rId13" Type="http://schemas.openxmlformats.org/officeDocument/2006/relationships/hyperlink" Target="https://maps.google.com/?cid=0x0:0x3f8721b821ec1dbf" TargetMode="External"/><Relationship Id="rId12" Type="http://schemas.openxmlformats.org/officeDocument/2006/relationships/hyperlink" Target="https://maps.google.com/?cid=0x0:0x29b94fe1da331bf3" TargetMode="External"/><Relationship Id="rId15" Type="http://schemas.openxmlformats.org/officeDocument/2006/relationships/hyperlink" Target="https://www.lamudi.co.id/jual/banten/cilegon/rumah-2-lantai-hook-di-griya-satria-cibeber-cilego-173885778928/" TargetMode="External"/><Relationship Id="rId14" Type="http://schemas.openxmlformats.org/officeDocument/2006/relationships/hyperlink" Target="https://maps.google.com/?cid=0x0:0x1df872d55b5fa1ad" TargetMode="External"/><Relationship Id="rId17" Type="http://schemas.openxmlformats.org/officeDocument/2006/relationships/hyperlink" Target="https://maps.google.com/?cid=0x0:0x47300bf9f8a11607" TargetMode="External"/><Relationship Id="rId16" Type="http://schemas.openxmlformats.org/officeDocument/2006/relationships/hyperlink" Target="https://maps.google.com/?cid=0x0:0x6497ea4ecd1d2625" TargetMode="External"/><Relationship Id="rId19" Type="http://schemas.openxmlformats.org/officeDocument/2006/relationships/hyperlink" Target="https://maps.google.com/?cid=0x0:0xfa5d8d451e48e592" TargetMode="External"/><Relationship Id="rId18" Type="http://schemas.openxmlformats.org/officeDocument/2006/relationships/hyperlink" Target="https://www.rumah123.com/properti/cilegon/hos18493168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99.co/id/komplek-perumahan/39304-highland-park/units" TargetMode="External"/><Relationship Id="rId42" Type="http://schemas.openxmlformats.org/officeDocument/2006/relationships/hyperlink" Target="https://maps.google.com/?cid=0x0:0x8042206c9956193c" TargetMode="External"/><Relationship Id="rId41" Type="http://schemas.openxmlformats.org/officeDocument/2006/relationships/hyperlink" Target="https://maps.google.com/?cid=0x0:0x9442b5649774b472" TargetMode="External"/><Relationship Id="rId44" Type="http://schemas.openxmlformats.org/officeDocument/2006/relationships/hyperlink" Target="https://maps.google.com/?cid=0x0:0x19d7d125fda82669" TargetMode="External"/><Relationship Id="rId43" Type="http://schemas.openxmlformats.org/officeDocument/2006/relationships/hyperlink" Target="https://web.facebook.com/groups/kpmbserang/permalink/2661999900595078/?_rdc=1&amp;_rdr" TargetMode="External"/><Relationship Id="rId46" Type="http://schemas.openxmlformats.org/officeDocument/2006/relationships/hyperlink" Target="https://maps.google.com/?cid=0x0:0x55a74b7f3b128f13" TargetMode="External"/><Relationship Id="rId45" Type="http://schemas.openxmlformats.org/officeDocument/2006/relationships/hyperlink" Target="https://century21.co.id/detail-listing?slug=hunian-minimalis-berikut-furniture-kedaton-grande-rog4-ea" TargetMode="External"/><Relationship Id="rId1" Type="http://schemas.openxmlformats.org/officeDocument/2006/relationships/hyperlink" Target="https://maps.google.com/?cid=0x0:0xa41a4b7c85119fa" TargetMode="External"/><Relationship Id="rId2" Type="http://schemas.openxmlformats.org/officeDocument/2006/relationships/hyperlink" Target="https://www.btnproperti.co.id/property/perumahan/detail/azzahra-residence-2838139" TargetMode="External"/><Relationship Id="rId3" Type="http://schemas.openxmlformats.org/officeDocument/2006/relationships/hyperlink" Target="https://maps.google.com/?cid=0x0:0x9e2dc4c9167ba15d" TargetMode="External"/><Relationship Id="rId4" Type="http://schemas.openxmlformats.org/officeDocument/2006/relationships/hyperlink" Target="https://www.rumah123.com/venue/cendana-residence-serang-vcm25036/" TargetMode="External"/><Relationship Id="rId9" Type="http://schemas.openxmlformats.org/officeDocument/2006/relationships/hyperlink" Target="https://www.rumah123.com/properti/serang/hos19084308/" TargetMode="External"/><Relationship Id="rId48" Type="http://schemas.openxmlformats.org/officeDocument/2006/relationships/hyperlink" Target="https://maps.google.com/?cid=0x0:0x26a08147b5aca003" TargetMode="External"/><Relationship Id="rId47" Type="http://schemas.openxmlformats.org/officeDocument/2006/relationships/hyperlink" Target="https://www.rumah123.com/properti/serang/hos14086687/" TargetMode="External"/><Relationship Id="rId49" Type="http://schemas.openxmlformats.org/officeDocument/2006/relationships/hyperlink" Target="https://maps.google.com/?cid=0x0:0x4b4729620d73d856" TargetMode="External"/><Relationship Id="rId5" Type="http://schemas.openxmlformats.org/officeDocument/2006/relationships/hyperlink" Target="https://maps.google.com/?cid=0x0:0x9daa8e5b9dfa69d7" TargetMode="External"/><Relationship Id="rId6" Type="http://schemas.openxmlformats.org/officeDocument/2006/relationships/hyperlink" Target="https://jendela360.com/properti/jual/RMH402" TargetMode="External"/><Relationship Id="rId7" Type="http://schemas.openxmlformats.org/officeDocument/2006/relationships/hyperlink" Target="https://maps.google.com/?cid=0x0:0x97760aa118a19eeb" TargetMode="External"/><Relationship Id="rId8" Type="http://schemas.openxmlformats.org/officeDocument/2006/relationships/hyperlink" Target="https://maps.google.com/?cid=0x0:0x9a33ff7e06d1e9c0" TargetMode="External"/><Relationship Id="rId31" Type="http://schemas.openxmlformats.org/officeDocument/2006/relationships/hyperlink" Target="https://www.rumah123.com/properti/serang/hos12376037/" TargetMode="External"/><Relationship Id="rId30" Type="http://schemas.openxmlformats.org/officeDocument/2006/relationships/hyperlink" Target="https://maps.google.com/?cid=0x0:0x421e07d9890bf83" TargetMode="External"/><Relationship Id="rId33" Type="http://schemas.openxmlformats.org/officeDocument/2006/relationships/hyperlink" Target="https://www.99.co/id/komplek-perumahan/35919-citra-gading/units" TargetMode="External"/><Relationship Id="rId32" Type="http://schemas.openxmlformats.org/officeDocument/2006/relationships/hyperlink" Target="https://maps.google.com/?cid=0x0:0x2d864d07cb9479e3" TargetMode="External"/><Relationship Id="rId35" Type="http://schemas.openxmlformats.org/officeDocument/2006/relationships/hyperlink" Target="https://www.instagram.com/dalung.green.village/reel/DEeWLTtz5rb/" TargetMode="External"/><Relationship Id="rId34" Type="http://schemas.openxmlformats.org/officeDocument/2006/relationships/hyperlink" Target="https://maps.google.com/?cid=0x0:0x9afb575d554067b5" TargetMode="External"/><Relationship Id="rId37" Type="http://schemas.openxmlformats.org/officeDocument/2006/relationships/hyperlink" Target="https://maps.google.com/?cid=0x0:0xc20776c28007619b" TargetMode="External"/><Relationship Id="rId36" Type="http://schemas.openxmlformats.org/officeDocument/2006/relationships/hyperlink" Target="https://maps.google.com/?cid=0x0:0x3d5b0d15923e5a47" TargetMode="External"/><Relationship Id="rId39" Type="http://schemas.openxmlformats.org/officeDocument/2006/relationships/hyperlink" Target="https://maps.google.com/?cid=0x0:0x46b7394a703f8e12" TargetMode="External"/><Relationship Id="rId38" Type="http://schemas.openxmlformats.org/officeDocument/2006/relationships/hyperlink" Target="https://properti1.com/iklan/dipasarkan-rumah-subsidi-griya-reang-indah-serang-banten-sale-akhir-tahun-676a68cf1a8b8942c32c2f64" TargetMode="External"/><Relationship Id="rId62" Type="http://schemas.openxmlformats.org/officeDocument/2006/relationships/hyperlink" Target="https://www.rumah123.com/properti/serang/hos15605935/" TargetMode="External"/><Relationship Id="rId61" Type="http://schemas.openxmlformats.org/officeDocument/2006/relationships/hyperlink" Target="https://maps.google.com/?cid=0x0:0xb7cf7458a10c01e3" TargetMode="External"/><Relationship Id="rId20" Type="http://schemas.openxmlformats.org/officeDocument/2006/relationships/hyperlink" Target="https://maps.google.com/?cid=0x0:0xe102532db3e31fbe" TargetMode="External"/><Relationship Id="rId64" Type="http://schemas.openxmlformats.org/officeDocument/2006/relationships/hyperlink" Target="https://www.lamudi.co.id/jual/banten/serang/rumah-di-taman-puri-hijau-murah-siap-huni-5km-dr-a-172464731328/" TargetMode="External"/><Relationship Id="rId63" Type="http://schemas.openxmlformats.org/officeDocument/2006/relationships/hyperlink" Target="https://maps.google.com/?cid=0x0:0x71b7ac2108fe5ab" TargetMode="External"/><Relationship Id="rId22" Type="http://schemas.openxmlformats.org/officeDocument/2006/relationships/hyperlink" Target="https://maps.google.com/?cid=0x0:0x6140172475910b88" TargetMode="External"/><Relationship Id="rId66" Type="http://schemas.openxmlformats.org/officeDocument/2006/relationships/hyperlink" Target="https://villahouston.com/" TargetMode="External"/><Relationship Id="rId21" Type="http://schemas.openxmlformats.org/officeDocument/2006/relationships/hyperlink" Target="https://id.carousell.com/p/dijual-rumah-komplek-rss-pemda-serang-banten-1114332228/" TargetMode="External"/><Relationship Id="rId65" Type="http://schemas.openxmlformats.org/officeDocument/2006/relationships/hyperlink" Target="https://maps.google.com/?cid=0x0:0x4387a1c951f45400" TargetMode="External"/><Relationship Id="rId24" Type="http://schemas.openxmlformats.org/officeDocument/2006/relationships/hyperlink" Target="https://maps.google.com/?cid=0x0:0x56c275d9f615f8e2" TargetMode="External"/><Relationship Id="rId68" Type="http://schemas.openxmlformats.org/officeDocument/2006/relationships/drawing" Target="../drawings/drawing2.xml"/><Relationship Id="rId23" Type="http://schemas.openxmlformats.org/officeDocument/2006/relationships/hyperlink" Target="https://maps.google.com/?cid=0x0:0x2acbe8f0ecd0ea5f" TargetMode="External"/><Relationship Id="rId67" Type="http://schemas.openxmlformats.org/officeDocument/2006/relationships/hyperlink" Target="https://maps.google.com/?cid=0x0:0x756f688c91fd98b2" TargetMode="External"/><Relationship Id="rId60" Type="http://schemas.openxmlformats.org/officeDocument/2006/relationships/hyperlink" Target="https://asiaone.co.id/properties/dijual-rumah-di-serang-palma-residence/" TargetMode="External"/><Relationship Id="rId26" Type="http://schemas.openxmlformats.org/officeDocument/2006/relationships/hyperlink" Target="https://maps.google.com/?cid=0x0:0x42484d2e6a6d38e5" TargetMode="External"/><Relationship Id="rId25" Type="http://schemas.openxmlformats.org/officeDocument/2006/relationships/hyperlink" Target="https://www.99.co/id/komplek-perumahan/6396-permata-banjar-asri/units" TargetMode="External"/><Relationship Id="rId28" Type="http://schemas.openxmlformats.org/officeDocument/2006/relationships/hyperlink" Target="https://maps.google.com/?cid=0x0:0x5e9b94f06c7d7202" TargetMode="External"/><Relationship Id="rId27" Type="http://schemas.openxmlformats.org/officeDocument/2006/relationships/hyperlink" Target="https://web.facebook.com/profile.php?id=100064068163891&amp;locale=ru_RU&amp;_rdc=1&amp;_rdr" TargetMode="External"/><Relationship Id="rId29" Type="http://schemas.openxmlformats.org/officeDocument/2006/relationships/hyperlink" Target="https://www.99.co/id/komplek-perumahan/27383-puri-kartika/units" TargetMode="External"/><Relationship Id="rId51" Type="http://schemas.openxmlformats.org/officeDocument/2006/relationships/hyperlink" Target="https://maps.google.com/?cid=0x0:0x50e28761ab11677e" TargetMode="External"/><Relationship Id="rId50" Type="http://schemas.openxmlformats.org/officeDocument/2006/relationships/hyperlink" Target="https://www.btnproperti.co.id/property/perumahan/detail/puri-sava-sukamaju-4218504" TargetMode="External"/><Relationship Id="rId53" Type="http://schemas.openxmlformats.org/officeDocument/2006/relationships/hyperlink" Target="https://maps.google.com/?cid=0x0:0x432a190484522db2" TargetMode="External"/><Relationship Id="rId52" Type="http://schemas.openxmlformats.org/officeDocument/2006/relationships/hyperlink" Target="https://www.rumah123.com/venue/puri-serang-hijau-vcm22634/" TargetMode="External"/><Relationship Id="rId11" Type="http://schemas.openxmlformats.org/officeDocument/2006/relationships/hyperlink" Target="https://infolelang.bri.co.id/sale/rumah-di-perumahan-green-serang-indah_112643" TargetMode="External"/><Relationship Id="rId55" Type="http://schemas.openxmlformats.org/officeDocument/2006/relationships/hyperlink" Target="https://www.rumah123.com/properti/serang/hos15257848/" TargetMode="External"/><Relationship Id="rId10" Type="http://schemas.openxmlformats.org/officeDocument/2006/relationships/hyperlink" Target="https://maps.google.com/?cid=0x0:0xf7f41173284f75a2" TargetMode="External"/><Relationship Id="rId54" Type="http://schemas.openxmlformats.org/officeDocument/2006/relationships/hyperlink" Target="https://maps.google.com/?cid=0x0:0x6dd8ca2261106b40" TargetMode="External"/><Relationship Id="rId13" Type="http://schemas.openxmlformats.org/officeDocument/2006/relationships/hyperlink" Target="https://www.rumah123.com/properti/serang/hos16415624/" TargetMode="External"/><Relationship Id="rId57" Type="http://schemas.openxmlformats.org/officeDocument/2006/relationships/hyperlink" Target="https://maps.google.com/?cid=0x0:0xf4e39538be343aee" TargetMode="External"/><Relationship Id="rId12" Type="http://schemas.openxmlformats.org/officeDocument/2006/relationships/hyperlink" Target="https://maps.google.com/?cid=0x0:0x528ba0c24f8a8b7c" TargetMode="External"/><Relationship Id="rId56" Type="http://schemas.openxmlformats.org/officeDocument/2006/relationships/hyperlink" Target="https://maps.google.com/?cid=0x0:0xb16faf2491511bfc" TargetMode="External"/><Relationship Id="rId15" Type="http://schemas.openxmlformats.org/officeDocument/2006/relationships/hyperlink" Target="https://www.99.co/id/komplek-perumahan/3381-griya-permata-asri/units" TargetMode="External"/><Relationship Id="rId59" Type="http://schemas.openxmlformats.org/officeDocument/2006/relationships/hyperlink" Target="https://maps.google.com/?cid=0x0:0xea42f88a706981c5" TargetMode="External"/><Relationship Id="rId14" Type="http://schemas.openxmlformats.org/officeDocument/2006/relationships/hyperlink" Target="https://maps.google.com/?cid=0x0:0x848bbc78cdb2bc56" TargetMode="External"/><Relationship Id="rId58" Type="http://schemas.openxmlformats.org/officeDocument/2006/relationships/hyperlink" Target="https://www.99.co/id/komplek-perumahan/136298-puri-cempaka/units" TargetMode="External"/><Relationship Id="rId17" Type="http://schemas.openxmlformats.org/officeDocument/2006/relationships/hyperlink" Target="https://maps.google.com/?cid=0x0:0xc4b52af01710e565" TargetMode="External"/><Relationship Id="rId16" Type="http://schemas.openxmlformats.org/officeDocument/2006/relationships/hyperlink" Target="https://maps.google.com/?cid=0x0:0x808cdd3f6be5f50a" TargetMode="External"/><Relationship Id="rId19" Type="http://schemas.openxmlformats.org/officeDocument/2006/relationships/hyperlink" Target="https://www.instagram.com/infoserang/p/C4pTVr-Ld4n/" TargetMode="External"/><Relationship Id="rId18" Type="http://schemas.openxmlformats.org/officeDocument/2006/relationships/hyperlink" Target="https://maps.google.com/?cid=0x0:0x288f5d42de782a1e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6f83c7029982578" TargetMode="External"/><Relationship Id="rId42" Type="http://schemas.openxmlformats.org/officeDocument/2006/relationships/hyperlink" Target="https://maps.google.com/?cid=0x0:0xa8462ec3a73b77d6" TargetMode="External"/><Relationship Id="rId41" Type="http://schemas.openxmlformats.org/officeDocument/2006/relationships/hyperlink" Target="https://www.rumah123.com/venue/bona-sarana-indah-vcm20035/" TargetMode="External"/><Relationship Id="rId44" Type="http://schemas.openxmlformats.org/officeDocument/2006/relationships/hyperlink" Target="https://maps.google.com/?cid=0x0:0x90d3ca72bfd4cda0" TargetMode="External"/><Relationship Id="rId43" Type="http://schemas.openxmlformats.org/officeDocument/2006/relationships/hyperlink" Target="https://www.olx.co.id/item/dijual-rumah-budi-indah-hitung-tanah-di-cluster-acasia-iid-924882321" TargetMode="External"/><Relationship Id="rId46" Type="http://schemas.openxmlformats.org/officeDocument/2006/relationships/hyperlink" Target="https://rumah.trovit.co.id/listing/murah-rumah-cluster-pulau-dewa-modernland-tangerang.1k1oZ1JDqZ13" TargetMode="External"/><Relationship Id="rId45" Type="http://schemas.openxmlformats.org/officeDocument/2006/relationships/hyperlink" Target="https://maps.google.com/?cid=0x0:0x21b403d5e42255bd" TargetMode="External"/><Relationship Id="rId1" Type="http://schemas.openxmlformats.org/officeDocument/2006/relationships/hyperlink" Target="https://maps.google.com/?cid=0x0:0xd40f24944b3f4691" TargetMode="External"/><Relationship Id="rId2" Type="http://schemas.openxmlformats.org/officeDocument/2006/relationships/hyperlink" Target="https://www.rumah123.com/venue/aeroland-residence-vcm21921/" TargetMode="External"/><Relationship Id="rId3" Type="http://schemas.openxmlformats.org/officeDocument/2006/relationships/hyperlink" Target="https://maps.google.com/?cid=0x0:0xa513a9b7a58db814" TargetMode="External"/><Relationship Id="rId4" Type="http://schemas.openxmlformats.org/officeDocument/2006/relationships/hyperlink" Target="https://www.99.co/id/komplek-perumahan/89098-aleyra-residence/units" TargetMode="External"/><Relationship Id="rId9" Type="http://schemas.openxmlformats.org/officeDocument/2006/relationships/hyperlink" Target="https://maps.google.com/?cid=0x0:0x4de86c43364f5311" TargetMode="External"/><Relationship Id="rId48" Type="http://schemas.openxmlformats.org/officeDocument/2006/relationships/hyperlink" Target="https://www.olx.co.id/item/dijual-rumah-daan-mogot-arcadia-iid-924397761" TargetMode="External"/><Relationship Id="rId47" Type="http://schemas.openxmlformats.org/officeDocument/2006/relationships/hyperlink" Target="https://maps.google.com/?cid=0x0:0xe56e9cbe5898cf5a" TargetMode="External"/><Relationship Id="rId49" Type="http://schemas.openxmlformats.org/officeDocument/2006/relationships/hyperlink" Target="https://maps.google.com/?cid=0x0:0x84d0f1e611b39974" TargetMode="External"/><Relationship Id="rId5" Type="http://schemas.openxmlformats.org/officeDocument/2006/relationships/hyperlink" Target="https://maps.google.com/?cid=0x0:0x49a81705d29875e0" TargetMode="External"/><Relationship Id="rId6" Type="http://schemas.openxmlformats.org/officeDocument/2006/relationships/hyperlink" Target="https://www.pinhome.id/dijual/rumah-baru/aria-residence-karawaci-4?utm_source=google&amp;utm_medium=sem&amp;utm_campaign=platform_conversion_search_pcw_wa_click&amp;utm_term=primary_dynamic&amp;utm_content=&amp;gad_source=1&amp;gclid=CjwKCAiArKW-BhAzEiwAZhWsIH5oFkZIH0EUmR3NX_Ji0fgn_NadXj9xAhnGwaJzgaVqN00ZCPsEXxoCTGkQAvD_BwE" TargetMode="External"/><Relationship Id="rId7" Type="http://schemas.openxmlformats.org/officeDocument/2006/relationships/hyperlink" Target="https://maps.google.com/?cid=0x0:0x859f4a66eb3893f1" TargetMode="External"/><Relationship Id="rId8" Type="http://schemas.openxmlformats.org/officeDocument/2006/relationships/hyperlink" Target="https://pashouses.id/rumah-dijual/perumahan/perumahan-batuceper-permai?gclid=CjwKCAiArKW-BhAzEiwAZhWsIN0tYn7dIzPhVmr__nf2nq0YgCe_MUqCOWrDwqWsmcCNLjulYpmdLxoC8BoQAvD_BwE&amp;utm_source=adwords&amp;utm_campaign=sem-aon-buyer-geo-campaign-05102023&amp;utm_agid=153009578134&amp;utm_term=&amp;creative=676219183180&amp;device=c&amp;placement=&amp;gad_source=1" TargetMode="External"/><Relationship Id="rId73" Type="http://schemas.openxmlformats.org/officeDocument/2006/relationships/hyperlink" Target="https://rumah.trovit.co.id/listing/rumah-luas-posisi-hook-di-taman-permata-mulia-cikokol-tangerang.mGx1n171L1p1G" TargetMode="External"/><Relationship Id="rId72" Type="http://schemas.openxmlformats.org/officeDocument/2006/relationships/hyperlink" Target="https://maps.google.com/?cid=0x0:0xf7263c42e5a51297" TargetMode="External"/><Relationship Id="rId31" Type="http://schemas.openxmlformats.org/officeDocument/2006/relationships/hyperlink" Target="https://maps.google.com/?cid=0x0:0xebaec472304e6329" TargetMode="External"/><Relationship Id="rId75" Type="http://schemas.openxmlformats.org/officeDocument/2006/relationships/hyperlink" Target="https://www.dekoruma.com/properti/static/perumahan-tangerang-kencana-residence-neglasari-tangerang?srsltid=AfmBOoqn8COkQSXHvRiptV6ZTeGPogE6PKKOOcLIFc3E0QtUpICPj4io" TargetMode="External"/><Relationship Id="rId30" Type="http://schemas.openxmlformats.org/officeDocument/2006/relationships/hyperlink" Target="https://maps.google.com/?cid=0x0:0x57c62090c07f2366" TargetMode="External"/><Relationship Id="rId74" Type="http://schemas.openxmlformats.org/officeDocument/2006/relationships/hyperlink" Target="https://maps.google.com/?cid=0x0:0x8d58e994905dc42b" TargetMode="External"/><Relationship Id="rId33" Type="http://schemas.openxmlformats.org/officeDocument/2006/relationships/hyperlink" Target="https://maps.google.com/?cid=0x0:0xf01faf4b76fb9351" TargetMode="External"/><Relationship Id="rId77" Type="http://schemas.openxmlformats.org/officeDocument/2006/relationships/hyperlink" Target="https://rumah.trovit.co.id/listing/dijual-rumah-di-perumahan-budi-indah-tangerang-siap-huni-nyaman-amp-aman-lokasi-strategis.af526e57-e676-47ed-b787-c334f51887c8" TargetMode="External"/><Relationship Id="rId32" Type="http://schemas.openxmlformats.org/officeDocument/2006/relationships/hyperlink" Target="https://rumah.trovit.co.id/listing/rumah-dijual-di-tangerang-kota-tangerang-idr-1550000.Ka1Qyn1o1F1G" TargetMode="External"/><Relationship Id="rId76" Type="http://schemas.openxmlformats.org/officeDocument/2006/relationships/hyperlink" Target="https://maps.google.com/?cid=0x0:0x9ddd3a16c970cac4" TargetMode="External"/><Relationship Id="rId35" Type="http://schemas.openxmlformats.org/officeDocument/2006/relationships/hyperlink" Target="https://maps.google.com/?cid=0x0:0x1d31de23feb5e950" TargetMode="External"/><Relationship Id="rId34" Type="http://schemas.openxmlformats.org/officeDocument/2006/relationships/hyperlink" Target="https://www.rumah123.com/venue/grand-duta-garden-vcm27417/" TargetMode="External"/><Relationship Id="rId78" Type="http://schemas.openxmlformats.org/officeDocument/2006/relationships/drawing" Target="../drawings/drawing3.xml"/><Relationship Id="rId71" Type="http://schemas.openxmlformats.org/officeDocument/2006/relationships/hyperlink" Target="https://www.rumah123.com/properti/tangerang/hos17950700/" TargetMode="External"/><Relationship Id="rId70" Type="http://schemas.openxmlformats.org/officeDocument/2006/relationships/hyperlink" Target="https://maps.google.com/?cid=0x0:0x781501934440ab89" TargetMode="External"/><Relationship Id="rId37" Type="http://schemas.openxmlformats.org/officeDocument/2006/relationships/hyperlink" Target="https://maps.google.com/?cid=0x0:0x3a4ad91c0289c6bc" TargetMode="External"/><Relationship Id="rId36" Type="http://schemas.openxmlformats.org/officeDocument/2006/relationships/hyperlink" Target="https://www.99.co/id/properti/rumah-dijual-8750jt-benda-1008483709" TargetMode="External"/><Relationship Id="rId39" Type="http://schemas.openxmlformats.org/officeDocument/2006/relationships/hyperlink" Target="https://www.99.co/id/jual/rumah/area-tangerang/banjar-wijaya" TargetMode="External"/><Relationship Id="rId38" Type="http://schemas.openxmlformats.org/officeDocument/2006/relationships/hyperlink" Target="https://maps.google.com/?cid=0x0:0x52ba7a266f8d4d74" TargetMode="External"/><Relationship Id="rId62" Type="http://schemas.openxmlformats.org/officeDocument/2006/relationships/hyperlink" Target="https://www.olx.co.id/item/rumah-dijual-di-perumahan-taman-anyelir-dekat-tol-tangerang-2-j-19371-iid-932084258" TargetMode="External"/><Relationship Id="rId61" Type="http://schemas.openxmlformats.org/officeDocument/2006/relationships/hyperlink" Target="https://maps.google.com/?cid=0x0:0xa1406bd8dd653704" TargetMode="External"/><Relationship Id="rId20" Type="http://schemas.openxmlformats.org/officeDocument/2006/relationships/hyperlink" Target="https://www.99.co/id/properti/dijual-rumah-cluster-di-taman-royal-3-1008976319" TargetMode="External"/><Relationship Id="rId64" Type="http://schemas.openxmlformats.org/officeDocument/2006/relationships/hyperlink" Target="https://www.olx.co.id/item/rumah-minimalis-siap-huni-lokasi-taman-royal-1-cipondoh-tangerang-iid-932174481" TargetMode="External"/><Relationship Id="rId63" Type="http://schemas.openxmlformats.org/officeDocument/2006/relationships/hyperlink" Target="https://maps.google.com/?cid=0x0:0xd582c0b367b4f556" TargetMode="External"/><Relationship Id="rId22" Type="http://schemas.openxmlformats.org/officeDocument/2006/relationships/hyperlink" Target="https://rumah.trovit.co.id/listing/rumah-siap-huni-di-cluster-perancis-modernland.9ic131v1S1G-" TargetMode="External"/><Relationship Id="rId66" Type="http://schemas.openxmlformats.org/officeDocument/2006/relationships/hyperlink" Target="https://www.99.co/id/properti/di-jual-rumah-2-lt-full-di-villa-tangerang-indah-tangerang-kota-1003610917" TargetMode="External"/><Relationship Id="rId21" Type="http://schemas.openxmlformats.org/officeDocument/2006/relationships/hyperlink" Target="https://maps.google.com/?cid=0x0:0x2ff2aeedb0c248b9" TargetMode="External"/><Relationship Id="rId65" Type="http://schemas.openxmlformats.org/officeDocument/2006/relationships/hyperlink" Target="https://maps.google.com/?cid=0x0:0x6964319e57b04d4b" TargetMode="External"/><Relationship Id="rId24" Type="http://schemas.openxmlformats.org/officeDocument/2006/relationships/hyperlink" Target="https://rumah.trovit.co.id/listing/dijual-murah-rumah-hoek-2-lantai-di-cluster-picardie-modernland.d871ea8b-a064-45f8-94b9-f7696af2a7df" TargetMode="External"/><Relationship Id="rId68" Type="http://schemas.openxmlformats.org/officeDocument/2006/relationships/hyperlink" Target="https://maps.google.com/?cid=0x0:0x22d2d90e675b2967" TargetMode="External"/><Relationship Id="rId23" Type="http://schemas.openxmlformats.org/officeDocument/2006/relationships/hyperlink" Target="https://maps.google.com/?cid=0x0:0xe32ce073f6c1a0d8" TargetMode="External"/><Relationship Id="rId67" Type="http://schemas.openxmlformats.org/officeDocument/2006/relationships/hyperlink" Target="https://maps.google.com/?cid=0x0:0xb156339f8465ddd4" TargetMode="External"/><Relationship Id="rId60" Type="http://schemas.openxmlformats.org/officeDocument/2006/relationships/hyperlink" Target="https://www.rumah123.com/venue/taman-adhiloka-vcm28846/" TargetMode="External"/><Relationship Id="rId26" Type="http://schemas.openxmlformats.org/officeDocument/2006/relationships/hyperlink" Target="https://maps.google.com/?cid=0x0:0x216538b87d71cc0c" TargetMode="External"/><Relationship Id="rId25" Type="http://schemas.openxmlformats.org/officeDocument/2006/relationships/hyperlink" Target="https://maps.google.com/?cid=0x0:0x63c29f0f67ccb1ba" TargetMode="External"/><Relationship Id="rId69" Type="http://schemas.openxmlformats.org/officeDocument/2006/relationships/hyperlink" Target="https://www.99.co/id/properti/rumah-tusa-2-lantai-hadap-selatan-di-premier-residence-modernland-1008947144" TargetMode="External"/><Relationship Id="rId28" Type="http://schemas.openxmlformats.org/officeDocument/2006/relationships/hyperlink" Target="https://maps.google.com/?cid=0x0:0xeef6c000cf638cb3" TargetMode="External"/><Relationship Id="rId27" Type="http://schemas.openxmlformats.org/officeDocument/2006/relationships/hyperlink" Target="https://rumah.trovit.co.id/listing/dipasarkan-rumah-di-cluster-vienna-modernland-tangerang.1paz3h1x1XR" TargetMode="External"/><Relationship Id="rId29" Type="http://schemas.openxmlformats.org/officeDocument/2006/relationships/hyperlink" Target="https://www.dekoruma.com/properti/dijual-tangerang-tangerang-rumah-1-lantai-santai-oleh-andi-S8JiMR7HeN?srsltid=AfmBOoqigYgA_0h5Gjw7QdMKKTFOP3V-xW2X1HnSGQb9LbC6RdPir0a2" TargetMode="External"/><Relationship Id="rId51" Type="http://schemas.openxmlformats.org/officeDocument/2006/relationships/hyperlink" Target="https://www.rumah123.com/venue/grand-plawad-vcm19389/" TargetMode="External"/><Relationship Id="rId50" Type="http://schemas.openxmlformats.org/officeDocument/2006/relationships/hyperlink" Target="https://maps.google.com/?cid=0x0:0x19b73006653a448f" TargetMode="External"/><Relationship Id="rId53" Type="http://schemas.openxmlformats.org/officeDocument/2006/relationships/hyperlink" Target="https://www.rumah123.com/venue/mahkota-mas-vcm19297/" TargetMode="External"/><Relationship Id="rId52" Type="http://schemas.openxmlformats.org/officeDocument/2006/relationships/hyperlink" Target="https://maps.google.com/?cid=0x0:0xb79356bb6deda575" TargetMode="External"/><Relationship Id="rId11" Type="http://schemas.openxmlformats.org/officeDocument/2006/relationships/hyperlink" Target="https://maps.google.com/?cid=0x0:0x26611d14c871a520" TargetMode="External"/><Relationship Id="rId55" Type="http://schemas.openxmlformats.org/officeDocument/2006/relationships/hyperlink" Target="https://www.olx.co.id/item/dijual-rumah-mahkota-modernland-tangerang-iid-932113794" TargetMode="External"/><Relationship Id="rId10" Type="http://schemas.openxmlformats.org/officeDocument/2006/relationships/hyperlink" Target="https://rumah.trovit.co.id/listing/rumah-dijual-di-modernland-tangerang-idr-2500000.u1w1ikF1R18W" TargetMode="External"/><Relationship Id="rId54" Type="http://schemas.openxmlformats.org/officeDocument/2006/relationships/hyperlink" Target="https://maps.google.com/?cid=0x0:0xabf523c4862a54e2" TargetMode="External"/><Relationship Id="rId13" Type="http://schemas.openxmlformats.org/officeDocument/2006/relationships/hyperlink" Target="https://maps.google.com/?cid=0x0:0x5e7da1d28577f7ba" TargetMode="External"/><Relationship Id="rId57" Type="http://schemas.openxmlformats.org/officeDocument/2006/relationships/hyperlink" Target="https://maps.google.com/?cid=0x0:0xa8f18e1bf0fffa9c" TargetMode="External"/><Relationship Id="rId12" Type="http://schemas.openxmlformats.org/officeDocument/2006/relationships/hyperlink" Target="https://rumah.trovit.co.id/listing/rumah-mewah-siap-huni-di-beverly-hills-duta-garden-tangerang-dgbh040772116-tzz.1PYKdcA2f" TargetMode="External"/><Relationship Id="rId56" Type="http://schemas.openxmlformats.org/officeDocument/2006/relationships/hyperlink" Target="https://maps.google.com/?cid=0x0:0xf6283f08e2a5604a" TargetMode="External"/><Relationship Id="rId15" Type="http://schemas.openxmlformats.org/officeDocument/2006/relationships/hyperlink" Target="https://maps.google.com/?cid=0x0:0x9b892a23dbdf9327" TargetMode="External"/><Relationship Id="rId59" Type="http://schemas.openxmlformats.org/officeDocument/2006/relationships/hyperlink" Target="https://maps.google.com/?cid=0x0:0x83b5f33f60ce6695" TargetMode="External"/><Relationship Id="rId14" Type="http://schemas.openxmlformats.org/officeDocument/2006/relationships/hyperlink" Target="https://maps.google.com/?cid=0x0:0x838370483932b117" TargetMode="External"/><Relationship Id="rId58" Type="http://schemas.openxmlformats.org/officeDocument/2006/relationships/hyperlink" Target="https://maps.google.com/?cid=0x0:0x6a051d8873d5481c" TargetMode="External"/><Relationship Id="rId17" Type="http://schemas.openxmlformats.org/officeDocument/2006/relationships/hyperlink" Target="https://maps.google.com/?cid=0x0:0x8c56801b06dfc77d" TargetMode="External"/><Relationship Id="rId16" Type="http://schemas.openxmlformats.org/officeDocument/2006/relationships/hyperlink" Target="https://www.rumah123.com/properti/tangerang/hos11518135/" TargetMode="External"/><Relationship Id="rId19" Type="http://schemas.openxmlformats.org/officeDocument/2006/relationships/hyperlink" Target="https://maps.google.com/?cid=0x0:0x7d1ad0c4378c8370" TargetMode="External"/><Relationship Id="rId18" Type="http://schemas.openxmlformats.org/officeDocument/2006/relationships/hyperlink" Target="https://www.99.co/id/properti/rumah-siap-huni-di-cluster-mutiara-kencana-2-poris-tangerang-1006843374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2d11b83922bd2694" TargetMode="External"/><Relationship Id="rId84" Type="http://schemas.openxmlformats.org/officeDocument/2006/relationships/hyperlink" Target="https://www.rumah123.com/properti/tangerang-selatan/hos18963006/" TargetMode="External"/><Relationship Id="rId83" Type="http://schemas.openxmlformats.org/officeDocument/2006/relationships/hyperlink" Target="https://maps.google.com/?cid=0x0:0x4123f7577795123d" TargetMode="External"/><Relationship Id="rId42" Type="http://schemas.openxmlformats.org/officeDocument/2006/relationships/hyperlink" Target="https://maps.google.com/?cid=0x0:0xcd75dfe26b367108" TargetMode="External"/><Relationship Id="rId86" Type="http://schemas.openxmlformats.org/officeDocument/2006/relationships/hyperlink" Target="https://www.rumah123.com/venue/villa-cendana-vcm20252/" TargetMode="External"/><Relationship Id="rId41" Type="http://schemas.openxmlformats.org/officeDocument/2006/relationships/hyperlink" Target="https://www.dekoruma.com/properti/dijual-ciputat-tangerang-selatan-rumah-sederhana-oleh-soraya-dwinanda-tyNWDSDCKZ?srsltid=AfmBOophcAUWqV8YKF7COz4oqRfemDnolP690s4C8XPdZQ-EMtb34soG" TargetMode="External"/><Relationship Id="rId85" Type="http://schemas.openxmlformats.org/officeDocument/2006/relationships/hyperlink" Target="https://maps.google.com/?cid=0x0:0xc60be8b9c09e3dd0" TargetMode="External"/><Relationship Id="rId44" Type="http://schemas.openxmlformats.org/officeDocument/2006/relationships/hyperlink" Target="https://maps.google.com/?cid=0x0:0x3fc85feefb189461" TargetMode="External"/><Relationship Id="rId88" Type="http://schemas.openxmlformats.org/officeDocument/2006/relationships/hyperlink" Target="https://www.99.co/id/komplek-perumahan/21828-villa-dago-tol/units" TargetMode="External"/><Relationship Id="rId43" Type="http://schemas.openxmlformats.org/officeDocument/2006/relationships/hyperlink" Target="https://www.99.co/id/komplek-perumahan/1371-ciputat-baru/units" TargetMode="External"/><Relationship Id="rId87" Type="http://schemas.openxmlformats.org/officeDocument/2006/relationships/hyperlink" Target="https://maps.google.com/?cid=0x0:0x1047c80873eeb0d9" TargetMode="External"/><Relationship Id="rId46" Type="http://schemas.openxmlformats.org/officeDocument/2006/relationships/hyperlink" Target="https://maps.google.com/?cid=0x0:0x8df851b4f7ba85e3" TargetMode="External"/><Relationship Id="rId45" Type="http://schemas.openxmlformats.org/officeDocument/2006/relationships/hyperlink" Target="https://www.rumah123.com/venue/graha-permai-vcm15938/" TargetMode="External"/><Relationship Id="rId89" Type="http://schemas.openxmlformats.org/officeDocument/2006/relationships/hyperlink" Target="https://maps.google.com/?cid=0x0:0x410cc1ff3d340609" TargetMode="External"/><Relationship Id="rId80" Type="http://schemas.openxmlformats.org/officeDocument/2006/relationships/hyperlink" Target="https://maps.google.com/?cid=0x0:0x537b90ea833e4ccd" TargetMode="External"/><Relationship Id="rId82" Type="http://schemas.openxmlformats.org/officeDocument/2006/relationships/hyperlink" Target="https://maps.google.com/?cid=0x0:0x17e4a0da25e340f0" TargetMode="External"/><Relationship Id="rId81" Type="http://schemas.openxmlformats.org/officeDocument/2006/relationships/hyperlink" Target="http://rumah123.com/venue/terrace-garden-vcm14178/" TargetMode="External"/><Relationship Id="rId1" Type="http://schemas.openxmlformats.org/officeDocument/2006/relationships/hyperlink" Target="https://maps.google.com/?cid=0x0:0x302e3058dc49cd41" TargetMode="External"/><Relationship Id="rId2" Type="http://schemas.openxmlformats.org/officeDocument/2006/relationships/hyperlink" Target="https://www.rumah123.com/venue/borneo-residence-vcm16431/" TargetMode="External"/><Relationship Id="rId3" Type="http://schemas.openxmlformats.org/officeDocument/2006/relationships/hyperlink" Target="https://maps.google.com/?cid=0x0:0x15ac61e632c198f7" TargetMode="External"/><Relationship Id="rId4" Type="http://schemas.openxmlformats.org/officeDocument/2006/relationships/hyperlink" Target="https://www.rumah123.com/perumahan-baru/properti/tangerang-selatan/catha-rempoa/nps3104/" TargetMode="External"/><Relationship Id="rId9" Type="http://schemas.openxmlformats.org/officeDocument/2006/relationships/hyperlink" Target="https://maps.google.com/?cid=0x0:0x9e3aea335766173a" TargetMode="External"/><Relationship Id="rId48" Type="http://schemas.openxmlformats.org/officeDocument/2006/relationships/hyperlink" Target="https://maps.google.com/?cid=0x0:0xd59a5dd78be8db50" TargetMode="External"/><Relationship Id="rId47" Type="http://schemas.openxmlformats.org/officeDocument/2006/relationships/hyperlink" Target="https://www.rumah123.com/venue/griya-serua-permai-vcm27598/" TargetMode="External"/><Relationship Id="rId49" Type="http://schemas.openxmlformats.org/officeDocument/2006/relationships/hyperlink" Target="https://maps.google.com/?cid=0x0:0x810975bde1838fc8" TargetMode="External"/><Relationship Id="rId5" Type="http://schemas.openxmlformats.org/officeDocument/2006/relationships/hyperlink" Target="https://maps.google.com/?cid=0x0:0x3c64bde4a5a36c53" TargetMode="External"/><Relationship Id="rId6" Type="http://schemas.openxmlformats.org/officeDocument/2006/relationships/hyperlink" Target="https://www.rumah123.com/properti/tangerang/hos19287437/" TargetMode="External"/><Relationship Id="rId7" Type="http://schemas.openxmlformats.org/officeDocument/2006/relationships/hyperlink" Target="https://maps.google.com/?cid=0x0:0x16ad9b814d44a34d" TargetMode="External"/><Relationship Id="rId8" Type="http://schemas.openxmlformats.org/officeDocument/2006/relationships/hyperlink" Target="https://www.99.co/id/komplek-perumahan/403-cendana-residence/units" TargetMode="External"/><Relationship Id="rId73" Type="http://schemas.openxmlformats.org/officeDocument/2006/relationships/hyperlink" Target="https://maps.google.com/?cid=0x0:0x83ffb73f7bd3c02f" TargetMode="External"/><Relationship Id="rId72" Type="http://schemas.openxmlformats.org/officeDocument/2006/relationships/hyperlink" Target="https://maps.google.com/?cid=0x0:0x7b8989017d438352" TargetMode="External"/><Relationship Id="rId31" Type="http://schemas.openxmlformats.org/officeDocument/2006/relationships/hyperlink" Target="https://www.rumah123.com/venue/griya-rajawali-bintaro-vcm18272/" TargetMode="External"/><Relationship Id="rId75" Type="http://schemas.openxmlformats.org/officeDocument/2006/relationships/hyperlink" Target="https://maps.google.com/?cid=0x0:0x4b3b23164f05443" TargetMode="External"/><Relationship Id="rId30" Type="http://schemas.openxmlformats.org/officeDocument/2006/relationships/hyperlink" Target="https://maps.google.com/?cid=0x0:0xfb55be43419abed7" TargetMode="External"/><Relationship Id="rId74" Type="http://schemas.openxmlformats.org/officeDocument/2006/relationships/hyperlink" Target="https://maps.google.com/?cid=0x0:0x9c97803849419901" TargetMode="External"/><Relationship Id="rId33" Type="http://schemas.openxmlformats.org/officeDocument/2006/relationships/hyperlink" Target="https://www.rumah123.com/venue/griya-rosela-vcm14886/" TargetMode="External"/><Relationship Id="rId77" Type="http://schemas.openxmlformats.org/officeDocument/2006/relationships/hyperlink" Target="https://www.dekoruma.com/properti/dijual-ciputat-tangerang-selatan-rumah-2-lantai-modern-oleh-mulyani-U5DZEhBWAV?srsltid=AfmBOoqkRByIk6v1a7gxa0wlJcu_ZJtZige65yFmzNU4VvtV5Aa95pTo" TargetMode="External"/><Relationship Id="rId32" Type="http://schemas.openxmlformats.org/officeDocument/2006/relationships/hyperlink" Target="https://maps.google.com/?cid=0x0:0x61fd16425358c10" TargetMode="External"/><Relationship Id="rId76" Type="http://schemas.openxmlformats.org/officeDocument/2006/relationships/hyperlink" Target="https://maps.google.com/?cid=0x0:0x2a28cdfc75812094" TargetMode="External"/><Relationship Id="rId35" Type="http://schemas.openxmlformats.org/officeDocument/2006/relationships/hyperlink" Target="https://www.rumah123.com/venue/griya-serpong-serua-vcm25329/" TargetMode="External"/><Relationship Id="rId79" Type="http://schemas.openxmlformats.org/officeDocument/2006/relationships/hyperlink" Target="https://maps.google.com/?cid=0x0:0xc495b21a5af74c2b" TargetMode="External"/><Relationship Id="rId34" Type="http://schemas.openxmlformats.org/officeDocument/2006/relationships/hyperlink" Target="https://maps.google.com/?cid=0x0:0x16d8b71026eae901" TargetMode="External"/><Relationship Id="rId78" Type="http://schemas.openxmlformats.org/officeDocument/2006/relationships/hyperlink" Target="https://maps.google.com/?cid=0x0:0x367f208b1934ff8c" TargetMode="External"/><Relationship Id="rId71" Type="http://schemas.openxmlformats.org/officeDocument/2006/relationships/hyperlink" Target="https://maps.google.com/?cid=0x0:0xc5210a4a69cac20" TargetMode="External"/><Relationship Id="rId70" Type="http://schemas.openxmlformats.org/officeDocument/2006/relationships/hyperlink" Target="https://www.99.co/id/komplek-perumahan/66309-puri-kristal/units" TargetMode="External"/><Relationship Id="rId37" Type="http://schemas.openxmlformats.org/officeDocument/2006/relationships/hyperlink" Target="https://maps.google.com/?cid=0x0:0xdb428b0746e8390e" TargetMode="External"/><Relationship Id="rId36" Type="http://schemas.openxmlformats.org/officeDocument/2006/relationships/hyperlink" Target="https://maps.google.com/?cid=0x0:0x4e919ae7d15bf2e5" TargetMode="External"/><Relationship Id="rId39" Type="http://schemas.openxmlformats.org/officeDocument/2006/relationships/hyperlink" Target="https://maps.google.com/?cid=0x0:0x391427a154411d53" TargetMode="External"/><Relationship Id="rId38" Type="http://schemas.openxmlformats.org/officeDocument/2006/relationships/hyperlink" Target="https://www.rumah123.com/venue/harvest-bintaro-residence-vcm14814/" TargetMode="External"/><Relationship Id="rId62" Type="http://schemas.openxmlformats.org/officeDocument/2006/relationships/hyperlink" Target="https://www.dekoruma.com/properti/perumahan-grand-cendrawasih-asri-tangerang-selatan?srsltid=AfmBOoqPpk3N22Kh3fLS1B7Ifc9pwOisrZsB0CKZDqDg0TnuQwRADU84" TargetMode="External"/><Relationship Id="rId61" Type="http://schemas.openxmlformats.org/officeDocument/2006/relationships/hyperlink" Target="https://maps.google.com/?cid=0x0:0xe8f3ef46ff83ddf3" TargetMode="External"/><Relationship Id="rId20" Type="http://schemas.openxmlformats.org/officeDocument/2006/relationships/hyperlink" Target="https://www.rumah123.com/venue/green-hills-estate-vcm18566/" TargetMode="External"/><Relationship Id="rId64" Type="http://schemas.openxmlformats.org/officeDocument/2006/relationships/hyperlink" Target="https://maps.google.com/?cid=0x0:0x6ad17b0d8d2b8550" TargetMode="External"/><Relationship Id="rId63" Type="http://schemas.openxmlformats.org/officeDocument/2006/relationships/hyperlink" Target="https://maps.google.com/?cid=0x0:0x1514efeb60f11492" TargetMode="External"/><Relationship Id="rId22" Type="http://schemas.openxmlformats.org/officeDocument/2006/relationships/hyperlink" Target="https://www.rumah123.com/properti/tangerang-selatan/hos13886829/" TargetMode="External"/><Relationship Id="rId66" Type="http://schemas.openxmlformats.org/officeDocument/2006/relationships/hyperlink" Target="https://maps.google.com/?cid=0x0:0x5f4bd49bb6d8b0e7" TargetMode="External"/><Relationship Id="rId21" Type="http://schemas.openxmlformats.org/officeDocument/2006/relationships/hyperlink" Target="https://maps.google.com/?cid=0x0:0xd7ef69e3bdfccb76" TargetMode="External"/><Relationship Id="rId65" Type="http://schemas.openxmlformats.org/officeDocument/2006/relationships/hyperlink" Target="https://www.99.co/id/komplek-perumahan/33496-nuri-bintaro-jaya/units" TargetMode="External"/><Relationship Id="rId24" Type="http://schemas.openxmlformats.org/officeDocument/2006/relationships/hyperlink" Target="https://www.99.co/id/komplek-perumahan/60539-griya-aviva/units" TargetMode="External"/><Relationship Id="rId68" Type="http://schemas.openxmlformats.org/officeDocument/2006/relationships/hyperlink" Target="https://maps.google.com/?cid=0x0:0x8085c4ad1525681b" TargetMode="External"/><Relationship Id="rId23" Type="http://schemas.openxmlformats.org/officeDocument/2006/relationships/hyperlink" Target="https://maps.google.com/?cid=0x0:0x61be436046eb60b3" TargetMode="External"/><Relationship Id="rId67" Type="http://schemas.openxmlformats.org/officeDocument/2006/relationships/hyperlink" Target="https://www.99.co/id/komplek-perumahan/22541-pamulang-asri/units" TargetMode="External"/><Relationship Id="rId60" Type="http://schemas.openxmlformats.org/officeDocument/2006/relationships/hyperlink" Target="https://www.rumah123.com/venue/grand-bintaro-asri-vcm14585/" TargetMode="External"/><Relationship Id="rId26" Type="http://schemas.openxmlformats.org/officeDocument/2006/relationships/hyperlink" Target="https://www.rumah123.com/venue/griya-bintaro-estate-vcm22677/" TargetMode="External"/><Relationship Id="rId25" Type="http://schemas.openxmlformats.org/officeDocument/2006/relationships/hyperlink" Target="https://maps.google.com/?cid=0x0:0x9dc421477b38d263" TargetMode="External"/><Relationship Id="rId69" Type="http://schemas.openxmlformats.org/officeDocument/2006/relationships/hyperlink" Target="https://maps.google.com/?cid=0x0:0xe08598fc75d3bb59" TargetMode="External"/><Relationship Id="rId28" Type="http://schemas.openxmlformats.org/officeDocument/2006/relationships/hyperlink" Target="https://www.rumah123.com/venue/griya-kampung-utan-residence-vcm14913/" TargetMode="External"/><Relationship Id="rId27" Type="http://schemas.openxmlformats.org/officeDocument/2006/relationships/hyperlink" Target="https://maps.google.com/?cid=0x0:0x40762a5205c9fc5d" TargetMode="External"/><Relationship Id="rId29" Type="http://schemas.openxmlformats.org/officeDocument/2006/relationships/hyperlink" Target="https://maps.google.com/?cid=0x0:0x1999ee3e26500161" TargetMode="External"/><Relationship Id="rId51" Type="http://schemas.openxmlformats.org/officeDocument/2006/relationships/hyperlink" Target="https://maps.google.com/?cid=0x0:0x37e26df82d403140" TargetMode="External"/><Relationship Id="rId50" Type="http://schemas.openxmlformats.org/officeDocument/2006/relationships/hyperlink" Target="https://maps.google.com/?cid=0x0:0x72a76e6078f1900e" TargetMode="External"/><Relationship Id="rId53" Type="http://schemas.openxmlformats.org/officeDocument/2006/relationships/hyperlink" Target="https://www.dekoruma.com/properti/perumahan-neville-residence-tangerang-selatan?srsltid=AfmBOooXJfdWf4XMhOnz-WHKqJIX4NZJEsybuYQXEYxYhL1oXBrhGmI3" TargetMode="External"/><Relationship Id="rId52" Type="http://schemas.openxmlformats.org/officeDocument/2006/relationships/hyperlink" Target="https://maps.google.com/?cid=0x0:0xfc6c695905e5a81c" TargetMode="External"/><Relationship Id="rId11" Type="http://schemas.openxmlformats.org/officeDocument/2006/relationships/hyperlink" Target="https://www.rumah123.com/venue/graha-permai-vcm15938/" TargetMode="External"/><Relationship Id="rId55" Type="http://schemas.openxmlformats.org/officeDocument/2006/relationships/hyperlink" Target="https://maps.google.com/?cid=0x0:0x2ea77ef1233b2870" TargetMode="External"/><Relationship Id="rId10" Type="http://schemas.openxmlformats.org/officeDocument/2006/relationships/hyperlink" Target="https://maps.google.com/?cid=0x0:0xac1ab6e26b0f51c0" TargetMode="External"/><Relationship Id="rId54" Type="http://schemas.openxmlformats.org/officeDocument/2006/relationships/hyperlink" Target="https://maps.google.com/?cid=0x0:0xd1c19bc69eb8872d" TargetMode="External"/><Relationship Id="rId13" Type="http://schemas.openxmlformats.org/officeDocument/2006/relationships/hyperlink" Target="https://www.rumah123.com/perumahan-baru/properti/tangerang-selatan/grand-ciputat-residence/nps2093/" TargetMode="External"/><Relationship Id="rId57" Type="http://schemas.openxmlformats.org/officeDocument/2006/relationships/hyperlink" Target="https://maps.google.com/?cid=0x0:0x84a3d6acf4caf428" TargetMode="External"/><Relationship Id="rId12" Type="http://schemas.openxmlformats.org/officeDocument/2006/relationships/hyperlink" Target="https://maps.google.com/?cid=0x0:0x8f569e2615ff2d0b" TargetMode="External"/><Relationship Id="rId56" Type="http://schemas.openxmlformats.org/officeDocument/2006/relationships/hyperlink" Target="https://www.99.co/id/komplek-perumahan/110247-palm-residence-ciputat/units" TargetMode="External"/><Relationship Id="rId91" Type="http://schemas.openxmlformats.org/officeDocument/2006/relationships/drawing" Target="../drawings/drawing4.xml"/><Relationship Id="rId90" Type="http://schemas.openxmlformats.org/officeDocument/2006/relationships/hyperlink" Target="https://maps.google.com/?cid=0x0:0xaa9565e7217150d6" TargetMode="External"/><Relationship Id="rId15" Type="http://schemas.openxmlformats.org/officeDocument/2006/relationships/hyperlink" Target="https://www.rumah123.com/venue/grand-pasir-nangka-vcm22161/" TargetMode="External"/><Relationship Id="rId59" Type="http://schemas.openxmlformats.org/officeDocument/2006/relationships/hyperlink" Target="https://maps.google.com/?cid=0x0:0xece6cd6d21343c79" TargetMode="External"/><Relationship Id="rId14" Type="http://schemas.openxmlformats.org/officeDocument/2006/relationships/hyperlink" Target="https://maps.google.com/?cid=0x0:0xe2b2cfe0e5f4390d" TargetMode="External"/><Relationship Id="rId58" Type="http://schemas.openxmlformats.org/officeDocument/2006/relationships/hyperlink" Target="https://www.99.co/id/komplek-perumahan/1371-ciputat-baru/units" TargetMode="External"/><Relationship Id="rId17" Type="http://schemas.openxmlformats.org/officeDocument/2006/relationships/hyperlink" Target="https://www.rumah123.com/venue/grand-serpong-2-vcm19186/" TargetMode="External"/><Relationship Id="rId16" Type="http://schemas.openxmlformats.org/officeDocument/2006/relationships/hyperlink" Target="https://maps.google.com/?cid=0x0:0x94cf79def1f7af35" TargetMode="External"/><Relationship Id="rId19" Type="http://schemas.openxmlformats.org/officeDocument/2006/relationships/hyperlink" Target="https://maps.google.com/?cid=0x0:0x57196d009741583f" TargetMode="External"/><Relationship Id="rId18" Type="http://schemas.openxmlformats.org/officeDocument/2006/relationships/hyperlink" Target="https://maps.google.com/?cid=0x0:0x312b252c1252c934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2ec918ff6c165ea5" TargetMode="External"/><Relationship Id="rId42" Type="http://schemas.openxmlformats.org/officeDocument/2006/relationships/hyperlink" Target="https://maps.google.com/?cid=0x0:0xf2ea44a95fbbdc15" TargetMode="External"/><Relationship Id="rId41" Type="http://schemas.openxmlformats.org/officeDocument/2006/relationships/hyperlink" Target="https://property.birulangit.info/property/cluster-topaz-rumah-subsidi-di-permata-mutiara-maja/" TargetMode="External"/><Relationship Id="rId44" Type="http://schemas.openxmlformats.org/officeDocument/2006/relationships/hyperlink" Target="https://maps.google.com/?cid=0x0:0xc074d5e1bac48da1" TargetMode="External"/><Relationship Id="rId43" Type="http://schemas.openxmlformats.org/officeDocument/2006/relationships/hyperlink" Target="https://maps.google.com/?cid=0x0:0x5873d3b90e153461" TargetMode="External"/><Relationship Id="rId46" Type="http://schemas.openxmlformats.org/officeDocument/2006/relationships/hyperlink" Target="https://maps.google.com/?cid=0x0:0x7bc879f30a97b603" TargetMode="External"/><Relationship Id="rId45" Type="http://schemas.openxmlformats.org/officeDocument/2006/relationships/hyperlink" Target="https://www.instagram.com/inforangkasbitung/p/CdiONbSr8kV/?img_index=1" TargetMode="External"/><Relationship Id="rId1" Type="http://schemas.openxmlformats.org/officeDocument/2006/relationships/hyperlink" Target="https://maps.google.com/?cid=0x0:0xae08ffa97aa7cc03" TargetMode="External"/><Relationship Id="rId2" Type="http://schemas.openxmlformats.org/officeDocument/2006/relationships/hyperlink" Target="https://www.medcom.id/properti/news-properti/0k8rnjON-rekomendasi-rumah-di-lebak-harganya-mulai-rp140-jutaan" TargetMode="External"/><Relationship Id="rId3" Type="http://schemas.openxmlformats.org/officeDocument/2006/relationships/hyperlink" Target="https://maps.google.com/?cid=0x0:0x1a0185f32a068930" TargetMode="External"/><Relationship Id="rId4" Type="http://schemas.openxmlformats.org/officeDocument/2006/relationships/hyperlink" Target="https://maps.google.com/?cid=0x0:0xf61d56fc8b04f4f1" TargetMode="External"/><Relationship Id="rId9" Type="http://schemas.openxmlformats.org/officeDocument/2006/relationships/hyperlink" Target="https://maps.google.com/?cid=0x0:0xeeb8979839569464" TargetMode="External"/><Relationship Id="rId48" Type="http://schemas.openxmlformats.org/officeDocument/2006/relationships/hyperlink" Target="https://maps.google.com/?cid=0x0:0xf618ecda7031e570" TargetMode="External"/><Relationship Id="rId47" Type="http://schemas.openxmlformats.org/officeDocument/2006/relationships/hyperlink" Target="https://www.kompas.com/properti/read/2023/05/13/081940121/deretan-rumah-murah-di-lebak-banten-harga-rp-150-jutaan-ii" TargetMode="External"/><Relationship Id="rId49" Type="http://schemas.openxmlformats.org/officeDocument/2006/relationships/hyperlink" Target="https://www.pinhome.id/dijual/rumah-sekunder/unit/dijual-rumah-di-perumahan-royal-soeta-rangkasbitung" TargetMode="External"/><Relationship Id="rId5" Type="http://schemas.openxmlformats.org/officeDocument/2006/relationships/hyperlink" Target="https://www.rumah123.com/venue/permata-mutiara-maja-vcm24195/" TargetMode="External"/><Relationship Id="rId6" Type="http://schemas.openxmlformats.org/officeDocument/2006/relationships/hyperlink" Target="https://maps.google.com/?cid=0x0:0x4d6a2de3dbde3a8f" TargetMode="External"/><Relationship Id="rId7" Type="http://schemas.openxmlformats.org/officeDocument/2006/relationships/hyperlink" Target="https://www.kompas.com/properti/read/2023/10/07/060000521/hanya-rp-162-juta-rumah-murah-di-kabupaten-lebak-ii-" TargetMode="External"/><Relationship Id="rId8" Type="http://schemas.openxmlformats.org/officeDocument/2006/relationships/hyperlink" Target="https://maps.google.com/?cid=0x0:0x743c7e5532a8c59f" TargetMode="External"/><Relationship Id="rId31" Type="http://schemas.openxmlformats.org/officeDocument/2006/relationships/hyperlink" Target="https://maps.google.com/?cid=0x0:0x501a46bb42334699" TargetMode="External"/><Relationship Id="rId30" Type="http://schemas.openxmlformats.org/officeDocument/2006/relationships/hyperlink" Target="https://www.btnproperti.co.id/property/perumahan/detail/bukit-kiara-payung-indah-2704030" TargetMode="External"/><Relationship Id="rId33" Type="http://schemas.openxmlformats.org/officeDocument/2006/relationships/hyperlink" Target="https://www.medcom.id/properti/news-properti/lKY82wVk-pilihan-rumah-di-lebak-serba-rp160-jutaan" TargetMode="External"/><Relationship Id="rId32" Type="http://schemas.openxmlformats.org/officeDocument/2006/relationships/hyperlink" Target="https://maps.google.com/?cid=0x0:0x1011d8be43c00c59" TargetMode="External"/><Relationship Id="rId35" Type="http://schemas.openxmlformats.org/officeDocument/2006/relationships/hyperlink" Target="https://www.instagram.com/inforangkasbitung/p/C-SJr07SEde/?hl=id&amp;img_index=1" TargetMode="External"/><Relationship Id="rId34" Type="http://schemas.openxmlformats.org/officeDocument/2006/relationships/hyperlink" Target="https://maps.google.com/?cid=0x0:0x1c95170e4933ffad" TargetMode="External"/><Relationship Id="rId37" Type="http://schemas.openxmlformats.org/officeDocument/2006/relationships/hyperlink" Target="https://maps.google.com/?cid=0x0:0xaa0cb2ff1280ef8b" TargetMode="External"/><Relationship Id="rId36" Type="http://schemas.openxmlformats.org/officeDocument/2006/relationships/hyperlink" Target="https://maps.google.com/?cid=0x0:0x1ab05aa6c99fd1a0" TargetMode="External"/><Relationship Id="rId39" Type="http://schemas.openxmlformats.org/officeDocument/2006/relationships/hyperlink" Target="https://maps.google.com/?cid=0x0:0x17b5aa575543b7bd" TargetMode="External"/><Relationship Id="rId38" Type="http://schemas.openxmlformats.org/officeDocument/2006/relationships/hyperlink" Target="https://www.facebook.com/photo/?fbid=122189813246185898&amp;set=gm.1993254757845167&amp;idorvanity=1617652665405380" TargetMode="External"/><Relationship Id="rId61" Type="http://schemas.openxmlformats.org/officeDocument/2006/relationships/drawing" Target="../drawings/drawing5.xml"/><Relationship Id="rId20" Type="http://schemas.openxmlformats.org/officeDocument/2006/relationships/hyperlink" Target="https://maps.google.com/?cid=0x0:0xd08e1d49790df1e" TargetMode="External"/><Relationship Id="rId22" Type="http://schemas.openxmlformats.org/officeDocument/2006/relationships/hyperlink" Target="https://property.birulangit.info/property/paket-full-furnished-di-cluster-ruby-permata-mutiara-maja/" TargetMode="External"/><Relationship Id="rId21" Type="http://schemas.openxmlformats.org/officeDocument/2006/relationships/hyperlink" Target="https://maps.google.com/?cid=0x0:0x7d1ad9278a3129bc" TargetMode="External"/><Relationship Id="rId24" Type="http://schemas.openxmlformats.org/officeDocument/2006/relationships/hyperlink" Target="https://maps.google.com/?cid=0x0:0xfd730fec6991ea60" TargetMode="External"/><Relationship Id="rId23" Type="http://schemas.openxmlformats.org/officeDocument/2006/relationships/hyperlink" Target="https://maps.google.com/?cid=0x0:0x3bc17d7117c35805" TargetMode="External"/><Relationship Id="rId60" Type="http://schemas.openxmlformats.org/officeDocument/2006/relationships/hyperlink" Target="https://maps.google.com/?cid=0x0:0xae3f061e672cf97d" TargetMode="External"/><Relationship Id="rId26" Type="http://schemas.openxmlformats.org/officeDocument/2006/relationships/hyperlink" Target="https://maps.google.com/?cid=0x0:0x15875238f1e8f532" TargetMode="External"/><Relationship Id="rId25" Type="http://schemas.openxmlformats.org/officeDocument/2006/relationships/hyperlink" Target="https://maps.google.com/?cid=0x0:0xcc2502f77ec0a903" TargetMode="External"/><Relationship Id="rId28" Type="http://schemas.openxmlformats.org/officeDocument/2006/relationships/hyperlink" Target="https://maps.google.com/?cid=0x0:0x9aa09f1ef1434d76" TargetMode="External"/><Relationship Id="rId27" Type="http://schemas.openxmlformats.org/officeDocument/2006/relationships/hyperlink" Target="https://maps.google.com/?cid=0x0:0xf6b4bc166ca77317" TargetMode="External"/><Relationship Id="rId29" Type="http://schemas.openxmlformats.org/officeDocument/2006/relationships/hyperlink" Target="https://maps.google.com/?cid=0x0:0x88cd13cc9072f4c5" TargetMode="External"/><Relationship Id="rId51" Type="http://schemas.openxmlformats.org/officeDocument/2006/relationships/hyperlink" Target="https://www.btnproperti.co.id/property/tipe/detail/saka-hill-TPR2021053111312716" TargetMode="External"/><Relationship Id="rId50" Type="http://schemas.openxmlformats.org/officeDocument/2006/relationships/hyperlink" Target="https://maps.google.com/?cid=0x0:0x80c2894ec34ff8b" TargetMode="External"/><Relationship Id="rId53" Type="http://schemas.openxmlformats.org/officeDocument/2006/relationships/hyperlink" Target="https://maps.google.com/?cid=0x0:0x83ad80e140682307" TargetMode="External"/><Relationship Id="rId52" Type="http://schemas.openxmlformats.org/officeDocument/2006/relationships/hyperlink" Target="https://maps.google.com/?cid=0x0:0x534dc0015299e2d9" TargetMode="External"/><Relationship Id="rId11" Type="http://schemas.openxmlformats.org/officeDocument/2006/relationships/hyperlink" Target="https://maps.google.com/?cid=0x0:0x805f3d7b00aded7b" TargetMode="External"/><Relationship Id="rId55" Type="http://schemas.openxmlformats.org/officeDocument/2006/relationships/hyperlink" Target="https://maps.google.com/?cid=0x0:0x60641d4598617988" TargetMode="External"/><Relationship Id="rId10" Type="http://schemas.openxmlformats.org/officeDocument/2006/relationships/hyperlink" Target="https://www.facebook.com/groups/jualbelirangkasbitung/posts/9612418855459065/" TargetMode="External"/><Relationship Id="rId54" Type="http://schemas.openxmlformats.org/officeDocument/2006/relationships/hyperlink" Target="https://maps.google.com/?cid=0x0:0xa0a7b5734e741882" TargetMode="External"/><Relationship Id="rId13" Type="http://schemas.openxmlformats.org/officeDocument/2006/relationships/hyperlink" Target="https://maps.google.com/?cid=0x0:0xaf79839416f17e01" TargetMode="External"/><Relationship Id="rId57" Type="http://schemas.openxmlformats.org/officeDocument/2006/relationships/hyperlink" Target="https://www.tuliprangkasresidence.com/" TargetMode="External"/><Relationship Id="rId12" Type="http://schemas.openxmlformats.org/officeDocument/2006/relationships/hyperlink" Target="https://maps.google.com/?cid=0x0:0x81838f79e39c4a52" TargetMode="External"/><Relationship Id="rId56" Type="http://schemas.openxmlformats.org/officeDocument/2006/relationships/hyperlink" Target="https://maps.google.com/?cid=0x0:0xc1ced6e184b18454" TargetMode="External"/><Relationship Id="rId15" Type="http://schemas.openxmlformats.org/officeDocument/2006/relationships/hyperlink" Target="https://maps.google.com/?cid=0x0:0x41caa0c1d99bf546" TargetMode="External"/><Relationship Id="rId59" Type="http://schemas.openxmlformats.org/officeDocument/2006/relationships/hyperlink" Target="https://maps.google.com/?cid=0x0:0x590a9131d0192596" TargetMode="External"/><Relationship Id="rId14" Type="http://schemas.openxmlformats.org/officeDocument/2006/relationships/hyperlink" Target="https://maps.google.com/?cid=0x0:0x6fe7c4c757736c9d" TargetMode="External"/><Relationship Id="rId58" Type="http://schemas.openxmlformats.org/officeDocument/2006/relationships/hyperlink" Target="https://maps.google.com/?cid=0x0:0x70d0163113f145a8" TargetMode="External"/><Relationship Id="rId17" Type="http://schemas.openxmlformats.org/officeDocument/2006/relationships/hyperlink" Target="https://maps.google.com/?cid=0x0:0x72ad51f3f83df4e2" TargetMode="External"/><Relationship Id="rId16" Type="http://schemas.openxmlformats.org/officeDocument/2006/relationships/hyperlink" Target="https://maps.google.com/?cid=0x0:0xab80f2983d32ae5d" TargetMode="External"/><Relationship Id="rId19" Type="http://schemas.openxmlformats.org/officeDocument/2006/relationships/hyperlink" Target="https://maps.google.com/?cid=0x0:0x4a9daacb42a2cd3c" TargetMode="External"/><Relationship Id="rId18" Type="http://schemas.openxmlformats.org/officeDocument/2006/relationships/hyperlink" Target="https://maps.google.com/?cid=0x0:0x4bf625a1efb5ada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49a134be546a9032" TargetMode="External"/><Relationship Id="rId42" Type="http://schemas.openxmlformats.org/officeDocument/2006/relationships/hyperlink" Target="https://maps.google.com/?cid=0x0:0xf5a135963f0b9917" TargetMode="External"/><Relationship Id="rId41" Type="http://schemas.openxmlformats.org/officeDocument/2006/relationships/hyperlink" Target="https://maps.google.com/?cid=0x0:0xc886a1e4e30c69a8" TargetMode="External"/><Relationship Id="rId43" Type="http://schemas.openxmlformats.org/officeDocument/2006/relationships/drawing" Target="../drawings/drawing6.xml"/><Relationship Id="rId1" Type="http://schemas.openxmlformats.org/officeDocument/2006/relationships/hyperlink" Target="https://maps.google.com/?cid=0x0:0x7f84cc198d6f305f" TargetMode="External"/><Relationship Id="rId2" Type="http://schemas.openxmlformats.org/officeDocument/2006/relationships/hyperlink" Target="https://maps.google.com/?cid=0x0:0x1cdbd8f5194f8b60" TargetMode="External"/><Relationship Id="rId3" Type="http://schemas.openxmlformats.org/officeDocument/2006/relationships/hyperlink" Target="https://maps.google.com/?cid=0x0:0x6b6a04f7fb5b0963" TargetMode="External"/><Relationship Id="rId4" Type="http://schemas.openxmlformats.org/officeDocument/2006/relationships/hyperlink" Target="https://maps.google.com/?cid=0x0:0x85f11c4b45ea5e3b" TargetMode="External"/><Relationship Id="rId9" Type="http://schemas.openxmlformats.org/officeDocument/2006/relationships/hyperlink" Target="https://maps.google.com/?cid=0x0:0x7152f2b741530125" TargetMode="External"/><Relationship Id="rId5" Type="http://schemas.openxmlformats.org/officeDocument/2006/relationships/hyperlink" Target="https://maps.google.com/?cid=0x0:0xd319fa3dc2ec6951" TargetMode="External"/><Relationship Id="rId6" Type="http://schemas.openxmlformats.org/officeDocument/2006/relationships/hyperlink" Target="https://maps.google.com/?cid=0x0:0xfc687367d4dac1f1" TargetMode="External"/><Relationship Id="rId7" Type="http://schemas.openxmlformats.org/officeDocument/2006/relationships/hyperlink" Target="https://maps.google.com/?cid=0x0:0xa129184e534ba6f0" TargetMode="External"/><Relationship Id="rId8" Type="http://schemas.openxmlformats.org/officeDocument/2006/relationships/hyperlink" Target="https://www.ayojualrumah.com/user/properti/dijual-rumah-di-perumahan-graha-aman-mandiri-jalan-raya-labuan/51943" TargetMode="External"/><Relationship Id="rId31" Type="http://schemas.openxmlformats.org/officeDocument/2006/relationships/hyperlink" Target="https://maps.google.com/?cid=0x0:0xfd2dce3ec14e7f14" TargetMode="External"/><Relationship Id="rId30" Type="http://schemas.openxmlformats.org/officeDocument/2006/relationships/hyperlink" Target="https://maps.google.com/?cid=0x0:0x7641fb86122dc61f" TargetMode="External"/><Relationship Id="rId33" Type="http://schemas.openxmlformats.org/officeDocument/2006/relationships/hyperlink" Target="https://maps.google.com/?cid=0x0:0xbd8e032a55107935" TargetMode="External"/><Relationship Id="rId32" Type="http://schemas.openxmlformats.org/officeDocument/2006/relationships/hyperlink" Target="https://www.kompas.com/properti/read/2022/12/11/110000921/harga-rumah-termurah-di-pandeglang-mulai-rp-150-jutaan-cek-di-sini-ii-" TargetMode="External"/><Relationship Id="rId35" Type="http://schemas.openxmlformats.org/officeDocument/2006/relationships/hyperlink" Target="https://maps.google.com/?cid=0x0:0x4f0dee578af9c3f4" TargetMode="External"/><Relationship Id="rId34" Type="http://schemas.openxmlformats.org/officeDocument/2006/relationships/hyperlink" Target="https://maps.google.com/?cid=0x0:0x4334e29c1db7b537" TargetMode="External"/><Relationship Id="rId37" Type="http://schemas.openxmlformats.org/officeDocument/2006/relationships/hyperlink" Target="https://maps.google.com/?cid=0x0:0xb27fac7e07571609" TargetMode="External"/><Relationship Id="rId36" Type="http://schemas.openxmlformats.org/officeDocument/2006/relationships/hyperlink" Target="https://www.iklanrumah.com/list/detail/51633/cluster-exclusive-samaboa-residence-i-pandeglang" TargetMode="External"/><Relationship Id="rId39" Type="http://schemas.openxmlformats.org/officeDocument/2006/relationships/hyperlink" Target="https://maps.google.com/?cid=0x0:0x6152469b436cdceb" TargetMode="External"/><Relationship Id="rId38" Type="http://schemas.openxmlformats.org/officeDocument/2006/relationships/hyperlink" Target="https://maps.google.com/?cid=0x0:0x625e851472fd733" TargetMode="External"/><Relationship Id="rId20" Type="http://schemas.openxmlformats.org/officeDocument/2006/relationships/hyperlink" Target="https://www.facebook.com/groups/1174193999314164/posts/8334134406653385/" TargetMode="External"/><Relationship Id="rId22" Type="http://schemas.openxmlformats.org/officeDocument/2006/relationships/hyperlink" Target="https://maps.google.com/?cid=0x0:0x5e66489f4e1ab36d" TargetMode="External"/><Relationship Id="rId21" Type="http://schemas.openxmlformats.org/officeDocument/2006/relationships/hyperlink" Target="https://maps.google.com/?cid=0x0:0xc4e67bcd21c29751" TargetMode="External"/><Relationship Id="rId24" Type="http://schemas.openxmlformats.org/officeDocument/2006/relationships/hyperlink" Target="https://maps.google.com/?cid=0x0:0x678c4faa3be8e883" TargetMode="External"/><Relationship Id="rId23" Type="http://schemas.openxmlformats.org/officeDocument/2006/relationships/hyperlink" Target="https://maps.google.com/?cid=0x0:0x1a1b99a4ca108a82" TargetMode="External"/><Relationship Id="rId26" Type="http://schemas.openxmlformats.org/officeDocument/2006/relationships/hyperlink" Target="https://maps.google.com/?cid=0x0:0x163b933501608ce7" TargetMode="External"/><Relationship Id="rId25" Type="http://schemas.openxmlformats.org/officeDocument/2006/relationships/hyperlink" Target="https://maps.google.com/?cid=0x0:0x12668c1da07d9653" TargetMode="External"/><Relationship Id="rId28" Type="http://schemas.openxmlformats.org/officeDocument/2006/relationships/hyperlink" Target="https://www.instagram.com/ptmitraputeramandiri/p/BfxU61Zh_n0/" TargetMode="External"/><Relationship Id="rId27" Type="http://schemas.openxmlformats.org/officeDocument/2006/relationships/hyperlink" Target="https://maps.google.com/?cid=0x0:0x3543651ec3602e95" TargetMode="External"/><Relationship Id="rId29" Type="http://schemas.openxmlformats.org/officeDocument/2006/relationships/hyperlink" Target="https://maps.google.com/?cid=0x0:0xf2583e4a8b058754" TargetMode="External"/><Relationship Id="rId11" Type="http://schemas.openxmlformats.org/officeDocument/2006/relationships/hyperlink" Target="https://maps.google.com/?cid=0x0:0xdf27f21155739619" TargetMode="External"/><Relationship Id="rId10" Type="http://schemas.openxmlformats.org/officeDocument/2006/relationships/hyperlink" Target="https://maps.google.com/?cid=0x0:0x86daa5292411008a" TargetMode="External"/><Relationship Id="rId13" Type="http://schemas.openxmlformats.org/officeDocument/2006/relationships/hyperlink" Target="https://maps.google.com/?cid=0x0:0x839f1eab2052a0fd" TargetMode="External"/><Relationship Id="rId12" Type="http://schemas.openxmlformats.org/officeDocument/2006/relationships/hyperlink" Target="https://maps.google.com/?cid=0x0:0xf0e3f6b303a0182a" TargetMode="External"/><Relationship Id="rId15" Type="http://schemas.openxmlformats.org/officeDocument/2006/relationships/hyperlink" Target="https://maps.google.com/?cid=0x0:0x2c98847925772cc5" TargetMode="External"/><Relationship Id="rId14" Type="http://schemas.openxmlformats.org/officeDocument/2006/relationships/hyperlink" Target="https://maps.google.com/?cid=0x0:0x586009dc8bae5ec6" TargetMode="External"/><Relationship Id="rId17" Type="http://schemas.openxmlformats.org/officeDocument/2006/relationships/hyperlink" Target="https://maps.google.com/?cid=0x0:0x64a12b1f726b964c" TargetMode="External"/><Relationship Id="rId16" Type="http://schemas.openxmlformats.org/officeDocument/2006/relationships/hyperlink" Target="https://maps.google.com/?cid=0x0:0xc9eec132797aa34" TargetMode="External"/><Relationship Id="rId19" Type="http://schemas.openxmlformats.org/officeDocument/2006/relationships/hyperlink" Target="https://maps.google.com/?cid=0x0:0x524978736c8453be" TargetMode="External"/><Relationship Id="rId18" Type="http://schemas.openxmlformats.org/officeDocument/2006/relationships/hyperlink" Target="https://maps.google.com/?cid=0x0:0xd13e47a7d6478cd2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d0f21821b0ebcbf2" TargetMode="External"/><Relationship Id="rId84" Type="http://schemas.openxmlformats.org/officeDocument/2006/relationships/drawing" Target="../drawings/drawing7.xml"/><Relationship Id="rId83" Type="http://schemas.openxmlformats.org/officeDocument/2006/relationships/hyperlink" Target="https://maps.google.com/?cid=0x0:0x2b8ce4c9071d66fe" TargetMode="External"/><Relationship Id="rId42" Type="http://schemas.openxmlformats.org/officeDocument/2006/relationships/hyperlink" Target="https://www.rumah123.com/venue/grand-kramatwatu-vcm902/" TargetMode="External"/><Relationship Id="rId41" Type="http://schemas.openxmlformats.org/officeDocument/2006/relationships/hyperlink" Target="https://maps.google.com/?cid=0x0:0x5543a6bd325a3769" TargetMode="External"/><Relationship Id="rId44" Type="http://schemas.openxmlformats.org/officeDocument/2006/relationships/hyperlink" Target="https://properti1.com/iklan/dijual-perumahan-subsidi-grand-oliver-di-kragilan-serang-banten-modal-ktp-bisa-akad-65f70f2167578b424098a509" TargetMode="External"/><Relationship Id="rId43" Type="http://schemas.openxmlformats.org/officeDocument/2006/relationships/hyperlink" Target="https://maps.google.com/?cid=0x0:0xd36304db5ae96f61" TargetMode="External"/><Relationship Id="rId46" Type="http://schemas.openxmlformats.org/officeDocument/2006/relationships/hyperlink" Target="https://maps.google.com/?cid=0x0:0xd122aaf62645d06d" TargetMode="External"/><Relationship Id="rId45" Type="http://schemas.openxmlformats.org/officeDocument/2006/relationships/hyperlink" Target="https://maps.google.com/?cid=0x0:0xf40843c8011ec8a" TargetMode="External"/><Relationship Id="rId80" Type="http://schemas.openxmlformats.org/officeDocument/2006/relationships/hyperlink" Target="https://www.rumah123.com/venue/taman-ciruas-permai-vcm21606/" TargetMode="External"/><Relationship Id="rId82" Type="http://schemas.openxmlformats.org/officeDocument/2006/relationships/hyperlink" Target="https://www.rumah123.com/venue/taman-graha-asri-vcm20118/" TargetMode="External"/><Relationship Id="rId81" Type="http://schemas.openxmlformats.org/officeDocument/2006/relationships/hyperlink" Target="https://maps.google.com/?cid=0x0:0x32a28de61ce8f9f" TargetMode="External"/><Relationship Id="rId1" Type="http://schemas.openxmlformats.org/officeDocument/2006/relationships/hyperlink" Target="https://maps.google.com/?cid=0x0:0xf0d6944bd8095371" TargetMode="External"/><Relationship Id="rId2" Type="http://schemas.openxmlformats.org/officeDocument/2006/relationships/hyperlink" Target="https://maps.google.com/?cid=0x0:0x9e2dc4c9167ba15d" TargetMode="External"/><Relationship Id="rId3" Type="http://schemas.openxmlformats.org/officeDocument/2006/relationships/hyperlink" Target="https://www.rumah123.com/venue/cendana-residence-serang-vcm25036/" TargetMode="External"/><Relationship Id="rId4" Type="http://schemas.openxmlformats.org/officeDocument/2006/relationships/hyperlink" Target="https://maps.google.com/?cid=0x0:0xd563be002d389661" TargetMode="External"/><Relationship Id="rId9" Type="http://schemas.openxmlformats.org/officeDocument/2006/relationships/hyperlink" Target="https://maps.google.com/?cid=0x0:0x48fc4f6b4c390bd5" TargetMode="External"/><Relationship Id="rId48" Type="http://schemas.openxmlformats.org/officeDocument/2006/relationships/hyperlink" Target="https://maps.google.com/?cid=0x0:0x23a6c932f2853833" TargetMode="External"/><Relationship Id="rId47" Type="http://schemas.openxmlformats.org/officeDocument/2006/relationships/hyperlink" Target="https://www.olx.co.id/item/jual-rumah-pinggir-jalan-raya-bisa-buat-usaha-iid-924605025" TargetMode="External"/><Relationship Id="rId49" Type="http://schemas.openxmlformats.org/officeDocument/2006/relationships/hyperlink" Target="https://www.pinhome.id/dijual/rumah-sekunder/unit/dijual-rumah-di-kayla-pabuaran-residence" TargetMode="External"/><Relationship Id="rId5" Type="http://schemas.openxmlformats.org/officeDocument/2006/relationships/hyperlink" Target="https://maps.google.com/?cid=0x0:0xdc9e6730e9182862" TargetMode="External"/><Relationship Id="rId6" Type="http://schemas.openxmlformats.org/officeDocument/2006/relationships/hyperlink" Target="https://maps.google.com/?cid=0x0:0xfae58661a1a54a84" TargetMode="External"/><Relationship Id="rId7" Type="http://schemas.openxmlformats.org/officeDocument/2006/relationships/hyperlink" Target="https://maps.google.com/?cid=0x0:0xdf245cc65c2cb6a8" TargetMode="External"/><Relationship Id="rId8" Type="http://schemas.openxmlformats.org/officeDocument/2006/relationships/hyperlink" Target="https://www.btnproperti.co.id/property/perumahan/detail/grand-maja-residence-MAJARES" TargetMode="External"/><Relationship Id="rId73" Type="http://schemas.openxmlformats.org/officeDocument/2006/relationships/hyperlink" Target="https://maps.google.com/?cid=0x0:0x174981d6cb44b777" TargetMode="External"/><Relationship Id="rId72" Type="http://schemas.openxmlformats.org/officeDocument/2006/relationships/hyperlink" Target="https://maps.google.com/?cid=0x0:0x4a9ce382f8ab5341" TargetMode="External"/><Relationship Id="rId31" Type="http://schemas.openxmlformats.org/officeDocument/2006/relationships/hyperlink" Target="https://www.rumah123.com/properti/serang/hos19235143/" TargetMode="External"/><Relationship Id="rId75" Type="http://schemas.openxmlformats.org/officeDocument/2006/relationships/hyperlink" Target="https://maps.google.com/?cid=0x0:0x3544d62d478ab60" TargetMode="External"/><Relationship Id="rId30" Type="http://schemas.openxmlformats.org/officeDocument/2006/relationships/hyperlink" Target="https://maps.google.com/?cid=0x0:0x11a3bce7ff592a2b" TargetMode="External"/><Relationship Id="rId74" Type="http://schemas.openxmlformats.org/officeDocument/2006/relationships/hyperlink" Target="https://www.pinhome.id/dijual/rumah-sekunder/unit/dijual-rumah-di-perum-purimas-cikande" TargetMode="External"/><Relationship Id="rId33" Type="http://schemas.openxmlformats.org/officeDocument/2006/relationships/hyperlink" Target="https://www.pinhome.id/dijual/rumah-lelang/unit/dilelang-rumah-siap-huni-di-cikande-griya-asri-cluster-palem-cikande-cikande-serang" TargetMode="External"/><Relationship Id="rId77" Type="http://schemas.openxmlformats.org/officeDocument/2006/relationships/hyperlink" Target="https://maps.google.com/?cid=0x0:0x78ef85efe4f46eed" TargetMode="External"/><Relationship Id="rId32" Type="http://schemas.openxmlformats.org/officeDocument/2006/relationships/hyperlink" Target="https://maps.google.com/?cid=0x0:0xd42acca916cd9e5b" TargetMode="External"/><Relationship Id="rId76" Type="http://schemas.openxmlformats.org/officeDocument/2006/relationships/hyperlink" Target="https://www.pinhome.id/dijual/rumah-sekunder/unit/dijual-rumah-sentosa-garden-cukup-bayar-1-juta-di-jalan-raya-serang-pandeglang" TargetMode="External"/><Relationship Id="rId35" Type="http://schemas.openxmlformats.org/officeDocument/2006/relationships/hyperlink" Target="https://maps.google.com/?cid=0x0:0x60a6edd3e887d9ca" TargetMode="External"/><Relationship Id="rId79" Type="http://schemas.openxmlformats.org/officeDocument/2006/relationships/hyperlink" Target="https://maps.google.com/?cid=0x0:0xa338fd628a11a0e" TargetMode="External"/><Relationship Id="rId34" Type="http://schemas.openxmlformats.org/officeDocument/2006/relationships/hyperlink" Target="https://maps.google.com/?cid=0x0:0x6d4bdd6caf013821" TargetMode="External"/><Relationship Id="rId78" Type="http://schemas.openxmlformats.org/officeDocument/2006/relationships/hyperlink" Target="https://www.pinhome.id/dijual/rumah-sekunder/unit/dijual-rumah-1-lantai-2kt-60m-di-sepang-mountain-residence-77630" TargetMode="External"/><Relationship Id="rId71" Type="http://schemas.openxmlformats.org/officeDocument/2006/relationships/hyperlink" Target="https://www.pinhome.id/dijual/rumah-sekunder/unit/dijual-rumah-konsep-terkinini-di-rumah-subsidi-modern-puri-sava-warnginkurung-28800" TargetMode="External"/><Relationship Id="rId70" Type="http://schemas.openxmlformats.org/officeDocument/2006/relationships/hyperlink" Target="https://maps.google.com/?cid=0x0:0x8789c57337ca06d8" TargetMode="External"/><Relationship Id="rId37" Type="http://schemas.openxmlformats.org/officeDocument/2006/relationships/hyperlink" Target="https://maps.google.com/?cid=0x0:0xe203a69b44b8317d" TargetMode="External"/><Relationship Id="rId36" Type="http://schemas.openxmlformats.org/officeDocument/2006/relationships/hyperlink" Target="https://maps.google.com/?cid=0x0:0xf0dcc73903568cba" TargetMode="External"/><Relationship Id="rId39" Type="http://schemas.openxmlformats.org/officeDocument/2006/relationships/hyperlink" Target="https://maps.google.com/?cid=0x0:0x88f313ff4b4bf91b" TargetMode="External"/><Relationship Id="rId38" Type="http://schemas.openxmlformats.org/officeDocument/2006/relationships/hyperlink" Target="https://www.instagram.com/anyer_channel/p/C3XM94iL4a9/?img_index=1" TargetMode="External"/><Relationship Id="rId62" Type="http://schemas.openxmlformats.org/officeDocument/2006/relationships/hyperlink" Target="https://maps.google.com/?cid=0x0:0x788fb1890e76922b" TargetMode="External"/><Relationship Id="rId61" Type="http://schemas.openxmlformats.org/officeDocument/2006/relationships/hyperlink" Target="https://maps.google.com/?cid=0x0:0x1e02d230b6f6fdd0" TargetMode="External"/><Relationship Id="rId20" Type="http://schemas.openxmlformats.org/officeDocument/2006/relationships/hyperlink" Target="https://maps.google.com/?cid=0x0:0x986fa1336aad435" TargetMode="External"/><Relationship Id="rId64" Type="http://schemas.openxmlformats.org/officeDocument/2006/relationships/hyperlink" Target="https://maps.google.com/?cid=0x0:0x47d7d5a21e4b10cc" TargetMode="External"/><Relationship Id="rId63" Type="http://schemas.openxmlformats.org/officeDocument/2006/relationships/hyperlink" Target="https://www.medcom.id/properti/news-properti/JKRdQ5pb-pilihan-rumah-murah-di-serang-harga-mulai-rp160-juta" TargetMode="External"/><Relationship Id="rId22" Type="http://schemas.openxmlformats.org/officeDocument/2006/relationships/hyperlink" Target="https://maps.google.com/?cid=0x0:0x981c89ce321276a4" TargetMode="External"/><Relationship Id="rId66" Type="http://schemas.openxmlformats.org/officeDocument/2006/relationships/hyperlink" Target="https://maps.google.com/?cid=0x0:0xd5f8acf3daa7c439" TargetMode="External"/><Relationship Id="rId21" Type="http://schemas.openxmlformats.org/officeDocument/2006/relationships/hyperlink" Target="https://www.99.co/id/properti/hunian-minimalis-kramat-permai-harga-miring-1006611842" TargetMode="External"/><Relationship Id="rId65" Type="http://schemas.openxmlformats.org/officeDocument/2006/relationships/hyperlink" Target="https://www.pinhome.id/dijual/rumah-baru/platinum-parakan-residence" TargetMode="External"/><Relationship Id="rId24" Type="http://schemas.openxmlformats.org/officeDocument/2006/relationships/hyperlink" Target="https://maps.google.com/?cid=0x0:0x2dc9b53434911d37" TargetMode="External"/><Relationship Id="rId68" Type="http://schemas.openxmlformats.org/officeDocument/2006/relationships/hyperlink" Target="https://maps.google.com/?cid=0x0:0xda6319db6300d8de" TargetMode="External"/><Relationship Id="rId23" Type="http://schemas.openxmlformats.org/officeDocument/2006/relationships/hyperlink" Target="https://maps.google.com/?cid=0x0:0x88f73a3b05c8c7b8" TargetMode="External"/><Relationship Id="rId67" Type="http://schemas.openxmlformats.org/officeDocument/2006/relationships/hyperlink" Target="https://www.pinhome.id/dijual/rumah-baru/pondok-pulo-indah" TargetMode="External"/><Relationship Id="rId60" Type="http://schemas.openxmlformats.org/officeDocument/2006/relationships/hyperlink" Target="https://www.pinhome.id/dijual/rumah-sekunder/unit/dijual-rumah-2kt-60m-di-perumahan-sukawana-asri-palima-serang-71392" TargetMode="External"/><Relationship Id="rId26" Type="http://schemas.openxmlformats.org/officeDocument/2006/relationships/hyperlink" Target="https://www.rumah123.com/venue/bumi-ciruas-permai-2-vcm754/" TargetMode="External"/><Relationship Id="rId25" Type="http://schemas.openxmlformats.org/officeDocument/2006/relationships/hyperlink" Target="https://maps.google.com/?cid=0x0:0x20ed701bc6e35710" TargetMode="External"/><Relationship Id="rId69" Type="http://schemas.openxmlformats.org/officeDocument/2006/relationships/hyperlink" Target="https://www.btnproperti.co.id/property/tipe/detail/puri-sava-sukamaju-TPR2023102514222216" TargetMode="External"/><Relationship Id="rId28" Type="http://schemas.openxmlformats.org/officeDocument/2006/relationships/hyperlink" Target="https://maps.google.com/?cid=0x0:0x8f56d4b03069e411" TargetMode="External"/><Relationship Id="rId27" Type="http://schemas.openxmlformats.org/officeDocument/2006/relationships/hyperlink" Target="https://maps.google.com/?cid=0x0:0x109e09661a3e9aa4" TargetMode="External"/><Relationship Id="rId29" Type="http://schemas.openxmlformats.org/officeDocument/2006/relationships/hyperlink" Target="https://maps.google.com/?cid=0x0:0x9c1e46cf06e55089" TargetMode="External"/><Relationship Id="rId51" Type="http://schemas.openxmlformats.org/officeDocument/2006/relationships/hyperlink" Target="https://www.instagram.com/hendrikpurikencana/p/CpNBVRxvnp6/?img_index=1" TargetMode="External"/><Relationship Id="rId50" Type="http://schemas.openxmlformats.org/officeDocument/2006/relationships/hyperlink" Target="https://maps.google.com/?cid=0x0:0x8a9b0d8a5bf191cb" TargetMode="External"/><Relationship Id="rId53" Type="http://schemas.openxmlformats.org/officeDocument/2006/relationships/hyperlink" Target="https://expertjayagroup.com/property/kierana-indah-serang/" TargetMode="External"/><Relationship Id="rId52" Type="http://schemas.openxmlformats.org/officeDocument/2006/relationships/hyperlink" Target="https://maps.google.com/?cid=0x0:0x216c6b398deb9a09" TargetMode="External"/><Relationship Id="rId11" Type="http://schemas.openxmlformats.org/officeDocument/2006/relationships/hyperlink" Target="https://maps.google.com/?cid=0x0:0xf558e5afd5411144" TargetMode="External"/><Relationship Id="rId55" Type="http://schemas.openxmlformats.org/officeDocument/2006/relationships/hyperlink" Target="https://www.rumah123.com/venue/lebak-indah-griya-asri-vcm498/" TargetMode="External"/><Relationship Id="rId10" Type="http://schemas.openxmlformats.org/officeDocument/2006/relationships/hyperlink" Target="https://www.btnproperti.co.id/property/perumahan/detail/grand-sutera-kragilan-4218499" TargetMode="External"/><Relationship Id="rId54" Type="http://schemas.openxmlformats.org/officeDocument/2006/relationships/hyperlink" Target="https://maps.google.com/?cid=0x0:0x4e16a163f2c5a254" TargetMode="External"/><Relationship Id="rId13" Type="http://schemas.openxmlformats.org/officeDocument/2006/relationships/hyperlink" Target="https://rumah.trovit.co.id/listing/rumah-rusak-di-graha-walantaka-dekat-pasar-ciruas.8a54efc3-fe57-47d6-a296-3b8fde602352" TargetMode="External"/><Relationship Id="rId57" Type="http://schemas.openxmlformats.org/officeDocument/2006/relationships/hyperlink" Target="https://maps.google.com/?cid=0x0:0x67affe57654ec7a4" TargetMode="External"/><Relationship Id="rId12" Type="http://schemas.openxmlformats.org/officeDocument/2006/relationships/hyperlink" Target="https://maps.google.com/?cid=0x0:0x679dd74791405895" TargetMode="External"/><Relationship Id="rId56" Type="http://schemas.openxmlformats.org/officeDocument/2006/relationships/hyperlink" Target="https://maps.google.com/?cid=0x0:0xf1dd9c23338112ab" TargetMode="External"/><Relationship Id="rId15" Type="http://schemas.openxmlformats.org/officeDocument/2006/relationships/hyperlink" Target="https://maps.google.com/?cid=0x0:0x68cdc151d3f5cb93" TargetMode="External"/><Relationship Id="rId59" Type="http://schemas.openxmlformats.org/officeDocument/2006/relationships/hyperlink" Target="https://maps.google.com/?cid=0x0:0xd679fc05587f71f6" TargetMode="External"/><Relationship Id="rId14" Type="http://schemas.openxmlformats.org/officeDocument/2006/relationships/hyperlink" Target="https://maps.google.com/?cid=0x0:0x10f4dc4da0dc8cf0" TargetMode="External"/><Relationship Id="rId58" Type="http://schemas.openxmlformats.org/officeDocument/2006/relationships/hyperlink" Target="https://maps.google.com/?cid=0x0:0x1b934852cbebc226" TargetMode="External"/><Relationship Id="rId17" Type="http://schemas.openxmlformats.org/officeDocument/2006/relationships/hyperlink" Target="https://www.pinhome.id/dijual/rumah-sekunder/unit/dijual-rumah-di-jlwaringin-komplek-tomon-kramatwatu" TargetMode="External"/><Relationship Id="rId16" Type="http://schemas.openxmlformats.org/officeDocument/2006/relationships/hyperlink" Target="https://maps.google.com/?cid=0x0:0x85c14e9f1ff3836e" TargetMode="External"/><Relationship Id="rId19" Type="http://schemas.openxmlformats.org/officeDocument/2006/relationships/hyperlink" Target="https://www.btnproperti.co.id/property/tipe/detail/rumah-baru-TPR2023051111284416" TargetMode="External"/><Relationship Id="rId18" Type="http://schemas.openxmlformats.org/officeDocument/2006/relationships/hyperlink" Target="https://maps.google.com/?cid=0x0:0xb953155e4c9f4f0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b631853636e25056" TargetMode="External"/><Relationship Id="rId42" Type="http://schemas.openxmlformats.org/officeDocument/2006/relationships/hyperlink" Target="https://maps.google.com/?cid=0x0:0x9b57efbfa0215331" TargetMode="External"/><Relationship Id="rId41" Type="http://schemas.openxmlformats.org/officeDocument/2006/relationships/hyperlink" Target="https://www.brighton.co.id/cari-properti/view/perumahan-bumi-mentari-kel-saga-kec-balaraja-tangerang" TargetMode="External"/><Relationship Id="rId44" Type="http://schemas.openxmlformats.org/officeDocument/2006/relationships/hyperlink" Target="https://www.dekoruma.com/rumah-dijual/di-area-citra-raya?srsltid=AfmBOorpqht13Nfe52-ERMrz3tO4yXXqCNbR4Q8cenGwCapcegL3lBGL" TargetMode="External"/><Relationship Id="rId43" Type="http://schemas.openxmlformats.org/officeDocument/2006/relationships/hyperlink" Target="https://maps.google.com/?cid=0x0:0xcf20b20b63cc086e" TargetMode="External"/><Relationship Id="rId46" Type="http://schemas.openxmlformats.org/officeDocument/2006/relationships/hyperlink" Target="https://www.dekoruma.com/properti/perumahan-go-home-residence-tangerang?srsltid=AfmBOor8WpskyfDEuqfGNKD23-F4KjaYLNOiFJ2kE1UXHeN7GTqTQbVG" TargetMode="External"/><Relationship Id="rId45" Type="http://schemas.openxmlformats.org/officeDocument/2006/relationships/hyperlink" Target="https://maps.google.com/?cid=0x0:0xdd96db56ea709ef6" TargetMode="External"/><Relationship Id="rId1" Type="http://schemas.openxmlformats.org/officeDocument/2006/relationships/hyperlink" Target="https://maps.google.com/?cid=0x0:0xf294e7c99a9622f" TargetMode="External"/><Relationship Id="rId2" Type="http://schemas.openxmlformats.org/officeDocument/2006/relationships/hyperlink" Target="https://maps.google.com/?cid=0x0:0x9c22a1bbb2b507b3" TargetMode="External"/><Relationship Id="rId3" Type="http://schemas.openxmlformats.org/officeDocument/2006/relationships/hyperlink" Target="https://www.rumah123.com/venue/cikupa-asri-vcm18734/" TargetMode="External"/><Relationship Id="rId4" Type="http://schemas.openxmlformats.org/officeDocument/2006/relationships/hyperlink" Target="https://maps.google.com/?cid=0x0:0x3f90e2af77b1f05d" TargetMode="External"/><Relationship Id="rId9" Type="http://schemas.openxmlformats.org/officeDocument/2006/relationships/hyperlink" Target="https://www.dekoruma.com/properti/perumahan-innari-tangerang?srsltid=AfmBOoqHIxRB8DfnxMWAj44eYXURx903pfL3F8EcGYqaHbBNV6RoPOgm" TargetMode="External"/><Relationship Id="rId48" Type="http://schemas.openxmlformats.org/officeDocument/2006/relationships/hyperlink" Target="https://maps.google.com/?cid=0x0:0xd84092fa78faacb" TargetMode="External"/><Relationship Id="rId47" Type="http://schemas.openxmlformats.org/officeDocument/2006/relationships/hyperlink" Target="https://maps.google.com/?cid=0x0:0x4a4fde308f26856" TargetMode="External"/><Relationship Id="rId49" Type="http://schemas.openxmlformats.org/officeDocument/2006/relationships/hyperlink" Target="https://www.99.co/id/komplek-perumahan/131637-green-bsd-cibogo-permai/units" TargetMode="External"/><Relationship Id="rId5" Type="http://schemas.openxmlformats.org/officeDocument/2006/relationships/hyperlink" Target="https://pasarproperti.com/rumah-mewah-2-lantai-seharga-1-lantai-di-daerah-kawasan-bsd-serpong" TargetMode="External"/><Relationship Id="rId6" Type="http://schemas.openxmlformats.org/officeDocument/2006/relationships/hyperlink" Target="https://maps.google.com/?cid=0x0:0xe7752a0b743982c3" TargetMode="External"/><Relationship Id="rId7" Type="http://schemas.openxmlformats.org/officeDocument/2006/relationships/hyperlink" Target="https://www.pinhome.id/dijual/rumah-sekunder/unit/dijual-rumah-siap-huni-di-cluster-erie" TargetMode="External"/><Relationship Id="rId8" Type="http://schemas.openxmlformats.org/officeDocument/2006/relationships/hyperlink" Target="https://maps.google.com/?cid=0x0:0x84e6ef3174ff4b97" TargetMode="External"/><Relationship Id="rId31" Type="http://schemas.openxmlformats.org/officeDocument/2006/relationships/hyperlink" Target="https://www.99.co/id/komplek-perumahan/18638-griya-suradita-indah/units" TargetMode="External"/><Relationship Id="rId30" Type="http://schemas.openxmlformats.org/officeDocument/2006/relationships/hyperlink" Target="https://maps.google.com/?cid=0x0:0x9a399c82fb9893e1" TargetMode="External"/><Relationship Id="rId33" Type="http://schemas.openxmlformats.org/officeDocument/2006/relationships/hyperlink" Target="https://www.dekoruma.com/properti/perumahan-gyan-serpong-residence-tangerang?srsltid=AfmBOoqfVD5ZP9h1gVa4Gi-I1RttNfKpwjpeOrw1_1EfeUwpX5LzIBvx" TargetMode="External"/><Relationship Id="rId32" Type="http://schemas.openxmlformats.org/officeDocument/2006/relationships/hyperlink" Target="https://maps.google.com/?cid=0x0:0xba0f4c0d0505342b" TargetMode="External"/><Relationship Id="rId35" Type="http://schemas.openxmlformats.org/officeDocument/2006/relationships/hyperlink" Target="https://www.rumah123.com/venue/permata-balaraja-vcm26815/" TargetMode="External"/><Relationship Id="rId34" Type="http://schemas.openxmlformats.org/officeDocument/2006/relationships/hyperlink" Target="https://maps.google.com/?cid=0x0:0xd7988720d1ac92f" TargetMode="External"/><Relationship Id="rId70" Type="http://schemas.openxmlformats.org/officeDocument/2006/relationships/drawing" Target="../drawings/drawing8.xml"/><Relationship Id="rId37" Type="http://schemas.openxmlformats.org/officeDocument/2006/relationships/hyperlink" Target="https://maps.google.com/?cid=0x0:0x2cff8b1936faa139" TargetMode="External"/><Relationship Id="rId36" Type="http://schemas.openxmlformats.org/officeDocument/2006/relationships/hyperlink" Target="https://maps.google.com/?cid=0x0:0x66a4ed327eed29e2" TargetMode="External"/><Relationship Id="rId39" Type="http://schemas.openxmlformats.org/officeDocument/2006/relationships/hyperlink" Target="https://infolelang.bri.co.id/sale/rumah-di-perumahan-griya-yasa_60606" TargetMode="External"/><Relationship Id="rId38" Type="http://schemas.openxmlformats.org/officeDocument/2006/relationships/hyperlink" Target="https://maps.google.com/?cid=0x0:0x2d22b121afd2ccd6" TargetMode="External"/><Relationship Id="rId62" Type="http://schemas.openxmlformats.org/officeDocument/2006/relationships/hyperlink" Target="https://maps.google.com/?cid=0x0:0x731c395bb580f31e" TargetMode="External"/><Relationship Id="rId61" Type="http://schemas.openxmlformats.org/officeDocument/2006/relationships/hyperlink" Target="https://maps.google.com/?cid=0x0:0xe79ff14a276e1a05" TargetMode="External"/><Relationship Id="rId20" Type="http://schemas.openxmlformats.org/officeDocument/2006/relationships/hyperlink" Target="https://www.pinhome.id/dijual/rumah-baru/graha-permata-cikupa" TargetMode="External"/><Relationship Id="rId64" Type="http://schemas.openxmlformats.org/officeDocument/2006/relationships/hyperlink" Target="https://maps.google.com/?cid=0x0:0x96bdc07193e7224d" TargetMode="External"/><Relationship Id="rId63" Type="http://schemas.openxmlformats.org/officeDocument/2006/relationships/hyperlink" Target="https://www.rumah123.com/perumahan-baru/properti/tangerang/the-grand-mansion/nps3474/" TargetMode="External"/><Relationship Id="rId22" Type="http://schemas.openxmlformats.org/officeDocument/2006/relationships/hyperlink" Target="https://maps.google.com/?cid=0x0:0x3a82d7be5bdbf7ba" TargetMode="External"/><Relationship Id="rId66" Type="http://schemas.openxmlformats.org/officeDocument/2006/relationships/hyperlink" Target="https://www.rumah123.com/venue/villa-balaraja-vcm16274/" TargetMode="External"/><Relationship Id="rId21" Type="http://schemas.openxmlformats.org/officeDocument/2006/relationships/hyperlink" Target="https://maps.google.com/?cid=0x0:0x6dff3433b5573da6" TargetMode="External"/><Relationship Id="rId65" Type="http://schemas.openxmlformats.org/officeDocument/2006/relationships/hyperlink" Target="https://maps.google.com/?cid=0x0:0x3b73a71cd8b97d1" TargetMode="External"/><Relationship Id="rId24" Type="http://schemas.openxmlformats.org/officeDocument/2006/relationships/hyperlink" Target="https://maps.google.com/?cid=0x0:0xd2f55721f2c25320" TargetMode="External"/><Relationship Id="rId68" Type="http://schemas.openxmlformats.org/officeDocument/2006/relationships/hyperlink" Target="https://maps.google.com/?cid=0x0:0xa0ae4d58c0aa02b" TargetMode="External"/><Relationship Id="rId23" Type="http://schemas.openxmlformats.org/officeDocument/2006/relationships/hyperlink" Target="https://www.pinhome.id/dijual/rumah-sekunder/unit/dijual-rumah-green-garden-cisauk-di-green-garden" TargetMode="External"/><Relationship Id="rId67" Type="http://schemas.openxmlformats.org/officeDocument/2006/relationships/hyperlink" Target="https://maps.google.com/?cid=0x0:0x85b3605d239228b5" TargetMode="External"/><Relationship Id="rId60" Type="http://schemas.openxmlformats.org/officeDocument/2006/relationships/hyperlink" Target="https://maps.google.com/?cid=0x0:0x7a84b6a61d8e57ac" TargetMode="External"/><Relationship Id="rId26" Type="http://schemas.openxmlformats.org/officeDocument/2006/relationships/hyperlink" Target="https://maps.google.com/?cid=0x0:0x281534a3c32ee216" TargetMode="External"/><Relationship Id="rId25" Type="http://schemas.openxmlformats.org/officeDocument/2006/relationships/hyperlink" Target="https://pashouses.id/rumah/serpong-garden-cluster-green-view" TargetMode="External"/><Relationship Id="rId69" Type="http://schemas.openxmlformats.org/officeDocument/2006/relationships/hyperlink" Target="https://www.pinhome.id/dijual/rumah-sekunder/unit/dijual-rumah-di-villa-verde-timur" TargetMode="External"/><Relationship Id="rId28" Type="http://schemas.openxmlformats.org/officeDocument/2006/relationships/hyperlink" Target="https://maps.google.com/?cid=0x0:0x6ad23c397599c265" TargetMode="External"/><Relationship Id="rId27" Type="http://schemas.openxmlformats.org/officeDocument/2006/relationships/hyperlink" Target="https://www.dekoruma.com/properti/dijual-tangerang-perumahan-subsidi-kwalitas-komersil-griya-balaraja-sukamulya-klasik-oleh-reywin-ZcOdT3NHwa" TargetMode="External"/><Relationship Id="rId29" Type="http://schemas.openxmlformats.org/officeDocument/2006/relationships/hyperlink" Target="https://www.rumah123.com/perumahan-baru/properti/tangerang/griya-mulia-cisauk/nps1663/" TargetMode="External"/><Relationship Id="rId51" Type="http://schemas.openxmlformats.org/officeDocument/2006/relationships/hyperlink" Target="https://maps.google.com/?cid=0x0:0x249abd2544bae758" TargetMode="External"/><Relationship Id="rId50" Type="http://schemas.openxmlformats.org/officeDocument/2006/relationships/hyperlink" Target="https://maps.google.com/?cid=0x0:0x465a08a40affdfc6" TargetMode="External"/><Relationship Id="rId53" Type="http://schemas.openxmlformats.org/officeDocument/2006/relationships/hyperlink" Target="https://maps.google.com/?cid=0x0:0xfa591bb5deea60c0" TargetMode="External"/><Relationship Id="rId52" Type="http://schemas.openxmlformats.org/officeDocument/2006/relationships/hyperlink" Target="https://maps.google.com/?cid=0x0:0xa89fdfa7615528a6" TargetMode="External"/><Relationship Id="rId11" Type="http://schemas.openxmlformats.org/officeDocument/2006/relationships/hyperlink" Target="https://homesyariah.com/properti/cluster-maninjau-perumahan-syariah-serpong-banten/" TargetMode="External"/><Relationship Id="rId55" Type="http://schemas.openxmlformats.org/officeDocument/2006/relationships/hyperlink" Target="https://www.rumah123.com/venue/royal-cikupa-permai-vcm23803/" TargetMode="External"/><Relationship Id="rId10" Type="http://schemas.openxmlformats.org/officeDocument/2006/relationships/hyperlink" Target="https://maps.google.com/?cid=0x0:0x2881204aeda455e7" TargetMode="External"/><Relationship Id="rId54" Type="http://schemas.openxmlformats.org/officeDocument/2006/relationships/hyperlink" Target="https://maps.google.com/?cid=0x0:0xe12fe3594afc0a" TargetMode="External"/><Relationship Id="rId13" Type="http://schemas.openxmlformats.org/officeDocument/2006/relationships/hyperlink" Target="https://www.rumah123.com/properti/tangerang/hos9678808/" TargetMode="External"/><Relationship Id="rId57" Type="http://schemas.openxmlformats.org/officeDocument/2006/relationships/hyperlink" Target="https://www.tribunjualbeli.com/banten/2381271/dijual-rumah-perumahan-salaka-nagara-siap-huni-tangerang" TargetMode="External"/><Relationship Id="rId12" Type="http://schemas.openxmlformats.org/officeDocument/2006/relationships/hyperlink" Target="https://maps.google.com/?cid=0x0:0x964b26c8c10076b" TargetMode="External"/><Relationship Id="rId56" Type="http://schemas.openxmlformats.org/officeDocument/2006/relationships/hyperlink" Target="https://maps.google.com/?cid=0x0:0xf49555db15f2eaa5" TargetMode="External"/><Relationship Id="rId15" Type="http://schemas.openxmlformats.org/officeDocument/2006/relationships/hyperlink" Target="https://www.properti123.com/properti-jual/41443-di-jual-rumah-di-perumahan-asri-foresta-residence-saga-balaraja" TargetMode="External"/><Relationship Id="rId59" Type="http://schemas.openxmlformats.org/officeDocument/2006/relationships/hyperlink" Target="https://maps.google.com/?cid=0x0:0x82079152651f3c47" TargetMode="External"/><Relationship Id="rId14" Type="http://schemas.openxmlformats.org/officeDocument/2006/relationships/hyperlink" Target="https://maps.google.com/?cid=0x0:0x7af21facc101fef0" TargetMode="External"/><Relationship Id="rId58" Type="http://schemas.openxmlformats.org/officeDocument/2006/relationships/hyperlink" Target="https://maps.google.com/?cid=0x0:0x9c283ccbb49bae8f" TargetMode="External"/><Relationship Id="rId17" Type="http://schemas.openxmlformats.org/officeDocument/2006/relationships/hyperlink" Target="https://maps.google.com/?cid=0x0:0xf632cf7347d365f6" TargetMode="External"/><Relationship Id="rId16" Type="http://schemas.openxmlformats.org/officeDocument/2006/relationships/hyperlink" Target="https://maps.google.com/?cid=0x0:0xf02ce8d969b9d9a1" TargetMode="External"/><Relationship Id="rId19" Type="http://schemas.openxmlformats.org/officeDocument/2006/relationships/hyperlink" Target="https://maps.google.com/?cid=0x0:0x6b5afde39bd51d0c" TargetMode="External"/><Relationship Id="rId18" Type="http://schemas.openxmlformats.org/officeDocument/2006/relationships/hyperlink" Target="https://belirumah.co/jual/rumah-baru/de-green-balaraja/464f9d29-be23-471d-985b-0784cd3773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9.88"/>
    <col customWidth="1" min="3" max="3" width="9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4">
        <v>42426.0</v>
      </c>
      <c r="G2" s="3" t="s">
        <v>31</v>
      </c>
      <c r="H2" s="5">
        <v>8.78E10</v>
      </c>
      <c r="I2" s="4">
        <v>-6.0369105</v>
      </c>
      <c r="J2" s="4">
        <v>106.0573707</v>
      </c>
      <c r="K2" s="6" t="s">
        <v>32</v>
      </c>
      <c r="L2" s="7" t="str">
        <f t="shared" ref="L2:L20" si="1">IFERROR(MEDIAN(M2:Y2),"")</f>
        <v/>
      </c>
      <c r="Z2" s="8" t="s">
        <v>33</v>
      </c>
    </row>
    <row r="3">
      <c r="A3" s="3" t="s">
        <v>26</v>
      </c>
      <c r="B3" s="3" t="s">
        <v>34</v>
      </c>
      <c r="C3" s="3" t="s">
        <v>35</v>
      </c>
      <c r="D3" s="3" t="s">
        <v>36</v>
      </c>
      <c r="E3" s="3" t="s">
        <v>30</v>
      </c>
      <c r="F3" s="3" t="s">
        <v>37</v>
      </c>
      <c r="G3" s="3" t="s">
        <v>31</v>
      </c>
      <c r="H3" s="3" t="s">
        <v>37</v>
      </c>
      <c r="I3" s="4">
        <v>-6.0363694</v>
      </c>
      <c r="J3" s="4">
        <v>106.0780265</v>
      </c>
      <c r="K3" s="6" t="s">
        <v>38</v>
      </c>
      <c r="L3" s="7">
        <f t="shared" si="1"/>
        <v>35714285.71</v>
      </c>
      <c r="M3" s="7">
        <f>4000000000/112</f>
        <v>35714285.71</v>
      </c>
      <c r="Z3" s="9" t="s">
        <v>39</v>
      </c>
    </row>
    <row r="4">
      <c r="A4" s="3" t="s">
        <v>40</v>
      </c>
      <c r="B4" s="3" t="s">
        <v>41</v>
      </c>
      <c r="C4" s="3" t="s">
        <v>42</v>
      </c>
      <c r="D4" s="3" t="s">
        <v>43</v>
      </c>
      <c r="E4" s="3" t="s">
        <v>30</v>
      </c>
      <c r="F4" s="4">
        <v>42426.0</v>
      </c>
      <c r="G4" s="3" t="s">
        <v>31</v>
      </c>
      <c r="H4" s="5">
        <v>8.13E10</v>
      </c>
      <c r="I4" s="4">
        <v>-6.0533603</v>
      </c>
      <c r="J4" s="4">
        <v>106.0567633</v>
      </c>
      <c r="K4" s="6" t="s">
        <v>44</v>
      </c>
      <c r="L4" s="7">
        <f t="shared" si="1"/>
        <v>6542056.075</v>
      </c>
      <c r="M4" s="7">
        <f>700000000/107</f>
        <v>6542056.075</v>
      </c>
      <c r="Z4" s="9" t="s">
        <v>45</v>
      </c>
    </row>
    <row r="5">
      <c r="A5" s="3" t="s">
        <v>26</v>
      </c>
      <c r="B5" s="3" t="s">
        <v>46</v>
      </c>
      <c r="C5" s="3" t="s">
        <v>47</v>
      </c>
      <c r="D5" s="3" t="s">
        <v>48</v>
      </c>
      <c r="E5" s="3" t="s">
        <v>30</v>
      </c>
      <c r="F5" s="4">
        <v>42426.0</v>
      </c>
      <c r="G5" s="3" t="s">
        <v>31</v>
      </c>
      <c r="H5" s="3" t="s">
        <v>37</v>
      </c>
      <c r="I5" s="4">
        <v>-6.0275167</v>
      </c>
      <c r="J5" s="4">
        <v>106.0691494</v>
      </c>
      <c r="K5" s="6" t="s">
        <v>49</v>
      </c>
      <c r="L5" s="7">
        <f t="shared" si="1"/>
        <v>7653061.224</v>
      </c>
      <c r="M5" s="7">
        <f>750000000/98</f>
        <v>7653061.224</v>
      </c>
      <c r="Z5" s="9" t="s">
        <v>50</v>
      </c>
    </row>
    <row r="6">
      <c r="A6" s="3" t="s">
        <v>26</v>
      </c>
      <c r="B6" s="3" t="s">
        <v>51</v>
      </c>
      <c r="C6" s="3" t="s">
        <v>52</v>
      </c>
      <c r="D6" s="3" t="s">
        <v>53</v>
      </c>
      <c r="E6" s="3" t="s">
        <v>30</v>
      </c>
      <c r="F6" s="4">
        <v>42426.0</v>
      </c>
      <c r="G6" s="3" t="s">
        <v>31</v>
      </c>
      <c r="H6" s="5">
        <v>8.79E10</v>
      </c>
      <c r="I6" s="4">
        <v>-6.0280122</v>
      </c>
      <c r="J6" s="4">
        <v>106.0668001</v>
      </c>
      <c r="K6" s="6" t="s">
        <v>54</v>
      </c>
      <c r="L6" s="7">
        <f t="shared" si="1"/>
        <v>5833333.333</v>
      </c>
      <c r="M6" s="7">
        <f>700000000/120</f>
        <v>5833333.333</v>
      </c>
      <c r="Z6" s="9" t="s">
        <v>55</v>
      </c>
    </row>
    <row r="7">
      <c r="A7" s="3" t="s">
        <v>40</v>
      </c>
      <c r="B7" s="3" t="s">
        <v>56</v>
      </c>
      <c r="C7" s="3" t="s">
        <v>57</v>
      </c>
      <c r="D7" s="3" t="s">
        <v>58</v>
      </c>
      <c r="E7" s="3" t="s">
        <v>30</v>
      </c>
      <c r="F7" s="4">
        <v>42422.0</v>
      </c>
      <c r="G7" s="3" t="s">
        <v>31</v>
      </c>
      <c r="H7" s="5">
        <v>8.11E10</v>
      </c>
      <c r="I7" s="4">
        <v>-6.0703381</v>
      </c>
      <c r="J7" s="4">
        <v>106.0504906</v>
      </c>
      <c r="K7" s="6" t="s">
        <v>59</v>
      </c>
      <c r="L7" s="7">
        <f t="shared" si="1"/>
        <v>5416666.667</v>
      </c>
      <c r="M7" s="7">
        <f>390000000/72</f>
        <v>5416666.667</v>
      </c>
      <c r="Z7" s="9" t="s">
        <v>60</v>
      </c>
    </row>
    <row r="8">
      <c r="A8" s="3" t="s">
        <v>40</v>
      </c>
      <c r="B8" s="3" t="s">
        <v>61</v>
      </c>
      <c r="C8" s="3" t="s">
        <v>62</v>
      </c>
      <c r="D8" s="3" t="s">
        <v>63</v>
      </c>
      <c r="E8" s="3" t="s">
        <v>30</v>
      </c>
      <c r="F8" s="4">
        <v>42437.0</v>
      </c>
      <c r="G8" s="3" t="s">
        <v>31</v>
      </c>
      <c r="H8" s="3" t="s">
        <v>37</v>
      </c>
      <c r="I8" s="4">
        <v>-5.9889766</v>
      </c>
      <c r="J8" s="4">
        <v>106.0515197</v>
      </c>
      <c r="K8" s="6" t="s">
        <v>64</v>
      </c>
      <c r="L8" s="7" t="str">
        <f t="shared" si="1"/>
        <v/>
      </c>
      <c r="Z8" s="8" t="s">
        <v>33</v>
      </c>
    </row>
    <row r="9">
      <c r="A9" s="3" t="s">
        <v>40</v>
      </c>
      <c r="B9" s="3" t="s">
        <v>65</v>
      </c>
      <c r="C9" s="3" t="s">
        <v>66</v>
      </c>
      <c r="D9" s="3" t="s">
        <v>67</v>
      </c>
      <c r="E9" s="3" t="s">
        <v>30</v>
      </c>
      <c r="F9" s="4">
        <v>42426.0</v>
      </c>
      <c r="G9" s="3" t="s">
        <v>31</v>
      </c>
      <c r="H9" s="3" t="s">
        <v>37</v>
      </c>
      <c r="I9" s="4">
        <v>-6.0387208</v>
      </c>
      <c r="J9" s="4">
        <v>106.0656969</v>
      </c>
      <c r="K9" s="6" t="s">
        <v>68</v>
      </c>
      <c r="L9" s="7" t="str">
        <f t="shared" si="1"/>
        <v/>
      </c>
      <c r="Z9" s="8" t="s">
        <v>33</v>
      </c>
    </row>
    <row r="10">
      <c r="A10" s="3" t="s">
        <v>26</v>
      </c>
      <c r="B10" s="3" t="s">
        <v>69</v>
      </c>
      <c r="C10" s="3" t="s">
        <v>70</v>
      </c>
      <c r="D10" s="3" t="s">
        <v>71</v>
      </c>
      <c r="E10" s="3" t="s">
        <v>30</v>
      </c>
      <c r="F10" s="4">
        <v>42426.0</v>
      </c>
      <c r="G10" s="3" t="s">
        <v>31</v>
      </c>
      <c r="H10" s="3" t="s">
        <v>37</v>
      </c>
      <c r="I10" s="4">
        <v>-6.0413794</v>
      </c>
      <c r="J10" s="4">
        <v>106.0614071</v>
      </c>
      <c r="K10" s="6" t="s">
        <v>72</v>
      </c>
      <c r="L10" s="7">
        <f t="shared" si="1"/>
        <v>11320754.72</v>
      </c>
      <c r="M10" s="7">
        <f>1800000000/159</f>
        <v>11320754.72</v>
      </c>
      <c r="Z10" s="9" t="s">
        <v>73</v>
      </c>
    </row>
    <row r="11">
      <c r="A11" s="3" t="s">
        <v>26</v>
      </c>
      <c r="B11" s="3" t="s">
        <v>74</v>
      </c>
      <c r="C11" s="3" t="s">
        <v>75</v>
      </c>
      <c r="D11" s="3" t="s">
        <v>76</v>
      </c>
      <c r="E11" s="3" t="s">
        <v>30</v>
      </c>
      <c r="F11" s="4">
        <v>42422.0</v>
      </c>
      <c r="G11" s="3" t="s">
        <v>31</v>
      </c>
      <c r="H11" s="3" t="s">
        <v>37</v>
      </c>
      <c r="I11" s="4">
        <v>-6.0357937</v>
      </c>
      <c r="J11" s="4">
        <v>106.071911</v>
      </c>
      <c r="K11" s="6" t="s">
        <v>77</v>
      </c>
      <c r="L11" s="7" t="str">
        <f t="shared" si="1"/>
        <v/>
      </c>
      <c r="Z11" s="8" t="s">
        <v>33</v>
      </c>
    </row>
    <row r="12">
      <c r="A12" s="3" t="s">
        <v>26</v>
      </c>
      <c r="B12" s="3" t="s">
        <v>78</v>
      </c>
      <c r="C12" s="3" t="s">
        <v>79</v>
      </c>
      <c r="D12" s="3" t="s">
        <v>71</v>
      </c>
      <c r="E12" s="3" t="s">
        <v>30</v>
      </c>
      <c r="F12" s="4">
        <v>42426.0</v>
      </c>
      <c r="G12" s="3" t="s">
        <v>31</v>
      </c>
      <c r="H12" s="3" t="s">
        <v>37</v>
      </c>
      <c r="I12" s="4">
        <v>-6.0272653</v>
      </c>
      <c r="J12" s="4">
        <v>106.0657629</v>
      </c>
      <c r="K12" s="6" t="s">
        <v>80</v>
      </c>
      <c r="L12" s="7">
        <f t="shared" si="1"/>
        <v>4639175.258</v>
      </c>
      <c r="M12" s="7">
        <f>900000000/194</f>
        <v>4639175.258</v>
      </c>
      <c r="Z12" s="9" t="s">
        <v>81</v>
      </c>
    </row>
    <row r="13">
      <c r="A13" s="3" t="s">
        <v>26</v>
      </c>
      <c r="B13" s="3" t="s">
        <v>82</v>
      </c>
      <c r="C13" s="3" t="s">
        <v>83</v>
      </c>
      <c r="D13" s="3" t="s">
        <v>53</v>
      </c>
      <c r="E13" s="3" t="s">
        <v>30</v>
      </c>
      <c r="F13" s="4">
        <v>42422.0</v>
      </c>
      <c r="G13" s="3" t="s">
        <v>31</v>
      </c>
      <c r="H13" s="5">
        <v>8.2E10</v>
      </c>
      <c r="I13" s="4">
        <v>-6.0260541</v>
      </c>
      <c r="J13" s="4">
        <v>106.0836118</v>
      </c>
      <c r="K13" s="6" t="s">
        <v>84</v>
      </c>
      <c r="L13" s="7">
        <f t="shared" si="1"/>
        <v>13194444.44</v>
      </c>
      <c r="M13" s="7">
        <f>950000000/72</f>
        <v>13194444.44</v>
      </c>
      <c r="Z13" s="9" t="s">
        <v>85</v>
      </c>
    </row>
    <row r="14">
      <c r="A14" s="3" t="s">
        <v>86</v>
      </c>
      <c r="B14" s="3" t="s">
        <v>87</v>
      </c>
      <c r="C14" s="3" t="s">
        <v>88</v>
      </c>
      <c r="D14" s="3" t="s">
        <v>89</v>
      </c>
      <c r="E14" s="3" t="s">
        <v>30</v>
      </c>
      <c r="F14" s="4">
        <v>42439.0</v>
      </c>
      <c r="G14" s="3" t="s">
        <v>31</v>
      </c>
      <c r="H14" s="3" t="s">
        <v>37</v>
      </c>
      <c r="I14" s="4">
        <v>-5.9028975</v>
      </c>
      <c r="J14" s="4">
        <v>106.0314709</v>
      </c>
      <c r="K14" s="6" t="s">
        <v>90</v>
      </c>
      <c r="L14" s="7" t="str">
        <f t="shared" si="1"/>
        <v/>
      </c>
      <c r="Z14" s="8" t="s">
        <v>33</v>
      </c>
    </row>
    <row r="15">
      <c r="A15" s="3" t="s">
        <v>26</v>
      </c>
      <c r="B15" s="3" t="s">
        <v>91</v>
      </c>
      <c r="C15" s="3" t="s">
        <v>92</v>
      </c>
      <c r="D15" s="3" t="s">
        <v>93</v>
      </c>
      <c r="E15" s="3" t="s">
        <v>30</v>
      </c>
      <c r="F15" s="4">
        <v>42412.0</v>
      </c>
      <c r="G15" s="3" t="s">
        <v>31</v>
      </c>
      <c r="H15" s="5">
        <v>8.78E10</v>
      </c>
      <c r="I15" s="4">
        <v>-6.0024714</v>
      </c>
      <c r="J15" s="4">
        <v>106.0571244</v>
      </c>
      <c r="K15" s="6" t="s">
        <v>94</v>
      </c>
      <c r="L15" s="7">
        <f t="shared" si="1"/>
        <v>6298355.899</v>
      </c>
      <c r="M15" s="7">
        <f>1200000000/252</f>
        <v>4761904.762</v>
      </c>
      <c r="N15" s="7">
        <f>650000000/94</f>
        <v>6914893.617</v>
      </c>
      <c r="O15" s="7">
        <f>500000000/88</f>
        <v>5681818.182</v>
      </c>
      <c r="P15" s="7">
        <f>950000000/120</f>
        <v>7916666.667</v>
      </c>
      <c r="Z15" s="9" t="s">
        <v>95</v>
      </c>
    </row>
    <row r="16">
      <c r="A16" s="3" t="s">
        <v>40</v>
      </c>
      <c r="B16" s="3" t="s">
        <v>96</v>
      </c>
      <c r="C16" s="3" t="s">
        <v>97</v>
      </c>
      <c r="D16" s="3" t="s">
        <v>98</v>
      </c>
      <c r="E16" s="3" t="s">
        <v>30</v>
      </c>
      <c r="F16" s="4">
        <v>42161.0</v>
      </c>
      <c r="G16" s="3" t="s">
        <v>31</v>
      </c>
      <c r="H16" s="5">
        <v>8.53E10</v>
      </c>
      <c r="I16" s="4">
        <v>-6.0459019</v>
      </c>
      <c r="J16" s="4">
        <v>106.0702944</v>
      </c>
      <c r="K16" s="6" t="s">
        <v>99</v>
      </c>
      <c r="L16" s="7">
        <f t="shared" si="1"/>
        <v>5522388.06</v>
      </c>
      <c r="M16" s="7">
        <f>370000000/67</f>
        <v>5522388.06</v>
      </c>
      <c r="Z16" s="9" t="s">
        <v>100</v>
      </c>
    </row>
    <row r="17">
      <c r="A17" s="3" t="s">
        <v>26</v>
      </c>
      <c r="B17" s="3" t="s">
        <v>101</v>
      </c>
      <c r="C17" s="3" t="s">
        <v>102</v>
      </c>
      <c r="D17" s="3" t="s">
        <v>103</v>
      </c>
      <c r="E17" s="3" t="s">
        <v>30</v>
      </c>
      <c r="F17" s="4">
        <v>42426.0</v>
      </c>
      <c r="G17" s="3" t="s">
        <v>31</v>
      </c>
      <c r="H17" s="3" t="s">
        <v>37</v>
      </c>
      <c r="I17" s="4">
        <v>-6.0410953</v>
      </c>
      <c r="J17" s="4">
        <v>106.0597623</v>
      </c>
      <c r="K17" s="6" t="s">
        <v>104</v>
      </c>
      <c r="L17" s="7" t="str">
        <f t="shared" si="1"/>
        <v/>
      </c>
      <c r="Z17" s="8" t="s">
        <v>33</v>
      </c>
    </row>
    <row r="18">
      <c r="A18" s="3" t="s">
        <v>26</v>
      </c>
      <c r="B18" s="3" t="s">
        <v>105</v>
      </c>
      <c r="C18" s="3" t="s">
        <v>106</v>
      </c>
      <c r="D18" s="3" t="s">
        <v>107</v>
      </c>
      <c r="E18" s="3" t="s">
        <v>30</v>
      </c>
      <c r="F18" s="4">
        <v>42426.0</v>
      </c>
      <c r="G18" s="3" t="s">
        <v>31</v>
      </c>
      <c r="H18" s="3" t="s">
        <v>37</v>
      </c>
      <c r="I18" s="4">
        <v>-6.0332946</v>
      </c>
      <c r="J18" s="4">
        <v>106.0706307</v>
      </c>
      <c r="K18" s="6" t="s">
        <v>108</v>
      </c>
      <c r="L18" s="7" t="str">
        <f t="shared" si="1"/>
        <v/>
      </c>
      <c r="Z18" s="8" t="s">
        <v>33</v>
      </c>
    </row>
    <row r="19">
      <c r="A19" s="3" t="s">
        <v>40</v>
      </c>
      <c r="B19" s="3" t="s">
        <v>109</v>
      </c>
      <c r="C19" s="3" t="s">
        <v>110</v>
      </c>
      <c r="D19" s="3" t="s">
        <v>111</v>
      </c>
      <c r="E19" s="3" t="s">
        <v>30</v>
      </c>
      <c r="F19" s="4">
        <v>42437.0</v>
      </c>
      <c r="G19" s="3" t="s">
        <v>31</v>
      </c>
      <c r="H19" s="3" t="s">
        <v>37</v>
      </c>
      <c r="I19" s="4">
        <v>-5.9410157</v>
      </c>
      <c r="J19" s="4">
        <v>106.0472187</v>
      </c>
      <c r="K19" s="6" t="s">
        <v>112</v>
      </c>
      <c r="L19" s="7" t="str">
        <f t="shared" si="1"/>
        <v/>
      </c>
      <c r="Z19" s="8" t="s">
        <v>33</v>
      </c>
    </row>
    <row r="20">
      <c r="A20" s="3" t="s">
        <v>26</v>
      </c>
      <c r="B20" s="3" t="s">
        <v>113</v>
      </c>
      <c r="C20" s="3" t="s">
        <v>114</v>
      </c>
      <c r="D20" s="3" t="s">
        <v>115</v>
      </c>
      <c r="E20" s="3" t="s">
        <v>30</v>
      </c>
      <c r="F20" s="4">
        <v>42424.0</v>
      </c>
      <c r="G20" s="3" t="s">
        <v>31</v>
      </c>
      <c r="H20" s="5">
        <v>8.58E10</v>
      </c>
      <c r="I20" s="4">
        <v>-6.0438017</v>
      </c>
      <c r="J20" s="4">
        <v>106.0600949</v>
      </c>
      <c r="K20" s="6" t="s">
        <v>116</v>
      </c>
      <c r="L20" s="7">
        <f t="shared" si="1"/>
        <v>6666666.667</v>
      </c>
      <c r="M20" s="7">
        <f>500000000/75</f>
        <v>6666666.667</v>
      </c>
      <c r="Z20" s="9" t="s">
        <v>117</v>
      </c>
    </row>
    <row r="21">
      <c r="J21" s="7">
        <f>sum(K21:Y21)</f>
        <v>33</v>
      </c>
      <c r="K21" s="7">
        <f>COUNTA(K2:K20)</f>
        <v>19</v>
      </c>
      <c r="M21" s="7">
        <f t="shared" ref="M21:Y21" si="2">COUNTA(M2:M20)</f>
        <v>11</v>
      </c>
      <c r="N21" s="7">
        <f t="shared" si="2"/>
        <v>1</v>
      </c>
      <c r="O21" s="7">
        <f t="shared" si="2"/>
        <v>1</v>
      </c>
      <c r="P21" s="7">
        <f t="shared" si="2"/>
        <v>1</v>
      </c>
      <c r="Q21" s="7">
        <f t="shared" si="2"/>
        <v>0</v>
      </c>
      <c r="R21" s="7">
        <f t="shared" si="2"/>
        <v>0</v>
      </c>
      <c r="S21" s="7">
        <f t="shared" si="2"/>
        <v>0</v>
      </c>
      <c r="T21" s="7">
        <f t="shared" si="2"/>
        <v>0</v>
      </c>
      <c r="U21" s="7">
        <f t="shared" si="2"/>
        <v>0</v>
      </c>
      <c r="V21" s="7">
        <f t="shared" si="2"/>
        <v>0</v>
      </c>
      <c r="W21" s="7">
        <f t="shared" si="2"/>
        <v>0</v>
      </c>
      <c r="X21" s="7">
        <f t="shared" si="2"/>
        <v>0</v>
      </c>
      <c r="Y21" s="7">
        <f t="shared" si="2"/>
        <v>0</v>
      </c>
    </row>
  </sheetData>
  <hyperlinks>
    <hyperlink r:id="rId1" ref="K2"/>
    <hyperlink r:id="rId2" ref="K3"/>
    <hyperlink r:id="rId3" ref="Z3"/>
    <hyperlink r:id="rId4" ref="K4"/>
    <hyperlink r:id="rId5" ref="Z4"/>
    <hyperlink r:id="rId6" ref="K5"/>
    <hyperlink r:id="rId7" ref="Z5"/>
    <hyperlink r:id="rId8" ref="K6"/>
    <hyperlink r:id="rId9" ref="Z6"/>
    <hyperlink r:id="rId10" ref="K7"/>
    <hyperlink r:id="rId11" ref="Z7"/>
    <hyperlink r:id="rId12" ref="K8"/>
    <hyperlink r:id="rId13" ref="K9"/>
    <hyperlink r:id="rId14" ref="K10"/>
    <hyperlink r:id="rId15" ref="Z10"/>
    <hyperlink r:id="rId16" ref="K11"/>
    <hyperlink r:id="rId17" ref="K12"/>
    <hyperlink r:id="rId18" ref="Z12"/>
    <hyperlink r:id="rId19" ref="K13"/>
    <hyperlink r:id="rId20" ref="Z13"/>
    <hyperlink r:id="rId21" ref="K14"/>
    <hyperlink r:id="rId22" ref="K15"/>
    <hyperlink r:id="rId23" ref="Z15"/>
    <hyperlink r:id="rId24" ref="K16"/>
    <hyperlink r:id="rId25" ref="Z16"/>
    <hyperlink r:id="rId26" ref="K17"/>
    <hyperlink r:id="rId27" ref="K18"/>
    <hyperlink r:id="rId28" ref="K19"/>
    <hyperlink r:id="rId29" ref="K20"/>
    <hyperlink r:id="rId30" ref="Z20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4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8" t="s">
        <v>118</v>
      </c>
      <c r="N1" s="8" t="s">
        <v>119</v>
      </c>
      <c r="O1" s="8" t="s">
        <v>120</v>
      </c>
      <c r="P1" s="8" t="s">
        <v>121</v>
      </c>
      <c r="Q1" s="8" t="s">
        <v>122</v>
      </c>
      <c r="R1" s="8" t="s">
        <v>123</v>
      </c>
      <c r="S1" s="8" t="s">
        <v>124</v>
      </c>
      <c r="T1" s="8" t="s">
        <v>125</v>
      </c>
      <c r="U1" s="8" t="s">
        <v>126</v>
      </c>
      <c r="V1" s="8" t="s">
        <v>127</v>
      </c>
      <c r="W1" s="8" t="s">
        <v>128</v>
      </c>
      <c r="X1" s="8" t="s">
        <v>129</v>
      </c>
      <c r="Y1" s="8" t="s">
        <v>130</v>
      </c>
      <c r="Z1" s="8" t="s">
        <v>25</v>
      </c>
    </row>
    <row r="2">
      <c r="A2" s="3" t="s">
        <v>131</v>
      </c>
      <c r="B2" s="3" t="s">
        <v>132</v>
      </c>
      <c r="C2" s="3" t="s">
        <v>133</v>
      </c>
      <c r="D2" s="3" t="s">
        <v>134</v>
      </c>
      <c r="E2" s="3" t="s">
        <v>30</v>
      </c>
      <c r="F2" s="4">
        <v>42124.0</v>
      </c>
      <c r="G2" s="3" t="s">
        <v>31</v>
      </c>
      <c r="H2" s="3" t="s">
        <v>37</v>
      </c>
      <c r="I2" s="4">
        <v>-6.1093628</v>
      </c>
      <c r="J2" s="4">
        <v>106.2040282</v>
      </c>
      <c r="K2" s="6" t="s">
        <v>135</v>
      </c>
      <c r="L2" s="10">
        <f t="shared" ref="L2:L40" si="1">IFERROR(MEDIAN(M2:Y2),"")</f>
        <v>2840909.091</v>
      </c>
      <c r="M2" s="10">
        <f>350000000/110</f>
        <v>3181818.182</v>
      </c>
      <c r="N2" s="10">
        <f>350000000/140</f>
        <v>2500000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9" t="s">
        <v>136</v>
      </c>
    </row>
    <row r="3">
      <c r="A3" s="3" t="s">
        <v>131</v>
      </c>
      <c r="B3" s="3" t="s">
        <v>137</v>
      </c>
      <c r="C3" s="3" t="s">
        <v>138</v>
      </c>
      <c r="D3" s="3" t="s">
        <v>139</v>
      </c>
      <c r="E3" s="3" t="s">
        <v>30</v>
      </c>
      <c r="F3" s="4">
        <v>42124.0</v>
      </c>
      <c r="G3" s="3" t="s">
        <v>31</v>
      </c>
      <c r="H3" s="3" t="s">
        <v>37</v>
      </c>
      <c r="I3" s="4">
        <v>-6.1068994</v>
      </c>
      <c r="J3" s="4">
        <v>106.2006436</v>
      </c>
      <c r="K3" s="6" t="s">
        <v>140</v>
      </c>
      <c r="L3" s="10">
        <f t="shared" si="1"/>
        <v>4848111.658</v>
      </c>
      <c r="M3" s="10">
        <f>450000000/87</f>
        <v>5172413.793</v>
      </c>
      <c r="N3" s="10">
        <f>380000000/84</f>
        <v>4523809.524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9" t="s">
        <v>141</v>
      </c>
    </row>
    <row r="4">
      <c r="A4" s="3" t="s">
        <v>26</v>
      </c>
      <c r="B4" s="3" t="s">
        <v>142</v>
      </c>
      <c r="C4" s="3" t="s">
        <v>143</v>
      </c>
      <c r="D4" s="3" t="s">
        <v>144</v>
      </c>
      <c r="E4" s="3" t="s">
        <v>30</v>
      </c>
      <c r="F4" s="4">
        <v>42126.0</v>
      </c>
      <c r="G4" s="3" t="s">
        <v>31</v>
      </c>
      <c r="H4" s="5">
        <v>8.22E10</v>
      </c>
      <c r="I4" s="4">
        <v>-6.164743</v>
      </c>
      <c r="J4" s="4">
        <v>106.1386357</v>
      </c>
      <c r="K4" s="6" t="s">
        <v>145</v>
      </c>
      <c r="L4" s="10">
        <f t="shared" si="1"/>
        <v>2650000</v>
      </c>
      <c r="M4" s="10">
        <f>159000000/60</f>
        <v>2650000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9" t="s">
        <v>146</v>
      </c>
    </row>
    <row r="5">
      <c r="A5" s="3" t="s">
        <v>131</v>
      </c>
      <c r="B5" s="3" t="s">
        <v>147</v>
      </c>
      <c r="C5" s="3" t="s">
        <v>148</v>
      </c>
      <c r="D5" s="3" t="s">
        <v>134</v>
      </c>
      <c r="E5" s="3" t="s">
        <v>30</v>
      </c>
      <c r="F5" s="4">
        <v>42124.0</v>
      </c>
      <c r="G5" s="3" t="s">
        <v>31</v>
      </c>
      <c r="H5" s="5">
        <v>2.54E8</v>
      </c>
      <c r="I5" s="4">
        <v>-6.108235</v>
      </c>
      <c r="J5" s="4">
        <v>106.201414</v>
      </c>
      <c r="K5" s="6" t="s">
        <v>149</v>
      </c>
      <c r="L5" s="10" t="str">
        <f t="shared" si="1"/>
        <v/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8" t="s">
        <v>33</v>
      </c>
    </row>
    <row r="6">
      <c r="A6" s="3" t="s">
        <v>26</v>
      </c>
      <c r="B6" s="3" t="s">
        <v>150</v>
      </c>
      <c r="C6" s="3" t="s">
        <v>151</v>
      </c>
      <c r="D6" s="3" t="s">
        <v>152</v>
      </c>
      <c r="E6" s="3" t="s">
        <v>30</v>
      </c>
      <c r="F6" s="4">
        <v>42121.0</v>
      </c>
      <c r="G6" s="3" t="s">
        <v>31</v>
      </c>
      <c r="H6" s="3" t="s">
        <v>37</v>
      </c>
      <c r="I6" s="4">
        <v>-6.1333883</v>
      </c>
      <c r="J6" s="4">
        <v>106.1760779</v>
      </c>
      <c r="K6" s="6" t="s">
        <v>153</v>
      </c>
      <c r="L6" s="10">
        <f t="shared" si="1"/>
        <v>2985074.627</v>
      </c>
      <c r="M6" s="10">
        <f>600000000/201</f>
        <v>2985074.627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9" t="s">
        <v>154</v>
      </c>
    </row>
    <row r="7">
      <c r="A7" s="3" t="s">
        <v>131</v>
      </c>
      <c r="B7" s="3" t="s">
        <v>155</v>
      </c>
      <c r="C7" s="3" t="s">
        <v>156</v>
      </c>
      <c r="D7" s="3" t="s">
        <v>157</v>
      </c>
      <c r="E7" s="3" t="s">
        <v>30</v>
      </c>
      <c r="F7" s="4">
        <v>42122.0</v>
      </c>
      <c r="G7" s="3" t="s">
        <v>31</v>
      </c>
      <c r="H7" s="5">
        <v>2.55E9</v>
      </c>
      <c r="I7" s="4">
        <v>-6.1232994</v>
      </c>
      <c r="J7" s="4">
        <v>106.1972987</v>
      </c>
      <c r="K7" s="6" t="s">
        <v>158</v>
      </c>
      <c r="L7" s="10">
        <f t="shared" si="1"/>
        <v>7692307.692</v>
      </c>
      <c r="M7" s="10">
        <f>600000000/78</f>
        <v>7692307.692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9" t="s">
        <v>159</v>
      </c>
    </row>
    <row r="8">
      <c r="A8" s="3" t="s">
        <v>131</v>
      </c>
      <c r="B8" s="3" t="s">
        <v>160</v>
      </c>
      <c r="C8" s="3" t="s">
        <v>161</v>
      </c>
      <c r="D8" s="3" t="s">
        <v>139</v>
      </c>
      <c r="E8" s="3" t="s">
        <v>30</v>
      </c>
      <c r="F8" s="4">
        <v>42124.0</v>
      </c>
      <c r="G8" s="3" t="s">
        <v>31</v>
      </c>
      <c r="H8" s="3" t="s">
        <v>37</v>
      </c>
      <c r="I8" s="4">
        <v>-6.1186065</v>
      </c>
      <c r="J8" s="4">
        <v>106.1897796</v>
      </c>
      <c r="K8" s="6" t="s">
        <v>162</v>
      </c>
      <c r="L8" s="10">
        <f t="shared" si="1"/>
        <v>4722222.222</v>
      </c>
      <c r="M8" s="10">
        <f>340000000/72</f>
        <v>4722222.222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9" t="s">
        <v>163</v>
      </c>
    </row>
    <row r="9">
      <c r="A9" s="3" t="s">
        <v>26</v>
      </c>
      <c r="B9" s="3" t="s">
        <v>164</v>
      </c>
      <c r="C9" s="3" t="s">
        <v>165</v>
      </c>
      <c r="D9" s="3" t="s">
        <v>166</v>
      </c>
      <c r="E9" s="3" t="s">
        <v>30</v>
      </c>
      <c r="F9" s="4">
        <v>42127.0</v>
      </c>
      <c r="G9" s="3" t="s">
        <v>31</v>
      </c>
      <c r="H9" s="3" t="s">
        <v>37</v>
      </c>
      <c r="I9" s="4">
        <v>-6.1412227</v>
      </c>
      <c r="J9" s="4">
        <v>106.1525369</v>
      </c>
      <c r="K9" s="6" t="s">
        <v>167</v>
      </c>
      <c r="L9" s="10">
        <f t="shared" si="1"/>
        <v>7621951.22</v>
      </c>
      <c r="M9" s="10">
        <f>2500000000/300</f>
        <v>8333333.333</v>
      </c>
      <c r="N9" s="10">
        <f>625000000/120</f>
        <v>5208333.333</v>
      </c>
      <c r="O9" s="10">
        <f>1600000000/90</f>
        <v>17777777.78</v>
      </c>
      <c r="P9" s="10">
        <f>2500000000/300</f>
        <v>8333333.333</v>
      </c>
      <c r="Q9" s="10">
        <f>450000000/120</f>
        <v>3750000</v>
      </c>
      <c r="R9" s="10">
        <f>350000000/90</f>
        <v>3888888.889</v>
      </c>
      <c r="S9" s="10">
        <f>985000000/112</f>
        <v>8794642.857</v>
      </c>
      <c r="T9" s="10">
        <f>1210000000/96</f>
        <v>12604166.67</v>
      </c>
      <c r="U9" s="10">
        <f>520000000/96</f>
        <v>5416666.667</v>
      </c>
      <c r="V9" s="10">
        <f>600000000/65</f>
        <v>9230769.231</v>
      </c>
      <c r="W9" s="10">
        <f>1700000000/246</f>
        <v>6910569.106</v>
      </c>
      <c r="X9" s="10">
        <f>850000000/185</f>
        <v>4594594.595</v>
      </c>
      <c r="Y9" s="10"/>
      <c r="Z9" s="9" t="s">
        <v>168</v>
      </c>
    </row>
    <row r="10">
      <c r="A10" s="3" t="s">
        <v>26</v>
      </c>
      <c r="B10" s="3" t="s">
        <v>169</v>
      </c>
      <c r="C10" s="3" t="s">
        <v>170</v>
      </c>
      <c r="D10" s="3" t="s">
        <v>171</v>
      </c>
      <c r="E10" s="3" t="s">
        <v>30</v>
      </c>
      <c r="F10" s="4">
        <v>42125.0</v>
      </c>
      <c r="G10" s="3" t="s">
        <v>31</v>
      </c>
      <c r="H10" s="3" t="s">
        <v>37</v>
      </c>
      <c r="I10" s="4">
        <v>-6.1572255</v>
      </c>
      <c r="J10" s="4">
        <v>106.1588811</v>
      </c>
      <c r="K10" s="6" t="s">
        <v>172</v>
      </c>
      <c r="L10" s="10" t="str">
        <f t="shared" si="1"/>
        <v/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8" t="s">
        <v>33</v>
      </c>
    </row>
    <row r="11">
      <c r="A11" s="3" t="s">
        <v>26</v>
      </c>
      <c r="B11" s="3" t="s">
        <v>173</v>
      </c>
      <c r="C11" s="3" t="s">
        <v>174</v>
      </c>
      <c r="D11" s="3" t="s">
        <v>175</v>
      </c>
      <c r="E11" s="3" t="s">
        <v>30</v>
      </c>
      <c r="F11" s="4">
        <v>42121.0</v>
      </c>
      <c r="G11" s="3" t="s">
        <v>31</v>
      </c>
      <c r="H11" s="3" t="s">
        <v>37</v>
      </c>
      <c r="I11" s="4">
        <v>-6.1379636</v>
      </c>
      <c r="J11" s="4">
        <v>106.1797493</v>
      </c>
      <c r="K11" s="6" t="s">
        <v>176</v>
      </c>
      <c r="L11" s="10" t="str">
        <f t="shared" si="1"/>
        <v/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8" t="s">
        <v>33</v>
      </c>
    </row>
    <row r="12">
      <c r="A12" s="3" t="s">
        <v>131</v>
      </c>
      <c r="B12" s="3" t="s">
        <v>177</v>
      </c>
      <c r="C12" s="3" t="s">
        <v>178</v>
      </c>
      <c r="D12" s="3" t="s">
        <v>179</v>
      </c>
      <c r="E12" s="3" t="s">
        <v>30</v>
      </c>
      <c r="F12" s="4">
        <v>42123.0</v>
      </c>
      <c r="G12" s="3" t="s">
        <v>31</v>
      </c>
      <c r="H12" s="5">
        <v>2.54E9</v>
      </c>
      <c r="I12" s="4">
        <v>-6.1481097</v>
      </c>
      <c r="J12" s="4">
        <v>106.1891642</v>
      </c>
      <c r="K12" s="6" t="s">
        <v>180</v>
      </c>
      <c r="L12" s="10">
        <f t="shared" si="1"/>
        <v>6785714.286</v>
      </c>
      <c r="M12" s="10">
        <f>950000000/140</f>
        <v>6785714.286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9" t="s">
        <v>181</v>
      </c>
    </row>
    <row r="13">
      <c r="A13" s="3" t="s">
        <v>86</v>
      </c>
      <c r="B13" s="3" t="s">
        <v>182</v>
      </c>
      <c r="C13" s="3" t="s">
        <v>183</v>
      </c>
      <c r="D13" s="3" t="s">
        <v>184</v>
      </c>
      <c r="E13" s="3" t="s">
        <v>30</v>
      </c>
      <c r="F13" s="4">
        <v>42123.0</v>
      </c>
      <c r="G13" s="3" t="s">
        <v>31</v>
      </c>
      <c r="H13" s="3" t="s">
        <v>37</v>
      </c>
      <c r="I13" s="4">
        <v>-6.1514563</v>
      </c>
      <c r="J13" s="4">
        <v>106.1783914</v>
      </c>
      <c r="K13" s="6" t="s">
        <v>185</v>
      </c>
      <c r="L13" s="10">
        <f t="shared" si="1"/>
        <v>4500000</v>
      </c>
      <c r="M13" s="10">
        <f>450000000/100</f>
        <v>4500000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9" t="s">
        <v>186</v>
      </c>
    </row>
    <row r="14">
      <c r="A14" s="3" t="s">
        <v>131</v>
      </c>
      <c r="B14" s="3" t="s">
        <v>187</v>
      </c>
      <c r="C14" s="3" t="s">
        <v>188</v>
      </c>
      <c r="D14" s="3" t="s">
        <v>189</v>
      </c>
      <c r="E14" s="3" t="s">
        <v>30</v>
      </c>
      <c r="F14" s="4">
        <v>42121.0</v>
      </c>
      <c r="G14" s="3" t="s">
        <v>31</v>
      </c>
      <c r="H14" s="3" t="s">
        <v>37</v>
      </c>
      <c r="I14" s="4">
        <v>-6.1350625</v>
      </c>
      <c r="J14" s="4">
        <v>106.1699975</v>
      </c>
      <c r="K14" s="6" t="s">
        <v>190</v>
      </c>
      <c r="L14" s="10" t="str">
        <f t="shared" si="1"/>
        <v/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8" t="s">
        <v>33</v>
      </c>
    </row>
    <row r="15">
      <c r="A15" s="3" t="s">
        <v>86</v>
      </c>
      <c r="B15" s="3" t="s">
        <v>191</v>
      </c>
      <c r="C15" s="3" t="s">
        <v>192</v>
      </c>
      <c r="D15" s="3" t="s">
        <v>157</v>
      </c>
      <c r="E15" s="3" t="s">
        <v>30</v>
      </c>
      <c r="F15" s="4">
        <v>42122.0</v>
      </c>
      <c r="G15" s="3" t="s">
        <v>31</v>
      </c>
      <c r="H15" s="3" t="s">
        <v>37</v>
      </c>
      <c r="I15" s="4">
        <v>-6.1338102</v>
      </c>
      <c r="J15" s="4">
        <v>106.2021164</v>
      </c>
      <c r="K15" s="6" t="s">
        <v>193</v>
      </c>
      <c r="L15" s="10" t="str">
        <f t="shared" si="1"/>
        <v/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8" t="s">
        <v>33</v>
      </c>
    </row>
    <row r="16">
      <c r="A16" s="3" t="s">
        <v>131</v>
      </c>
      <c r="B16" s="3" t="s">
        <v>194</v>
      </c>
      <c r="C16" s="3" t="s">
        <v>195</v>
      </c>
      <c r="D16" s="3" t="s">
        <v>196</v>
      </c>
      <c r="E16" s="3" t="s">
        <v>30</v>
      </c>
      <c r="F16" s="4">
        <v>42123.0</v>
      </c>
      <c r="G16" s="3" t="s">
        <v>31</v>
      </c>
      <c r="H16" s="5">
        <v>8.11E9</v>
      </c>
      <c r="I16" s="4">
        <v>-6.1587956</v>
      </c>
      <c r="J16" s="4">
        <v>106.1854754</v>
      </c>
      <c r="K16" s="6" t="s">
        <v>197</v>
      </c>
      <c r="L16" s="10">
        <f t="shared" si="1"/>
        <v>3666666.667</v>
      </c>
      <c r="M16" s="10">
        <f>550000000/150</f>
        <v>3666666.667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9" t="s">
        <v>198</v>
      </c>
    </row>
    <row r="17">
      <c r="A17" s="3" t="s">
        <v>26</v>
      </c>
      <c r="B17" s="3" t="s">
        <v>199</v>
      </c>
      <c r="C17" s="3" t="s">
        <v>200</v>
      </c>
      <c r="D17" s="3" t="s">
        <v>201</v>
      </c>
      <c r="E17" s="3" t="s">
        <v>30</v>
      </c>
      <c r="F17" s="4">
        <v>42127.0</v>
      </c>
      <c r="G17" s="3" t="s">
        <v>31</v>
      </c>
      <c r="H17" s="3" t="s">
        <v>37</v>
      </c>
      <c r="I17" s="4">
        <v>-6.1393336</v>
      </c>
      <c r="J17" s="4">
        <v>106.1491614</v>
      </c>
      <c r="K17" s="6" t="s">
        <v>202</v>
      </c>
      <c r="L17" s="10">
        <f t="shared" si="1"/>
        <v>3173076.923</v>
      </c>
      <c r="M17" s="10">
        <f>300000000/78</f>
        <v>3846153.846</v>
      </c>
      <c r="N17" s="10">
        <f>150000000/60</f>
        <v>2500000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9" t="s">
        <v>203</v>
      </c>
    </row>
    <row r="18">
      <c r="A18" s="3" t="s">
        <v>131</v>
      </c>
      <c r="B18" s="3" t="s">
        <v>204</v>
      </c>
      <c r="C18" s="3" t="s">
        <v>205</v>
      </c>
      <c r="D18" s="3" t="s">
        <v>206</v>
      </c>
      <c r="E18" s="3" t="s">
        <v>30</v>
      </c>
      <c r="F18" s="4">
        <v>42123.0</v>
      </c>
      <c r="G18" s="3" t="s">
        <v>31</v>
      </c>
      <c r="H18" s="5">
        <v>8.97E10</v>
      </c>
      <c r="I18" s="4">
        <v>-6.1476915</v>
      </c>
      <c r="J18" s="4">
        <v>106.1895042</v>
      </c>
      <c r="K18" s="6" t="s">
        <v>207</v>
      </c>
      <c r="L18" s="10">
        <f t="shared" si="1"/>
        <v>3038461.538</v>
      </c>
      <c r="M18" s="10">
        <f>270000000/90</f>
        <v>3000000</v>
      </c>
      <c r="N18" s="10">
        <f>200000000/100</f>
        <v>2000000</v>
      </c>
      <c r="O18" s="10">
        <f>5000000000/1625</f>
        <v>3076923.077</v>
      </c>
      <c r="P18" s="10">
        <f>899000000/140</f>
        <v>6421428.571</v>
      </c>
      <c r="Q18" s="10"/>
      <c r="R18" s="10"/>
      <c r="S18" s="10"/>
      <c r="T18" s="10"/>
      <c r="U18" s="10"/>
      <c r="V18" s="10"/>
      <c r="W18" s="10"/>
      <c r="X18" s="10"/>
      <c r="Y18" s="10"/>
      <c r="Z18" s="9" t="s">
        <v>208</v>
      </c>
    </row>
    <row r="19">
      <c r="A19" s="3" t="s">
        <v>26</v>
      </c>
      <c r="B19" s="3" t="s">
        <v>209</v>
      </c>
      <c r="C19" s="3" t="s">
        <v>210</v>
      </c>
      <c r="D19" s="3" t="s">
        <v>184</v>
      </c>
      <c r="E19" s="3" t="s">
        <v>30</v>
      </c>
      <c r="F19" s="4">
        <v>42123.0</v>
      </c>
      <c r="G19" s="3" t="s">
        <v>31</v>
      </c>
      <c r="H19" s="3" t="s">
        <v>37</v>
      </c>
      <c r="I19" s="4">
        <v>-6.1448853</v>
      </c>
      <c r="J19" s="4">
        <v>106.1969071</v>
      </c>
      <c r="K19" s="6" t="s">
        <v>211</v>
      </c>
      <c r="L19" s="10">
        <f t="shared" si="1"/>
        <v>5092592.593</v>
      </c>
      <c r="M19" s="10">
        <f>550000000/108</f>
        <v>5092592.593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9" t="s">
        <v>212</v>
      </c>
    </row>
    <row r="20">
      <c r="A20" s="3" t="s">
        <v>26</v>
      </c>
      <c r="B20" s="3" t="s">
        <v>213</v>
      </c>
      <c r="C20" s="3" t="s">
        <v>214</v>
      </c>
      <c r="D20" s="3" t="s">
        <v>215</v>
      </c>
      <c r="E20" s="3" t="s">
        <v>30</v>
      </c>
      <c r="F20" s="4">
        <v>42121.0</v>
      </c>
      <c r="G20" s="3" t="s">
        <v>31</v>
      </c>
      <c r="H20" s="3" t="s">
        <v>37</v>
      </c>
      <c r="I20" s="4">
        <v>-6.1485007</v>
      </c>
      <c r="J20" s="4">
        <v>106.1710407</v>
      </c>
      <c r="K20" s="6" t="s">
        <v>216</v>
      </c>
      <c r="L20" s="10">
        <f t="shared" si="1"/>
        <v>3800000</v>
      </c>
      <c r="M20" s="10">
        <f>170000000/60</f>
        <v>2833333.333</v>
      </c>
      <c r="N20" s="10">
        <f>270000000/75</f>
        <v>3600000</v>
      </c>
      <c r="O20" s="10">
        <f>170000000/60</f>
        <v>2833333.333</v>
      </c>
      <c r="P20" s="10">
        <f>600000000/150</f>
        <v>4000000</v>
      </c>
      <c r="Q20" s="10">
        <f>690000000/100</f>
        <v>6900000</v>
      </c>
      <c r="R20" s="10">
        <f>900000000/148</f>
        <v>6081081.081</v>
      </c>
      <c r="S20" s="10"/>
      <c r="T20" s="10"/>
      <c r="U20" s="10"/>
      <c r="V20" s="10"/>
      <c r="W20" s="10"/>
      <c r="X20" s="10"/>
      <c r="Y20" s="10"/>
      <c r="Z20" s="9" t="s">
        <v>217</v>
      </c>
    </row>
    <row r="21">
      <c r="A21" s="3" t="s">
        <v>26</v>
      </c>
      <c r="B21" s="3" t="s">
        <v>218</v>
      </c>
      <c r="C21" s="3" t="s">
        <v>219</v>
      </c>
      <c r="D21" s="3" t="s">
        <v>171</v>
      </c>
      <c r="E21" s="3" t="s">
        <v>30</v>
      </c>
      <c r="F21" s="4">
        <v>42128.0</v>
      </c>
      <c r="G21" s="3" t="s">
        <v>31</v>
      </c>
      <c r="H21" s="5">
        <v>8.13E10</v>
      </c>
      <c r="I21" s="4">
        <v>-6.1512717</v>
      </c>
      <c r="J21" s="4">
        <v>106.1430965</v>
      </c>
      <c r="K21" s="6" t="s">
        <v>220</v>
      </c>
      <c r="L21" s="10">
        <f t="shared" si="1"/>
        <v>2766666.667</v>
      </c>
      <c r="M21" s="10">
        <f>166000000/60</f>
        <v>2766666.667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9" t="s">
        <v>221</v>
      </c>
    </row>
    <row r="22">
      <c r="A22" s="3" t="s">
        <v>26</v>
      </c>
      <c r="B22" s="3" t="s">
        <v>222</v>
      </c>
      <c r="C22" s="3" t="s">
        <v>223</v>
      </c>
      <c r="D22" s="3" t="s">
        <v>171</v>
      </c>
      <c r="E22" s="3" t="s">
        <v>30</v>
      </c>
      <c r="F22" s="4">
        <v>42127.0</v>
      </c>
      <c r="G22" s="3" t="s">
        <v>31</v>
      </c>
      <c r="H22" s="5">
        <v>8.13E10</v>
      </c>
      <c r="I22" s="4">
        <v>-6.1413254</v>
      </c>
      <c r="J22" s="4">
        <v>106.1408811</v>
      </c>
      <c r="K22" s="6" t="s">
        <v>224</v>
      </c>
      <c r="L22" s="10" t="str">
        <f t="shared" si="1"/>
        <v/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8" t="s">
        <v>33</v>
      </c>
    </row>
    <row r="23">
      <c r="A23" s="3" t="s">
        <v>225</v>
      </c>
      <c r="B23" s="3" t="s">
        <v>226</v>
      </c>
      <c r="C23" s="3" t="s">
        <v>227</v>
      </c>
      <c r="D23" s="3" t="s">
        <v>228</v>
      </c>
      <c r="E23" s="3" t="s">
        <v>30</v>
      </c>
      <c r="F23" s="4">
        <v>42123.0</v>
      </c>
      <c r="G23" s="3" t="s">
        <v>31</v>
      </c>
      <c r="H23" s="3" t="s">
        <v>37</v>
      </c>
      <c r="I23" s="4">
        <v>-6.1547464</v>
      </c>
      <c r="J23" s="4">
        <v>106.186849</v>
      </c>
      <c r="K23" s="6" t="s">
        <v>229</v>
      </c>
      <c r="L23" s="10">
        <f t="shared" si="1"/>
        <v>2766666.667</v>
      </c>
      <c r="M23" s="10">
        <f>166000000/60</f>
        <v>2766666.667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9" t="s">
        <v>230</v>
      </c>
    </row>
    <row r="24">
      <c r="A24" s="3" t="s">
        <v>26</v>
      </c>
      <c r="B24" s="3" t="s">
        <v>231</v>
      </c>
      <c r="C24" s="3" t="s">
        <v>232</v>
      </c>
      <c r="D24" s="3" t="s">
        <v>157</v>
      </c>
      <c r="E24" s="3" t="s">
        <v>30</v>
      </c>
      <c r="F24" s="4">
        <v>42122.0</v>
      </c>
      <c r="G24" s="3" t="s">
        <v>31</v>
      </c>
      <c r="H24" s="3" t="s">
        <v>37</v>
      </c>
      <c r="I24" s="4">
        <v>-6.1262151</v>
      </c>
      <c r="J24" s="4">
        <v>106.1909281</v>
      </c>
      <c r="K24" s="6" t="s">
        <v>233</v>
      </c>
      <c r="L24" s="10">
        <f t="shared" si="1"/>
        <v>7365196.078</v>
      </c>
      <c r="M24" s="10">
        <f>875000000/170</f>
        <v>5147058.824</v>
      </c>
      <c r="N24" s="10">
        <f>1150000000/120</f>
        <v>9583333.333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9" t="s">
        <v>234</v>
      </c>
    </row>
    <row r="25">
      <c r="A25" s="3" t="s">
        <v>26</v>
      </c>
      <c r="B25" s="3" t="s">
        <v>235</v>
      </c>
      <c r="C25" s="3" t="s">
        <v>236</v>
      </c>
      <c r="D25" s="3" t="s">
        <v>237</v>
      </c>
      <c r="E25" s="3" t="s">
        <v>30</v>
      </c>
      <c r="F25" s="4">
        <v>42128.0</v>
      </c>
      <c r="G25" s="3" t="s">
        <v>31</v>
      </c>
      <c r="H25" s="5">
        <v>8.78E10</v>
      </c>
      <c r="I25" s="4">
        <v>-6.1481515</v>
      </c>
      <c r="J25" s="4">
        <v>106.140179</v>
      </c>
      <c r="K25" s="6" t="s">
        <v>238</v>
      </c>
      <c r="L25" s="10" t="str">
        <f t="shared" si="1"/>
        <v/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8" t="s">
        <v>33</v>
      </c>
    </row>
    <row r="26">
      <c r="A26" s="3" t="s">
        <v>26</v>
      </c>
      <c r="B26" s="3" t="s">
        <v>239</v>
      </c>
      <c r="C26" s="3" t="s">
        <v>240</v>
      </c>
      <c r="D26" s="3" t="s">
        <v>241</v>
      </c>
      <c r="E26" s="3" t="s">
        <v>30</v>
      </c>
      <c r="F26" s="4">
        <v>42162.0</v>
      </c>
      <c r="G26" s="3" t="s">
        <v>31</v>
      </c>
      <c r="H26" s="3" t="s">
        <v>37</v>
      </c>
      <c r="I26" s="4">
        <v>-6.1507463</v>
      </c>
      <c r="J26" s="4">
        <v>106.1455414</v>
      </c>
      <c r="K26" s="6" t="s">
        <v>242</v>
      </c>
      <c r="L26" s="10">
        <f t="shared" si="1"/>
        <v>2666666.667</v>
      </c>
      <c r="M26" s="10">
        <f>160000000/60</f>
        <v>2666666.667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9" t="s">
        <v>243</v>
      </c>
    </row>
    <row r="27">
      <c r="A27" s="3" t="s">
        <v>26</v>
      </c>
      <c r="B27" s="3" t="s">
        <v>244</v>
      </c>
      <c r="C27" s="3" t="s">
        <v>245</v>
      </c>
      <c r="D27" s="3" t="s">
        <v>246</v>
      </c>
      <c r="E27" s="3" t="s">
        <v>30</v>
      </c>
      <c r="F27" s="4">
        <v>42171.0</v>
      </c>
      <c r="G27" s="3" t="s">
        <v>31</v>
      </c>
      <c r="H27" s="5">
        <v>8.58E10</v>
      </c>
      <c r="I27" s="4">
        <v>-6.1579158</v>
      </c>
      <c r="J27" s="4">
        <v>106.1716748</v>
      </c>
      <c r="K27" s="6" t="s">
        <v>247</v>
      </c>
      <c r="L27" s="10">
        <f t="shared" si="1"/>
        <v>5208333.333</v>
      </c>
      <c r="M27" s="10">
        <f>375000000/72</f>
        <v>5208333.333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9" t="s">
        <v>248</v>
      </c>
    </row>
    <row r="28">
      <c r="A28" s="3" t="s">
        <v>26</v>
      </c>
      <c r="B28" s="3" t="s">
        <v>249</v>
      </c>
      <c r="C28" s="3" t="s">
        <v>250</v>
      </c>
      <c r="D28" s="3" t="s">
        <v>251</v>
      </c>
      <c r="E28" s="3" t="s">
        <v>30</v>
      </c>
      <c r="F28" s="4">
        <v>42125.0</v>
      </c>
      <c r="G28" s="3" t="s">
        <v>31</v>
      </c>
      <c r="H28" s="3" t="s">
        <v>37</v>
      </c>
      <c r="I28" s="4">
        <v>-6.1581618</v>
      </c>
      <c r="J28" s="4">
        <v>106.160081</v>
      </c>
      <c r="K28" s="6" t="s">
        <v>252</v>
      </c>
      <c r="L28" s="10">
        <f t="shared" si="1"/>
        <v>5519480.519</v>
      </c>
      <c r="M28" s="10">
        <f>850000000/154</f>
        <v>5519480.519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9" t="s">
        <v>253</v>
      </c>
    </row>
    <row r="29">
      <c r="A29" s="3" t="s">
        <v>86</v>
      </c>
      <c r="B29" s="3" t="s">
        <v>254</v>
      </c>
      <c r="C29" s="3" t="s">
        <v>255</v>
      </c>
      <c r="D29" s="3" t="s">
        <v>184</v>
      </c>
      <c r="E29" s="3" t="s">
        <v>30</v>
      </c>
      <c r="F29" s="4">
        <v>42123.0</v>
      </c>
      <c r="G29" s="3" t="s">
        <v>31</v>
      </c>
      <c r="H29" s="3" t="s">
        <v>37</v>
      </c>
      <c r="I29" s="4">
        <v>-6.1677928</v>
      </c>
      <c r="J29" s="4">
        <v>106.1777453</v>
      </c>
      <c r="K29" s="6" t="s">
        <v>256</v>
      </c>
      <c r="L29" s="10" t="str">
        <f t="shared" si="1"/>
        <v/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8" t="s">
        <v>33</v>
      </c>
    </row>
    <row r="30">
      <c r="A30" s="3" t="s">
        <v>26</v>
      </c>
      <c r="B30" s="3" t="s">
        <v>257</v>
      </c>
      <c r="C30" s="3" t="s">
        <v>258</v>
      </c>
      <c r="D30" s="3" t="s">
        <v>259</v>
      </c>
      <c r="E30" s="3" t="s">
        <v>30</v>
      </c>
      <c r="F30" s="4">
        <v>42128.0</v>
      </c>
      <c r="G30" s="3" t="s">
        <v>31</v>
      </c>
      <c r="H30" s="5">
        <v>8.78E10</v>
      </c>
      <c r="I30" s="4">
        <v>-6.1550731</v>
      </c>
      <c r="J30" s="4">
        <v>106.1289928</v>
      </c>
      <c r="K30" s="6" t="s">
        <v>260</v>
      </c>
      <c r="L30" s="10">
        <f t="shared" si="1"/>
        <v>3333333.338</v>
      </c>
      <c r="M30" s="10">
        <f>266666667/80</f>
        <v>3333333.338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9" t="s">
        <v>261</v>
      </c>
    </row>
    <row r="31">
      <c r="A31" s="3" t="s">
        <v>26</v>
      </c>
      <c r="B31" s="3" t="s">
        <v>262</v>
      </c>
      <c r="C31" s="3" t="s">
        <v>263</v>
      </c>
      <c r="D31" s="3" t="s">
        <v>152</v>
      </c>
      <c r="E31" s="3" t="s">
        <v>30</v>
      </c>
      <c r="F31" s="4">
        <v>42121.0</v>
      </c>
      <c r="G31" s="3" t="s">
        <v>31</v>
      </c>
      <c r="H31" s="3" t="s">
        <v>37</v>
      </c>
      <c r="I31" s="4">
        <v>-6.1463054</v>
      </c>
      <c r="J31" s="4">
        <v>106.1769769</v>
      </c>
      <c r="K31" s="6" t="s">
        <v>264</v>
      </c>
      <c r="L31" s="10">
        <f t="shared" si="1"/>
        <v>5000000</v>
      </c>
      <c r="M31" s="10">
        <f>300000000/60</f>
        <v>5000000</v>
      </c>
      <c r="N31" s="10">
        <f>240000000/72</f>
        <v>3333333.333</v>
      </c>
      <c r="O31" s="10">
        <f>450000000/60</f>
        <v>7500000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 t="s">
        <v>265</v>
      </c>
    </row>
    <row r="32">
      <c r="A32" s="3" t="s">
        <v>26</v>
      </c>
      <c r="B32" s="3" t="s">
        <v>266</v>
      </c>
      <c r="C32" s="3" t="s">
        <v>255</v>
      </c>
      <c r="D32" s="3" t="s">
        <v>184</v>
      </c>
      <c r="E32" s="3" t="s">
        <v>30</v>
      </c>
      <c r="F32" s="4">
        <v>42123.0</v>
      </c>
      <c r="G32" s="3" t="s">
        <v>31</v>
      </c>
      <c r="H32" s="5">
        <v>8.79E10</v>
      </c>
      <c r="I32" s="4">
        <v>-6.145415</v>
      </c>
      <c r="J32" s="4">
        <v>106.1928536</v>
      </c>
      <c r="K32" s="6" t="s">
        <v>267</v>
      </c>
      <c r="L32" s="10" t="str">
        <f t="shared" si="1"/>
        <v/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8" t="s">
        <v>33</v>
      </c>
    </row>
    <row r="33">
      <c r="A33" s="3" t="s">
        <v>26</v>
      </c>
      <c r="B33" s="3" t="s">
        <v>268</v>
      </c>
      <c r="C33" s="3" t="s">
        <v>269</v>
      </c>
      <c r="D33" s="3" t="s">
        <v>270</v>
      </c>
      <c r="E33" s="3" t="s">
        <v>30</v>
      </c>
      <c r="F33" s="4">
        <v>42124.0</v>
      </c>
      <c r="G33" s="3" t="s">
        <v>31</v>
      </c>
      <c r="H33" s="3" t="s">
        <v>37</v>
      </c>
      <c r="I33" s="4">
        <v>-6.1230604</v>
      </c>
      <c r="J33" s="4">
        <v>106.200601</v>
      </c>
      <c r="K33" s="6" t="s">
        <v>271</v>
      </c>
      <c r="L33" s="10">
        <f t="shared" si="1"/>
        <v>2358490.566</v>
      </c>
      <c r="M33" s="10">
        <f>250000000/106</f>
        <v>2358490.566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 t="s">
        <v>272</v>
      </c>
    </row>
    <row r="34">
      <c r="A34" s="3" t="s">
        <v>26</v>
      </c>
      <c r="B34" s="3" t="s">
        <v>273</v>
      </c>
      <c r="C34" s="3" t="s">
        <v>274</v>
      </c>
      <c r="D34" s="3" t="s">
        <v>275</v>
      </c>
      <c r="E34" s="3" t="s">
        <v>30</v>
      </c>
      <c r="F34" s="4">
        <v>42126.0</v>
      </c>
      <c r="G34" s="3" t="s">
        <v>31</v>
      </c>
      <c r="H34" s="3" t="s">
        <v>37</v>
      </c>
      <c r="I34" s="4">
        <v>-6.1557074</v>
      </c>
      <c r="J34" s="4">
        <v>106.1483195</v>
      </c>
      <c r="K34" s="6" t="s">
        <v>276</v>
      </c>
      <c r="L34" s="10" t="str">
        <f t="shared" si="1"/>
        <v/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8" t="s">
        <v>33</v>
      </c>
    </row>
    <row r="35">
      <c r="A35" s="3" t="s">
        <v>86</v>
      </c>
      <c r="B35" s="3" t="s">
        <v>277</v>
      </c>
      <c r="C35" s="3" t="s">
        <v>278</v>
      </c>
      <c r="D35" s="3" t="s">
        <v>279</v>
      </c>
      <c r="E35" s="3" t="s">
        <v>30</v>
      </c>
      <c r="F35" s="4">
        <v>42124.0</v>
      </c>
      <c r="G35" s="3" t="s">
        <v>31</v>
      </c>
      <c r="H35" s="5">
        <v>8.12E9</v>
      </c>
      <c r="I35" s="4">
        <v>-6.1156318</v>
      </c>
      <c r="J35" s="4">
        <v>106.2002737</v>
      </c>
      <c r="K35" s="6" t="s">
        <v>280</v>
      </c>
      <c r="L35" s="10">
        <f t="shared" si="1"/>
        <v>6250000</v>
      </c>
      <c r="M35" s="10">
        <f>450000000/72</f>
        <v>6250000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 t="s">
        <v>281</v>
      </c>
    </row>
    <row r="36">
      <c r="A36" s="3" t="s">
        <v>26</v>
      </c>
      <c r="B36" s="3" t="s">
        <v>282</v>
      </c>
      <c r="C36" s="3" t="s">
        <v>283</v>
      </c>
      <c r="D36" s="3" t="s">
        <v>152</v>
      </c>
      <c r="E36" s="3" t="s">
        <v>30</v>
      </c>
      <c r="F36" s="4">
        <v>42121.0</v>
      </c>
      <c r="G36" s="3" t="s">
        <v>31</v>
      </c>
      <c r="H36" s="5">
        <v>8.12E9</v>
      </c>
      <c r="I36" s="4">
        <v>-6.1328583</v>
      </c>
      <c r="J36" s="4">
        <v>106.1769041</v>
      </c>
      <c r="K36" s="6" t="s">
        <v>284</v>
      </c>
      <c r="L36" s="10">
        <f t="shared" si="1"/>
        <v>6930555.556</v>
      </c>
      <c r="M36" s="10">
        <f>499000000/72</f>
        <v>6930555.556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 t="s">
        <v>285</v>
      </c>
    </row>
    <row r="37">
      <c r="A37" s="3" t="s">
        <v>26</v>
      </c>
      <c r="B37" s="3" t="s">
        <v>286</v>
      </c>
      <c r="C37" s="3" t="s">
        <v>287</v>
      </c>
      <c r="D37" s="3" t="s">
        <v>270</v>
      </c>
      <c r="E37" s="3" t="s">
        <v>30</v>
      </c>
      <c r="F37" s="4">
        <v>42124.0</v>
      </c>
      <c r="G37" s="3" t="s">
        <v>31</v>
      </c>
      <c r="H37" s="3" t="s">
        <v>37</v>
      </c>
      <c r="I37" s="4">
        <v>-6.1228021</v>
      </c>
      <c r="J37" s="4">
        <v>106.2006028</v>
      </c>
      <c r="K37" s="6" t="s">
        <v>288</v>
      </c>
      <c r="L37" s="10">
        <f t="shared" si="1"/>
        <v>2777777.778</v>
      </c>
      <c r="M37" s="10">
        <f>300000000/108</f>
        <v>2777777.778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9" t="s">
        <v>289</v>
      </c>
    </row>
    <row r="38">
      <c r="A38" s="3" t="s">
        <v>26</v>
      </c>
      <c r="B38" s="3" t="s">
        <v>290</v>
      </c>
      <c r="C38" s="3" t="s">
        <v>291</v>
      </c>
      <c r="D38" s="3" t="s">
        <v>292</v>
      </c>
      <c r="E38" s="3" t="s">
        <v>30</v>
      </c>
      <c r="F38" s="4">
        <v>42126.0</v>
      </c>
      <c r="G38" s="3" t="s">
        <v>31</v>
      </c>
      <c r="H38" s="3" t="s">
        <v>37</v>
      </c>
      <c r="I38" s="4">
        <v>-6.1660881</v>
      </c>
      <c r="J38" s="4">
        <v>106.1345367</v>
      </c>
      <c r="K38" s="6" t="s">
        <v>293</v>
      </c>
      <c r="L38" s="10">
        <f t="shared" si="1"/>
        <v>2285714.286</v>
      </c>
      <c r="M38" s="10">
        <f>160000000/70</f>
        <v>2285714.286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 t="s">
        <v>294</v>
      </c>
    </row>
    <row r="39">
      <c r="A39" s="3" t="s">
        <v>26</v>
      </c>
      <c r="B39" s="3" t="s">
        <v>295</v>
      </c>
      <c r="C39" s="3" t="s">
        <v>296</v>
      </c>
      <c r="D39" s="3" t="s">
        <v>157</v>
      </c>
      <c r="E39" s="3" t="s">
        <v>30</v>
      </c>
      <c r="F39" s="4">
        <v>42122.0</v>
      </c>
      <c r="G39" s="3" t="s">
        <v>31</v>
      </c>
      <c r="H39" s="5">
        <v>8.22E10</v>
      </c>
      <c r="I39" s="4">
        <v>-6.1289092</v>
      </c>
      <c r="J39" s="4">
        <v>106.1937741</v>
      </c>
      <c r="K39" s="6" t="s">
        <v>297</v>
      </c>
      <c r="L39" s="10">
        <f t="shared" si="1"/>
        <v>8325000</v>
      </c>
      <c r="M39" s="10">
        <f>999000000/120</f>
        <v>8325000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 t="s">
        <v>298</v>
      </c>
    </row>
    <row r="40">
      <c r="A40" s="3" t="s">
        <v>26</v>
      </c>
      <c r="B40" s="3" t="s">
        <v>299</v>
      </c>
      <c r="C40" s="3" t="s">
        <v>170</v>
      </c>
      <c r="D40" s="3" t="s">
        <v>171</v>
      </c>
      <c r="E40" s="3" t="s">
        <v>30</v>
      </c>
      <c r="F40" s="4">
        <v>42125.0</v>
      </c>
      <c r="G40" s="3" t="s">
        <v>31</v>
      </c>
      <c r="H40" s="3" t="s">
        <v>37</v>
      </c>
      <c r="I40" s="4">
        <v>-6.1481514</v>
      </c>
      <c r="J40" s="4">
        <v>106.166314</v>
      </c>
      <c r="K40" s="6" t="s">
        <v>300</v>
      </c>
      <c r="L40" s="10" t="str">
        <f t="shared" si="1"/>
        <v/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8" t="s">
        <v>33</v>
      </c>
    </row>
    <row r="41">
      <c r="J41" s="7">
        <f>sum(K41:Y41)</f>
        <v>92</v>
      </c>
      <c r="K41" s="7">
        <f>COUNTA(K2:K40)</f>
        <v>39</v>
      </c>
      <c r="M41" s="7">
        <f t="shared" ref="M41:Y41" si="2">COUNTA(M2:M40)</f>
        <v>28</v>
      </c>
      <c r="N41" s="7">
        <f t="shared" si="2"/>
        <v>8</v>
      </c>
      <c r="O41" s="7">
        <f t="shared" si="2"/>
        <v>4</v>
      </c>
      <c r="P41" s="7">
        <f t="shared" si="2"/>
        <v>3</v>
      </c>
      <c r="Q41" s="7">
        <f t="shared" si="2"/>
        <v>2</v>
      </c>
      <c r="R41" s="7">
        <f t="shared" si="2"/>
        <v>2</v>
      </c>
      <c r="S41" s="7">
        <f t="shared" si="2"/>
        <v>1</v>
      </c>
      <c r="T41" s="7">
        <f t="shared" si="2"/>
        <v>1</v>
      </c>
      <c r="U41" s="7">
        <f t="shared" si="2"/>
        <v>1</v>
      </c>
      <c r="V41" s="7">
        <f t="shared" si="2"/>
        <v>1</v>
      </c>
      <c r="W41" s="7">
        <f t="shared" si="2"/>
        <v>1</v>
      </c>
      <c r="X41" s="7">
        <f t="shared" si="2"/>
        <v>1</v>
      </c>
      <c r="Y41" s="7">
        <f t="shared" si="2"/>
        <v>0</v>
      </c>
    </row>
  </sheetData>
  <hyperlinks>
    <hyperlink r:id="rId1" ref="K2"/>
    <hyperlink r:id="rId2" ref="Z2"/>
    <hyperlink r:id="rId3" ref="K3"/>
    <hyperlink r:id="rId4" ref="Z3"/>
    <hyperlink r:id="rId5" ref="K4"/>
    <hyperlink r:id="rId6" ref="Z4"/>
    <hyperlink r:id="rId7" ref="K5"/>
    <hyperlink r:id="rId8" ref="K6"/>
    <hyperlink r:id="rId9" ref="Z6"/>
    <hyperlink r:id="rId10" ref="K7"/>
    <hyperlink r:id="rId11" ref="Z7"/>
    <hyperlink r:id="rId12" ref="K8"/>
    <hyperlink r:id="rId13" ref="Z8"/>
    <hyperlink r:id="rId14" ref="K9"/>
    <hyperlink r:id="rId15" ref="Z9"/>
    <hyperlink r:id="rId16" ref="K10"/>
    <hyperlink r:id="rId17" ref="K11"/>
    <hyperlink r:id="rId18" ref="K12"/>
    <hyperlink r:id="rId19" location=":~:text=infoserang-,Cepet%20cepetan%2C%20Rumah%20Luas%20Mewah%20di%20depan%20Polda%20Banten%20Kota,%2D9775%2D9665%20(fauzan)" ref="Z12"/>
    <hyperlink r:id="rId20" ref="K13"/>
    <hyperlink r:id="rId21" ref="Z13"/>
    <hyperlink r:id="rId22" ref="K14"/>
    <hyperlink r:id="rId23" ref="K15"/>
    <hyperlink r:id="rId24" ref="K16"/>
    <hyperlink r:id="rId25" ref="Z16"/>
    <hyperlink r:id="rId26" ref="K17"/>
    <hyperlink r:id="rId27" ref="Z17"/>
    <hyperlink r:id="rId28" ref="K18"/>
    <hyperlink r:id="rId29" ref="Z18"/>
    <hyperlink r:id="rId30" ref="K19"/>
    <hyperlink r:id="rId31" ref="Z19"/>
    <hyperlink r:id="rId32" ref="K20"/>
    <hyperlink r:id="rId33" ref="Z20"/>
    <hyperlink r:id="rId34" ref="K21"/>
    <hyperlink r:id="rId35" ref="Z21"/>
    <hyperlink r:id="rId36" ref="K22"/>
    <hyperlink r:id="rId37" ref="K23"/>
    <hyperlink r:id="rId38" ref="Z23"/>
    <hyperlink r:id="rId39" ref="K24"/>
    <hyperlink r:id="rId40" ref="Z24"/>
    <hyperlink r:id="rId41" ref="K25"/>
    <hyperlink r:id="rId42" ref="K26"/>
    <hyperlink r:id="rId43" ref="Z26"/>
    <hyperlink r:id="rId44" ref="K27"/>
    <hyperlink r:id="rId45" ref="Z27"/>
    <hyperlink r:id="rId46" ref="K28"/>
    <hyperlink r:id="rId47" ref="Z28"/>
    <hyperlink r:id="rId48" ref="K29"/>
    <hyperlink r:id="rId49" ref="K30"/>
    <hyperlink r:id="rId50" ref="Z30"/>
    <hyperlink r:id="rId51" ref="K31"/>
    <hyperlink r:id="rId52" ref="Z31"/>
    <hyperlink r:id="rId53" ref="K32"/>
    <hyperlink r:id="rId54" ref="K33"/>
    <hyperlink r:id="rId55" ref="Z33"/>
    <hyperlink r:id="rId56" ref="K34"/>
    <hyperlink r:id="rId57" ref="K35"/>
    <hyperlink r:id="rId58" ref="Z35"/>
    <hyperlink r:id="rId59" ref="K36"/>
    <hyperlink r:id="rId60" ref="Z36"/>
    <hyperlink r:id="rId61" ref="K37"/>
    <hyperlink r:id="rId62" ref="Z37"/>
    <hyperlink r:id="rId63" ref="K38"/>
    <hyperlink r:id="rId64" ref="Z38"/>
    <hyperlink r:id="rId65" ref="K39"/>
    <hyperlink r:id="rId66" ref="Z39"/>
    <hyperlink r:id="rId67" ref="K40"/>
  </hyperlinks>
  <drawing r:id="rId6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6.75"/>
    <col customWidth="1" min="3" max="3" width="41.5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12" t="s">
        <v>26</v>
      </c>
      <c r="B2" s="12" t="s">
        <v>301</v>
      </c>
      <c r="C2" s="12" t="s">
        <v>302</v>
      </c>
      <c r="D2" s="12" t="s">
        <v>303</v>
      </c>
      <c r="E2" s="12" t="s">
        <v>30</v>
      </c>
      <c r="F2" s="4">
        <v>15124.0</v>
      </c>
      <c r="G2" s="12" t="s">
        <v>31</v>
      </c>
      <c r="H2" s="5">
        <v>2.13E9</v>
      </c>
      <c r="I2" s="4">
        <v>-6.1369755</v>
      </c>
      <c r="J2" s="4">
        <v>106.6764997</v>
      </c>
      <c r="K2" s="13" t="s">
        <v>304</v>
      </c>
      <c r="L2" s="7">
        <f t="shared" ref="L2:L45" si="1">IFERROR(MEDIAN(M2:Y2),"")</f>
        <v>14444444.44</v>
      </c>
      <c r="M2" s="7">
        <f>1500000000/105</f>
        <v>14285714.29</v>
      </c>
      <c r="N2" s="7">
        <f>900000000/78</f>
        <v>11538461.54</v>
      </c>
      <c r="O2" s="7">
        <f>1300000000/90</f>
        <v>14444444.44</v>
      </c>
      <c r="P2" s="7">
        <f>2200000000/105</f>
        <v>20952380.95</v>
      </c>
      <c r="Q2" s="7">
        <f>1970000000/120</f>
        <v>16416666.67</v>
      </c>
      <c r="R2" s="7">
        <f>1900000000/90</f>
        <v>21111111.11</v>
      </c>
      <c r="S2" s="7">
        <f>1100000000/90</f>
        <v>12222222.22</v>
      </c>
      <c r="Z2" s="9" t="s">
        <v>305</v>
      </c>
    </row>
    <row r="3">
      <c r="A3" s="12" t="s">
        <v>26</v>
      </c>
      <c r="B3" s="12" t="s">
        <v>306</v>
      </c>
      <c r="C3" s="12" t="s">
        <v>307</v>
      </c>
      <c r="D3" s="12" t="s">
        <v>308</v>
      </c>
      <c r="E3" s="12" t="s">
        <v>30</v>
      </c>
      <c r="F3" s="4">
        <v>15119.0</v>
      </c>
      <c r="G3" s="12" t="s">
        <v>31</v>
      </c>
      <c r="H3" s="5">
        <v>2.16E8</v>
      </c>
      <c r="I3" s="4">
        <v>-6.1827748</v>
      </c>
      <c r="J3" s="4">
        <v>106.6572389</v>
      </c>
      <c r="K3" s="13" t="s">
        <v>309</v>
      </c>
      <c r="L3" s="7">
        <f t="shared" si="1"/>
        <v>12500000</v>
      </c>
      <c r="M3" s="7">
        <f>1200000000/96</f>
        <v>12500000</v>
      </c>
      <c r="Z3" s="9" t="s">
        <v>310</v>
      </c>
    </row>
    <row r="4">
      <c r="A4" s="12" t="s">
        <v>86</v>
      </c>
      <c r="B4" s="12" t="s">
        <v>311</v>
      </c>
      <c r="C4" s="12" t="s">
        <v>312</v>
      </c>
      <c r="D4" s="12" t="s">
        <v>313</v>
      </c>
      <c r="E4" s="12" t="s">
        <v>30</v>
      </c>
      <c r="F4" s="4">
        <v>15113.0</v>
      </c>
      <c r="G4" s="12" t="s">
        <v>31</v>
      </c>
      <c r="H4" s="12" t="s">
        <v>37</v>
      </c>
      <c r="I4" s="4">
        <v>-6.1776876</v>
      </c>
      <c r="J4" s="4">
        <v>106.6106465</v>
      </c>
      <c r="K4" s="13" t="s">
        <v>314</v>
      </c>
      <c r="L4" s="7">
        <f t="shared" si="1"/>
        <v>16185185.19</v>
      </c>
      <c r="M4" s="7">
        <f>655000000/45</f>
        <v>14555555.56</v>
      </c>
      <c r="N4" s="7">
        <f>962000000/54</f>
        <v>17814814.81</v>
      </c>
      <c r="Z4" s="9" t="s">
        <v>315</v>
      </c>
    </row>
    <row r="5">
      <c r="A5" s="12" t="s">
        <v>26</v>
      </c>
      <c r="B5" s="12" t="s">
        <v>316</v>
      </c>
      <c r="C5" s="12" t="s">
        <v>317</v>
      </c>
      <c r="D5" s="12" t="s">
        <v>318</v>
      </c>
      <c r="E5" s="12" t="s">
        <v>30</v>
      </c>
      <c r="F5" s="4">
        <v>15122.0</v>
      </c>
      <c r="G5" s="12" t="s">
        <v>31</v>
      </c>
      <c r="H5" s="12" t="s">
        <v>37</v>
      </c>
      <c r="I5" s="4">
        <v>-6.1614387</v>
      </c>
      <c r="J5" s="4">
        <v>106.6679133</v>
      </c>
      <c r="K5" s="13" t="s">
        <v>319</v>
      </c>
      <c r="L5" s="7">
        <f t="shared" si="1"/>
        <v>14266581.63</v>
      </c>
      <c r="M5" s="7">
        <f>1380000000/82</f>
        <v>16829268.29</v>
      </c>
      <c r="N5" s="7">
        <f>2140000000/195</f>
        <v>10974358.97</v>
      </c>
      <c r="O5" s="7">
        <f>7550000000/490</f>
        <v>15408163.27</v>
      </c>
      <c r="P5" s="7">
        <f>1260000000/96</f>
        <v>13125000</v>
      </c>
      <c r="Z5" s="9" t="s">
        <v>320</v>
      </c>
    </row>
    <row r="6">
      <c r="A6" s="12" t="s">
        <v>321</v>
      </c>
      <c r="B6" s="12" t="s">
        <v>322</v>
      </c>
      <c r="C6" s="12" t="s">
        <v>323</v>
      </c>
      <c r="D6" s="12" t="s">
        <v>324</v>
      </c>
      <c r="E6" s="12" t="s">
        <v>30</v>
      </c>
      <c r="F6" s="4">
        <v>15118.0</v>
      </c>
      <c r="G6" s="12" t="s">
        <v>31</v>
      </c>
      <c r="H6" s="12" t="s">
        <v>37</v>
      </c>
      <c r="I6" s="4">
        <v>-6.1873147</v>
      </c>
      <c r="J6" s="4">
        <v>106.6444752</v>
      </c>
      <c r="K6" s="13" t="s">
        <v>325</v>
      </c>
      <c r="L6" s="7">
        <f t="shared" si="1"/>
        <v>9398496.241</v>
      </c>
      <c r="M6" s="7">
        <f>2500000000/266</f>
        <v>9398496.241</v>
      </c>
      <c r="Z6" s="9" t="s">
        <v>326</v>
      </c>
    </row>
    <row r="7">
      <c r="A7" s="12" t="s">
        <v>26</v>
      </c>
      <c r="B7" s="12" t="s">
        <v>327</v>
      </c>
      <c r="C7" s="12" t="s">
        <v>328</v>
      </c>
      <c r="D7" s="12" t="s">
        <v>329</v>
      </c>
      <c r="E7" s="12" t="s">
        <v>30</v>
      </c>
      <c r="F7" s="4">
        <v>15124.0</v>
      </c>
      <c r="G7" s="12" t="s">
        <v>31</v>
      </c>
      <c r="H7" s="12" t="s">
        <v>37</v>
      </c>
      <c r="I7" s="4">
        <v>-6.145159</v>
      </c>
      <c r="J7" s="4">
        <v>106.6828938</v>
      </c>
      <c r="K7" s="13" t="s">
        <v>330</v>
      </c>
      <c r="L7" s="7">
        <f t="shared" si="1"/>
        <v>21111111.11</v>
      </c>
      <c r="M7" s="7">
        <f>3800000000/180</f>
        <v>21111111.11</v>
      </c>
      <c r="Z7" s="9" t="s">
        <v>331</v>
      </c>
    </row>
    <row r="8">
      <c r="A8" s="12" t="s">
        <v>26</v>
      </c>
      <c r="B8" s="12" t="s">
        <v>332</v>
      </c>
      <c r="C8" s="12" t="s">
        <v>333</v>
      </c>
      <c r="D8" s="12" t="s">
        <v>334</v>
      </c>
      <c r="E8" s="12" t="s">
        <v>30</v>
      </c>
      <c r="F8" s="4">
        <v>15119.0</v>
      </c>
      <c r="G8" s="12" t="s">
        <v>31</v>
      </c>
      <c r="H8" s="5">
        <v>8.52E10</v>
      </c>
      <c r="I8" s="4">
        <v>-6.1751983</v>
      </c>
      <c r="J8" s="4">
        <v>106.6586962</v>
      </c>
      <c r="K8" s="13" t="s">
        <v>335</v>
      </c>
      <c r="L8" s="7" t="str">
        <f t="shared" si="1"/>
        <v/>
      </c>
      <c r="Z8" s="8" t="s">
        <v>33</v>
      </c>
    </row>
    <row r="9">
      <c r="A9" s="12" t="s">
        <v>26</v>
      </c>
      <c r="B9" s="12" t="s">
        <v>336</v>
      </c>
      <c r="C9" s="12" t="s">
        <v>337</v>
      </c>
      <c r="D9" s="12" t="s">
        <v>338</v>
      </c>
      <c r="E9" s="12" t="s">
        <v>30</v>
      </c>
      <c r="F9" s="4">
        <v>15124.0</v>
      </c>
      <c r="G9" s="12" t="s">
        <v>31</v>
      </c>
      <c r="H9" s="12" t="s">
        <v>37</v>
      </c>
      <c r="I9" s="4">
        <v>-6.1474011</v>
      </c>
      <c r="J9" s="4">
        <v>106.6796262</v>
      </c>
      <c r="K9" s="13" t="s">
        <v>339</v>
      </c>
      <c r="L9" s="7" t="str">
        <f t="shared" si="1"/>
        <v/>
      </c>
      <c r="Z9" s="8" t="s">
        <v>33</v>
      </c>
    </row>
    <row r="10">
      <c r="A10" s="12" t="s">
        <v>86</v>
      </c>
      <c r="B10" s="12" t="s">
        <v>340</v>
      </c>
      <c r="C10" s="12" t="s">
        <v>341</v>
      </c>
      <c r="D10" s="12" t="s">
        <v>342</v>
      </c>
      <c r="E10" s="12" t="s">
        <v>30</v>
      </c>
      <c r="F10" s="4">
        <v>15122.0</v>
      </c>
      <c r="G10" s="12" t="s">
        <v>31</v>
      </c>
      <c r="H10" s="12" t="s">
        <v>37</v>
      </c>
      <c r="I10" s="4">
        <v>-6.176825</v>
      </c>
      <c r="J10" s="4">
        <v>106.6706498</v>
      </c>
      <c r="K10" s="13" t="s">
        <v>343</v>
      </c>
      <c r="L10" s="7">
        <f t="shared" si="1"/>
        <v>12142857.14</v>
      </c>
      <c r="M10" s="7">
        <f>850000000/70</f>
        <v>12142857.14</v>
      </c>
      <c r="Z10" s="9" t="s">
        <v>344</v>
      </c>
    </row>
    <row r="11">
      <c r="A11" s="12" t="s">
        <v>26</v>
      </c>
      <c r="B11" s="12" t="s">
        <v>345</v>
      </c>
      <c r="C11" s="12" t="s">
        <v>346</v>
      </c>
      <c r="D11" s="12" t="s">
        <v>347</v>
      </c>
      <c r="E11" s="12" t="s">
        <v>30</v>
      </c>
      <c r="F11" s="4">
        <v>15141.0</v>
      </c>
      <c r="G11" s="12" t="s">
        <v>31</v>
      </c>
      <c r="H11" s="12" t="s">
        <v>37</v>
      </c>
      <c r="I11" s="4">
        <v>-6.1748883</v>
      </c>
      <c r="J11" s="4">
        <v>106.6692672</v>
      </c>
      <c r="K11" s="13" t="s">
        <v>348</v>
      </c>
      <c r="L11" s="7">
        <f t="shared" si="1"/>
        <v>15833333.33</v>
      </c>
      <c r="M11" s="7">
        <f>950000000/60</f>
        <v>15833333.33</v>
      </c>
      <c r="Z11" s="9" t="s">
        <v>349</v>
      </c>
    </row>
    <row r="12">
      <c r="A12" s="12" t="s">
        <v>350</v>
      </c>
      <c r="B12" s="12" t="s">
        <v>351</v>
      </c>
      <c r="C12" s="12" t="s">
        <v>352</v>
      </c>
      <c r="D12" s="12" t="s">
        <v>353</v>
      </c>
      <c r="E12" s="12" t="s">
        <v>30</v>
      </c>
      <c r="F12" s="4">
        <v>15141.0</v>
      </c>
      <c r="G12" s="12" t="s">
        <v>31</v>
      </c>
      <c r="H12" s="12" t="s">
        <v>37</v>
      </c>
      <c r="I12" s="4">
        <v>-6.1737628</v>
      </c>
      <c r="J12" s="4">
        <v>106.6610307</v>
      </c>
      <c r="K12" s="13" t="s">
        <v>354</v>
      </c>
      <c r="L12" s="7">
        <f t="shared" si="1"/>
        <v>11666666.67</v>
      </c>
      <c r="M12" s="7">
        <f>980000000/84</f>
        <v>11666666.67</v>
      </c>
      <c r="Z12" s="9" t="s">
        <v>355</v>
      </c>
    </row>
    <row r="13">
      <c r="A13" s="12" t="s">
        <v>26</v>
      </c>
      <c r="B13" s="12" t="s">
        <v>356</v>
      </c>
      <c r="C13" s="12" t="s">
        <v>357</v>
      </c>
      <c r="D13" s="12" t="s">
        <v>358</v>
      </c>
      <c r="E13" s="12" t="s">
        <v>30</v>
      </c>
      <c r="F13" s="4">
        <v>15117.0</v>
      </c>
      <c r="G13" s="12" t="s">
        <v>31</v>
      </c>
      <c r="H13" s="5">
        <v>2.16E8</v>
      </c>
      <c r="I13" s="4">
        <v>-6.2048642</v>
      </c>
      <c r="J13" s="4">
        <v>106.6464745</v>
      </c>
      <c r="K13" s="13" t="s">
        <v>359</v>
      </c>
      <c r="L13" s="7">
        <f t="shared" si="1"/>
        <v>16666666.67</v>
      </c>
      <c r="M13" s="7">
        <f>5000000000/300</f>
        <v>16666666.67</v>
      </c>
      <c r="Z13" s="9" t="s">
        <v>360</v>
      </c>
    </row>
    <row r="14">
      <c r="A14" s="12" t="s">
        <v>350</v>
      </c>
      <c r="B14" s="12" t="s">
        <v>361</v>
      </c>
      <c r="C14" s="12" t="s">
        <v>362</v>
      </c>
      <c r="D14" s="12" t="s">
        <v>363</v>
      </c>
      <c r="E14" s="12" t="s">
        <v>30</v>
      </c>
      <c r="F14" s="4">
        <v>15117.0</v>
      </c>
      <c r="G14" s="12" t="s">
        <v>31</v>
      </c>
      <c r="H14" s="12" t="s">
        <v>37</v>
      </c>
      <c r="I14" s="4">
        <v>-6.2074107</v>
      </c>
      <c r="J14" s="4">
        <v>106.6457095</v>
      </c>
      <c r="K14" s="13" t="s">
        <v>364</v>
      </c>
      <c r="L14" s="7">
        <f t="shared" si="1"/>
        <v>9523809.524</v>
      </c>
      <c r="M14" s="7">
        <f>5000000000/525</f>
        <v>9523809.524</v>
      </c>
      <c r="Z14" s="9" t="s">
        <v>365</v>
      </c>
    </row>
    <row r="15">
      <c r="A15" s="12" t="s">
        <v>26</v>
      </c>
      <c r="B15" s="12" t="s">
        <v>366</v>
      </c>
      <c r="C15" s="12" t="s">
        <v>367</v>
      </c>
      <c r="D15" s="12" t="s">
        <v>368</v>
      </c>
      <c r="E15" s="12" t="s">
        <v>30</v>
      </c>
      <c r="F15" s="4">
        <v>15117.0</v>
      </c>
      <c r="G15" s="12" t="s">
        <v>31</v>
      </c>
      <c r="H15" s="5">
        <v>8.12E10</v>
      </c>
      <c r="I15" s="4">
        <v>-6.2099909</v>
      </c>
      <c r="J15" s="4">
        <v>106.6445865</v>
      </c>
      <c r="K15" s="13" t="s">
        <v>369</v>
      </c>
      <c r="L15" s="7" t="str">
        <f t="shared" si="1"/>
        <v/>
      </c>
      <c r="Z15" s="8" t="s">
        <v>33</v>
      </c>
    </row>
    <row r="16">
      <c r="A16" s="12" t="s">
        <v>26</v>
      </c>
      <c r="B16" s="12" t="s">
        <v>370</v>
      </c>
      <c r="C16" s="12" t="s">
        <v>371</v>
      </c>
      <c r="D16" s="12" t="s">
        <v>372</v>
      </c>
      <c r="E16" s="12" t="s">
        <v>30</v>
      </c>
      <c r="F16" s="4">
        <v>15117.0</v>
      </c>
      <c r="G16" s="12" t="s">
        <v>31</v>
      </c>
      <c r="H16" s="12" t="s">
        <v>37</v>
      </c>
      <c r="I16" s="4">
        <v>-6.2010839</v>
      </c>
      <c r="J16" s="4">
        <v>106.6510369</v>
      </c>
      <c r="K16" s="13" t="s">
        <v>373</v>
      </c>
      <c r="L16" s="7">
        <f t="shared" si="1"/>
        <v>22222222.22</v>
      </c>
      <c r="M16" s="7">
        <f>2000000000/90</f>
        <v>22222222.22</v>
      </c>
      <c r="Z16" s="9" t="s">
        <v>374</v>
      </c>
    </row>
    <row r="17">
      <c r="A17" s="12" t="s">
        <v>26</v>
      </c>
      <c r="B17" s="12" t="s">
        <v>375</v>
      </c>
      <c r="C17" s="12" t="s">
        <v>376</v>
      </c>
      <c r="D17" s="12" t="s">
        <v>377</v>
      </c>
      <c r="E17" s="12" t="s">
        <v>30</v>
      </c>
      <c r="F17" s="4">
        <v>15119.0</v>
      </c>
      <c r="G17" s="12" t="s">
        <v>31</v>
      </c>
      <c r="H17" s="12" t="s">
        <v>37</v>
      </c>
      <c r="I17" s="4">
        <v>-6.177357</v>
      </c>
      <c r="J17" s="4">
        <v>106.650647</v>
      </c>
      <c r="K17" s="13" t="s">
        <v>378</v>
      </c>
      <c r="L17" s="7">
        <f t="shared" si="1"/>
        <v>10555555.56</v>
      </c>
      <c r="M17" s="7">
        <f>760000000/72</f>
        <v>10555555.56</v>
      </c>
      <c r="Z17" s="9" t="s">
        <v>379</v>
      </c>
    </row>
    <row r="18">
      <c r="A18" s="12" t="s">
        <v>86</v>
      </c>
      <c r="B18" s="12" t="s">
        <v>380</v>
      </c>
      <c r="C18" s="12" t="s">
        <v>381</v>
      </c>
      <c r="D18" s="12" t="s">
        <v>382</v>
      </c>
      <c r="E18" s="12" t="s">
        <v>30</v>
      </c>
      <c r="F18" s="4">
        <v>15124.0</v>
      </c>
      <c r="G18" s="12" t="s">
        <v>31</v>
      </c>
      <c r="H18" s="12" t="s">
        <v>37</v>
      </c>
      <c r="I18" s="4">
        <v>-6.1478091</v>
      </c>
      <c r="J18" s="4">
        <v>106.6855556</v>
      </c>
      <c r="K18" s="13" t="s">
        <v>383</v>
      </c>
      <c r="L18" s="7" t="str">
        <f t="shared" si="1"/>
        <v/>
      </c>
      <c r="Z18" s="8" t="s">
        <v>33</v>
      </c>
    </row>
    <row r="19">
      <c r="A19" s="12" t="s">
        <v>26</v>
      </c>
      <c r="B19" s="12" t="s">
        <v>384</v>
      </c>
      <c r="C19" s="12" t="s">
        <v>385</v>
      </c>
      <c r="D19" s="12" t="s">
        <v>386</v>
      </c>
      <c r="E19" s="12" t="s">
        <v>30</v>
      </c>
      <c r="F19" s="4">
        <v>15118.0</v>
      </c>
      <c r="G19" s="12" t="s">
        <v>31</v>
      </c>
      <c r="H19" s="12" t="s">
        <v>37</v>
      </c>
      <c r="I19" s="4">
        <v>-6.1840039</v>
      </c>
      <c r="J19" s="4">
        <v>106.640404</v>
      </c>
      <c r="K19" s="13" t="s">
        <v>387</v>
      </c>
      <c r="L19" s="7">
        <f t="shared" si="1"/>
        <v>28703703.7</v>
      </c>
      <c r="M19" s="7">
        <f>1550000000/54</f>
        <v>28703703.7</v>
      </c>
      <c r="Z19" s="9" t="s">
        <v>388</v>
      </c>
    </row>
    <row r="20">
      <c r="A20" s="12" t="s">
        <v>26</v>
      </c>
      <c r="B20" s="12" t="s">
        <v>389</v>
      </c>
      <c r="C20" s="12" t="s">
        <v>390</v>
      </c>
      <c r="D20" s="12" t="s">
        <v>391</v>
      </c>
      <c r="E20" s="12" t="s">
        <v>30</v>
      </c>
      <c r="F20" s="4">
        <v>15124.0</v>
      </c>
      <c r="G20" s="12" t="s">
        <v>31</v>
      </c>
      <c r="H20" s="5">
        <v>8.15E10</v>
      </c>
      <c r="I20" s="4">
        <v>-6.1447777</v>
      </c>
      <c r="J20" s="4">
        <v>106.6824808</v>
      </c>
      <c r="K20" s="13" t="s">
        <v>392</v>
      </c>
      <c r="L20" s="7">
        <f t="shared" si="1"/>
        <v>37833333.33</v>
      </c>
      <c r="M20" s="7">
        <f>1900000000/55</f>
        <v>34545454.55</v>
      </c>
      <c r="N20" s="7">
        <f>1950000000/55</f>
        <v>35454545.45</v>
      </c>
      <c r="O20" s="7">
        <f>3300000000/66</f>
        <v>50000000</v>
      </c>
      <c r="P20" s="7">
        <f>5700000000/120</f>
        <v>47500000</v>
      </c>
      <c r="Q20" s="7">
        <f>3650000000/84</f>
        <v>43452380.95</v>
      </c>
      <c r="R20" s="7">
        <f>1700000000/55</f>
        <v>30909090.91</v>
      </c>
      <c r="S20" s="7">
        <f>4540000000/120</f>
        <v>37833333.33</v>
      </c>
      <c r="T20" s="7">
        <f>2320000000/84</f>
        <v>27619047.62</v>
      </c>
      <c r="U20" s="7">
        <f>2170000000/55</f>
        <v>39454545.45</v>
      </c>
      <c r="Z20" s="9" t="s">
        <v>393</v>
      </c>
    </row>
    <row r="21">
      <c r="A21" s="12" t="s">
        <v>26</v>
      </c>
      <c r="B21" s="12" t="s">
        <v>394</v>
      </c>
      <c r="C21" s="12" t="s">
        <v>395</v>
      </c>
      <c r="D21" s="12" t="s">
        <v>396</v>
      </c>
      <c r="E21" s="12" t="s">
        <v>30</v>
      </c>
      <c r="F21" s="4">
        <v>15123.0</v>
      </c>
      <c r="G21" s="12" t="s">
        <v>31</v>
      </c>
      <c r="H21" s="12" t="s">
        <v>37</v>
      </c>
      <c r="I21" s="4">
        <v>-6.1417739</v>
      </c>
      <c r="J21" s="4">
        <v>106.672394</v>
      </c>
      <c r="K21" s="13" t="s">
        <v>397</v>
      </c>
      <c r="L21" s="7">
        <f t="shared" si="1"/>
        <v>9722222.222</v>
      </c>
      <c r="M21" s="7">
        <f>875000000/90</f>
        <v>9722222.222</v>
      </c>
      <c r="Z21" s="9" t="s">
        <v>398</v>
      </c>
    </row>
    <row r="22">
      <c r="A22" s="12" t="s">
        <v>26</v>
      </c>
      <c r="B22" s="12" t="s">
        <v>399</v>
      </c>
      <c r="C22" s="12" t="s">
        <v>400</v>
      </c>
      <c r="D22" s="12" t="s">
        <v>401</v>
      </c>
      <c r="E22" s="12" t="s">
        <v>30</v>
      </c>
      <c r="F22" s="4">
        <v>15121.0</v>
      </c>
      <c r="G22" s="12" t="s">
        <v>31</v>
      </c>
      <c r="H22" s="12" t="s">
        <v>37</v>
      </c>
      <c r="I22" s="4">
        <v>-6.1490664</v>
      </c>
      <c r="J22" s="4">
        <v>106.6595711</v>
      </c>
      <c r="K22" s="13" t="s">
        <v>402</v>
      </c>
      <c r="L22" s="7" t="str">
        <f t="shared" si="1"/>
        <v/>
      </c>
      <c r="Z22" s="8" t="s">
        <v>33</v>
      </c>
    </row>
    <row r="23">
      <c r="A23" s="12" t="s">
        <v>26</v>
      </c>
      <c r="B23" s="12" t="s">
        <v>403</v>
      </c>
      <c r="C23" s="12" t="s">
        <v>404</v>
      </c>
      <c r="D23" s="12" t="s">
        <v>405</v>
      </c>
      <c r="E23" s="12" t="s">
        <v>30</v>
      </c>
      <c r="F23" s="4">
        <v>15141.0</v>
      </c>
      <c r="G23" s="12" t="s">
        <v>31</v>
      </c>
      <c r="H23" s="12" t="s">
        <v>37</v>
      </c>
      <c r="I23" s="4">
        <v>-6.2061438</v>
      </c>
      <c r="J23" s="4">
        <v>106.6533865</v>
      </c>
      <c r="K23" s="13" t="s">
        <v>406</v>
      </c>
      <c r="L23" s="7">
        <f t="shared" si="1"/>
        <v>16740347.77</v>
      </c>
      <c r="M23" s="7">
        <f>1900000000/117</f>
        <v>16239316.24</v>
      </c>
      <c r="N23" s="7">
        <f>1500000000/75</f>
        <v>20000000</v>
      </c>
      <c r="O23" s="7">
        <f>1000000000/90</f>
        <v>11111111.11</v>
      </c>
      <c r="P23" s="7">
        <f>1800000000/171</f>
        <v>10526315.79</v>
      </c>
      <c r="Q23" s="7">
        <f>4500000000/250</f>
        <v>18000000</v>
      </c>
      <c r="R23" s="7">
        <f>3000000000/174</f>
        <v>17241379.31</v>
      </c>
      <c r="Z23" s="9" t="s">
        <v>407</v>
      </c>
    </row>
    <row r="24">
      <c r="A24" s="12" t="s">
        <v>26</v>
      </c>
      <c r="B24" s="12" t="s">
        <v>408</v>
      </c>
      <c r="C24" s="12" t="s">
        <v>409</v>
      </c>
      <c r="D24" s="12" t="s">
        <v>410</v>
      </c>
      <c r="E24" s="12" t="s">
        <v>30</v>
      </c>
      <c r="F24" s="4">
        <v>15117.0</v>
      </c>
      <c r="G24" s="12" t="s">
        <v>31</v>
      </c>
      <c r="H24" s="12" t="s">
        <v>37</v>
      </c>
      <c r="I24" s="4">
        <v>-6.2106867</v>
      </c>
      <c r="J24" s="4">
        <v>106.6361949</v>
      </c>
      <c r="K24" s="13" t="s">
        <v>411</v>
      </c>
      <c r="L24" s="7">
        <f t="shared" si="1"/>
        <v>10303030.3</v>
      </c>
      <c r="M24" s="7">
        <f>1400000000/96</f>
        <v>14583333.33</v>
      </c>
      <c r="N24" s="7">
        <f>2300000000/276</f>
        <v>8333333.333</v>
      </c>
      <c r="O24" s="7">
        <f>1100000000/178</f>
        <v>6179775.281</v>
      </c>
      <c r="P24" s="7">
        <f>1700000000/165</f>
        <v>10303030.3</v>
      </c>
      <c r="Q24" s="7">
        <f>5000000000/350</f>
        <v>14285714.29</v>
      </c>
      <c r="Z24" s="9" t="s">
        <v>412</v>
      </c>
    </row>
    <row r="25">
      <c r="A25" s="12" t="s">
        <v>26</v>
      </c>
      <c r="B25" s="12" t="s">
        <v>413</v>
      </c>
      <c r="C25" s="12" t="s">
        <v>414</v>
      </c>
      <c r="D25" s="12" t="s">
        <v>415</v>
      </c>
      <c r="E25" s="12" t="s">
        <v>30</v>
      </c>
      <c r="F25" s="4">
        <v>15122.0</v>
      </c>
      <c r="G25" s="12" t="s">
        <v>31</v>
      </c>
      <c r="H25" s="12" t="s">
        <v>37</v>
      </c>
      <c r="I25" s="4">
        <v>-6.1659236</v>
      </c>
      <c r="J25" s="4">
        <v>106.6879608</v>
      </c>
      <c r="K25" s="13" t="s">
        <v>416</v>
      </c>
      <c r="L25" s="7">
        <f t="shared" si="1"/>
        <v>8730158.73</v>
      </c>
      <c r="M25" s="7">
        <f>2200000000/252</f>
        <v>8730158.73</v>
      </c>
      <c r="Z25" s="9" t="s">
        <v>417</v>
      </c>
    </row>
    <row r="26">
      <c r="A26" s="12" t="s">
        <v>26</v>
      </c>
      <c r="B26" s="12" t="s">
        <v>418</v>
      </c>
      <c r="C26" s="12" t="s">
        <v>419</v>
      </c>
      <c r="D26" s="12" t="s">
        <v>420</v>
      </c>
      <c r="E26" s="12" t="s">
        <v>30</v>
      </c>
      <c r="F26" s="4">
        <v>15128.0</v>
      </c>
      <c r="G26" s="12" t="s">
        <v>31</v>
      </c>
      <c r="H26" s="12" t="s">
        <v>37</v>
      </c>
      <c r="I26" s="4">
        <v>-6.1251571</v>
      </c>
      <c r="J26" s="4">
        <v>106.6236295</v>
      </c>
      <c r="K26" s="13" t="s">
        <v>421</v>
      </c>
      <c r="L26" s="7" t="str">
        <f t="shared" si="1"/>
        <v/>
      </c>
      <c r="Z26" s="8" t="s">
        <v>33</v>
      </c>
    </row>
    <row r="27">
      <c r="A27" s="12" t="s">
        <v>26</v>
      </c>
      <c r="B27" s="12" t="s">
        <v>422</v>
      </c>
      <c r="C27" s="12" t="s">
        <v>423</v>
      </c>
      <c r="D27" s="12" t="s">
        <v>424</v>
      </c>
      <c r="E27" s="12" t="s">
        <v>30</v>
      </c>
      <c r="F27" s="4">
        <v>15117.0</v>
      </c>
      <c r="G27" s="12" t="s">
        <v>31</v>
      </c>
      <c r="H27" s="12" t="s">
        <v>37</v>
      </c>
      <c r="I27" s="4">
        <v>-6.2051849</v>
      </c>
      <c r="J27" s="4">
        <v>106.6347418</v>
      </c>
      <c r="K27" s="13" t="s">
        <v>425</v>
      </c>
      <c r="L27" s="7">
        <f t="shared" si="1"/>
        <v>10585585.59</v>
      </c>
      <c r="M27" s="7">
        <f>2350000000/222</f>
        <v>10585585.59</v>
      </c>
      <c r="Z27" s="9" t="s">
        <v>426</v>
      </c>
    </row>
    <row r="28">
      <c r="A28" s="12" t="s">
        <v>26</v>
      </c>
      <c r="B28" s="12" t="s">
        <v>427</v>
      </c>
      <c r="C28" s="12" t="s">
        <v>428</v>
      </c>
      <c r="D28" s="12" t="s">
        <v>429</v>
      </c>
      <c r="E28" s="12" t="s">
        <v>30</v>
      </c>
      <c r="F28" s="4">
        <v>15119.0</v>
      </c>
      <c r="G28" s="12" t="s">
        <v>31</v>
      </c>
      <c r="H28" s="12" t="s">
        <v>37</v>
      </c>
      <c r="I28" s="4">
        <v>-6.1581469</v>
      </c>
      <c r="J28" s="4">
        <v>106.6640682</v>
      </c>
      <c r="K28" s="13" t="s">
        <v>430</v>
      </c>
      <c r="L28" s="7">
        <f t="shared" si="1"/>
        <v>18333333.33</v>
      </c>
      <c r="M28" s="7">
        <f>1100000000/60</f>
        <v>18333333.33</v>
      </c>
      <c r="Z28" s="9" t="s">
        <v>431</v>
      </c>
    </row>
    <row r="29">
      <c r="A29" s="12" t="s">
        <v>26</v>
      </c>
      <c r="B29" s="12" t="s">
        <v>432</v>
      </c>
      <c r="C29" s="12" t="s">
        <v>433</v>
      </c>
      <c r="D29" s="12" t="s">
        <v>434</v>
      </c>
      <c r="E29" s="12" t="s">
        <v>30</v>
      </c>
      <c r="F29" s="4">
        <v>15124.0</v>
      </c>
      <c r="G29" s="12" t="s">
        <v>31</v>
      </c>
      <c r="H29" s="12" t="s">
        <v>37</v>
      </c>
      <c r="I29" s="4">
        <v>-6.144605</v>
      </c>
      <c r="J29" s="4">
        <v>106.677174</v>
      </c>
      <c r="K29" s="13" t="s">
        <v>435</v>
      </c>
      <c r="L29" s="7" t="str">
        <f t="shared" si="1"/>
        <v/>
      </c>
      <c r="Z29" s="8" t="s">
        <v>33</v>
      </c>
    </row>
    <row r="30">
      <c r="A30" s="12" t="s">
        <v>26</v>
      </c>
      <c r="B30" s="12" t="s">
        <v>436</v>
      </c>
      <c r="C30" s="12" t="s">
        <v>437</v>
      </c>
      <c r="D30" s="12" t="s">
        <v>438</v>
      </c>
      <c r="E30" s="12" t="s">
        <v>30</v>
      </c>
      <c r="F30" s="4">
        <v>15141.0</v>
      </c>
      <c r="G30" s="12" t="s">
        <v>31</v>
      </c>
      <c r="H30" s="12" t="s">
        <v>37</v>
      </c>
      <c r="I30" s="4">
        <v>-6.1766853</v>
      </c>
      <c r="J30" s="4">
        <v>106.6666825</v>
      </c>
      <c r="K30" s="13" t="s">
        <v>439</v>
      </c>
      <c r="L30" s="7">
        <f t="shared" si="1"/>
        <v>16666666.67</v>
      </c>
      <c r="M30" s="7">
        <f>1400000000/84</f>
        <v>16666666.67</v>
      </c>
      <c r="N30" s="7">
        <f>900000000/72</f>
        <v>12500000</v>
      </c>
      <c r="O30" s="7">
        <f>1400000000/84</f>
        <v>16666666.67</v>
      </c>
      <c r="Z30" s="9" t="s">
        <v>440</v>
      </c>
    </row>
    <row r="31">
      <c r="A31" s="12" t="s">
        <v>26</v>
      </c>
      <c r="B31" s="12" t="s">
        <v>441</v>
      </c>
      <c r="C31" s="12" t="s">
        <v>442</v>
      </c>
      <c r="D31" s="12" t="s">
        <v>443</v>
      </c>
      <c r="E31" s="12" t="s">
        <v>30</v>
      </c>
      <c r="F31" s="4">
        <v>15117.0</v>
      </c>
      <c r="G31" s="12" t="s">
        <v>31</v>
      </c>
      <c r="H31" s="12" t="s">
        <v>37</v>
      </c>
      <c r="I31" s="4">
        <v>-6.2095952</v>
      </c>
      <c r="J31" s="4">
        <v>106.6344494</v>
      </c>
      <c r="K31" s="13" t="s">
        <v>444</v>
      </c>
      <c r="L31" s="7">
        <f t="shared" si="1"/>
        <v>11111111.11</v>
      </c>
      <c r="M31" s="7">
        <f>1400000000/126</f>
        <v>11111111.11</v>
      </c>
      <c r="N31" s="7">
        <f>2600000000/100</f>
        <v>26000000</v>
      </c>
      <c r="O31" s="7">
        <f>1300000000/126</f>
        <v>10317460.32</v>
      </c>
      <c r="P31" s="7">
        <f>1800000000/189</f>
        <v>9523809.524</v>
      </c>
      <c r="Q31" s="7">
        <f>4800000000/250</f>
        <v>19200000</v>
      </c>
      <c r="R31" s="7">
        <f>1650000000/218</f>
        <v>7568807.339</v>
      </c>
      <c r="S31" s="7">
        <f>4800000000/255</f>
        <v>18823529.41</v>
      </c>
      <c r="Z31" s="9" t="s">
        <v>445</v>
      </c>
    </row>
    <row r="32">
      <c r="A32" s="12" t="s">
        <v>26</v>
      </c>
      <c r="B32" s="12" t="s">
        <v>446</v>
      </c>
      <c r="C32" s="12" t="s">
        <v>447</v>
      </c>
      <c r="D32" s="12" t="s">
        <v>448</v>
      </c>
      <c r="E32" s="12" t="s">
        <v>30</v>
      </c>
      <c r="F32" s="4">
        <v>15117.0</v>
      </c>
      <c r="G32" s="12" t="s">
        <v>31</v>
      </c>
      <c r="H32" s="5">
        <v>8.12E9</v>
      </c>
      <c r="I32" s="4">
        <v>-6.2069942</v>
      </c>
      <c r="J32" s="4">
        <v>106.6450659</v>
      </c>
      <c r="K32" s="13" t="s">
        <v>449</v>
      </c>
      <c r="L32" s="7">
        <f t="shared" si="1"/>
        <v>11250000</v>
      </c>
      <c r="M32" s="7">
        <f>4500000000/400</f>
        <v>11250000</v>
      </c>
      <c r="Z32" s="9" t="s">
        <v>450</v>
      </c>
    </row>
    <row r="33">
      <c r="A33" s="12" t="s">
        <v>26</v>
      </c>
      <c r="B33" s="12" t="s">
        <v>451</v>
      </c>
      <c r="C33" s="12" t="s">
        <v>452</v>
      </c>
      <c r="D33" s="12" t="s">
        <v>453</v>
      </c>
      <c r="E33" s="12" t="s">
        <v>30</v>
      </c>
      <c r="F33" s="4">
        <v>15117.0</v>
      </c>
      <c r="G33" s="12" t="s">
        <v>31</v>
      </c>
      <c r="H33" s="12" t="s">
        <v>37</v>
      </c>
      <c r="I33" s="4">
        <v>-6.2116661</v>
      </c>
      <c r="J33" s="4">
        <v>106.6326638</v>
      </c>
      <c r="K33" s="13" t="s">
        <v>454</v>
      </c>
      <c r="L33" s="7" t="str">
        <f t="shared" si="1"/>
        <v/>
      </c>
      <c r="Z33" s="8" t="s">
        <v>33</v>
      </c>
    </row>
    <row r="34">
      <c r="A34" s="12" t="s">
        <v>26</v>
      </c>
      <c r="B34" s="12" t="s">
        <v>455</v>
      </c>
      <c r="C34" s="12" t="s">
        <v>456</v>
      </c>
      <c r="D34" s="12" t="s">
        <v>457</v>
      </c>
      <c r="E34" s="12" t="s">
        <v>30</v>
      </c>
      <c r="F34" s="4">
        <v>15124.0</v>
      </c>
      <c r="G34" s="12" t="s">
        <v>31</v>
      </c>
      <c r="H34" s="12" t="s">
        <v>37</v>
      </c>
      <c r="I34" s="4">
        <v>-6.1343804</v>
      </c>
      <c r="J34" s="4">
        <v>106.6901727</v>
      </c>
      <c r="K34" s="13" t="s">
        <v>458</v>
      </c>
      <c r="L34" s="7" t="str">
        <f t="shared" si="1"/>
        <v/>
      </c>
      <c r="Z34" s="8" t="s">
        <v>33</v>
      </c>
    </row>
    <row r="35">
      <c r="A35" s="12" t="s">
        <v>26</v>
      </c>
      <c r="B35" s="12" t="s">
        <v>459</v>
      </c>
      <c r="C35" s="12" t="s">
        <v>460</v>
      </c>
      <c r="D35" s="12" t="s">
        <v>461</v>
      </c>
      <c r="E35" s="12" t="s">
        <v>30</v>
      </c>
      <c r="F35" s="4">
        <v>15122.0</v>
      </c>
      <c r="G35" s="12" t="s">
        <v>31</v>
      </c>
      <c r="H35" s="12" t="s">
        <v>37</v>
      </c>
      <c r="I35" s="4">
        <v>-6.188558</v>
      </c>
      <c r="J35" s="4">
        <v>106.6689722</v>
      </c>
      <c r="K35" s="13" t="s">
        <v>462</v>
      </c>
      <c r="L35" s="7" t="str">
        <f t="shared" si="1"/>
        <v/>
      </c>
      <c r="Z35" s="8" t="s">
        <v>33</v>
      </c>
    </row>
    <row r="36">
      <c r="A36" s="12" t="s">
        <v>26</v>
      </c>
      <c r="B36" s="12" t="s">
        <v>463</v>
      </c>
      <c r="C36" s="12" t="s">
        <v>464</v>
      </c>
      <c r="D36" s="12" t="s">
        <v>465</v>
      </c>
      <c r="E36" s="12" t="s">
        <v>30</v>
      </c>
      <c r="F36" s="4">
        <v>15121.0</v>
      </c>
      <c r="G36" s="12" t="s">
        <v>31</v>
      </c>
      <c r="H36" s="12" t="s">
        <v>37</v>
      </c>
      <c r="I36" s="4">
        <v>-6.1607206</v>
      </c>
      <c r="J36" s="4">
        <v>106.6424827</v>
      </c>
      <c r="K36" s="13" t="s">
        <v>466</v>
      </c>
      <c r="L36" s="7">
        <f t="shared" si="1"/>
        <v>13888888.89</v>
      </c>
      <c r="M36" s="7">
        <f>1250000000/90</f>
        <v>13888888.89</v>
      </c>
      <c r="Z36" s="9" t="s">
        <v>467</v>
      </c>
    </row>
    <row r="37">
      <c r="A37" s="12" t="s">
        <v>26</v>
      </c>
      <c r="B37" s="12" t="s">
        <v>468</v>
      </c>
      <c r="C37" s="12" t="s">
        <v>469</v>
      </c>
      <c r="D37" s="12" t="s">
        <v>470</v>
      </c>
      <c r="E37" s="12" t="s">
        <v>30</v>
      </c>
      <c r="F37" s="4">
        <v>15143.0</v>
      </c>
      <c r="G37" s="12" t="s">
        <v>31</v>
      </c>
      <c r="H37" s="12" t="s">
        <v>37</v>
      </c>
      <c r="I37" s="4">
        <v>-6.2142565</v>
      </c>
      <c r="J37" s="4">
        <v>106.6378415</v>
      </c>
      <c r="K37" s="13" t="s">
        <v>471</v>
      </c>
      <c r="L37" s="7">
        <f t="shared" si="1"/>
        <v>11666666.67</v>
      </c>
      <c r="M37" s="7">
        <f>1820000000/156</f>
        <v>11666666.67</v>
      </c>
      <c r="Z37" s="9" t="s">
        <v>472</v>
      </c>
    </row>
    <row r="38">
      <c r="A38" s="12" t="s">
        <v>86</v>
      </c>
      <c r="B38" s="12" t="s">
        <v>473</v>
      </c>
      <c r="C38" s="12" t="s">
        <v>474</v>
      </c>
      <c r="D38" s="12" t="s">
        <v>475</v>
      </c>
      <c r="E38" s="12" t="s">
        <v>30</v>
      </c>
      <c r="F38" s="4">
        <v>15141.0</v>
      </c>
      <c r="G38" s="12" t="s">
        <v>31</v>
      </c>
      <c r="H38" s="12" t="s">
        <v>37</v>
      </c>
      <c r="I38" s="4">
        <v>-6.1860584</v>
      </c>
      <c r="J38" s="4">
        <v>106.661347</v>
      </c>
      <c r="K38" s="13" t="s">
        <v>476</v>
      </c>
      <c r="L38" s="7">
        <f t="shared" si="1"/>
        <v>14800000</v>
      </c>
      <c r="M38" s="7">
        <f>1480000000/100</f>
        <v>14800000</v>
      </c>
      <c r="Z38" s="9" t="s">
        <v>477</v>
      </c>
    </row>
    <row r="39">
      <c r="A39" s="12" t="s">
        <v>26</v>
      </c>
      <c r="B39" s="12" t="s">
        <v>478</v>
      </c>
      <c r="C39" s="12" t="s">
        <v>479</v>
      </c>
      <c r="D39" s="12" t="s">
        <v>480</v>
      </c>
      <c r="E39" s="12" t="s">
        <v>30</v>
      </c>
      <c r="F39" s="4">
        <v>15111.0</v>
      </c>
      <c r="G39" s="12" t="s">
        <v>31</v>
      </c>
      <c r="H39" s="12" t="s">
        <v>37</v>
      </c>
      <c r="I39" s="4">
        <v>-6.169529</v>
      </c>
      <c r="J39" s="4">
        <v>106.6315667</v>
      </c>
      <c r="K39" s="13" t="s">
        <v>481</v>
      </c>
      <c r="L39" s="7">
        <f t="shared" si="1"/>
        <v>18333333.33</v>
      </c>
      <c r="M39" s="7">
        <f>1100000000/60</f>
        <v>18333333.33</v>
      </c>
      <c r="Z39" s="9" t="s">
        <v>482</v>
      </c>
    </row>
    <row r="40">
      <c r="A40" s="12" t="s">
        <v>26</v>
      </c>
      <c r="B40" s="12" t="s">
        <v>483</v>
      </c>
      <c r="C40" s="12" t="s">
        <v>484</v>
      </c>
      <c r="D40" s="12" t="s">
        <v>485</v>
      </c>
      <c r="E40" s="12" t="s">
        <v>30</v>
      </c>
      <c r="F40" s="4">
        <v>15122.0</v>
      </c>
      <c r="G40" s="12" t="s">
        <v>31</v>
      </c>
      <c r="H40" s="12" t="s">
        <v>37</v>
      </c>
      <c r="I40" s="4">
        <v>-6.1632873</v>
      </c>
      <c r="J40" s="4">
        <v>106.6672934</v>
      </c>
      <c r="K40" s="13" t="s">
        <v>486</v>
      </c>
      <c r="L40" s="7" t="str">
        <f t="shared" si="1"/>
        <v/>
      </c>
      <c r="Z40" s="8" t="s">
        <v>33</v>
      </c>
    </row>
    <row r="41">
      <c r="A41" s="12" t="s">
        <v>26</v>
      </c>
      <c r="B41" s="12" t="s">
        <v>487</v>
      </c>
      <c r="C41" s="12" t="s">
        <v>488</v>
      </c>
      <c r="D41" s="12" t="s">
        <v>489</v>
      </c>
      <c r="E41" s="12" t="s">
        <v>30</v>
      </c>
      <c r="F41" s="4">
        <v>15117.0</v>
      </c>
      <c r="G41" s="12" t="s">
        <v>31</v>
      </c>
      <c r="H41" s="5">
        <v>2.16E8</v>
      </c>
      <c r="I41" s="4">
        <v>-6.2050556</v>
      </c>
      <c r="J41" s="4">
        <v>106.6447373</v>
      </c>
      <c r="K41" s="13" t="s">
        <v>490</v>
      </c>
      <c r="L41" s="7">
        <f t="shared" si="1"/>
        <v>17187500</v>
      </c>
      <c r="M41" s="7">
        <f>2750000000/160</f>
        <v>17187500</v>
      </c>
      <c r="Z41" s="9" t="s">
        <v>491</v>
      </c>
    </row>
    <row r="42">
      <c r="A42" s="12" t="s">
        <v>26</v>
      </c>
      <c r="B42" s="12" t="s">
        <v>492</v>
      </c>
      <c r="C42" s="12" t="s">
        <v>493</v>
      </c>
      <c r="D42" s="12" t="s">
        <v>494</v>
      </c>
      <c r="E42" s="12" t="s">
        <v>30</v>
      </c>
      <c r="F42" s="4">
        <v>15117.0</v>
      </c>
      <c r="G42" s="12" t="s">
        <v>31</v>
      </c>
      <c r="H42" s="5">
        <v>8.79E10</v>
      </c>
      <c r="I42" s="4">
        <v>-6.2112413</v>
      </c>
      <c r="J42" s="4">
        <v>106.645849</v>
      </c>
      <c r="K42" s="13" t="s">
        <v>495</v>
      </c>
      <c r="L42" s="7">
        <f t="shared" si="1"/>
        <v>10044776.12</v>
      </c>
      <c r="M42" s="7">
        <f>673000000/67</f>
        <v>10044776.12</v>
      </c>
      <c r="Z42" s="9" t="s">
        <v>496</v>
      </c>
    </row>
    <row r="43">
      <c r="A43" s="12" t="s">
        <v>26</v>
      </c>
      <c r="B43" s="12" t="s">
        <v>497</v>
      </c>
      <c r="C43" s="12" t="s">
        <v>498</v>
      </c>
      <c r="D43" s="12" t="s">
        <v>499</v>
      </c>
      <c r="E43" s="12" t="s">
        <v>30</v>
      </c>
      <c r="F43" s="4">
        <v>15117.0</v>
      </c>
      <c r="G43" s="12" t="s">
        <v>31</v>
      </c>
      <c r="H43" s="12" t="s">
        <v>37</v>
      </c>
      <c r="I43" s="4">
        <v>-6.2008133</v>
      </c>
      <c r="J43" s="4">
        <v>106.627887</v>
      </c>
      <c r="K43" s="13" t="s">
        <v>500</v>
      </c>
      <c r="L43" s="7">
        <f t="shared" si="1"/>
        <v>13975155.28</v>
      </c>
      <c r="M43" s="7">
        <f>4500000000/322</f>
        <v>13975155.28</v>
      </c>
      <c r="Z43" s="9" t="s">
        <v>501</v>
      </c>
    </row>
    <row r="44">
      <c r="A44" s="12" t="s">
        <v>26</v>
      </c>
      <c r="B44" s="12" t="s">
        <v>502</v>
      </c>
      <c r="C44" s="12" t="s">
        <v>503</v>
      </c>
      <c r="D44" s="12" t="s">
        <v>504</v>
      </c>
      <c r="E44" s="12" t="s">
        <v>30</v>
      </c>
      <c r="F44" s="4">
        <v>15121.0</v>
      </c>
      <c r="G44" s="12" t="s">
        <v>31</v>
      </c>
      <c r="H44" s="5">
        <v>2.16E9</v>
      </c>
      <c r="I44" s="4">
        <v>-6.164712</v>
      </c>
      <c r="J44" s="4">
        <v>106.6407882</v>
      </c>
      <c r="K44" s="13" t="s">
        <v>505</v>
      </c>
      <c r="L44" s="7">
        <f t="shared" si="1"/>
        <v>15476190.48</v>
      </c>
      <c r="M44" s="7">
        <f>780700000/70</f>
        <v>11152857.14</v>
      </c>
      <c r="N44" s="7">
        <f>667100000/60</f>
        <v>11118333.33</v>
      </c>
      <c r="O44" s="7">
        <f>981900000/60</f>
        <v>16365000</v>
      </c>
      <c r="P44" s="7">
        <f>1300000000/84</f>
        <v>15476190.48</v>
      </c>
      <c r="Q44" s="7">
        <f>1200000000/72</f>
        <v>16666666.67</v>
      </c>
      <c r="Z44" s="9" t="s">
        <v>506</v>
      </c>
    </row>
    <row r="45">
      <c r="A45" s="12" t="s">
        <v>26</v>
      </c>
      <c r="B45" s="12" t="s">
        <v>507</v>
      </c>
      <c r="C45" s="12" t="s">
        <v>508</v>
      </c>
      <c r="D45" s="12" t="s">
        <v>509</v>
      </c>
      <c r="E45" s="12" t="s">
        <v>30</v>
      </c>
      <c r="F45" s="4">
        <v>15122.0</v>
      </c>
      <c r="G45" s="12" t="s">
        <v>31</v>
      </c>
      <c r="H45" s="12" t="s">
        <v>37</v>
      </c>
      <c r="I45" s="4">
        <v>-6.1603544</v>
      </c>
      <c r="J45" s="4">
        <v>106.6898853</v>
      </c>
      <c r="K45" s="13" t="s">
        <v>510</v>
      </c>
      <c r="L45" s="7">
        <f t="shared" si="1"/>
        <v>13888888.89</v>
      </c>
      <c r="M45" s="7">
        <f>1250000000/90</f>
        <v>13888888.89</v>
      </c>
      <c r="Z45" s="9" t="s">
        <v>511</v>
      </c>
    </row>
    <row r="46">
      <c r="J46" s="7">
        <f>sum(K46:Y46)</f>
        <v>116</v>
      </c>
      <c r="K46" s="7">
        <f>COUNTA(K2:K45)</f>
        <v>44</v>
      </c>
      <c r="M46" s="7">
        <f t="shared" ref="M46:Y46" si="2">COUNTA(M2:M45)</f>
        <v>33</v>
      </c>
      <c r="N46" s="7">
        <f t="shared" si="2"/>
        <v>9</v>
      </c>
      <c r="O46" s="7">
        <f t="shared" si="2"/>
        <v>8</v>
      </c>
      <c r="P46" s="7">
        <f t="shared" si="2"/>
        <v>7</v>
      </c>
      <c r="Q46" s="7">
        <f t="shared" si="2"/>
        <v>6</v>
      </c>
      <c r="R46" s="7">
        <f t="shared" si="2"/>
        <v>4</v>
      </c>
      <c r="S46" s="7">
        <f t="shared" si="2"/>
        <v>3</v>
      </c>
      <c r="T46" s="7">
        <f t="shared" si="2"/>
        <v>1</v>
      </c>
      <c r="U46" s="7">
        <f t="shared" si="2"/>
        <v>1</v>
      </c>
      <c r="V46" s="7">
        <f t="shared" si="2"/>
        <v>0</v>
      </c>
      <c r="W46" s="7">
        <f t="shared" si="2"/>
        <v>0</v>
      </c>
      <c r="X46" s="7">
        <f t="shared" si="2"/>
        <v>0</v>
      </c>
      <c r="Y46" s="7">
        <f t="shared" si="2"/>
        <v>0</v>
      </c>
    </row>
  </sheetData>
  <hyperlinks>
    <hyperlink r:id="rId1" ref="K2"/>
    <hyperlink r:id="rId2" ref="Z2"/>
    <hyperlink r:id="rId3" ref="K3"/>
    <hyperlink r:id="rId4" ref="Z3"/>
    <hyperlink r:id="rId5" ref="K4"/>
    <hyperlink r:id="rId6" ref="Z4"/>
    <hyperlink r:id="rId7" ref="K5"/>
    <hyperlink r:id="rId8" ref="Z5"/>
    <hyperlink r:id="rId9" ref="K6"/>
    <hyperlink r:id="rId10" ref="Z6"/>
    <hyperlink r:id="rId11" ref="K7"/>
    <hyperlink r:id="rId12" ref="Z7"/>
    <hyperlink r:id="rId13" ref="K8"/>
    <hyperlink r:id="rId14" ref="K9"/>
    <hyperlink r:id="rId15" ref="K10"/>
    <hyperlink r:id="rId16" ref="Z10"/>
    <hyperlink r:id="rId17" ref="K11"/>
    <hyperlink r:id="rId18" ref="Z11"/>
    <hyperlink r:id="rId19" ref="K12"/>
    <hyperlink r:id="rId20" ref="Z12"/>
    <hyperlink r:id="rId21" ref="K13"/>
    <hyperlink r:id="rId22" ref="Z13"/>
    <hyperlink r:id="rId23" ref="K14"/>
    <hyperlink r:id="rId24" ref="Z14"/>
    <hyperlink r:id="rId25" ref="K15"/>
    <hyperlink r:id="rId26" ref="K16"/>
    <hyperlink r:id="rId27" ref="Z16"/>
    <hyperlink r:id="rId28" ref="K17"/>
    <hyperlink r:id="rId29" ref="Z17"/>
    <hyperlink r:id="rId30" ref="K18"/>
    <hyperlink r:id="rId31" ref="K19"/>
    <hyperlink r:id="rId32" ref="Z19"/>
    <hyperlink r:id="rId33" ref="K20"/>
    <hyperlink r:id="rId34" ref="Z20"/>
    <hyperlink r:id="rId35" ref="K21"/>
    <hyperlink r:id="rId36" ref="Z21"/>
    <hyperlink r:id="rId37" ref="K22"/>
    <hyperlink r:id="rId38" ref="K23"/>
    <hyperlink r:id="rId39" ref="Z23"/>
    <hyperlink r:id="rId40" ref="K24"/>
    <hyperlink r:id="rId41" ref="Z24"/>
    <hyperlink r:id="rId42" ref="K25"/>
    <hyperlink r:id="rId43" ref="Z25"/>
    <hyperlink r:id="rId44" ref="K26"/>
    <hyperlink r:id="rId45" ref="K27"/>
    <hyperlink r:id="rId46" ref="Z27"/>
    <hyperlink r:id="rId47" ref="K28"/>
    <hyperlink r:id="rId48" ref="Z28"/>
    <hyperlink r:id="rId49" ref="K29"/>
    <hyperlink r:id="rId50" ref="K30"/>
    <hyperlink r:id="rId51" ref="Z30"/>
    <hyperlink r:id="rId52" ref="K31"/>
    <hyperlink r:id="rId53" ref="Z31"/>
    <hyperlink r:id="rId54" ref="K32"/>
    <hyperlink r:id="rId55" ref="Z32"/>
    <hyperlink r:id="rId56" ref="K33"/>
    <hyperlink r:id="rId57" ref="K34"/>
    <hyperlink r:id="rId58" ref="K35"/>
    <hyperlink r:id="rId59" ref="K36"/>
    <hyperlink r:id="rId60" ref="Z36"/>
    <hyperlink r:id="rId61" ref="K37"/>
    <hyperlink r:id="rId62" ref="Z37"/>
    <hyperlink r:id="rId63" ref="K38"/>
    <hyperlink r:id="rId64" ref="Z38"/>
    <hyperlink r:id="rId65" ref="K39"/>
    <hyperlink r:id="rId66" ref="Z39"/>
    <hyperlink r:id="rId67" ref="K40"/>
    <hyperlink r:id="rId68" ref="K41"/>
    <hyperlink r:id="rId69" ref="Z41"/>
    <hyperlink r:id="rId70" ref="K42"/>
    <hyperlink r:id="rId71" ref="Z42"/>
    <hyperlink r:id="rId72" ref="K43"/>
    <hyperlink r:id="rId73" ref="Z43"/>
    <hyperlink r:id="rId74" ref="K44"/>
    <hyperlink r:id="rId75" ref="Z44"/>
    <hyperlink r:id="rId76" ref="K45"/>
    <hyperlink r:id="rId77" ref="Z45"/>
  </hyperlinks>
  <drawing r:id="rId7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40.13"/>
    <col customWidth="1" min="11" max="11" width="44.25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8" t="s">
        <v>11</v>
      </c>
      <c r="M1" s="8" t="s">
        <v>118</v>
      </c>
      <c r="N1" s="8" t="s">
        <v>119</v>
      </c>
      <c r="O1" s="8" t="s">
        <v>120</v>
      </c>
      <c r="P1" s="8" t="s">
        <v>121</v>
      </c>
      <c r="Q1" s="8" t="s">
        <v>122</v>
      </c>
      <c r="R1" s="8" t="s">
        <v>123</v>
      </c>
      <c r="S1" s="8" t="s">
        <v>124</v>
      </c>
      <c r="T1" s="8" t="s">
        <v>125</v>
      </c>
      <c r="U1" s="8" t="s">
        <v>126</v>
      </c>
      <c r="V1" s="8" t="s">
        <v>127</v>
      </c>
      <c r="W1" s="8" t="s">
        <v>128</v>
      </c>
      <c r="X1" s="8" t="s">
        <v>129</v>
      </c>
      <c r="Y1" s="8" t="s">
        <v>130</v>
      </c>
      <c r="Z1" s="8" t="s">
        <v>25</v>
      </c>
    </row>
    <row r="2">
      <c r="A2" s="12" t="s">
        <v>26</v>
      </c>
      <c r="B2" s="12" t="s">
        <v>512</v>
      </c>
      <c r="C2" s="12" t="s">
        <v>513</v>
      </c>
      <c r="D2" s="12" t="s">
        <v>514</v>
      </c>
      <c r="E2" s="12" t="s">
        <v>30</v>
      </c>
      <c r="F2" s="4">
        <v>15414.0</v>
      </c>
      <c r="G2" s="12" t="s">
        <v>31</v>
      </c>
      <c r="H2" s="5">
        <v>8.58E10</v>
      </c>
      <c r="I2" s="4">
        <v>-6.3125623</v>
      </c>
      <c r="J2" s="4">
        <v>106.7215143</v>
      </c>
      <c r="K2" s="13" t="s">
        <v>515</v>
      </c>
      <c r="L2" s="10">
        <f t="shared" ref="L2:L57" si="1">IFERROR(MEDIAN(M2:Y2),"")</f>
        <v>18000000</v>
      </c>
      <c r="M2" s="10">
        <f>900000000/50</f>
        <v>18000000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9" t="s">
        <v>516</v>
      </c>
    </row>
    <row r="3">
      <c r="A3" s="12" t="s">
        <v>26</v>
      </c>
      <c r="B3" s="12" t="s">
        <v>517</v>
      </c>
      <c r="C3" s="12" t="s">
        <v>518</v>
      </c>
      <c r="D3" s="12" t="s">
        <v>519</v>
      </c>
      <c r="E3" s="12" t="s">
        <v>30</v>
      </c>
      <c r="F3" s="4">
        <v>15412.0</v>
      </c>
      <c r="G3" s="12" t="s">
        <v>31</v>
      </c>
      <c r="H3" s="5">
        <v>8.12E10</v>
      </c>
      <c r="I3" s="4">
        <v>-6.298667</v>
      </c>
      <c r="J3" s="4">
        <v>106.7524911</v>
      </c>
      <c r="K3" s="13" t="s">
        <v>520</v>
      </c>
      <c r="L3" s="10">
        <f t="shared" si="1"/>
        <v>25419902.91</v>
      </c>
      <c r="M3" s="10">
        <f>1530000000/60</f>
        <v>25500000</v>
      </c>
      <c r="N3" s="10">
        <f>2030000000/63</f>
        <v>32222222.22</v>
      </c>
      <c r="O3" s="10">
        <f>1760000000/72</f>
        <v>24444444.44</v>
      </c>
      <c r="P3" s="10">
        <f>2250000000/75</f>
        <v>30000000</v>
      </c>
      <c r="Q3" s="10">
        <f t="shared" ref="Q3:R3" si="2">2610000000/103</f>
        <v>25339805.83</v>
      </c>
      <c r="R3" s="10">
        <f t="shared" si="2"/>
        <v>25339805.83</v>
      </c>
      <c r="S3" s="10"/>
      <c r="T3" s="10"/>
      <c r="U3" s="10"/>
      <c r="V3" s="10"/>
      <c r="W3" s="10"/>
      <c r="X3" s="10"/>
      <c r="Y3" s="10"/>
      <c r="Z3" s="9" t="s">
        <v>521</v>
      </c>
    </row>
    <row r="4">
      <c r="A4" s="12" t="s">
        <v>26</v>
      </c>
      <c r="B4" s="12" t="s">
        <v>522</v>
      </c>
      <c r="C4" s="12" t="s">
        <v>523</v>
      </c>
      <c r="D4" s="12" t="s">
        <v>524</v>
      </c>
      <c r="E4" s="12" t="s">
        <v>30</v>
      </c>
      <c r="F4" s="4">
        <v>15412.0</v>
      </c>
      <c r="G4" s="12" t="s">
        <v>31</v>
      </c>
      <c r="H4" s="12" t="s">
        <v>37</v>
      </c>
      <c r="I4" s="4">
        <v>-6.291137</v>
      </c>
      <c r="J4" s="4">
        <v>106.756255</v>
      </c>
      <c r="K4" s="13" t="s">
        <v>525</v>
      </c>
      <c r="L4" s="10">
        <f t="shared" si="1"/>
        <v>8095238.095</v>
      </c>
      <c r="M4" s="10">
        <f>680000000/84</f>
        <v>8095238.095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9" t="s">
        <v>526</v>
      </c>
    </row>
    <row r="5">
      <c r="A5" s="12" t="s">
        <v>26</v>
      </c>
      <c r="B5" s="12" t="s">
        <v>527</v>
      </c>
      <c r="C5" s="12" t="s">
        <v>528</v>
      </c>
      <c r="D5" s="12" t="s">
        <v>529</v>
      </c>
      <c r="E5" s="12" t="s">
        <v>30</v>
      </c>
      <c r="F5" s="4">
        <v>15414.0</v>
      </c>
      <c r="G5" s="12" t="s">
        <v>31</v>
      </c>
      <c r="H5" s="12" t="s">
        <v>37</v>
      </c>
      <c r="I5" s="4">
        <v>-6.324205</v>
      </c>
      <c r="J5" s="4">
        <v>106.7049449</v>
      </c>
      <c r="K5" s="13" t="s">
        <v>530</v>
      </c>
      <c r="L5" s="10">
        <f t="shared" si="1"/>
        <v>12222222.22</v>
      </c>
      <c r="M5" s="10">
        <f>865000000/72</f>
        <v>12013888.89</v>
      </c>
      <c r="N5" s="10">
        <f>800000000/60</f>
        <v>13333333.33</v>
      </c>
      <c r="O5" s="10">
        <f>1100000000/93</f>
        <v>11827956.99</v>
      </c>
      <c r="P5" s="10">
        <f>2200000000/133</f>
        <v>16541353.38</v>
      </c>
      <c r="Q5" s="10">
        <f>1200000000/118</f>
        <v>10169491.53</v>
      </c>
      <c r="R5" s="10">
        <f>900000000/72</f>
        <v>12500000</v>
      </c>
      <c r="S5" s="10">
        <f>750000000/72</f>
        <v>10416666.67</v>
      </c>
      <c r="T5" s="10">
        <f>650000000/60</f>
        <v>10833333.33</v>
      </c>
      <c r="U5" s="10">
        <f>1850000000/133</f>
        <v>13909774.44</v>
      </c>
      <c r="V5" s="10">
        <f>750000000/72</f>
        <v>10416666.67</v>
      </c>
      <c r="W5" s="10">
        <f>895000000/72</f>
        <v>12430555.56</v>
      </c>
      <c r="X5" s="10">
        <f>18500000000/133</f>
        <v>139097744.4</v>
      </c>
      <c r="Y5" s="10"/>
      <c r="Z5" s="9" t="s">
        <v>531</v>
      </c>
    </row>
    <row r="6">
      <c r="A6" s="12" t="s">
        <v>86</v>
      </c>
      <c r="B6" s="12" t="s">
        <v>532</v>
      </c>
      <c r="C6" s="12" t="s">
        <v>533</v>
      </c>
      <c r="D6" s="12" t="s">
        <v>534</v>
      </c>
      <c r="E6" s="12" t="s">
        <v>30</v>
      </c>
      <c r="F6" s="4">
        <v>15412.0</v>
      </c>
      <c r="G6" s="12" t="s">
        <v>31</v>
      </c>
      <c r="H6" s="5">
        <v>2.18E9</v>
      </c>
      <c r="I6" s="4">
        <v>-6.2869058</v>
      </c>
      <c r="J6" s="4">
        <v>106.7485759</v>
      </c>
      <c r="K6" s="13" t="s">
        <v>535</v>
      </c>
      <c r="L6" s="10" t="str">
        <f t="shared" si="1"/>
        <v/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8" t="s">
        <v>33</v>
      </c>
    </row>
    <row r="7">
      <c r="A7" s="12" t="s">
        <v>26</v>
      </c>
      <c r="B7" s="12" t="s">
        <v>536</v>
      </c>
      <c r="C7" s="12" t="s">
        <v>537</v>
      </c>
      <c r="D7" s="12" t="s">
        <v>538</v>
      </c>
      <c r="E7" s="12" t="s">
        <v>30</v>
      </c>
      <c r="F7" s="4">
        <v>15413.0</v>
      </c>
      <c r="G7" s="12" t="s">
        <v>31</v>
      </c>
      <c r="H7" s="12" t="s">
        <v>37</v>
      </c>
      <c r="I7" s="4">
        <v>-6.2945095</v>
      </c>
      <c r="J7" s="4">
        <v>106.7380018</v>
      </c>
      <c r="K7" s="13" t="s">
        <v>539</v>
      </c>
      <c r="L7" s="10">
        <f t="shared" si="1"/>
        <v>8823529.412</v>
      </c>
      <c r="M7" s="10">
        <f>1250000000/165</f>
        <v>7575757.576</v>
      </c>
      <c r="N7" s="10">
        <f>1500000000/137</f>
        <v>10948905.11</v>
      </c>
      <c r="O7" s="10">
        <f>1250000000/165</f>
        <v>7575757.576</v>
      </c>
      <c r="P7" s="10">
        <f>1700000000/178</f>
        <v>9550561.798</v>
      </c>
      <c r="Q7" s="10">
        <f t="shared" ref="Q7:R7" si="3">1700000000/165</f>
        <v>10303030.3</v>
      </c>
      <c r="R7" s="10">
        <f t="shared" si="3"/>
        <v>10303030.3</v>
      </c>
      <c r="S7" s="10">
        <f>1500000000/137</f>
        <v>10948905.11</v>
      </c>
      <c r="T7" s="10">
        <f t="shared" ref="T7:V7" si="4">1250000000/165</f>
        <v>7575757.576</v>
      </c>
      <c r="U7" s="10">
        <f t="shared" si="4"/>
        <v>7575757.576</v>
      </c>
      <c r="V7" s="10">
        <f t="shared" si="4"/>
        <v>7575757.576</v>
      </c>
      <c r="W7" s="10">
        <f>1300000000/175</f>
        <v>7428571.429</v>
      </c>
      <c r="X7" s="10">
        <f>1500000000/170</f>
        <v>8823529.412</v>
      </c>
      <c r="Y7" s="10">
        <f>1500000000/137</f>
        <v>10948905.11</v>
      </c>
      <c r="Z7" s="9" t="s">
        <v>540</v>
      </c>
    </row>
    <row r="8">
      <c r="A8" s="12" t="s">
        <v>26</v>
      </c>
      <c r="B8" s="12" t="s">
        <v>541</v>
      </c>
      <c r="C8" s="12" t="s">
        <v>542</v>
      </c>
      <c r="D8" s="12" t="s">
        <v>543</v>
      </c>
      <c r="E8" s="12" t="s">
        <v>30</v>
      </c>
      <c r="F8" s="4">
        <v>15411.0</v>
      </c>
      <c r="G8" s="12" t="s">
        <v>31</v>
      </c>
      <c r="H8" s="5">
        <v>8.21E10</v>
      </c>
      <c r="I8" s="4">
        <v>-6.3333145</v>
      </c>
      <c r="J8" s="4">
        <v>106.7462218</v>
      </c>
      <c r="K8" s="13" t="s">
        <v>544</v>
      </c>
      <c r="L8" s="10">
        <f t="shared" si="1"/>
        <v>13316666.67</v>
      </c>
      <c r="M8" s="10">
        <f>799000000/60</f>
        <v>13316666.67</v>
      </c>
      <c r="N8" s="10">
        <f>890000000/60</f>
        <v>14833333.33</v>
      </c>
      <c r="O8" s="10">
        <f>1190000000/94</f>
        <v>12659574.47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9" t="s">
        <v>545</v>
      </c>
    </row>
    <row r="9">
      <c r="A9" s="12" t="s">
        <v>26</v>
      </c>
      <c r="B9" s="12" t="s">
        <v>546</v>
      </c>
      <c r="C9" s="12" t="s">
        <v>547</v>
      </c>
      <c r="D9" s="12" t="s">
        <v>548</v>
      </c>
      <c r="E9" s="12" t="s">
        <v>30</v>
      </c>
      <c r="F9" s="4">
        <v>15411.0</v>
      </c>
      <c r="G9" s="12" t="s">
        <v>31</v>
      </c>
      <c r="H9" s="5">
        <v>8.16E9</v>
      </c>
      <c r="I9" s="4">
        <v>-6.3181248</v>
      </c>
      <c r="J9" s="4">
        <v>106.7434501</v>
      </c>
      <c r="K9" s="13" t="s">
        <v>549</v>
      </c>
      <c r="L9" s="10">
        <f t="shared" si="1"/>
        <v>4583730.159</v>
      </c>
      <c r="M9" s="10">
        <f>419000000/90</f>
        <v>4655555.556</v>
      </c>
      <c r="N9" s="10">
        <f>379000000/84</f>
        <v>4511904.762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9" t="s">
        <v>550</v>
      </c>
    </row>
    <row r="10">
      <c r="A10" s="12" t="s">
        <v>26</v>
      </c>
      <c r="B10" s="12" t="s">
        <v>551</v>
      </c>
      <c r="C10" s="12" t="s">
        <v>552</v>
      </c>
      <c r="D10" s="12" t="s">
        <v>529</v>
      </c>
      <c r="E10" s="12" t="s">
        <v>30</v>
      </c>
      <c r="F10" s="4">
        <v>15414.0</v>
      </c>
      <c r="G10" s="12" t="s">
        <v>31</v>
      </c>
      <c r="H10" s="12" t="s">
        <v>37</v>
      </c>
      <c r="I10" s="4">
        <v>-6.3171869</v>
      </c>
      <c r="J10" s="4">
        <v>106.7129447</v>
      </c>
      <c r="K10" s="13" t="s">
        <v>553</v>
      </c>
      <c r="L10" s="10">
        <f t="shared" si="1"/>
        <v>19318181.82</v>
      </c>
      <c r="M10" s="10">
        <f>1700000000/88</f>
        <v>19318181.82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9" t="s">
        <v>554</v>
      </c>
    </row>
    <row r="11">
      <c r="A11" s="12" t="s">
        <v>26</v>
      </c>
      <c r="B11" s="12" t="s">
        <v>555</v>
      </c>
      <c r="C11" s="12" t="s">
        <v>556</v>
      </c>
      <c r="D11" s="12" t="s">
        <v>548</v>
      </c>
      <c r="E11" s="12" t="s">
        <v>30</v>
      </c>
      <c r="F11" s="4">
        <v>15413.0</v>
      </c>
      <c r="G11" s="12" t="s">
        <v>31</v>
      </c>
      <c r="H11" s="12" t="s">
        <v>37</v>
      </c>
      <c r="I11" s="4">
        <v>-6.2992881</v>
      </c>
      <c r="J11" s="4">
        <v>106.7217189</v>
      </c>
      <c r="K11" s="13" t="s">
        <v>557</v>
      </c>
      <c r="L11" s="10" t="str">
        <f t="shared" si="1"/>
        <v/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8" t="s">
        <v>33</v>
      </c>
    </row>
    <row r="12">
      <c r="A12" s="12" t="s">
        <v>26</v>
      </c>
      <c r="B12" s="12" t="s">
        <v>558</v>
      </c>
      <c r="C12" s="12" t="s">
        <v>559</v>
      </c>
      <c r="D12" s="12" t="s">
        <v>560</v>
      </c>
      <c r="E12" s="12" t="s">
        <v>30</v>
      </c>
      <c r="F12" s="4">
        <v>15414.0</v>
      </c>
      <c r="G12" s="12" t="s">
        <v>31</v>
      </c>
      <c r="H12" s="5">
        <v>2.17E9</v>
      </c>
      <c r="I12" s="4">
        <v>-6.3107521</v>
      </c>
      <c r="J12" s="4">
        <v>106.7246002</v>
      </c>
      <c r="K12" s="13" t="s">
        <v>561</v>
      </c>
      <c r="L12" s="10">
        <f t="shared" si="1"/>
        <v>10695816.08</v>
      </c>
      <c r="M12" s="10">
        <f>1390000000/129</f>
        <v>10775193.8</v>
      </c>
      <c r="N12" s="10">
        <f>1550000000/146</f>
        <v>10616438.36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9" t="s">
        <v>562</v>
      </c>
    </row>
    <row r="13">
      <c r="A13" s="12" t="s">
        <v>26</v>
      </c>
      <c r="B13" s="12" t="s">
        <v>563</v>
      </c>
      <c r="C13" s="12" t="s">
        <v>564</v>
      </c>
      <c r="D13" s="12" t="s">
        <v>560</v>
      </c>
      <c r="E13" s="12" t="s">
        <v>30</v>
      </c>
      <c r="F13" s="4">
        <v>15414.0</v>
      </c>
      <c r="G13" s="12" t="s">
        <v>31</v>
      </c>
      <c r="H13" s="5">
        <v>8.79E10</v>
      </c>
      <c r="I13" s="4">
        <v>-6.318589</v>
      </c>
      <c r="J13" s="4">
        <v>106.7206778</v>
      </c>
      <c r="K13" s="13" t="s">
        <v>565</v>
      </c>
      <c r="L13" s="10">
        <f t="shared" si="1"/>
        <v>10324675.32</v>
      </c>
      <c r="M13" s="10">
        <f>795000000/77</f>
        <v>10324675.32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9" t="s">
        <v>566</v>
      </c>
    </row>
    <row r="14">
      <c r="A14" s="12" t="s">
        <v>26</v>
      </c>
      <c r="B14" s="12" t="s">
        <v>567</v>
      </c>
      <c r="C14" s="12" t="s">
        <v>568</v>
      </c>
      <c r="D14" s="12" t="s">
        <v>569</v>
      </c>
      <c r="E14" s="12" t="s">
        <v>30</v>
      </c>
      <c r="F14" s="4">
        <v>15413.0</v>
      </c>
      <c r="G14" s="12" t="s">
        <v>31</v>
      </c>
      <c r="H14" s="12" t="s">
        <v>37</v>
      </c>
      <c r="I14" s="4">
        <v>-6.293974</v>
      </c>
      <c r="J14" s="4">
        <v>106.7347983</v>
      </c>
      <c r="K14" s="13" t="s">
        <v>570</v>
      </c>
      <c r="L14" s="10">
        <f t="shared" si="1"/>
        <v>11715976.33</v>
      </c>
      <c r="M14" s="10">
        <f>1980000000/169</f>
        <v>11715976.33</v>
      </c>
      <c r="N14" s="10">
        <f>1600000000/75</f>
        <v>21333333.33</v>
      </c>
      <c r="O14" s="10">
        <f t="shared" ref="O14:P14" si="5">1980000000/169</f>
        <v>11715976.33</v>
      </c>
      <c r="P14" s="10">
        <f t="shared" si="5"/>
        <v>11715976.33</v>
      </c>
      <c r="Q14" s="10">
        <f>1600000000/75</f>
        <v>21333333.33</v>
      </c>
      <c r="R14" s="10"/>
      <c r="S14" s="10"/>
      <c r="T14" s="10"/>
      <c r="U14" s="10"/>
      <c r="V14" s="10"/>
      <c r="W14" s="10"/>
      <c r="X14" s="10"/>
      <c r="Y14" s="10"/>
      <c r="Z14" s="9" t="s">
        <v>571</v>
      </c>
    </row>
    <row r="15">
      <c r="A15" s="12" t="s">
        <v>26</v>
      </c>
      <c r="B15" s="12" t="s">
        <v>572</v>
      </c>
      <c r="C15" s="12" t="s">
        <v>573</v>
      </c>
      <c r="D15" s="12" t="s">
        <v>538</v>
      </c>
      <c r="E15" s="12" t="s">
        <v>30</v>
      </c>
      <c r="F15" s="4">
        <v>15413.0</v>
      </c>
      <c r="G15" s="12" t="s">
        <v>31</v>
      </c>
      <c r="H15" s="12" t="s">
        <v>37</v>
      </c>
      <c r="I15" s="4">
        <v>-6.2927535</v>
      </c>
      <c r="J15" s="4">
        <v>106.7293178</v>
      </c>
      <c r="K15" s="13" t="s">
        <v>574</v>
      </c>
      <c r="L15" s="10">
        <f t="shared" si="1"/>
        <v>18971396.25</v>
      </c>
      <c r="M15" s="10">
        <f>1800000000/91</f>
        <v>19780219.78</v>
      </c>
      <c r="N15" s="10">
        <f>2000000000/136</f>
        <v>14705882.35</v>
      </c>
      <c r="O15" s="10">
        <f>1970000000/144</f>
        <v>13680555.56</v>
      </c>
      <c r="P15" s="10">
        <f>2500000000/108</f>
        <v>23148148.15</v>
      </c>
      <c r="Q15" s="10">
        <f t="shared" ref="Q15:R15" si="6">1800000000/91</f>
        <v>19780219.78</v>
      </c>
      <c r="R15" s="10">
        <f t="shared" si="6"/>
        <v>19780219.78</v>
      </c>
      <c r="S15" s="10">
        <f>1780000000/91</f>
        <v>19560439.56</v>
      </c>
      <c r="T15" s="10">
        <f>2200000000/144</f>
        <v>15277777.78</v>
      </c>
      <c r="U15" s="10">
        <f>2500000000/138</f>
        <v>18115942.03</v>
      </c>
      <c r="V15" s="10">
        <f>2500000000/136</f>
        <v>18382352.94</v>
      </c>
      <c r="W15" s="10">
        <f>2500000000/138</f>
        <v>18115942.03</v>
      </c>
      <c r="X15" s="10">
        <f>5000000000/171</f>
        <v>29239766.08</v>
      </c>
      <c r="Y15" s="10"/>
      <c r="Z15" s="9" t="s">
        <v>575</v>
      </c>
    </row>
    <row r="16">
      <c r="A16" s="12" t="s">
        <v>26</v>
      </c>
      <c r="B16" s="12" t="s">
        <v>576</v>
      </c>
      <c r="C16" s="12" t="s">
        <v>577</v>
      </c>
      <c r="D16" s="12" t="s">
        <v>534</v>
      </c>
      <c r="E16" s="12" t="s">
        <v>30</v>
      </c>
      <c r="F16" s="4">
        <v>15412.0</v>
      </c>
      <c r="G16" s="12" t="s">
        <v>31</v>
      </c>
      <c r="H16" s="5">
        <v>8.13E10</v>
      </c>
      <c r="I16" s="4">
        <v>-6.2848559</v>
      </c>
      <c r="J16" s="4">
        <v>106.7459788</v>
      </c>
      <c r="K16" s="13" t="s">
        <v>578</v>
      </c>
      <c r="L16" s="10">
        <f t="shared" si="1"/>
        <v>17600000</v>
      </c>
      <c r="M16" s="10">
        <f>2200000000/125</f>
        <v>17600000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9" t="s">
        <v>579</v>
      </c>
    </row>
    <row r="17">
      <c r="A17" s="12" t="s">
        <v>26</v>
      </c>
      <c r="B17" s="12" t="s">
        <v>580</v>
      </c>
      <c r="C17" s="12" t="s">
        <v>581</v>
      </c>
      <c r="D17" s="12" t="s">
        <v>582</v>
      </c>
      <c r="E17" s="12" t="s">
        <v>30</v>
      </c>
      <c r="F17" s="4">
        <v>15413.0</v>
      </c>
      <c r="G17" s="12" t="s">
        <v>31</v>
      </c>
      <c r="H17" s="12" t="s">
        <v>37</v>
      </c>
      <c r="I17" s="4">
        <v>-6.299298</v>
      </c>
      <c r="J17" s="4">
        <v>106.722705</v>
      </c>
      <c r="K17" s="13" t="s">
        <v>583</v>
      </c>
      <c r="L17" s="10" t="str">
        <f t="shared" si="1"/>
        <v/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8" t="s">
        <v>33</v>
      </c>
    </row>
    <row r="18">
      <c r="A18" s="12" t="s">
        <v>86</v>
      </c>
      <c r="B18" s="12" t="s">
        <v>584</v>
      </c>
      <c r="C18" s="12" t="s">
        <v>585</v>
      </c>
      <c r="D18" s="12" t="s">
        <v>582</v>
      </c>
      <c r="E18" s="12" t="s">
        <v>30</v>
      </c>
      <c r="F18" s="4">
        <v>15413.0</v>
      </c>
      <c r="G18" s="12" t="s">
        <v>31</v>
      </c>
      <c r="H18" s="12" t="s">
        <v>37</v>
      </c>
      <c r="I18" s="4">
        <v>-6.2940257</v>
      </c>
      <c r="J18" s="4">
        <v>106.7203158</v>
      </c>
      <c r="K18" s="13" t="s">
        <v>586</v>
      </c>
      <c r="L18" s="10">
        <f t="shared" si="1"/>
        <v>10303030.3</v>
      </c>
      <c r="M18" s="10">
        <f>1650000000/165</f>
        <v>10000000</v>
      </c>
      <c r="N18" s="10">
        <f>1200000000/90</f>
        <v>13333333.33</v>
      </c>
      <c r="O18" s="10">
        <f>1750000000/165</f>
        <v>10606060.61</v>
      </c>
      <c r="P18" s="10">
        <f>1750000000/176</f>
        <v>9943181.818</v>
      </c>
      <c r="Q18" s="10"/>
      <c r="R18" s="10"/>
      <c r="S18" s="10"/>
      <c r="T18" s="10"/>
      <c r="U18" s="10"/>
      <c r="V18" s="10"/>
      <c r="W18" s="10"/>
      <c r="X18" s="10"/>
      <c r="Y18" s="10"/>
      <c r="Z18" s="9" t="s">
        <v>587</v>
      </c>
    </row>
    <row r="19">
      <c r="A19" s="12" t="s">
        <v>26</v>
      </c>
      <c r="B19" s="12" t="s">
        <v>588</v>
      </c>
      <c r="C19" s="12" t="s">
        <v>589</v>
      </c>
      <c r="D19" s="12" t="s">
        <v>560</v>
      </c>
      <c r="E19" s="12" t="s">
        <v>30</v>
      </c>
      <c r="F19" s="4">
        <v>15414.0</v>
      </c>
      <c r="G19" s="12" t="s">
        <v>31</v>
      </c>
      <c r="H19" s="5">
        <v>8.53E10</v>
      </c>
      <c r="I19" s="4">
        <v>-6.3215304</v>
      </c>
      <c r="J19" s="4">
        <v>106.7276708</v>
      </c>
      <c r="K19" s="13" t="s">
        <v>590</v>
      </c>
      <c r="L19" s="10">
        <f t="shared" si="1"/>
        <v>12564102.56</v>
      </c>
      <c r="M19" s="10">
        <f>1700000000/65</f>
        <v>26153846.15</v>
      </c>
      <c r="N19" s="10">
        <f t="shared" ref="N19:O19" si="7">980000000/78</f>
        <v>12564102.56</v>
      </c>
      <c r="O19" s="10">
        <f t="shared" si="7"/>
        <v>12564102.56</v>
      </c>
      <c r="P19" s="10">
        <f t="shared" ref="P19:R19" si="8">950000000/78</f>
        <v>12179487.18</v>
      </c>
      <c r="Q19" s="10">
        <f t="shared" si="8"/>
        <v>12179487.18</v>
      </c>
      <c r="R19" s="10">
        <f t="shared" si="8"/>
        <v>12179487.18</v>
      </c>
      <c r="S19" s="10">
        <f>1700000000/65</f>
        <v>26153846.15</v>
      </c>
      <c r="T19" s="10">
        <f t="shared" ref="T19:V19" si="9">980000000/78</f>
        <v>12564102.56</v>
      </c>
      <c r="U19" s="10">
        <f t="shared" si="9"/>
        <v>12564102.56</v>
      </c>
      <c r="V19" s="10">
        <f t="shared" si="9"/>
        <v>12564102.56</v>
      </c>
      <c r="W19" s="10"/>
      <c r="X19" s="10"/>
      <c r="Y19" s="10"/>
      <c r="Z19" s="9" t="s">
        <v>591</v>
      </c>
    </row>
    <row r="20">
      <c r="A20" s="12" t="s">
        <v>26</v>
      </c>
      <c r="B20" s="12" t="s">
        <v>592</v>
      </c>
      <c r="C20" s="12" t="s">
        <v>593</v>
      </c>
      <c r="D20" s="12" t="s">
        <v>529</v>
      </c>
      <c r="E20" s="12" t="s">
        <v>30</v>
      </c>
      <c r="F20" s="4">
        <v>15414.0</v>
      </c>
      <c r="G20" s="12" t="s">
        <v>31</v>
      </c>
      <c r="H20" s="12" t="s">
        <v>37</v>
      </c>
      <c r="I20" s="4">
        <v>-6.3153542</v>
      </c>
      <c r="J20" s="4">
        <v>106.7100153</v>
      </c>
      <c r="K20" s="13" t="s">
        <v>594</v>
      </c>
      <c r="L20" s="10">
        <f t="shared" si="1"/>
        <v>13333333.33</v>
      </c>
      <c r="M20" s="10">
        <f>1800000000/110</f>
        <v>16363636.36</v>
      </c>
      <c r="N20" s="10">
        <f>1600000000/120</f>
        <v>13333333.33</v>
      </c>
      <c r="O20" s="10">
        <f>1200000000/110</f>
        <v>10909090.91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9" t="s">
        <v>595</v>
      </c>
    </row>
    <row r="21">
      <c r="A21" s="12" t="s">
        <v>26</v>
      </c>
      <c r="B21" s="12" t="s">
        <v>596</v>
      </c>
      <c r="C21" s="12" t="s">
        <v>597</v>
      </c>
      <c r="D21" s="12" t="s">
        <v>598</v>
      </c>
      <c r="E21" s="12" t="s">
        <v>30</v>
      </c>
      <c r="F21" s="4">
        <v>15414.0</v>
      </c>
      <c r="G21" s="12" t="s">
        <v>31</v>
      </c>
      <c r="H21" s="5">
        <v>2.2E9</v>
      </c>
      <c r="I21" s="4">
        <v>-6.3188341</v>
      </c>
      <c r="J21" s="4">
        <v>106.71957</v>
      </c>
      <c r="K21" s="13" t="s">
        <v>599</v>
      </c>
      <c r="L21" s="10" t="str">
        <f t="shared" si="1"/>
        <v/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8" t="s">
        <v>33</v>
      </c>
    </row>
    <row r="22">
      <c r="A22" s="12" t="s">
        <v>26</v>
      </c>
      <c r="B22" s="12" t="s">
        <v>600</v>
      </c>
      <c r="C22" s="12" t="s">
        <v>601</v>
      </c>
      <c r="D22" s="12" t="s">
        <v>538</v>
      </c>
      <c r="E22" s="12" t="s">
        <v>30</v>
      </c>
      <c r="F22" s="4">
        <v>15413.0</v>
      </c>
      <c r="G22" s="12" t="s">
        <v>31</v>
      </c>
      <c r="H22" s="12" t="s">
        <v>37</v>
      </c>
      <c r="I22" s="4">
        <v>-6.2963995</v>
      </c>
      <c r="J22" s="4">
        <v>106.7339437</v>
      </c>
      <c r="K22" s="13" t="s">
        <v>602</v>
      </c>
      <c r="L22" s="10">
        <f t="shared" si="1"/>
        <v>24416666.67</v>
      </c>
      <c r="M22" s="10">
        <f t="shared" ref="M22:O22" si="10">2930000000/120</f>
        <v>24416666.67</v>
      </c>
      <c r="N22" s="10">
        <f t="shared" si="10"/>
        <v>24416666.67</v>
      </c>
      <c r="O22" s="10">
        <f t="shared" si="10"/>
        <v>24416666.67</v>
      </c>
      <c r="P22" s="10">
        <f t="shared" ref="P22:Q22" si="11">6500000000/108</f>
        <v>60185185.19</v>
      </c>
      <c r="Q22" s="10">
        <f t="shared" si="11"/>
        <v>60185185.19</v>
      </c>
      <c r="R22" s="10">
        <f>2350000000/120</f>
        <v>19583333.33</v>
      </c>
      <c r="S22" s="10">
        <f>6500000000/108</f>
        <v>60185185.19</v>
      </c>
      <c r="T22" s="10">
        <f>6000000000/108</f>
        <v>55555555.56</v>
      </c>
      <c r="U22" s="10">
        <f>2500000000/120</f>
        <v>20833333.33</v>
      </c>
      <c r="V22" s="10"/>
      <c r="W22" s="10"/>
      <c r="X22" s="10"/>
      <c r="Y22" s="10"/>
      <c r="Z22" s="9" t="s">
        <v>603</v>
      </c>
    </row>
    <row r="23">
      <c r="A23" s="12" t="s">
        <v>26</v>
      </c>
      <c r="B23" s="12" t="s">
        <v>604</v>
      </c>
      <c r="C23" s="12" t="s">
        <v>605</v>
      </c>
      <c r="D23" s="12" t="s">
        <v>519</v>
      </c>
      <c r="E23" s="12" t="s">
        <v>30</v>
      </c>
      <c r="F23" s="4">
        <v>15412.0</v>
      </c>
      <c r="G23" s="12" t="s">
        <v>31</v>
      </c>
      <c r="H23" s="12" t="s">
        <v>37</v>
      </c>
      <c r="I23" s="4">
        <v>-6.3010987</v>
      </c>
      <c r="J23" s="4">
        <v>106.7537717</v>
      </c>
      <c r="K23" s="13" t="s">
        <v>606</v>
      </c>
      <c r="L23" s="10" t="str">
        <f t="shared" si="1"/>
        <v/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8" t="s">
        <v>33</v>
      </c>
    </row>
    <row r="24">
      <c r="A24" s="12" t="s">
        <v>26</v>
      </c>
      <c r="B24" s="12" t="s">
        <v>607</v>
      </c>
      <c r="C24" s="12" t="s">
        <v>608</v>
      </c>
      <c r="D24" s="12" t="s">
        <v>609</v>
      </c>
      <c r="E24" s="12" t="s">
        <v>30</v>
      </c>
      <c r="F24" s="4">
        <v>15412.0</v>
      </c>
      <c r="G24" s="12" t="s">
        <v>31</v>
      </c>
      <c r="H24" s="12" t="s">
        <v>37</v>
      </c>
      <c r="I24" s="4">
        <v>-6.2881106</v>
      </c>
      <c r="J24" s="4">
        <v>106.7535197</v>
      </c>
      <c r="K24" s="13" t="s">
        <v>610</v>
      </c>
      <c r="L24" s="10">
        <f t="shared" si="1"/>
        <v>16949152.54</v>
      </c>
      <c r="M24" s="10">
        <f>2000000000/118</f>
        <v>16949152.54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9" t="s">
        <v>611</v>
      </c>
    </row>
    <row r="25">
      <c r="A25" s="12" t="s">
        <v>26</v>
      </c>
      <c r="B25" s="12" t="s">
        <v>612</v>
      </c>
      <c r="C25" s="12" t="s">
        <v>613</v>
      </c>
      <c r="D25" s="12" t="s">
        <v>538</v>
      </c>
      <c r="E25" s="12" t="s">
        <v>30</v>
      </c>
      <c r="F25" s="4">
        <v>15413.0</v>
      </c>
      <c r="G25" s="12" t="s">
        <v>31</v>
      </c>
      <c r="H25" s="12" t="s">
        <v>37</v>
      </c>
      <c r="I25" s="4">
        <v>-6.2967773</v>
      </c>
      <c r="J25" s="4">
        <v>106.7406964</v>
      </c>
      <c r="K25" s="13" t="s">
        <v>614</v>
      </c>
      <c r="L25" s="10">
        <f t="shared" si="1"/>
        <v>10810810.81</v>
      </c>
      <c r="M25" s="10">
        <f>1240000000/80</f>
        <v>15500000</v>
      </c>
      <c r="N25" s="10">
        <f>2000000000/185</f>
        <v>10810810.81</v>
      </c>
      <c r="O25" s="10">
        <f>2000000000/225</f>
        <v>8888888.889</v>
      </c>
      <c r="P25" s="10">
        <f>3300000000/498</f>
        <v>6626506.024</v>
      </c>
      <c r="Q25" s="10">
        <f>2000000000/185</f>
        <v>10810810.81</v>
      </c>
      <c r="R25" s="10">
        <f>1380000000/135</f>
        <v>10222222.22</v>
      </c>
      <c r="S25" s="10">
        <f>3500000000/243</f>
        <v>14403292.18</v>
      </c>
      <c r="T25" s="10">
        <f>2200000000/170</f>
        <v>12941176.47</v>
      </c>
      <c r="U25" s="10">
        <f>950000000/104</f>
        <v>9134615.385</v>
      </c>
      <c r="V25" s="10">
        <f>2300000000/170</f>
        <v>13529411.76</v>
      </c>
      <c r="W25" s="10"/>
      <c r="X25" s="10"/>
      <c r="Y25" s="10"/>
      <c r="Z25" s="9" t="s">
        <v>615</v>
      </c>
    </row>
    <row r="26">
      <c r="A26" s="12" t="s">
        <v>86</v>
      </c>
      <c r="B26" s="12" t="s">
        <v>616</v>
      </c>
      <c r="C26" s="12" t="s">
        <v>617</v>
      </c>
      <c r="D26" s="12" t="s">
        <v>538</v>
      </c>
      <c r="E26" s="12" t="s">
        <v>30</v>
      </c>
      <c r="F26" s="4">
        <v>15413.0</v>
      </c>
      <c r="G26" s="12" t="s">
        <v>31</v>
      </c>
      <c r="H26" s="12" t="s">
        <v>37</v>
      </c>
      <c r="I26" s="4">
        <v>-6.2957236</v>
      </c>
      <c r="J26" s="4">
        <v>106.7366191</v>
      </c>
      <c r="K26" s="13" t="s">
        <v>618</v>
      </c>
      <c r="L26" s="10">
        <f t="shared" si="1"/>
        <v>8823529.412</v>
      </c>
      <c r="M26" s="10">
        <f>1250000000/165</f>
        <v>7575757.576</v>
      </c>
      <c r="N26" s="10">
        <f>1500000000/137</f>
        <v>10948905.11</v>
      </c>
      <c r="O26" s="10">
        <f>1250000000/165</f>
        <v>7575757.576</v>
      </c>
      <c r="P26" s="10">
        <f>1700000000/178</f>
        <v>9550561.798</v>
      </c>
      <c r="Q26" s="10">
        <f t="shared" ref="Q26:R26" si="12">1700000000/165</f>
        <v>10303030.3</v>
      </c>
      <c r="R26" s="10">
        <f t="shared" si="12"/>
        <v>10303030.3</v>
      </c>
      <c r="S26" s="10">
        <f>1500000000/137</f>
        <v>10948905.11</v>
      </c>
      <c r="T26" s="10">
        <f t="shared" ref="T26:V26" si="13">1250000000/165</f>
        <v>7575757.576</v>
      </c>
      <c r="U26" s="10">
        <f t="shared" si="13"/>
        <v>7575757.576</v>
      </c>
      <c r="V26" s="10">
        <f t="shared" si="13"/>
        <v>7575757.576</v>
      </c>
      <c r="W26" s="10">
        <f>1300000000/175</f>
        <v>7428571.429</v>
      </c>
      <c r="X26" s="10">
        <f>1500000000/170</f>
        <v>8823529.412</v>
      </c>
      <c r="Y26" s="10">
        <f>1500000000/137</f>
        <v>10948905.11</v>
      </c>
      <c r="Z26" s="9" t="s">
        <v>540</v>
      </c>
    </row>
    <row r="27">
      <c r="A27" s="12" t="s">
        <v>26</v>
      </c>
      <c r="B27" s="12" t="s">
        <v>619</v>
      </c>
      <c r="C27" s="12" t="s">
        <v>620</v>
      </c>
      <c r="D27" s="12" t="s">
        <v>621</v>
      </c>
      <c r="E27" s="12" t="s">
        <v>30</v>
      </c>
      <c r="F27" s="4">
        <v>15414.0</v>
      </c>
      <c r="G27" s="12" t="s">
        <v>31</v>
      </c>
      <c r="H27" s="12" t="s">
        <v>37</v>
      </c>
      <c r="I27" s="4">
        <v>-6.31899</v>
      </c>
      <c r="J27" s="4">
        <v>106.7258624</v>
      </c>
      <c r="K27" s="13" t="s">
        <v>622</v>
      </c>
      <c r="L27" s="10">
        <f t="shared" si="1"/>
        <v>14583333.33</v>
      </c>
      <c r="M27" s="10">
        <f t="shared" ref="M27:O27" si="14">1400000000/96</f>
        <v>14583333.33</v>
      </c>
      <c r="N27" s="10">
        <f t="shared" si="14"/>
        <v>14583333.33</v>
      </c>
      <c r="O27" s="10">
        <f t="shared" si="14"/>
        <v>14583333.33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9" t="s">
        <v>623</v>
      </c>
    </row>
    <row r="28">
      <c r="A28" s="12" t="s">
        <v>26</v>
      </c>
      <c r="B28" s="12" t="s">
        <v>624</v>
      </c>
      <c r="C28" s="12" t="s">
        <v>625</v>
      </c>
      <c r="D28" s="12" t="s">
        <v>626</v>
      </c>
      <c r="E28" s="12" t="s">
        <v>30</v>
      </c>
      <c r="F28" s="4">
        <v>15413.0</v>
      </c>
      <c r="G28" s="12" t="s">
        <v>31</v>
      </c>
      <c r="H28" s="12" t="s">
        <v>37</v>
      </c>
      <c r="I28" s="4">
        <v>-6.30196</v>
      </c>
      <c r="J28" s="4">
        <v>106.7229714</v>
      </c>
      <c r="K28" s="13" t="s">
        <v>627</v>
      </c>
      <c r="L28" s="10" t="str">
        <f t="shared" si="1"/>
        <v/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8" t="s">
        <v>33</v>
      </c>
    </row>
    <row r="29">
      <c r="A29" s="12" t="s">
        <v>26</v>
      </c>
      <c r="B29" s="12" t="s">
        <v>628</v>
      </c>
      <c r="C29" s="12" t="s">
        <v>629</v>
      </c>
      <c r="D29" s="12" t="s">
        <v>630</v>
      </c>
      <c r="E29" s="12" t="s">
        <v>30</v>
      </c>
      <c r="F29" s="4">
        <v>15419.0</v>
      </c>
      <c r="G29" s="12" t="s">
        <v>31</v>
      </c>
      <c r="H29" s="12" t="s">
        <v>37</v>
      </c>
      <c r="I29" s="4">
        <v>-6.3034557</v>
      </c>
      <c r="J29" s="4">
        <v>106.7598487</v>
      </c>
      <c r="K29" s="13" t="s">
        <v>631</v>
      </c>
      <c r="L29" s="10" t="str">
        <f t="shared" si="1"/>
        <v/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8" t="s">
        <v>33</v>
      </c>
    </row>
    <row r="30">
      <c r="A30" s="12" t="s">
        <v>26</v>
      </c>
      <c r="B30" s="12" t="s">
        <v>632</v>
      </c>
      <c r="C30" s="12" t="s">
        <v>633</v>
      </c>
      <c r="D30" s="12" t="s">
        <v>634</v>
      </c>
      <c r="E30" s="12" t="s">
        <v>30</v>
      </c>
      <c r="F30" s="4">
        <v>15411.0</v>
      </c>
      <c r="G30" s="12" t="s">
        <v>31</v>
      </c>
      <c r="H30" s="12" t="s">
        <v>37</v>
      </c>
      <c r="I30" s="4">
        <v>-6.321766</v>
      </c>
      <c r="J30" s="4">
        <v>106.7451134</v>
      </c>
      <c r="K30" s="13" t="s">
        <v>635</v>
      </c>
      <c r="L30" s="10" t="str">
        <f t="shared" si="1"/>
        <v/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8" t="s">
        <v>33</v>
      </c>
    </row>
    <row r="31">
      <c r="A31" s="12" t="s">
        <v>86</v>
      </c>
      <c r="B31" s="12" t="s">
        <v>636</v>
      </c>
      <c r="C31" s="12" t="s">
        <v>637</v>
      </c>
      <c r="D31" s="12" t="s">
        <v>638</v>
      </c>
      <c r="E31" s="12" t="s">
        <v>30</v>
      </c>
      <c r="F31" s="4">
        <v>15412.0</v>
      </c>
      <c r="G31" s="12" t="s">
        <v>31</v>
      </c>
      <c r="H31" s="5">
        <v>8.95E11</v>
      </c>
      <c r="I31" s="4">
        <v>-6.2761724</v>
      </c>
      <c r="J31" s="4">
        <v>106.7350953</v>
      </c>
      <c r="K31" s="13" t="s">
        <v>639</v>
      </c>
      <c r="L31" s="10" t="str">
        <f t="shared" si="1"/>
        <v/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8" t="s">
        <v>33</v>
      </c>
    </row>
    <row r="32">
      <c r="A32" s="12" t="s">
        <v>26</v>
      </c>
      <c r="B32" s="12" t="s">
        <v>640</v>
      </c>
      <c r="C32" s="12" t="s">
        <v>641</v>
      </c>
      <c r="D32" s="12" t="s">
        <v>642</v>
      </c>
      <c r="E32" s="12" t="s">
        <v>30</v>
      </c>
      <c r="F32" s="4">
        <v>15412.0</v>
      </c>
      <c r="G32" s="12" t="s">
        <v>31</v>
      </c>
      <c r="H32" s="5">
        <v>8.12E10</v>
      </c>
      <c r="I32" s="4">
        <v>-6.2939096</v>
      </c>
      <c r="J32" s="4">
        <v>106.7411046</v>
      </c>
      <c r="K32" s="13" t="s">
        <v>643</v>
      </c>
      <c r="L32" s="10">
        <f t="shared" si="1"/>
        <v>18521341.46</v>
      </c>
      <c r="M32" s="10">
        <f>1500000000/80</f>
        <v>18750000</v>
      </c>
      <c r="N32" s="10">
        <f>1500000000/82</f>
        <v>18292682.93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 t="s">
        <v>644</v>
      </c>
    </row>
    <row r="33">
      <c r="A33" s="12" t="s">
        <v>86</v>
      </c>
      <c r="B33" s="12" t="s">
        <v>645</v>
      </c>
      <c r="C33" s="12" t="s">
        <v>646</v>
      </c>
      <c r="D33" s="12" t="s">
        <v>634</v>
      </c>
      <c r="E33" s="12" t="s">
        <v>30</v>
      </c>
      <c r="F33" s="4">
        <v>15411.0</v>
      </c>
      <c r="G33" s="12" t="s">
        <v>31</v>
      </c>
      <c r="H33" s="12" t="s">
        <v>37</v>
      </c>
      <c r="I33" s="4">
        <v>-6.3282578</v>
      </c>
      <c r="J33" s="4">
        <v>106.7426418</v>
      </c>
      <c r="K33" s="13" t="s">
        <v>647</v>
      </c>
      <c r="L33" s="10" t="str">
        <f t="shared" si="1"/>
        <v/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8" t="s">
        <v>33</v>
      </c>
    </row>
    <row r="34">
      <c r="A34" s="12" t="s">
        <v>26</v>
      </c>
      <c r="B34" s="12" t="s">
        <v>648</v>
      </c>
      <c r="C34" s="12" t="s">
        <v>649</v>
      </c>
      <c r="D34" s="12" t="s">
        <v>538</v>
      </c>
      <c r="E34" s="12" t="s">
        <v>30</v>
      </c>
      <c r="F34" s="4">
        <v>15413.0</v>
      </c>
      <c r="G34" s="12" t="s">
        <v>31</v>
      </c>
      <c r="H34" s="12" t="s">
        <v>37</v>
      </c>
      <c r="I34" s="4">
        <v>-6.3038957</v>
      </c>
      <c r="J34" s="4">
        <v>106.7384463</v>
      </c>
      <c r="K34" s="13" t="s">
        <v>650</v>
      </c>
      <c r="L34" s="10">
        <f t="shared" si="1"/>
        <v>14880952.38</v>
      </c>
      <c r="M34" s="10">
        <f>1250000000/84</f>
        <v>14880952.38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9" t="s">
        <v>651</v>
      </c>
    </row>
    <row r="35">
      <c r="A35" s="12" t="s">
        <v>26</v>
      </c>
      <c r="B35" s="12" t="s">
        <v>652</v>
      </c>
      <c r="C35" s="12" t="s">
        <v>653</v>
      </c>
      <c r="D35" s="12" t="s">
        <v>654</v>
      </c>
      <c r="E35" s="12" t="s">
        <v>30</v>
      </c>
      <c r="F35" s="4">
        <v>15413.0</v>
      </c>
      <c r="G35" s="12" t="s">
        <v>31</v>
      </c>
      <c r="H35" s="12" t="s">
        <v>37</v>
      </c>
      <c r="I35" s="4">
        <v>-6.296042</v>
      </c>
      <c r="J35" s="4">
        <v>106.7414796</v>
      </c>
      <c r="K35" s="13" t="s">
        <v>655</v>
      </c>
      <c r="L35" s="10">
        <f t="shared" si="1"/>
        <v>10810810.81</v>
      </c>
      <c r="M35" s="10">
        <f>1240000000/80</f>
        <v>15500000</v>
      </c>
      <c r="N35" s="10">
        <f>2000000000/185</f>
        <v>10810810.81</v>
      </c>
      <c r="O35" s="10">
        <f>2000000000/225</f>
        <v>8888888.889</v>
      </c>
      <c r="P35" s="10">
        <f>3300000000/498</f>
        <v>6626506.024</v>
      </c>
      <c r="Q35" s="10">
        <f>2000000000/185</f>
        <v>10810810.81</v>
      </c>
      <c r="R35" s="10">
        <f>1380000000/135</f>
        <v>10222222.22</v>
      </c>
      <c r="S35" s="10">
        <f>3500000000/243</f>
        <v>14403292.18</v>
      </c>
      <c r="T35" s="10">
        <f>2200000000/170</f>
        <v>12941176.47</v>
      </c>
      <c r="U35" s="10">
        <f>950000000/104</f>
        <v>9134615.385</v>
      </c>
      <c r="V35" s="10">
        <f>2300000000/170</f>
        <v>13529411.76</v>
      </c>
      <c r="W35" s="10"/>
      <c r="X35" s="10"/>
      <c r="Y35" s="10"/>
      <c r="Z35" s="9" t="s">
        <v>615</v>
      </c>
    </row>
    <row r="36">
      <c r="A36" s="12" t="s">
        <v>26</v>
      </c>
      <c r="B36" s="12" t="s">
        <v>656</v>
      </c>
      <c r="C36" s="12" t="s">
        <v>657</v>
      </c>
      <c r="D36" s="12" t="s">
        <v>658</v>
      </c>
      <c r="E36" s="12" t="s">
        <v>30</v>
      </c>
      <c r="F36" s="4">
        <v>15413.0</v>
      </c>
      <c r="G36" s="12" t="s">
        <v>31</v>
      </c>
      <c r="H36" s="12" t="s">
        <v>37</v>
      </c>
      <c r="I36" s="4">
        <v>-6.3043288</v>
      </c>
      <c r="J36" s="4">
        <v>106.7401694</v>
      </c>
      <c r="K36" s="13" t="s">
        <v>659</v>
      </c>
      <c r="L36" s="10">
        <f t="shared" si="1"/>
        <v>17762237.76</v>
      </c>
      <c r="M36" s="10">
        <f>1000000000/66</f>
        <v>15151515.15</v>
      </c>
      <c r="N36" s="10">
        <f t="shared" ref="N36:O36" si="15">1100000000/70</f>
        <v>15714285.71</v>
      </c>
      <c r="O36" s="10">
        <f t="shared" si="15"/>
        <v>15714285.71</v>
      </c>
      <c r="P36" s="10">
        <f>1900000000/100</f>
        <v>19000000</v>
      </c>
      <c r="Q36" s="10">
        <f>2540000000/143</f>
        <v>17762237.76</v>
      </c>
      <c r="R36" s="10">
        <f t="shared" ref="R36:S36" si="16">1900000000/101</f>
        <v>18811881.19</v>
      </c>
      <c r="S36" s="10">
        <f t="shared" si="16"/>
        <v>18811881.19</v>
      </c>
      <c r="T36" s="10">
        <f>1100000000/66</f>
        <v>16666666.67</v>
      </c>
      <c r="U36" s="10">
        <f>1100000000/70</f>
        <v>15714285.71</v>
      </c>
      <c r="V36" s="10">
        <f>1150000000/96</f>
        <v>11979166.67</v>
      </c>
      <c r="W36" s="10">
        <f>1850000000/90</f>
        <v>20555555.56</v>
      </c>
      <c r="X36" s="10">
        <f>2100000000/100</f>
        <v>21000000</v>
      </c>
      <c r="Y36" s="10">
        <f>1800000000/98</f>
        <v>18367346.94</v>
      </c>
      <c r="Z36" s="9" t="s">
        <v>660</v>
      </c>
    </row>
    <row r="37">
      <c r="A37" s="12" t="s">
        <v>26</v>
      </c>
      <c r="B37" s="12" t="s">
        <v>661</v>
      </c>
      <c r="C37" s="12" t="s">
        <v>662</v>
      </c>
      <c r="D37" s="12" t="s">
        <v>663</v>
      </c>
      <c r="E37" s="12" t="s">
        <v>30</v>
      </c>
      <c r="F37" s="4">
        <v>15411.0</v>
      </c>
      <c r="G37" s="12" t="s">
        <v>31</v>
      </c>
      <c r="H37" s="5">
        <v>8.13E10</v>
      </c>
      <c r="I37" s="4">
        <v>-6.3272878</v>
      </c>
      <c r="J37" s="4">
        <v>106.7518491</v>
      </c>
      <c r="K37" s="13" t="s">
        <v>664</v>
      </c>
      <c r="L37" s="10">
        <f t="shared" si="1"/>
        <v>14976737.82</v>
      </c>
      <c r="M37" s="10">
        <f>1400000000/83</f>
        <v>16867469.88</v>
      </c>
      <c r="N37" s="10">
        <f>1000000000/62</f>
        <v>16129032.26</v>
      </c>
      <c r="O37" s="10">
        <f>1000000000/63</f>
        <v>15873015.87</v>
      </c>
      <c r="P37" s="10">
        <f>1100000000/78</f>
        <v>14102564.1</v>
      </c>
      <c r="Q37" s="10">
        <f>1100000000/77</f>
        <v>14285714.29</v>
      </c>
      <c r="R37" s="10">
        <f>934900000/63</f>
        <v>14839682.54</v>
      </c>
      <c r="S37" s="10">
        <f>876600000/58</f>
        <v>15113793.1</v>
      </c>
      <c r="T37" s="10">
        <f>1000000000/77</f>
        <v>12987012.99</v>
      </c>
      <c r="U37" s="10"/>
      <c r="V37" s="10"/>
      <c r="W37" s="10"/>
      <c r="X37" s="10"/>
      <c r="Y37" s="10"/>
      <c r="Z37" s="9" t="s">
        <v>665</v>
      </c>
    </row>
    <row r="38">
      <c r="A38" s="12" t="s">
        <v>26</v>
      </c>
      <c r="B38" s="12" t="s">
        <v>666</v>
      </c>
      <c r="C38" s="12" t="s">
        <v>667</v>
      </c>
      <c r="D38" s="12" t="s">
        <v>668</v>
      </c>
      <c r="E38" s="12" t="s">
        <v>30</v>
      </c>
      <c r="F38" s="4">
        <v>15412.0</v>
      </c>
      <c r="G38" s="12" t="s">
        <v>31</v>
      </c>
      <c r="H38" s="12" t="s">
        <v>37</v>
      </c>
      <c r="I38" s="4">
        <v>-6.3044338</v>
      </c>
      <c r="J38" s="4">
        <v>106.7535258</v>
      </c>
      <c r="K38" s="13" t="s">
        <v>669</v>
      </c>
      <c r="L38" s="10" t="str">
        <f t="shared" si="1"/>
        <v/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8" t="s">
        <v>33</v>
      </c>
    </row>
    <row r="39">
      <c r="A39" s="12" t="s">
        <v>26</v>
      </c>
      <c r="B39" s="12" t="s">
        <v>670</v>
      </c>
      <c r="C39" s="12" t="s">
        <v>671</v>
      </c>
      <c r="D39" s="12" t="s">
        <v>672</v>
      </c>
      <c r="E39" s="12" t="s">
        <v>30</v>
      </c>
      <c r="F39" s="4">
        <v>15412.0</v>
      </c>
      <c r="G39" s="12" t="s">
        <v>31</v>
      </c>
      <c r="H39" s="5">
        <v>8.89E9</v>
      </c>
      <c r="I39" s="4">
        <v>-6.2909921</v>
      </c>
      <c r="J39" s="4">
        <v>106.7342786</v>
      </c>
      <c r="K39" s="13" t="s">
        <v>673</v>
      </c>
      <c r="L39" s="10">
        <f t="shared" si="1"/>
        <v>13194444.44</v>
      </c>
      <c r="M39" s="10">
        <f>950000000/72</f>
        <v>13194444.44</v>
      </c>
      <c r="N39" s="10">
        <f>1800000000/180</f>
        <v>10000000</v>
      </c>
      <c r="O39" s="10">
        <f>1700000000/144</f>
        <v>11805555.56</v>
      </c>
      <c r="P39" s="10">
        <f>5870000000/350</f>
        <v>16771428.57</v>
      </c>
      <c r="Q39" s="10">
        <f>2140000000/144</f>
        <v>14861111.11</v>
      </c>
      <c r="R39" s="10"/>
      <c r="S39" s="10"/>
      <c r="T39" s="10"/>
      <c r="U39" s="10"/>
      <c r="V39" s="10"/>
      <c r="W39" s="10"/>
      <c r="X39" s="10"/>
      <c r="Y39" s="10"/>
      <c r="Z39" s="9" t="s">
        <v>674</v>
      </c>
    </row>
    <row r="40">
      <c r="A40" s="12" t="s">
        <v>26</v>
      </c>
      <c r="B40" s="12" t="s">
        <v>675</v>
      </c>
      <c r="C40" s="12" t="s">
        <v>676</v>
      </c>
      <c r="D40" s="12" t="s">
        <v>548</v>
      </c>
      <c r="E40" s="12" t="s">
        <v>30</v>
      </c>
      <c r="F40" s="4">
        <v>15414.0</v>
      </c>
      <c r="G40" s="12" t="s">
        <v>31</v>
      </c>
      <c r="H40" s="12" t="s">
        <v>37</v>
      </c>
      <c r="I40" s="4">
        <v>-6.3211709</v>
      </c>
      <c r="J40" s="4">
        <v>106.7247038</v>
      </c>
      <c r="K40" s="13" t="s">
        <v>677</v>
      </c>
      <c r="L40" s="10">
        <f t="shared" si="1"/>
        <v>8333333.333</v>
      </c>
      <c r="M40" s="10">
        <f>550000000/60</f>
        <v>9166666.667</v>
      </c>
      <c r="N40" s="10">
        <f>520000000/65</f>
        <v>8000000</v>
      </c>
      <c r="O40" s="10">
        <f>900000000/108</f>
        <v>8333333.333</v>
      </c>
      <c r="P40" s="10">
        <f>3700000000/200</f>
        <v>18500000</v>
      </c>
      <c r="Q40" s="10">
        <f>940000000/120</f>
        <v>7833333.333</v>
      </c>
      <c r="R40" s="10"/>
      <c r="S40" s="10"/>
      <c r="T40" s="10"/>
      <c r="U40" s="10"/>
      <c r="V40" s="10"/>
      <c r="W40" s="10"/>
      <c r="X40" s="10"/>
      <c r="Y40" s="10"/>
      <c r="Z40" s="9" t="s">
        <v>678</v>
      </c>
    </row>
    <row r="41">
      <c r="A41" s="12" t="s">
        <v>26</v>
      </c>
      <c r="B41" s="12" t="s">
        <v>679</v>
      </c>
      <c r="C41" s="12" t="s">
        <v>680</v>
      </c>
      <c r="D41" s="12" t="s">
        <v>582</v>
      </c>
      <c r="E41" s="12" t="s">
        <v>30</v>
      </c>
      <c r="F41" s="4">
        <v>15413.0</v>
      </c>
      <c r="G41" s="12" t="s">
        <v>31</v>
      </c>
      <c r="H41" s="12" t="s">
        <v>37</v>
      </c>
      <c r="I41" s="4">
        <v>-6.2854112</v>
      </c>
      <c r="J41" s="4">
        <v>106.7230311</v>
      </c>
      <c r="K41" s="13" t="s">
        <v>681</v>
      </c>
      <c r="L41" s="10" t="str">
        <f t="shared" si="1"/>
        <v/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8" t="s">
        <v>33</v>
      </c>
    </row>
    <row r="42">
      <c r="A42" s="12" t="s">
        <v>26</v>
      </c>
      <c r="B42" s="12" t="s">
        <v>682</v>
      </c>
      <c r="C42" s="12" t="s">
        <v>683</v>
      </c>
      <c r="D42" s="12" t="s">
        <v>684</v>
      </c>
      <c r="E42" s="12" t="s">
        <v>30</v>
      </c>
      <c r="F42" s="12" t="s">
        <v>37</v>
      </c>
      <c r="G42" s="12" t="s">
        <v>31</v>
      </c>
      <c r="H42" s="12" t="s">
        <v>37</v>
      </c>
      <c r="I42" s="4">
        <v>-6.2906931</v>
      </c>
      <c r="J42" s="4">
        <v>106.7285987</v>
      </c>
      <c r="K42" s="13" t="s">
        <v>685</v>
      </c>
      <c r="L42" s="10">
        <f t="shared" si="1"/>
        <v>14022988.51</v>
      </c>
      <c r="M42" s="10">
        <f>1220000000/87</f>
        <v>14022988.51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 t="s">
        <v>686</v>
      </c>
    </row>
    <row r="43">
      <c r="A43" s="12" t="s">
        <v>26</v>
      </c>
      <c r="B43" s="12" t="s">
        <v>687</v>
      </c>
      <c r="C43" s="12" t="s">
        <v>688</v>
      </c>
      <c r="D43" s="12" t="s">
        <v>689</v>
      </c>
      <c r="E43" s="12" t="s">
        <v>30</v>
      </c>
      <c r="F43" s="4">
        <v>15414.0</v>
      </c>
      <c r="G43" s="12" t="s">
        <v>31</v>
      </c>
      <c r="H43" s="12" t="s">
        <v>37</v>
      </c>
      <c r="I43" s="4">
        <v>-6.3117076</v>
      </c>
      <c r="J43" s="4">
        <v>106.7083567</v>
      </c>
      <c r="K43" s="13" t="s">
        <v>690</v>
      </c>
      <c r="L43" s="10" t="str">
        <f t="shared" si="1"/>
        <v/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8" t="s">
        <v>33</v>
      </c>
    </row>
    <row r="44">
      <c r="A44" s="12" t="s">
        <v>26</v>
      </c>
      <c r="B44" s="12" t="s">
        <v>691</v>
      </c>
      <c r="C44" s="12" t="s">
        <v>692</v>
      </c>
      <c r="D44" s="12" t="s">
        <v>693</v>
      </c>
      <c r="E44" s="12" t="s">
        <v>30</v>
      </c>
      <c r="F44" s="4">
        <v>15414.0</v>
      </c>
      <c r="G44" s="12" t="s">
        <v>31</v>
      </c>
      <c r="H44" s="12" t="s">
        <v>37</v>
      </c>
      <c r="I44" s="4">
        <v>-6.3167217</v>
      </c>
      <c r="J44" s="4">
        <v>106.7168086</v>
      </c>
      <c r="K44" s="13" t="s">
        <v>694</v>
      </c>
      <c r="L44" s="10" t="str">
        <f t="shared" si="1"/>
        <v/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8" t="s">
        <v>33</v>
      </c>
    </row>
    <row r="45">
      <c r="A45" s="12" t="s">
        <v>26</v>
      </c>
      <c r="B45" s="12" t="s">
        <v>695</v>
      </c>
      <c r="C45" s="12" t="s">
        <v>696</v>
      </c>
      <c r="D45" s="12" t="s">
        <v>582</v>
      </c>
      <c r="E45" s="12" t="s">
        <v>30</v>
      </c>
      <c r="F45" s="4">
        <v>15413.0</v>
      </c>
      <c r="G45" s="12" t="s">
        <v>31</v>
      </c>
      <c r="H45" s="12" t="s">
        <v>37</v>
      </c>
      <c r="I45" s="4">
        <v>-6.2946275</v>
      </c>
      <c r="J45" s="4">
        <v>106.7195149</v>
      </c>
      <c r="K45" s="13" t="s">
        <v>697</v>
      </c>
      <c r="L45" s="10" t="str">
        <f t="shared" si="1"/>
        <v/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8" t="s">
        <v>33</v>
      </c>
    </row>
    <row r="46">
      <c r="A46" s="12" t="s">
        <v>26</v>
      </c>
      <c r="B46" s="12" t="s">
        <v>698</v>
      </c>
      <c r="C46" s="12" t="s">
        <v>699</v>
      </c>
      <c r="D46" s="12" t="s">
        <v>582</v>
      </c>
      <c r="E46" s="12" t="s">
        <v>30</v>
      </c>
      <c r="F46" s="4">
        <v>15413.0</v>
      </c>
      <c r="G46" s="12" t="s">
        <v>31</v>
      </c>
      <c r="H46" s="12" t="s">
        <v>37</v>
      </c>
      <c r="I46" s="4">
        <v>-6.2972435</v>
      </c>
      <c r="J46" s="4">
        <v>106.7210888</v>
      </c>
      <c r="K46" s="13" t="s">
        <v>700</v>
      </c>
      <c r="L46" s="10" t="str">
        <f t="shared" si="1"/>
        <v/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8" t="s">
        <v>33</v>
      </c>
    </row>
    <row r="47">
      <c r="A47" s="12" t="s">
        <v>26</v>
      </c>
      <c r="B47" s="12" t="s">
        <v>701</v>
      </c>
      <c r="C47" s="12" t="s">
        <v>702</v>
      </c>
      <c r="D47" s="12" t="s">
        <v>703</v>
      </c>
      <c r="E47" s="12" t="s">
        <v>30</v>
      </c>
      <c r="F47" s="4">
        <v>15411.0</v>
      </c>
      <c r="G47" s="12" t="s">
        <v>31</v>
      </c>
      <c r="H47" s="12" t="s">
        <v>37</v>
      </c>
      <c r="I47" s="4">
        <v>-6.3352877</v>
      </c>
      <c r="J47" s="4">
        <v>106.7475917</v>
      </c>
      <c r="K47" s="13" t="s">
        <v>704</v>
      </c>
      <c r="L47" s="10" t="str">
        <f t="shared" si="1"/>
        <v/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8" t="s">
        <v>33</v>
      </c>
    </row>
    <row r="48">
      <c r="A48" s="12" t="s">
        <v>26</v>
      </c>
      <c r="B48" s="12" t="s">
        <v>705</v>
      </c>
      <c r="C48" s="12" t="s">
        <v>706</v>
      </c>
      <c r="D48" s="12" t="s">
        <v>707</v>
      </c>
      <c r="E48" s="12" t="s">
        <v>30</v>
      </c>
      <c r="F48" s="4">
        <v>14511.0</v>
      </c>
      <c r="G48" s="12" t="s">
        <v>31</v>
      </c>
      <c r="H48" s="5">
        <v>2.17E8</v>
      </c>
      <c r="I48" s="4">
        <v>-6.3267511</v>
      </c>
      <c r="J48" s="4">
        <v>106.7419195</v>
      </c>
      <c r="K48" s="13" t="s">
        <v>708</v>
      </c>
      <c r="L48" s="10">
        <f t="shared" si="1"/>
        <v>20000000</v>
      </c>
      <c r="M48" s="10">
        <f>1900000000/95</f>
        <v>20000000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9" t="s">
        <v>709</v>
      </c>
    </row>
    <row r="49">
      <c r="A49" s="12" t="s">
        <v>26</v>
      </c>
      <c r="B49" s="12" t="s">
        <v>710</v>
      </c>
      <c r="C49" s="12" t="s">
        <v>711</v>
      </c>
      <c r="D49" s="12" t="s">
        <v>560</v>
      </c>
      <c r="E49" s="12" t="s">
        <v>30</v>
      </c>
      <c r="F49" s="4">
        <v>15414.0</v>
      </c>
      <c r="G49" s="12" t="s">
        <v>31</v>
      </c>
      <c r="H49" s="5">
        <v>8.12E9</v>
      </c>
      <c r="I49" s="4">
        <v>-6.3079832</v>
      </c>
      <c r="J49" s="4">
        <v>106.7201138</v>
      </c>
      <c r="K49" s="13" t="s">
        <v>712</v>
      </c>
      <c r="L49" s="10" t="str">
        <f t="shared" si="1"/>
        <v/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8" t="s">
        <v>33</v>
      </c>
    </row>
    <row r="50">
      <c r="A50" s="12" t="s">
        <v>26</v>
      </c>
      <c r="B50" s="12" t="s">
        <v>713</v>
      </c>
      <c r="C50" s="12" t="s">
        <v>714</v>
      </c>
      <c r="D50" s="12" t="s">
        <v>538</v>
      </c>
      <c r="E50" s="12" t="s">
        <v>30</v>
      </c>
      <c r="F50" s="4">
        <v>15413.0</v>
      </c>
      <c r="G50" s="12" t="s">
        <v>31</v>
      </c>
      <c r="H50" s="12" t="s">
        <v>37</v>
      </c>
      <c r="I50" s="4">
        <v>-6.2926313</v>
      </c>
      <c r="J50" s="4">
        <v>106.7303213</v>
      </c>
      <c r="K50" s="13" t="s">
        <v>715</v>
      </c>
      <c r="L50" s="10" t="str">
        <f t="shared" si="1"/>
        <v/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8" t="s">
        <v>33</v>
      </c>
    </row>
    <row r="51">
      <c r="A51" s="12" t="s">
        <v>26</v>
      </c>
      <c r="B51" s="12" t="s">
        <v>716</v>
      </c>
      <c r="C51" s="12" t="s">
        <v>717</v>
      </c>
      <c r="D51" s="12" t="s">
        <v>560</v>
      </c>
      <c r="E51" s="12" t="s">
        <v>30</v>
      </c>
      <c r="F51" s="4">
        <v>15414.0</v>
      </c>
      <c r="G51" s="12" t="s">
        <v>31</v>
      </c>
      <c r="H51" s="12" t="s">
        <v>37</v>
      </c>
      <c r="I51" s="4">
        <v>-6.3052142</v>
      </c>
      <c r="J51" s="4">
        <v>106.719795</v>
      </c>
      <c r="K51" s="13" t="s">
        <v>718</v>
      </c>
      <c r="L51" s="10">
        <f t="shared" si="1"/>
        <v>18000000</v>
      </c>
      <c r="M51" s="10">
        <f>1100000000/60</f>
        <v>18333333.33</v>
      </c>
      <c r="N51" s="10">
        <f t="shared" ref="N51:Q51" si="17">1000000000/60</f>
        <v>16666666.67</v>
      </c>
      <c r="O51" s="10">
        <f t="shared" si="17"/>
        <v>16666666.67</v>
      </c>
      <c r="P51" s="10">
        <f t="shared" si="17"/>
        <v>16666666.67</v>
      </c>
      <c r="Q51" s="10">
        <f t="shared" si="17"/>
        <v>16666666.67</v>
      </c>
      <c r="R51" s="10">
        <f>1350000000/75</f>
        <v>18000000</v>
      </c>
      <c r="S51" s="10">
        <f>1400000000/77</f>
        <v>18181818.18</v>
      </c>
      <c r="T51" s="10">
        <f>1550000000/77</f>
        <v>20129870.13</v>
      </c>
      <c r="U51" s="10">
        <f>1550000000/75</f>
        <v>20666666.67</v>
      </c>
      <c r="V51" s="10"/>
      <c r="W51" s="10"/>
      <c r="X51" s="10"/>
      <c r="Y51" s="10"/>
      <c r="Z51" s="9" t="s">
        <v>719</v>
      </c>
    </row>
    <row r="52">
      <c r="A52" s="12" t="s">
        <v>26</v>
      </c>
      <c r="B52" s="12" t="s">
        <v>720</v>
      </c>
      <c r="C52" s="12" t="s">
        <v>721</v>
      </c>
      <c r="D52" s="12" t="s">
        <v>560</v>
      </c>
      <c r="E52" s="12" t="s">
        <v>30</v>
      </c>
      <c r="F52" s="4">
        <v>15414.0</v>
      </c>
      <c r="G52" s="12" t="s">
        <v>31</v>
      </c>
      <c r="H52" s="5">
        <v>2.2E9</v>
      </c>
      <c r="I52" s="4">
        <v>-6.306101</v>
      </c>
      <c r="J52" s="4">
        <v>106.7226629</v>
      </c>
      <c r="K52" s="13" t="s">
        <v>722</v>
      </c>
      <c r="L52" s="10" t="str">
        <f t="shared" si="1"/>
        <v/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8" t="s">
        <v>33</v>
      </c>
    </row>
    <row r="53">
      <c r="A53" s="12" t="s">
        <v>26</v>
      </c>
      <c r="B53" s="12" t="s">
        <v>723</v>
      </c>
      <c r="C53" s="12" t="s">
        <v>724</v>
      </c>
      <c r="D53" s="12" t="s">
        <v>529</v>
      </c>
      <c r="E53" s="12" t="s">
        <v>30</v>
      </c>
      <c r="F53" s="4">
        <v>15414.0</v>
      </c>
      <c r="G53" s="12" t="s">
        <v>31</v>
      </c>
      <c r="H53" s="5">
        <v>8.38E10</v>
      </c>
      <c r="I53" s="4">
        <v>-6.318388</v>
      </c>
      <c r="J53" s="4">
        <v>106.7160309</v>
      </c>
      <c r="K53" s="13" t="s">
        <v>725</v>
      </c>
      <c r="L53" s="10">
        <f t="shared" si="1"/>
        <v>14772727.27</v>
      </c>
      <c r="M53" s="10">
        <f>975000000/66</f>
        <v>14772727.27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 t="s">
        <v>726</v>
      </c>
    </row>
    <row r="54">
      <c r="A54" s="12" t="s">
        <v>26</v>
      </c>
      <c r="B54" s="12" t="s">
        <v>727</v>
      </c>
      <c r="C54" s="12" t="s">
        <v>728</v>
      </c>
      <c r="D54" s="12" t="s">
        <v>519</v>
      </c>
      <c r="E54" s="12" t="s">
        <v>30</v>
      </c>
      <c r="F54" s="4">
        <v>15412.0</v>
      </c>
      <c r="G54" s="12" t="s">
        <v>31</v>
      </c>
      <c r="H54" s="12" t="s">
        <v>37</v>
      </c>
      <c r="I54" s="4">
        <v>-6.295092</v>
      </c>
      <c r="J54" s="4">
        <v>106.7454084</v>
      </c>
      <c r="K54" s="13" t="s">
        <v>729</v>
      </c>
      <c r="L54" s="10">
        <f t="shared" si="1"/>
        <v>14236111.11</v>
      </c>
      <c r="M54" s="10">
        <f>2050000000/144</f>
        <v>14236111.11</v>
      </c>
      <c r="N54" s="10">
        <f>4950000000/288</f>
        <v>17187500</v>
      </c>
      <c r="O54" s="10">
        <f>2100000000/144</f>
        <v>14583333.33</v>
      </c>
      <c r="P54" s="10">
        <f>6000000000/663</f>
        <v>9049773.756</v>
      </c>
      <c r="Q54" s="10">
        <f t="shared" ref="Q54:R54" si="18">4750000000/288</f>
        <v>16493055.56</v>
      </c>
      <c r="R54" s="10">
        <f t="shared" si="18"/>
        <v>16493055.56</v>
      </c>
      <c r="S54" s="10">
        <f>6000000000/663</f>
        <v>9049773.756</v>
      </c>
      <c r="T54" s="10">
        <f>2000000000/144</f>
        <v>13888888.89</v>
      </c>
      <c r="U54" s="10">
        <f>6000000000/663</f>
        <v>9049773.756</v>
      </c>
      <c r="V54" s="10"/>
      <c r="W54" s="10"/>
      <c r="X54" s="10"/>
      <c r="Y54" s="10"/>
      <c r="Z54" s="9" t="s">
        <v>730</v>
      </c>
    </row>
    <row r="55">
      <c r="A55" s="12" t="s">
        <v>26</v>
      </c>
      <c r="B55" s="12" t="s">
        <v>731</v>
      </c>
      <c r="C55" s="12" t="s">
        <v>732</v>
      </c>
      <c r="D55" s="12" t="s">
        <v>529</v>
      </c>
      <c r="E55" s="12" t="s">
        <v>30</v>
      </c>
      <c r="F55" s="4">
        <v>15414.0</v>
      </c>
      <c r="G55" s="12" t="s">
        <v>31</v>
      </c>
      <c r="H55" s="12" t="s">
        <v>37</v>
      </c>
      <c r="I55" s="4">
        <v>-6.3068975</v>
      </c>
      <c r="J55" s="4">
        <v>106.7024951</v>
      </c>
      <c r="K55" s="13" t="s">
        <v>733</v>
      </c>
      <c r="L55" s="10">
        <f t="shared" si="1"/>
        <v>8862179.487</v>
      </c>
      <c r="M55" s="10">
        <f>1100000000/115</f>
        <v>9565217.391</v>
      </c>
      <c r="N55" s="10">
        <f>1300000000/150</f>
        <v>8666666.667</v>
      </c>
      <c r="O55" s="10">
        <f>1480000000/179</f>
        <v>8268156.425</v>
      </c>
      <c r="P55" s="10">
        <f>1380000000/96</f>
        <v>14375000</v>
      </c>
      <c r="Q55" s="10">
        <f>1400000000/156</f>
        <v>8974358.974</v>
      </c>
      <c r="R55" s="10">
        <f>650000000/78</f>
        <v>8333333.333</v>
      </c>
      <c r="S55" s="10">
        <f>925000000/78</f>
        <v>11858974.36</v>
      </c>
      <c r="T55" s="10">
        <f>1700000000/143</f>
        <v>11888111.89</v>
      </c>
      <c r="U55" s="10">
        <f>1380000000/179</f>
        <v>7709497.207</v>
      </c>
      <c r="V55" s="10">
        <f>680000000/80</f>
        <v>8500000</v>
      </c>
      <c r="W55" s="10">
        <f>1650000000/96</f>
        <v>17187500</v>
      </c>
      <c r="X55" s="10">
        <f>630000000/72</f>
        <v>8750000</v>
      </c>
      <c r="Y55" s="10"/>
      <c r="Z55" s="9" t="s">
        <v>734</v>
      </c>
    </row>
    <row r="56">
      <c r="A56" s="12" t="s">
        <v>26</v>
      </c>
      <c r="B56" s="12" t="s">
        <v>735</v>
      </c>
      <c r="C56" s="12" t="s">
        <v>736</v>
      </c>
      <c r="D56" s="12" t="s">
        <v>737</v>
      </c>
      <c r="E56" s="12" t="s">
        <v>30</v>
      </c>
      <c r="F56" s="4">
        <v>15414.0</v>
      </c>
      <c r="G56" s="12" t="s">
        <v>31</v>
      </c>
      <c r="H56" s="5">
        <v>8.22E10</v>
      </c>
      <c r="I56" s="4">
        <v>-6.304433</v>
      </c>
      <c r="J56" s="4">
        <v>106.7121282</v>
      </c>
      <c r="K56" s="13" t="s">
        <v>738</v>
      </c>
      <c r="L56" s="10" t="str">
        <f t="shared" si="1"/>
        <v/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8" t="s">
        <v>33</v>
      </c>
    </row>
    <row r="57">
      <c r="A57" s="12" t="s">
        <v>26</v>
      </c>
      <c r="B57" s="12" t="s">
        <v>739</v>
      </c>
      <c r="C57" s="12" t="s">
        <v>740</v>
      </c>
      <c r="D57" s="12" t="s">
        <v>741</v>
      </c>
      <c r="E57" s="12" t="s">
        <v>30</v>
      </c>
      <c r="F57" s="4">
        <v>15413.0</v>
      </c>
      <c r="G57" s="12" t="s">
        <v>31</v>
      </c>
      <c r="H57" s="12" t="s">
        <v>37</v>
      </c>
      <c r="I57" s="4">
        <v>-6.3025625</v>
      </c>
      <c r="J57" s="4">
        <v>106.7209947</v>
      </c>
      <c r="K57" s="13" t="s">
        <v>742</v>
      </c>
      <c r="L57" s="10" t="str">
        <f t="shared" si="1"/>
        <v/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8" t="s">
        <v>33</v>
      </c>
    </row>
    <row r="58">
      <c r="J58" s="7">
        <f>sum(K58:Y58)</f>
        <v>246</v>
      </c>
      <c r="K58" s="7">
        <f>COUNTA(K2:K57)</f>
        <v>56</v>
      </c>
      <c r="M58" s="7">
        <f t="shared" ref="M58:Y58" si="19">COUNTA(M2:M57)</f>
        <v>34</v>
      </c>
      <c r="N58" s="7">
        <f t="shared" si="19"/>
        <v>24</v>
      </c>
      <c r="O58" s="7">
        <f t="shared" si="19"/>
        <v>21</v>
      </c>
      <c r="P58" s="7">
        <f t="shared" si="19"/>
        <v>18</v>
      </c>
      <c r="Q58" s="7">
        <f t="shared" si="19"/>
        <v>17</v>
      </c>
      <c r="R58" s="7">
        <f t="shared" si="19"/>
        <v>14</v>
      </c>
      <c r="S58" s="7">
        <f t="shared" si="19"/>
        <v>13</v>
      </c>
      <c r="T58" s="7">
        <f t="shared" si="19"/>
        <v>13</v>
      </c>
      <c r="U58" s="7">
        <f t="shared" si="19"/>
        <v>12</v>
      </c>
      <c r="V58" s="7">
        <f t="shared" si="19"/>
        <v>9</v>
      </c>
      <c r="W58" s="7">
        <f t="shared" si="19"/>
        <v>6</v>
      </c>
      <c r="X58" s="7">
        <f t="shared" si="19"/>
        <v>6</v>
      </c>
      <c r="Y58" s="7">
        <f t="shared" si="19"/>
        <v>3</v>
      </c>
    </row>
  </sheetData>
  <hyperlinks>
    <hyperlink r:id="rId1" ref="K2"/>
    <hyperlink r:id="rId2" ref="Z2"/>
    <hyperlink r:id="rId3" ref="K3"/>
    <hyperlink r:id="rId4" ref="Z3"/>
    <hyperlink r:id="rId5" ref="K4"/>
    <hyperlink r:id="rId6" ref="Z4"/>
    <hyperlink r:id="rId7" ref="K5"/>
    <hyperlink r:id="rId8" ref="Z5"/>
    <hyperlink r:id="rId9" ref="K6"/>
    <hyperlink r:id="rId10" ref="K7"/>
    <hyperlink r:id="rId11" ref="Z7"/>
    <hyperlink r:id="rId12" ref="K8"/>
    <hyperlink r:id="rId13" ref="Z8"/>
    <hyperlink r:id="rId14" ref="K9"/>
    <hyperlink r:id="rId15" ref="Z9"/>
    <hyperlink r:id="rId16" ref="K10"/>
    <hyperlink r:id="rId17" ref="Z10"/>
    <hyperlink r:id="rId18" ref="K11"/>
    <hyperlink r:id="rId19" ref="K12"/>
    <hyperlink r:id="rId20" ref="Z12"/>
    <hyperlink r:id="rId21" ref="K13"/>
    <hyperlink r:id="rId22" ref="Z13"/>
    <hyperlink r:id="rId23" ref="K14"/>
    <hyperlink r:id="rId24" ref="Z14"/>
    <hyperlink r:id="rId25" ref="K15"/>
    <hyperlink r:id="rId26" ref="Z15"/>
    <hyperlink r:id="rId27" ref="K16"/>
    <hyperlink r:id="rId28" ref="Z16"/>
    <hyperlink r:id="rId29" ref="K17"/>
    <hyperlink r:id="rId30" ref="K18"/>
    <hyperlink r:id="rId31" ref="Z18"/>
    <hyperlink r:id="rId32" ref="K19"/>
    <hyperlink r:id="rId33" ref="Z19"/>
    <hyperlink r:id="rId34" ref="K20"/>
    <hyperlink r:id="rId35" ref="Z20"/>
    <hyperlink r:id="rId36" ref="K21"/>
    <hyperlink r:id="rId37" ref="K22"/>
    <hyperlink r:id="rId38" ref="Z22"/>
    <hyperlink r:id="rId39" ref="K23"/>
    <hyperlink r:id="rId40" ref="K24"/>
    <hyperlink r:id="rId41" ref="Z24"/>
    <hyperlink r:id="rId42" ref="K25"/>
    <hyperlink r:id="rId43" ref="Z25"/>
    <hyperlink r:id="rId44" ref="K26"/>
    <hyperlink r:id="rId45" ref="Z26"/>
    <hyperlink r:id="rId46" ref="K27"/>
    <hyperlink r:id="rId47" ref="Z27"/>
    <hyperlink r:id="rId48" ref="K28"/>
    <hyperlink r:id="rId49" ref="K29"/>
    <hyperlink r:id="rId50" ref="K30"/>
    <hyperlink r:id="rId51" ref="K31"/>
    <hyperlink r:id="rId52" ref="K32"/>
    <hyperlink r:id="rId53" ref="Z32"/>
    <hyperlink r:id="rId54" ref="K33"/>
    <hyperlink r:id="rId55" ref="K34"/>
    <hyperlink r:id="rId56" ref="Z34"/>
    <hyperlink r:id="rId57" ref="K35"/>
    <hyperlink r:id="rId58" ref="Z35"/>
    <hyperlink r:id="rId59" ref="K36"/>
    <hyperlink r:id="rId60" ref="Z36"/>
    <hyperlink r:id="rId61" ref="K37"/>
    <hyperlink r:id="rId62" ref="Z37"/>
    <hyperlink r:id="rId63" ref="K38"/>
    <hyperlink r:id="rId64" ref="K39"/>
    <hyperlink r:id="rId65" ref="Z39"/>
    <hyperlink r:id="rId66" ref="K40"/>
    <hyperlink r:id="rId67" ref="Z40"/>
    <hyperlink r:id="rId68" ref="K41"/>
    <hyperlink r:id="rId69" ref="K42"/>
    <hyperlink r:id="rId70" ref="Z42"/>
    <hyperlink r:id="rId71" ref="K43"/>
    <hyperlink r:id="rId72" ref="K44"/>
    <hyperlink r:id="rId73" ref="K45"/>
    <hyperlink r:id="rId74" ref="K46"/>
    <hyperlink r:id="rId75" ref="K47"/>
    <hyperlink r:id="rId76" ref="K48"/>
    <hyperlink r:id="rId77" ref="Z48"/>
    <hyperlink r:id="rId78" ref="K49"/>
    <hyperlink r:id="rId79" ref="K50"/>
    <hyperlink r:id="rId80" ref="K51"/>
    <hyperlink r:id="rId81" ref="Z51"/>
    <hyperlink r:id="rId82" ref="K52"/>
    <hyperlink r:id="rId83" ref="K53"/>
    <hyperlink r:id="rId84" ref="Z53"/>
    <hyperlink r:id="rId85" ref="K54"/>
    <hyperlink r:id="rId86" ref="Z54"/>
    <hyperlink r:id="rId87" ref="K55"/>
    <hyperlink r:id="rId88" ref="Z55"/>
    <hyperlink r:id="rId89" ref="K56"/>
    <hyperlink r:id="rId90" ref="K57"/>
  </hyperlinks>
  <drawing r:id="rId9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26</v>
      </c>
      <c r="B2" s="3" t="s">
        <v>743</v>
      </c>
      <c r="C2" s="3" t="s">
        <v>744</v>
      </c>
      <c r="D2" s="3" t="s">
        <v>745</v>
      </c>
      <c r="E2" s="3" t="s">
        <v>30</v>
      </c>
      <c r="F2" s="3" t="s">
        <v>37</v>
      </c>
      <c r="G2" s="3" t="s">
        <v>31</v>
      </c>
      <c r="H2" s="5">
        <v>8.58E10</v>
      </c>
      <c r="I2" s="4">
        <v>-6.9451375</v>
      </c>
      <c r="J2" s="4">
        <v>106.3492763</v>
      </c>
      <c r="K2" s="6" t="s">
        <v>746</v>
      </c>
      <c r="L2" s="7">
        <f t="shared" ref="L2:L46" si="1">IFERROR(MEDIAN(M2:Y2),"")</f>
        <v>2454545.455</v>
      </c>
      <c r="M2" s="7">
        <f>162000000/66</f>
        <v>2454545.455</v>
      </c>
      <c r="Z2" s="9" t="s">
        <v>747</v>
      </c>
    </row>
    <row r="3">
      <c r="A3" s="3" t="s">
        <v>26</v>
      </c>
      <c r="B3" s="3" t="s">
        <v>748</v>
      </c>
      <c r="C3" s="3" t="s">
        <v>749</v>
      </c>
      <c r="D3" s="3" t="s">
        <v>750</v>
      </c>
      <c r="E3" s="3" t="s">
        <v>30</v>
      </c>
      <c r="F3" s="4">
        <v>42357.0</v>
      </c>
      <c r="G3" s="3" t="s">
        <v>31</v>
      </c>
      <c r="H3" s="3" t="s">
        <v>37</v>
      </c>
      <c r="I3" s="4">
        <v>-6.330062</v>
      </c>
      <c r="J3" s="4">
        <v>106.2348675</v>
      </c>
      <c r="K3" s="6" t="s">
        <v>751</v>
      </c>
      <c r="L3" s="7" t="str">
        <f t="shared" si="1"/>
        <v/>
      </c>
      <c r="Z3" s="8" t="s">
        <v>33</v>
      </c>
    </row>
    <row r="4">
      <c r="A4" s="3" t="s">
        <v>26</v>
      </c>
      <c r="B4" s="3" t="s">
        <v>752</v>
      </c>
      <c r="C4" s="3" t="s">
        <v>753</v>
      </c>
      <c r="D4" s="3" t="s">
        <v>754</v>
      </c>
      <c r="E4" s="3" t="s">
        <v>30</v>
      </c>
      <c r="F4" s="4">
        <v>42381.0</v>
      </c>
      <c r="G4" s="3" t="s">
        <v>31</v>
      </c>
      <c r="H4" s="5">
        <v>2.52E8</v>
      </c>
      <c r="I4" s="4">
        <v>-6.342371</v>
      </c>
      <c r="J4" s="4">
        <v>106.3832354</v>
      </c>
      <c r="K4" s="6" t="s">
        <v>755</v>
      </c>
      <c r="L4" s="7">
        <f t="shared" si="1"/>
        <v>2766666.667</v>
      </c>
      <c r="M4" s="7">
        <f>166000000/60</f>
        <v>2766666.667</v>
      </c>
      <c r="Z4" s="9" t="s">
        <v>756</v>
      </c>
    </row>
    <row r="5">
      <c r="A5" s="3" t="s">
        <v>757</v>
      </c>
      <c r="B5" s="3" t="s">
        <v>758</v>
      </c>
      <c r="C5" s="3" t="s">
        <v>759</v>
      </c>
      <c r="D5" s="3" t="s">
        <v>760</v>
      </c>
      <c r="E5" s="3" t="s">
        <v>30</v>
      </c>
      <c r="F5" s="4">
        <v>42393.0</v>
      </c>
      <c r="G5" s="3" t="s">
        <v>31</v>
      </c>
      <c r="H5" s="3" t="s">
        <v>37</v>
      </c>
      <c r="I5" s="4">
        <v>-6.9345239</v>
      </c>
      <c r="J5" s="4">
        <v>106.2482017</v>
      </c>
      <c r="K5" s="6" t="s">
        <v>761</v>
      </c>
      <c r="L5" s="7">
        <f t="shared" si="1"/>
        <v>2508333.333</v>
      </c>
      <c r="M5" s="7">
        <f>150500000/60</f>
        <v>2508333.333</v>
      </c>
      <c r="Z5" s="9" t="s">
        <v>762</v>
      </c>
    </row>
    <row r="6">
      <c r="A6" s="3" t="s">
        <v>26</v>
      </c>
      <c r="B6" s="3" t="s">
        <v>763</v>
      </c>
      <c r="C6" s="3" t="s">
        <v>764</v>
      </c>
      <c r="D6" s="3" t="s">
        <v>765</v>
      </c>
      <c r="E6" s="3" t="s">
        <v>30</v>
      </c>
      <c r="F6" s="4">
        <v>42361.0</v>
      </c>
      <c r="G6" s="3" t="s">
        <v>31</v>
      </c>
      <c r="H6" s="3" t="s">
        <v>37</v>
      </c>
      <c r="I6" s="4">
        <v>-6.4136857</v>
      </c>
      <c r="J6" s="4">
        <v>106.2341449</v>
      </c>
      <c r="K6" s="6" t="s">
        <v>766</v>
      </c>
      <c r="L6" s="7" t="str">
        <f t="shared" si="1"/>
        <v/>
      </c>
      <c r="Z6" s="8" t="s">
        <v>33</v>
      </c>
    </row>
    <row r="7">
      <c r="A7" s="3" t="s">
        <v>26</v>
      </c>
      <c r="B7" s="3" t="s">
        <v>767</v>
      </c>
      <c r="C7" s="3" t="s">
        <v>768</v>
      </c>
      <c r="D7" s="3" t="s">
        <v>769</v>
      </c>
      <c r="E7" s="3" t="s">
        <v>30</v>
      </c>
      <c r="F7" s="4">
        <v>42357.0</v>
      </c>
      <c r="G7" s="3" t="s">
        <v>31</v>
      </c>
      <c r="H7" s="5">
        <v>2.52E8</v>
      </c>
      <c r="I7" s="4">
        <v>-6.3402054</v>
      </c>
      <c r="J7" s="4">
        <v>106.234865</v>
      </c>
      <c r="K7" s="6" t="s">
        <v>770</v>
      </c>
      <c r="L7" s="7">
        <f t="shared" si="1"/>
        <v>3703703.704</v>
      </c>
      <c r="M7" s="7">
        <f>400000000/108</f>
        <v>3703703.704</v>
      </c>
      <c r="Z7" s="9" t="s">
        <v>771</v>
      </c>
    </row>
    <row r="8">
      <c r="A8" s="3" t="s">
        <v>86</v>
      </c>
      <c r="B8" s="3" t="s">
        <v>772</v>
      </c>
      <c r="C8" s="3" t="s">
        <v>773</v>
      </c>
      <c r="D8" s="3" t="s">
        <v>774</v>
      </c>
      <c r="E8" s="3" t="s">
        <v>30</v>
      </c>
      <c r="F8" s="4">
        <v>42393.0</v>
      </c>
      <c r="G8" s="3" t="s">
        <v>31</v>
      </c>
      <c r="H8" s="3" t="s">
        <v>37</v>
      </c>
      <c r="I8" s="4">
        <v>-6.907354</v>
      </c>
      <c r="J8" s="4">
        <v>106.38489</v>
      </c>
      <c r="K8" s="6" t="s">
        <v>775</v>
      </c>
      <c r="L8" s="7" t="str">
        <f t="shared" si="1"/>
        <v/>
      </c>
      <c r="Z8" s="8" t="s">
        <v>33</v>
      </c>
    </row>
    <row r="9">
      <c r="A9" s="3" t="s">
        <v>86</v>
      </c>
      <c r="B9" s="3" t="s">
        <v>776</v>
      </c>
      <c r="C9" s="3" t="s">
        <v>777</v>
      </c>
      <c r="D9" s="3" t="s">
        <v>745</v>
      </c>
      <c r="E9" s="3" t="s">
        <v>30</v>
      </c>
      <c r="F9" s="3" t="s">
        <v>37</v>
      </c>
      <c r="G9" s="3" t="s">
        <v>31</v>
      </c>
      <c r="H9" s="3" t="s">
        <v>37</v>
      </c>
      <c r="I9" s="4">
        <v>-6.5627613</v>
      </c>
      <c r="J9" s="4">
        <v>106.0669571</v>
      </c>
      <c r="K9" s="6" t="s">
        <v>778</v>
      </c>
      <c r="L9" s="7" t="str">
        <f t="shared" si="1"/>
        <v/>
      </c>
      <c r="Z9" s="8" t="s">
        <v>33</v>
      </c>
    </row>
    <row r="10">
      <c r="A10" s="3" t="s">
        <v>26</v>
      </c>
      <c r="B10" s="3" t="s">
        <v>779</v>
      </c>
      <c r="C10" s="3" t="s">
        <v>780</v>
      </c>
      <c r="D10" s="3" t="s">
        <v>781</v>
      </c>
      <c r="E10" s="3" t="s">
        <v>30</v>
      </c>
      <c r="F10" s="4">
        <v>42357.0</v>
      </c>
      <c r="G10" s="3" t="s">
        <v>31</v>
      </c>
      <c r="H10" s="3" t="s">
        <v>37</v>
      </c>
      <c r="I10" s="4">
        <v>-6.3594681</v>
      </c>
      <c r="J10" s="4">
        <v>106.2220478</v>
      </c>
      <c r="K10" s="6" t="s">
        <v>782</v>
      </c>
      <c r="L10" s="7" t="str">
        <f t="shared" si="1"/>
        <v/>
      </c>
      <c r="Z10" s="8" t="s">
        <v>33</v>
      </c>
    </row>
    <row r="11">
      <c r="A11" s="3" t="s">
        <v>26</v>
      </c>
      <c r="B11" s="3" t="s">
        <v>783</v>
      </c>
      <c r="C11" s="3" t="s">
        <v>784</v>
      </c>
      <c r="D11" s="3" t="s">
        <v>760</v>
      </c>
      <c r="E11" s="3" t="s">
        <v>30</v>
      </c>
      <c r="F11" s="4">
        <v>42393.0</v>
      </c>
      <c r="G11" s="3" t="s">
        <v>31</v>
      </c>
      <c r="H11" s="3" t="s">
        <v>37</v>
      </c>
      <c r="I11" s="4">
        <v>-6.9265441</v>
      </c>
      <c r="J11" s="4">
        <v>106.2333665</v>
      </c>
      <c r="K11" s="6" t="s">
        <v>785</v>
      </c>
      <c r="L11" s="7" t="str">
        <f t="shared" si="1"/>
        <v/>
      </c>
      <c r="Z11" s="8" t="s">
        <v>33</v>
      </c>
    </row>
    <row r="12">
      <c r="A12" s="3" t="s">
        <v>26</v>
      </c>
      <c r="B12" s="3" t="s">
        <v>786</v>
      </c>
      <c r="C12" s="3" t="s">
        <v>787</v>
      </c>
      <c r="D12" s="3" t="s">
        <v>788</v>
      </c>
      <c r="E12" s="3" t="s">
        <v>30</v>
      </c>
      <c r="F12" s="4">
        <v>42394.0</v>
      </c>
      <c r="G12" s="3" t="s">
        <v>31</v>
      </c>
      <c r="H12" s="5">
        <v>8.15E10</v>
      </c>
      <c r="I12" s="4">
        <v>-6.8190064</v>
      </c>
      <c r="J12" s="4">
        <v>106.3821954</v>
      </c>
      <c r="K12" s="6" t="s">
        <v>789</v>
      </c>
      <c r="L12" s="7" t="str">
        <f t="shared" si="1"/>
        <v/>
      </c>
      <c r="Z12" s="8" t="s">
        <v>33</v>
      </c>
    </row>
    <row r="13">
      <c r="A13" s="3" t="s">
        <v>26</v>
      </c>
      <c r="B13" s="3" t="s">
        <v>790</v>
      </c>
      <c r="C13" s="3" t="s">
        <v>791</v>
      </c>
      <c r="D13" s="3" t="s">
        <v>745</v>
      </c>
      <c r="E13" s="3" t="s">
        <v>30</v>
      </c>
      <c r="F13" s="3" t="s">
        <v>37</v>
      </c>
      <c r="G13" s="3" t="s">
        <v>31</v>
      </c>
      <c r="H13" s="3" t="s">
        <v>37</v>
      </c>
      <c r="I13" s="4">
        <v>-6.3450715</v>
      </c>
      <c r="J13" s="4">
        <v>106.2352683</v>
      </c>
      <c r="K13" s="6" t="s">
        <v>792</v>
      </c>
      <c r="L13" s="7" t="str">
        <f t="shared" si="1"/>
        <v/>
      </c>
      <c r="Z13" s="8" t="s">
        <v>33</v>
      </c>
    </row>
    <row r="14">
      <c r="A14" s="3" t="s">
        <v>26</v>
      </c>
      <c r="B14" s="3" t="s">
        <v>793</v>
      </c>
      <c r="C14" s="3" t="s">
        <v>794</v>
      </c>
      <c r="D14" s="3" t="s">
        <v>795</v>
      </c>
      <c r="E14" s="3" t="s">
        <v>30</v>
      </c>
      <c r="F14" s="4">
        <v>42312.0</v>
      </c>
      <c r="G14" s="3" t="s">
        <v>31</v>
      </c>
      <c r="H14" s="3" t="s">
        <v>37</v>
      </c>
      <c r="I14" s="4">
        <v>-6.3643318</v>
      </c>
      <c r="J14" s="4">
        <v>106.2278118</v>
      </c>
      <c r="K14" s="6" t="s">
        <v>796</v>
      </c>
      <c r="L14" s="7" t="str">
        <f t="shared" si="1"/>
        <v/>
      </c>
      <c r="Z14" s="8" t="s">
        <v>33</v>
      </c>
    </row>
    <row r="15">
      <c r="A15" s="3" t="s">
        <v>26</v>
      </c>
      <c r="B15" s="3" t="s">
        <v>797</v>
      </c>
      <c r="C15" s="3" t="s">
        <v>798</v>
      </c>
      <c r="D15" s="3" t="s">
        <v>799</v>
      </c>
      <c r="E15" s="3" t="s">
        <v>30</v>
      </c>
      <c r="F15" s="4">
        <v>42315.0</v>
      </c>
      <c r="G15" s="3" t="s">
        <v>31</v>
      </c>
      <c r="H15" s="5">
        <v>8.32E10</v>
      </c>
      <c r="I15" s="4">
        <v>-6.3525705</v>
      </c>
      <c r="J15" s="4">
        <v>106.2750972</v>
      </c>
      <c r="K15" s="6" t="s">
        <v>800</v>
      </c>
      <c r="L15" s="7" t="str">
        <f t="shared" si="1"/>
        <v/>
      </c>
      <c r="Z15" s="8" t="s">
        <v>33</v>
      </c>
    </row>
    <row r="16">
      <c r="A16" s="3" t="s">
        <v>26</v>
      </c>
      <c r="B16" s="3" t="s">
        <v>801</v>
      </c>
      <c r="C16" s="3" t="s">
        <v>802</v>
      </c>
      <c r="D16" s="3" t="s">
        <v>803</v>
      </c>
      <c r="E16" s="3" t="s">
        <v>30</v>
      </c>
      <c r="F16" s="4">
        <v>42354.0</v>
      </c>
      <c r="G16" s="3" t="s">
        <v>31</v>
      </c>
      <c r="H16" s="3" t="s">
        <v>37</v>
      </c>
      <c r="I16" s="4">
        <v>-6.580867</v>
      </c>
      <c r="J16" s="4">
        <v>106.0645117</v>
      </c>
      <c r="K16" s="6" t="s">
        <v>804</v>
      </c>
      <c r="L16" s="7" t="str">
        <f t="shared" si="1"/>
        <v/>
      </c>
      <c r="Z16" s="8" t="s">
        <v>33</v>
      </c>
    </row>
    <row r="17">
      <c r="A17" s="3" t="s">
        <v>26</v>
      </c>
      <c r="B17" s="3" t="s">
        <v>805</v>
      </c>
      <c r="C17" s="3" t="s">
        <v>806</v>
      </c>
      <c r="D17" s="3" t="s">
        <v>807</v>
      </c>
      <c r="E17" s="3" t="s">
        <v>30</v>
      </c>
      <c r="F17" s="4">
        <v>42381.0</v>
      </c>
      <c r="G17" s="3" t="s">
        <v>31</v>
      </c>
      <c r="H17" s="5">
        <v>8.13E10</v>
      </c>
      <c r="I17" s="4">
        <v>-6.3383729</v>
      </c>
      <c r="J17" s="4">
        <v>106.3964328</v>
      </c>
      <c r="K17" s="6" t="s">
        <v>808</v>
      </c>
      <c r="L17" s="7" t="str">
        <f t="shared" si="1"/>
        <v/>
      </c>
      <c r="Z17" s="8" t="s">
        <v>33</v>
      </c>
    </row>
    <row r="18">
      <c r="A18" s="3" t="s">
        <v>26</v>
      </c>
      <c r="B18" s="3" t="s">
        <v>809</v>
      </c>
      <c r="C18" s="3" t="s">
        <v>810</v>
      </c>
      <c r="D18" s="3" t="s">
        <v>811</v>
      </c>
      <c r="E18" s="3" t="s">
        <v>30</v>
      </c>
      <c r="F18" s="4">
        <v>42381.0</v>
      </c>
      <c r="G18" s="3" t="s">
        <v>31</v>
      </c>
      <c r="H18" s="3" t="s">
        <v>37</v>
      </c>
      <c r="I18" s="4">
        <v>-6.3437172</v>
      </c>
      <c r="J18" s="4">
        <v>106.3800272</v>
      </c>
      <c r="K18" s="6" t="s">
        <v>812</v>
      </c>
      <c r="L18" s="7">
        <f t="shared" si="1"/>
        <v>3290079.167</v>
      </c>
      <c r="M18" s="7">
        <f>197404750/60</f>
        <v>3290079.167</v>
      </c>
      <c r="Z18" s="9" t="s">
        <v>813</v>
      </c>
    </row>
    <row r="19">
      <c r="A19" s="3" t="s">
        <v>26</v>
      </c>
      <c r="B19" s="3" t="s">
        <v>814</v>
      </c>
      <c r="C19" s="3" t="s">
        <v>815</v>
      </c>
      <c r="D19" s="3" t="s">
        <v>816</v>
      </c>
      <c r="E19" s="3" t="s">
        <v>30</v>
      </c>
      <c r="F19" s="4">
        <v>42357.0</v>
      </c>
      <c r="G19" s="3" t="s">
        <v>31</v>
      </c>
      <c r="H19" s="3" t="s">
        <v>37</v>
      </c>
      <c r="I19" s="4">
        <v>-6.329505</v>
      </c>
      <c r="J19" s="4">
        <v>106.2471239</v>
      </c>
      <c r="K19" s="6" t="s">
        <v>817</v>
      </c>
      <c r="L19" s="7" t="str">
        <f t="shared" si="1"/>
        <v/>
      </c>
      <c r="Z19" s="8" t="s">
        <v>33</v>
      </c>
    </row>
    <row r="20">
      <c r="A20" s="3" t="s">
        <v>26</v>
      </c>
      <c r="B20" s="3" t="s">
        <v>818</v>
      </c>
      <c r="C20" s="3" t="s">
        <v>819</v>
      </c>
      <c r="D20" s="3" t="s">
        <v>820</v>
      </c>
      <c r="E20" s="3" t="s">
        <v>30</v>
      </c>
      <c r="F20" s="4">
        <v>42357.0</v>
      </c>
      <c r="G20" s="3" t="s">
        <v>31</v>
      </c>
      <c r="H20" s="3" t="s">
        <v>37</v>
      </c>
      <c r="I20" s="4">
        <v>-6.3540857</v>
      </c>
      <c r="J20" s="4">
        <v>106.2265498</v>
      </c>
      <c r="K20" s="6" t="s">
        <v>821</v>
      </c>
      <c r="L20" s="7" t="str">
        <f t="shared" si="1"/>
        <v/>
      </c>
      <c r="Z20" s="8" t="s">
        <v>33</v>
      </c>
    </row>
    <row r="21">
      <c r="A21" s="3" t="s">
        <v>86</v>
      </c>
      <c r="B21" s="3" t="s">
        <v>86</v>
      </c>
      <c r="C21" s="3" t="s">
        <v>822</v>
      </c>
      <c r="D21" s="3" t="s">
        <v>823</v>
      </c>
      <c r="E21" s="3" t="s">
        <v>30</v>
      </c>
      <c r="F21" s="4">
        <v>42312.0</v>
      </c>
      <c r="G21" s="3" t="s">
        <v>31</v>
      </c>
      <c r="H21" s="3" t="s">
        <v>37</v>
      </c>
      <c r="I21" s="4">
        <v>-6.3683375</v>
      </c>
      <c r="J21" s="4">
        <v>106.2405469</v>
      </c>
      <c r="K21" s="6" t="s">
        <v>824</v>
      </c>
      <c r="L21" s="7" t="str">
        <f t="shared" si="1"/>
        <v/>
      </c>
      <c r="Z21" s="8" t="s">
        <v>33</v>
      </c>
    </row>
    <row r="22">
      <c r="A22" s="3" t="s">
        <v>26</v>
      </c>
      <c r="B22" s="3" t="s">
        <v>825</v>
      </c>
      <c r="C22" s="3" t="s">
        <v>826</v>
      </c>
      <c r="D22" s="3" t="s">
        <v>827</v>
      </c>
      <c r="E22" s="3" t="s">
        <v>30</v>
      </c>
      <c r="F22" s="4">
        <v>42355.0</v>
      </c>
      <c r="G22" s="3" t="s">
        <v>31</v>
      </c>
      <c r="H22" s="5">
        <v>8.57E9</v>
      </c>
      <c r="I22" s="4">
        <v>-6.6132373</v>
      </c>
      <c r="J22" s="4">
        <v>105.9836548</v>
      </c>
      <c r="K22" s="6" t="s">
        <v>828</v>
      </c>
      <c r="L22" s="7" t="str">
        <f t="shared" si="1"/>
        <v/>
      </c>
      <c r="Z22" s="8" t="s">
        <v>33</v>
      </c>
    </row>
    <row r="23">
      <c r="A23" s="3" t="s">
        <v>26</v>
      </c>
      <c r="B23" s="3" t="s">
        <v>829</v>
      </c>
      <c r="C23" s="3" t="s">
        <v>830</v>
      </c>
      <c r="D23" s="3" t="s">
        <v>831</v>
      </c>
      <c r="E23" s="3" t="s">
        <v>30</v>
      </c>
      <c r="F23" s="4">
        <v>42312.0</v>
      </c>
      <c r="G23" s="3" t="s">
        <v>31</v>
      </c>
      <c r="H23" s="3" t="s">
        <v>37</v>
      </c>
      <c r="I23" s="4">
        <v>-6.3697298</v>
      </c>
      <c r="J23" s="4">
        <v>106.2464519</v>
      </c>
      <c r="K23" s="6" t="s">
        <v>832</v>
      </c>
      <c r="L23" s="7" t="str">
        <f t="shared" si="1"/>
        <v/>
      </c>
      <c r="Z23" s="8" t="s">
        <v>33</v>
      </c>
    </row>
    <row r="24">
      <c r="A24" s="3" t="s">
        <v>26</v>
      </c>
      <c r="B24" s="3" t="s">
        <v>833</v>
      </c>
      <c r="C24" s="3" t="s">
        <v>834</v>
      </c>
      <c r="D24" s="3" t="s">
        <v>799</v>
      </c>
      <c r="E24" s="3" t="s">
        <v>30</v>
      </c>
      <c r="F24" s="4">
        <v>42315.0</v>
      </c>
      <c r="G24" s="3" t="s">
        <v>31</v>
      </c>
      <c r="H24" s="3" t="s">
        <v>37</v>
      </c>
      <c r="I24" s="4">
        <v>-6.3635823</v>
      </c>
      <c r="J24" s="4">
        <v>106.2819495</v>
      </c>
      <c r="K24" s="6" t="s">
        <v>835</v>
      </c>
      <c r="L24" s="7" t="str">
        <f t="shared" si="1"/>
        <v/>
      </c>
      <c r="Z24" s="8" t="s">
        <v>33</v>
      </c>
    </row>
    <row r="25">
      <c r="A25" s="3" t="s">
        <v>86</v>
      </c>
      <c r="B25" s="3" t="s">
        <v>836</v>
      </c>
      <c r="C25" s="3" t="s">
        <v>837</v>
      </c>
      <c r="D25" s="3" t="s">
        <v>745</v>
      </c>
      <c r="E25" s="3" t="s">
        <v>30</v>
      </c>
      <c r="F25" s="3" t="s">
        <v>37</v>
      </c>
      <c r="G25" s="3" t="s">
        <v>31</v>
      </c>
      <c r="H25" s="5">
        <v>8.59E10</v>
      </c>
      <c r="I25" s="4">
        <v>-6.9115957</v>
      </c>
      <c r="J25" s="4">
        <v>106.2198772</v>
      </c>
      <c r="K25" s="6" t="s">
        <v>838</v>
      </c>
      <c r="L25" s="7">
        <f t="shared" si="1"/>
        <v>1944444.444</v>
      </c>
      <c r="M25" s="7">
        <f>140000000/72</f>
        <v>1944444.444</v>
      </c>
      <c r="Z25" s="9" t="s">
        <v>839</v>
      </c>
    </row>
    <row r="26">
      <c r="A26" s="3" t="s">
        <v>840</v>
      </c>
      <c r="B26" s="3" t="s">
        <v>841</v>
      </c>
      <c r="C26" s="3" t="s">
        <v>842</v>
      </c>
      <c r="D26" s="3" t="s">
        <v>745</v>
      </c>
      <c r="E26" s="3" t="s">
        <v>30</v>
      </c>
      <c r="F26" s="3" t="s">
        <v>37</v>
      </c>
      <c r="G26" s="3" t="s">
        <v>31</v>
      </c>
      <c r="H26" s="5">
        <v>8.58E10</v>
      </c>
      <c r="I26" s="4">
        <v>-6.5691144</v>
      </c>
      <c r="J26" s="4">
        <v>106.0592523</v>
      </c>
      <c r="K26" s="6" t="s">
        <v>843</v>
      </c>
      <c r="L26" s="7" t="str">
        <f t="shared" si="1"/>
        <v/>
      </c>
      <c r="Z26" s="8" t="s">
        <v>33</v>
      </c>
    </row>
    <row r="27">
      <c r="A27" s="3" t="s">
        <v>350</v>
      </c>
      <c r="B27" s="3" t="s">
        <v>844</v>
      </c>
      <c r="C27" s="3" t="s">
        <v>845</v>
      </c>
      <c r="D27" s="3" t="s">
        <v>846</v>
      </c>
      <c r="E27" s="3" t="s">
        <v>30</v>
      </c>
      <c r="F27" s="4">
        <v>42381.0</v>
      </c>
      <c r="G27" s="3" t="s">
        <v>31</v>
      </c>
      <c r="H27" s="5">
        <v>8.16E10</v>
      </c>
      <c r="I27" s="4">
        <v>-6.3692794</v>
      </c>
      <c r="J27" s="4">
        <v>106.3645734</v>
      </c>
      <c r="K27" s="6" t="s">
        <v>847</v>
      </c>
      <c r="L27" s="7">
        <f t="shared" si="1"/>
        <v>2766666.667</v>
      </c>
      <c r="M27" s="7">
        <f>166000000/60</f>
        <v>2766666.667</v>
      </c>
      <c r="Z27" s="9" t="s">
        <v>848</v>
      </c>
    </row>
    <row r="28">
      <c r="A28" s="3" t="s">
        <v>26</v>
      </c>
      <c r="B28" s="3" t="s">
        <v>849</v>
      </c>
      <c r="C28" s="3" t="s">
        <v>850</v>
      </c>
      <c r="D28" s="3" t="s">
        <v>851</v>
      </c>
      <c r="E28" s="3" t="s">
        <v>30</v>
      </c>
      <c r="F28" s="4">
        <v>42312.0</v>
      </c>
      <c r="G28" s="3" t="s">
        <v>31</v>
      </c>
      <c r="H28" s="5">
        <v>8.13E9</v>
      </c>
      <c r="I28" s="4">
        <v>-6.3611262</v>
      </c>
      <c r="J28" s="4">
        <v>106.2317321</v>
      </c>
      <c r="K28" s="6" t="s">
        <v>852</v>
      </c>
      <c r="L28" s="7">
        <f t="shared" si="1"/>
        <v>5092592.593</v>
      </c>
      <c r="M28" s="7">
        <f>550000000/108</f>
        <v>5092592.593</v>
      </c>
      <c r="Z28" s="9" t="s">
        <v>853</v>
      </c>
    </row>
    <row r="29">
      <c r="A29" s="3" t="s">
        <v>86</v>
      </c>
      <c r="B29" s="3" t="s">
        <v>854</v>
      </c>
      <c r="C29" s="3" t="s">
        <v>855</v>
      </c>
      <c r="D29" s="3" t="s">
        <v>799</v>
      </c>
      <c r="E29" s="3" t="s">
        <v>30</v>
      </c>
      <c r="F29" s="4">
        <v>42315.0</v>
      </c>
      <c r="G29" s="3" t="s">
        <v>31</v>
      </c>
      <c r="H29" s="5">
        <v>8.21E10</v>
      </c>
      <c r="I29" s="4">
        <v>-6.3497108</v>
      </c>
      <c r="J29" s="4">
        <v>106.2758501</v>
      </c>
      <c r="K29" s="6" t="s">
        <v>856</v>
      </c>
      <c r="L29" s="7" t="str">
        <f t="shared" si="1"/>
        <v/>
      </c>
      <c r="Z29" s="8" t="s">
        <v>33</v>
      </c>
    </row>
    <row r="30">
      <c r="A30" s="3" t="s">
        <v>26</v>
      </c>
      <c r="B30" s="3" t="s">
        <v>857</v>
      </c>
      <c r="C30" s="3" t="s">
        <v>858</v>
      </c>
      <c r="D30" s="3" t="s">
        <v>750</v>
      </c>
      <c r="E30" s="3" t="s">
        <v>30</v>
      </c>
      <c r="F30" s="4">
        <v>42357.0</v>
      </c>
      <c r="G30" s="3" t="s">
        <v>31</v>
      </c>
      <c r="H30" s="5">
        <v>8.18E8</v>
      </c>
      <c r="I30" s="4">
        <v>-6.3269135</v>
      </c>
      <c r="J30" s="4">
        <v>106.2306426</v>
      </c>
      <c r="K30" s="6" t="s">
        <v>859</v>
      </c>
      <c r="L30" s="7">
        <f t="shared" si="1"/>
        <v>2000000</v>
      </c>
      <c r="M30" s="7">
        <f>120000000/60</f>
        <v>2000000</v>
      </c>
      <c r="Z30" s="9" t="s">
        <v>860</v>
      </c>
    </row>
    <row r="31">
      <c r="A31" s="3" t="s">
        <v>26</v>
      </c>
      <c r="B31" s="3" t="s">
        <v>861</v>
      </c>
      <c r="C31" s="3" t="s">
        <v>862</v>
      </c>
      <c r="D31" s="3" t="s">
        <v>863</v>
      </c>
      <c r="E31" s="3" t="s">
        <v>30</v>
      </c>
      <c r="F31" s="4">
        <v>42357.0</v>
      </c>
      <c r="G31" s="3" t="s">
        <v>31</v>
      </c>
      <c r="H31" s="3" t="s">
        <v>37</v>
      </c>
      <c r="I31" s="4">
        <v>-6.3551026</v>
      </c>
      <c r="J31" s="4">
        <v>106.2236905</v>
      </c>
      <c r="K31" s="6" t="s">
        <v>864</v>
      </c>
      <c r="L31" s="7" t="str">
        <f t="shared" si="1"/>
        <v/>
      </c>
      <c r="Z31" s="8" t="s">
        <v>33</v>
      </c>
    </row>
    <row r="32">
      <c r="A32" s="3" t="s">
        <v>350</v>
      </c>
      <c r="B32" s="3" t="s">
        <v>865</v>
      </c>
      <c r="C32" s="3" t="s">
        <v>866</v>
      </c>
      <c r="D32" s="3" t="s">
        <v>867</v>
      </c>
      <c r="E32" s="3" t="s">
        <v>30</v>
      </c>
      <c r="F32" s="4">
        <v>42381.0</v>
      </c>
      <c r="G32" s="3" t="s">
        <v>31</v>
      </c>
      <c r="H32" s="3" t="s">
        <v>37</v>
      </c>
      <c r="I32" s="4">
        <v>-6.3387029</v>
      </c>
      <c r="J32" s="4">
        <v>106.389458</v>
      </c>
      <c r="K32" s="6" t="s">
        <v>868</v>
      </c>
      <c r="L32" s="7">
        <f t="shared" si="1"/>
        <v>2333333.333</v>
      </c>
      <c r="M32" s="7">
        <f>140000000/60</f>
        <v>2333333.333</v>
      </c>
      <c r="Z32" s="9" t="s">
        <v>869</v>
      </c>
    </row>
    <row r="33">
      <c r="A33" s="3" t="s">
        <v>26</v>
      </c>
      <c r="B33" s="3" t="s">
        <v>870</v>
      </c>
      <c r="C33" s="3" t="s">
        <v>871</v>
      </c>
      <c r="D33" s="3" t="s">
        <v>872</v>
      </c>
      <c r="E33" s="3" t="s">
        <v>30</v>
      </c>
      <c r="F33" s="4">
        <v>42312.0</v>
      </c>
      <c r="G33" s="3" t="s">
        <v>31</v>
      </c>
      <c r="H33" s="5">
        <v>8.11E9</v>
      </c>
      <c r="I33" s="4">
        <v>-6.36056</v>
      </c>
      <c r="J33" s="4">
        <v>106.2403509</v>
      </c>
      <c r="K33" s="6" t="s">
        <v>873</v>
      </c>
      <c r="L33" s="7" t="str">
        <f t="shared" si="1"/>
        <v/>
      </c>
      <c r="Z33" s="8" t="s">
        <v>33</v>
      </c>
    </row>
    <row r="34">
      <c r="A34" s="3" t="s">
        <v>350</v>
      </c>
      <c r="B34" s="3" t="s">
        <v>874</v>
      </c>
      <c r="C34" s="3" t="s">
        <v>875</v>
      </c>
      <c r="D34" s="3" t="s">
        <v>876</v>
      </c>
      <c r="E34" s="3" t="s">
        <v>30</v>
      </c>
      <c r="F34" s="4">
        <v>42312.0</v>
      </c>
      <c r="G34" s="3" t="s">
        <v>31</v>
      </c>
      <c r="H34" s="5">
        <v>8.13E10</v>
      </c>
      <c r="I34" s="4">
        <v>-6.3632863</v>
      </c>
      <c r="J34" s="4">
        <v>106.2359906</v>
      </c>
      <c r="K34" s="6" t="s">
        <v>877</v>
      </c>
      <c r="L34" s="7" t="str">
        <f t="shared" si="1"/>
        <v/>
      </c>
      <c r="Z34" s="8" t="s">
        <v>33</v>
      </c>
    </row>
    <row r="35">
      <c r="A35" s="3" t="s">
        <v>26</v>
      </c>
      <c r="B35" s="3" t="s">
        <v>878</v>
      </c>
      <c r="C35" s="3" t="s">
        <v>879</v>
      </c>
      <c r="D35" s="3" t="s">
        <v>880</v>
      </c>
      <c r="E35" s="3" t="s">
        <v>30</v>
      </c>
      <c r="F35" s="4">
        <v>42313.0</v>
      </c>
      <c r="G35" s="3" t="s">
        <v>31</v>
      </c>
      <c r="H35" s="3" t="s">
        <v>37</v>
      </c>
      <c r="I35" s="4">
        <v>-6.3664247</v>
      </c>
      <c r="J35" s="4">
        <v>106.2739677</v>
      </c>
      <c r="K35" s="6" t="s">
        <v>881</v>
      </c>
      <c r="L35" s="7">
        <f t="shared" si="1"/>
        <v>2569444.444</v>
      </c>
      <c r="M35" s="7">
        <f>185000000/72</f>
        <v>2569444.444</v>
      </c>
      <c r="Z35" s="9" t="s">
        <v>882</v>
      </c>
    </row>
    <row r="36">
      <c r="A36" s="3" t="s">
        <v>26</v>
      </c>
      <c r="B36" s="3" t="s">
        <v>883</v>
      </c>
      <c r="C36" s="3" t="s">
        <v>884</v>
      </c>
      <c r="D36" s="3" t="s">
        <v>885</v>
      </c>
      <c r="E36" s="3" t="s">
        <v>30</v>
      </c>
      <c r="F36" s="4">
        <v>42313.0</v>
      </c>
      <c r="G36" s="3" t="s">
        <v>31</v>
      </c>
      <c r="H36" s="5">
        <v>8.21E10</v>
      </c>
      <c r="I36" s="4">
        <v>-6.3721804</v>
      </c>
      <c r="J36" s="4">
        <v>106.261082</v>
      </c>
      <c r="K36" s="6" t="s">
        <v>886</v>
      </c>
      <c r="L36" s="7">
        <f t="shared" si="1"/>
        <v>2090277.778</v>
      </c>
      <c r="M36" s="7">
        <f>150500000/72</f>
        <v>2090277.778</v>
      </c>
      <c r="Z36" s="9" t="s">
        <v>887</v>
      </c>
    </row>
    <row r="37">
      <c r="A37" s="3" t="s">
        <v>26</v>
      </c>
      <c r="B37" s="3" t="s">
        <v>888</v>
      </c>
      <c r="C37" s="3" t="s">
        <v>889</v>
      </c>
      <c r="D37" s="3" t="s">
        <v>890</v>
      </c>
      <c r="E37" s="3" t="s">
        <v>30</v>
      </c>
      <c r="F37" s="4">
        <v>42316.0</v>
      </c>
      <c r="G37" s="3" t="s">
        <v>31</v>
      </c>
      <c r="H37" s="5">
        <v>8.79E10</v>
      </c>
      <c r="I37" s="4">
        <v>-6.3425288</v>
      </c>
      <c r="J37" s="4">
        <v>106.2597275</v>
      </c>
      <c r="K37" s="6" t="s">
        <v>891</v>
      </c>
      <c r="L37" s="7">
        <f t="shared" si="1"/>
        <v>4166666.667</v>
      </c>
      <c r="M37" s="7">
        <f>550000000/132</f>
        <v>4166666.667</v>
      </c>
      <c r="Z37" s="9" t="s">
        <v>892</v>
      </c>
    </row>
    <row r="38">
      <c r="A38" s="3" t="s">
        <v>893</v>
      </c>
      <c r="B38" s="3" t="s">
        <v>894</v>
      </c>
      <c r="C38" s="3" t="s">
        <v>895</v>
      </c>
      <c r="D38" s="3" t="s">
        <v>896</v>
      </c>
      <c r="E38" s="3" t="s">
        <v>30</v>
      </c>
      <c r="F38" s="4">
        <v>42312.0</v>
      </c>
      <c r="G38" s="3" t="s">
        <v>31</v>
      </c>
      <c r="H38" s="3" t="s">
        <v>37</v>
      </c>
      <c r="I38" s="4">
        <v>-6.3377329</v>
      </c>
      <c r="J38" s="4">
        <v>106.2798178</v>
      </c>
      <c r="K38" s="6" t="s">
        <v>897</v>
      </c>
      <c r="L38" s="7">
        <f t="shared" si="1"/>
        <v>2508333.333</v>
      </c>
      <c r="M38" s="7">
        <f>150500000/60</f>
        <v>2508333.333</v>
      </c>
      <c r="Z38" s="9" t="s">
        <v>898</v>
      </c>
    </row>
    <row r="39">
      <c r="A39" s="3" t="s">
        <v>26</v>
      </c>
      <c r="B39" s="3" t="s">
        <v>899</v>
      </c>
      <c r="C39" s="3" t="s">
        <v>900</v>
      </c>
      <c r="D39" s="3" t="s">
        <v>901</v>
      </c>
      <c r="E39" s="3" t="s">
        <v>30</v>
      </c>
      <c r="F39" s="4">
        <v>42361.0</v>
      </c>
      <c r="G39" s="3" t="s">
        <v>31</v>
      </c>
      <c r="H39" s="3" t="s">
        <v>37</v>
      </c>
      <c r="I39" s="4">
        <v>-6.4469519</v>
      </c>
      <c r="J39" s="4">
        <v>106.2234247</v>
      </c>
      <c r="K39" s="6" t="s">
        <v>902</v>
      </c>
      <c r="L39" s="7" t="str">
        <f t="shared" si="1"/>
        <v/>
      </c>
      <c r="Z39" s="8" t="s">
        <v>33</v>
      </c>
    </row>
    <row r="40">
      <c r="A40" s="3" t="s">
        <v>26</v>
      </c>
      <c r="B40" s="3" t="s">
        <v>903</v>
      </c>
      <c r="C40" s="3" t="s">
        <v>904</v>
      </c>
      <c r="D40" s="3" t="s">
        <v>905</v>
      </c>
      <c r="E40" s="3" t="s">
        <v>30</v>
      </c>
      <c r="F40" s="4">
        <v>42393.0</v>
      </c>
      <c r="G40" s="3" t="s">
        <v>31</v>
      </c>
      <c r="H40" s="5">
        <v>8.19E10</v>
      </c>
      <c r="I40" s="4">
        <v>-6.9349193</v>
      </c>
      <c r="J40" s="4">
        <v>106.2460368</v>
      </c>
      <c r="K40" s="6" t="s">
        <v>906</v>
      </c>
      <c r="L40" s="7" t="str">
        <f t="shared" si="1"/>
        <v/>
      </c>
      <c r="Z40" s="8" t="s">
        <v>33</v>
      </c>
    </row>
    <row r="41">
      <c r="A41" s="3" t="s">
        <v>26</v>
      </c>
      <c r="B41" s="3" t="s">
        <v>907</v>
      </c>
      <c r="C41" s="3" t="s">
        <v>908</v>
      </c>
      <c r="D41" s="3" t="s">
        <v>909</v>
      </c>
      <c r="E41" s="3" t="s">
        <v>30</v>
      </c>
      <c r="F41" s="4">
        <v>42356.0</v>
      </c>
      <c r="G41" s="3" t="s">
        <v>31</v>
      </c>
      <c r="H41" s="3" t="s">
        <v>37</v>
      </c>
      <c r="I41" s="4">
        <v>-6.3813365</v>
      </c>
      <c r="J41" s="4">
        <v>106.1457485</v>
      </c>
      <c r="K41" s="6" t="s">
        <v>910</v>
      </c>
      <c r="L41" s="7" t="str">
        <f t="shared" si="1"/>
        <v/>
      </c>
      <c r="Z41" s="8" t="s">
        <v>33</v>
      </c>
    </row>
    <row r="42">
      <c r="A42" s="3" t="s">
        <v>26</v>
      </c>
      <c r="B42" s="3" t="s">
        <v>911</v>
      </c>
      <c r="C42" s="3" t="s">
        <v>912</v>
      </c>
      <c r="D42" s="3" t="s">
        <v>913</v>
      </c>
      <c r="E42" s="3" t="s">
        <v>30</v>
      </c>
      <c r="F42" s="4">
        <v>42361.0</v>
      </c>
      <c r="G42" s="3" t="s">
        <v>31</v>
      </c>
      <c r="H42" s="5">
        <v>8.18E10</v>
      </c>
      <c r="I42" s="4">
        <v>-6.4559671</v>
      </c>
      <c r="J42" s="4">
        <v>106.2181242</v>
      </c>
      <c r="K42" s="6" t="s">
        <v>914</v>
      </c>
      <c r="L42" s="7" t="str">
        <f t="shared" si="1"/>
        <v/>
      </c>
      <c r="Z42" s="8" t="s">
        <v>33</v>
      </c>
    </row>
    <row r="43">
      <c r="A43" s="3" t="s">
        <v>26</v>
      </c>
      <c r="B43" s="3" t="s">
        <v>915</v>
      </c>
      <c r="C43" s="3" t="s">
        <v>916</v>
      </c>
      <c r="D43" s="3" t="s">
        <v>917</v>
      </c>
      <c r="E43" s="3" t="s">
        <v>30</v>
      </c>
      <c r="F43" s="4">
        <v>42357.0</v>
      </c>
      <c r="G43" s="3" t="s">
        <v>31</v>
      </c>
      <c r="H43" s="5">
        <v>8.17E10</v>
      </c>
      <c r="I43" s="4">
        <v>-6.3502261</v>
      </c>
      <c r="J43" s="4">
        <v>106.2304193</v>
      </c>
      <c r="K43" s="6" t="s">
        <v>918</v>
      </c>
      <c r="L43" s="7">
        <f t="shared" si="1"/>
        <v>2933333.333</v>
      </c>
      <c r="M43" s="7">
        <f>176000000/60</f>
        <v>2933333.333</v>
      </c>
      <c r="Z43" s="9" t="s">
        <v>919</v>
      </c>
    </row>
    <row r="44">
      <c r="A44" s="3" t="s">
        <v>26</v>
      </c>
      <c r="B44" s="3" t="s">
        <v>920</v>
      </c>
      <c r="C44" s="3" t="s">
        <v>921</v>
      </c>
      <c r="D44" s="3" t="s">
        <v>922</v>
      </c>
      <c r="E44" s="3" t="s">
        <v>30</v>
      </c>
      <c r="F44" s="4">
        <v>42352.0</v>
      </c>
      <c r="G44" s="3" t="s">
        <v>31</v>
      </c>
      <c r="H44" s="5">
        <v>8.95E11</v>
      </c>
      <c r="I44" s="4">
        <v>-6.3302729</v>
      </c>
      <c r="J44" s="4">
        <v>106.1761088</v>
      </c>
      <c r="K44" s="6" t="s">
        <v>923</v>
      </c>
      <c r="L44" s="7" t="str">
        <f t="shared" si="1"/>
        <v/>
      </c>
      <c r="Z44" s="8" t="s">
        <v>33</v>
      </c>
    </row>
    <row r="45">
      <c r="A45" s="3" t="s">
        <v>924</v>
      </c>
      <c r="B45" s="3" t="s">
        <v>925</v>
      </c>
      <c r="C45" s="3" t="s">
        <v>926</v>
      </c>
      <c r="D45" s="3" t="s">
        <v>927</v>
      </c>
      <c r="E45" s="3" t="s">
        <v>30</v>
      </c>
      <c r="F45" s="4">
        <v>42392.0</v>
      </c>
      <c r="G45" s="3" t="s">
        <v>31</v>
      </c>
      <c r="H45" s="5">
        <v>8.14E10</v>
      </c>
      <c r="I45" s="4">
        <v>-6.8421443</v>
      </c>
      <c r="J45" s="4">
        <v>106.0677483</v>
      </c>
      <c r="K45" s="6" t="s">
        <v>928</v>
      </c>
      <c r="L45" s="7" t="str">
        <f t="shared" si="1"/>
        <v/>
      </c>
      <c r="Z45" s="8" t="s">
        <v>33</v>
      </c>
    </row>
    <row r="46">
      <c r="A46" s="3" t="s">
        <v>26</v>
      </c>
      <c r="B46" s="3" t="s">
        <v>739</v>
      </c>
      <c r="C46" s="3" t="s">
        <v>929</v>
      </c>
      <c r="D46" s="3" t="s">
        <v>930</v>
      </c>
      <c r="E46" s="3" t="s">
        <v>30</v>
      </c>
      <c r="F46" s="4">
        <v>42354.0</v>
      </c>
      <c r="G46" s="3" t="s">
        <v>31</v>
      </c>
      <c r="H46" s="3" t="s">
        <v>37</v>
      </c>
      <c r="I46" s="4">
        <v>-6.5896175</v>
      </c>
      <c r="J46" s="4">
        <v>106.0585017</v>
      </c>
      <c r="K46" s="6" t="s">
        <v>931</v>
      </c>
      <c r="L46" s="7" t="str">
        <f t="shared" si="1"/>
        <v/>
      </c>
      <c r="Z46" s="8" t="s">
        <v>33</v>
      </c>
    </row>
    <row r="47">
      <c r="J47" s="7">
        <f>sum(K47:Y47)</f>
        <v>60</v>
      </c>
      <c r="K47" s="7">
        <f>COUNTA(K2:K46)</f>
        <v>45</v>
      </c>
      <c r="M47" s="7">
        <f t="shared" ref="M47:Y47" si="2">COUNTA(M2:M46)</f>
        <v>15</v>
      </c>
      <c r="N47" s="7">
        <f t="shared" si="2"/>
        <v>0</v>
      </c>
      <c r="O47" s="7">
        <f t="shared" si="2"/>
        <v>0</v>
      </c>
      <c r="P47" s="7">
        <f t="shared" si="2"/>
        <v>0</v>
      </c>
      <c r="Q47" s="7">
        <f t="shared" si="2"/>
        <v>0</v>
      </c>
      <c r="R47" s="7">
        <f t="shared" si="2"/>
        <v>0</v>
      </c>
      <c r="S47" s="7">
        <f t="shared" si="2"/>
        <v>0</v>
      </c>
      <c r="T47" s="7">
        <f t="shared" si="2"/>
        <v>0</v>
      </c>
      <c r="U47" s="7">
        <f t="shared" si="2"/>
        <v>0</v>
      </c>
      <c r="V47" s="7">
        <f t="shared" si="2"/>
        <v>0</v>
      </c>
      <c r="W47" s="7">
        <f t="shared" si="2"/>
        <v>0</v>
      </c>
      <c r="X47" s="7">
        <f t="shared" si="2"/>
        <v>0</v>
      </c>
      <c r="Y47" s="7">
        <f t="shared" si="2"/>
        <v>0</v>
      </c>
    </row>
  </sheetData>
  <hyperlinks>
    <hyperlink r:id="rId1" ref="K2"/>
    <hyperlink r:id="rId2" ref="Z2"/>
    <hyperlink r:id="rId3" ref="K3"/>
    <hyperlink r:id="rId4" ref="K4"/>
    <hyperlink r:id="rId5" ref="Z4"/>
    <hyperlink r:id="rId6" ref="K5"/>
    <hyperlink r:id="rId7" ref="Z5"/>
    <hyperlink r:id="rId8" ref="K6"/>
    <hyperlink r:id="rId9" ref="K7"/>
    <hyperlink r:id="rId10" ref="Z7"/>
    <hyperlink r:id="rId11" ref="K8"/>
    <hyperlink r:id="rId12" ref="K9"/>
    <hyperlink r:id="rId13" ref="K10"/>
    <hyperlink r:id="rId14" ref="K11"/>
    <hyperlink r:id="rId15" ref="K12"/>
    <hyperlink r:id="rId16" ref="K13"/>
    <hyperlink r:id="rId17" ref="K14"/>
    <hyperlink r:id="rId18" ref="K15"/>
    <hyperlink r:id="rId19" ref="K16"/>
    <hyperlink r:id="rId20" ref="K17"/>
    <hyperlink r:id="rId21" ref="K18"/>
    <hyperlink r:id="rId22" ref="Z18"/>
    <hyperlink r:id="rId23" ref="K19"/>
    <hyperlink r:id="rId24" ref="K20"/>
    <hyperlink r:id="rId25" ref="K21"/>
    <hyperlink r:id="rId26" ref="K22"/>
    <hyperlink r:id="rId27" ref="K23"/>
    <hyperlink r:id="rId28" ref="K24"/>
    <hyperlink r:id="rId29" ref="K25"/>
    <hyperlink r:id="rId30" ref="Z25"/>
    <hyperlink r:id="rId31" ref="K26"/>
    <hyperlink r:id="rId32" ref="K27"/>
    <hyperlink r:id="rId33" ref="Z27"/>
    <hyperlink r:id="rId34" ref="K28"/>
    <hyperlink r:id="rId35" ref="Z28"/>
    <hyperlink r:id="rId36" ref="K29"/>
    <hyperlink r:id="rId37" ref="K30"/>
    <hyperlink r:id="rId38" ref="Z30"/>
    <hyperlink r:id="rId39" ref="K31"/>
    <hyperlink r:id="rId40" ref="K32"/>
    <hyperlink r:id="rId41" location=":~:text=Dijual%20Rp140.000.000%20%2D%20Residensial%2C%20Rumah%20Subsidi&amp;text=Permata%20Mutiara%20Maja%20dengan%20cluster,area%20komersial%20dan%20area%20wisata." ref="Z32"/>
    <hyperlink r:id="rId42" ref="K33"/>
    <hyperlink r:id="rId43" ref="K34"/>
    <hyperlink r:id="rId44" ref="K35"/>
    <hyperlink r:id="rId45" ref="Z35"/>
    <hyperlink r:id="rId46" ref="K36"/>
    <hyperlink r:id="rId47" ref="Z36"/>
    <hyperlink r:id="rId48" ref="K37"/>
    <hyperlink r:id="rId49" ref="Z37"/>
    <hyperlink r:id="rId50" ref="K38"/>
    <hyperlink r:id="rId51" ref="Z38"/>
    <hyperlink r:id="rId52" ref="K39"/>
    <hyperlink r:id="rId53" ref="K40"/>
    <hyperlink r:id="rId54" ref="K41"/>
    <hyperlink r:id="rId55" ref="K42"/>
    <hyperlink r:id="rId56" ref="K43"/>
    <hyperlink r:id="rId57" ref="Z43"/>
    <hyperlink r:id="rId58" ref="K44"/>
    <hyperlink r:id="rId59" ref="K45"/>
    <hyperlink r:id="rId60" ref="K46"/>
  </hyperlinks>
  <drawing r:id="rId6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4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8" t="s">
        <v>118</v>
      </c>
      <c r="N1" s="8" t="s">
        <v>119</v>
      </c>
      <c r="O1" s="8" t="s">
        <v>120</v>
      </c>
      <c r="P1" s="8" t="s">
        <v>121</v>
      </c>
      <c r="Q1" s="8" t="s">
        <v>122</v>
      </c>
      <c r="R1" s="8" t="s">
        <v>123</v>
      </c>
      <c r="S1" s="8" t="s">
        <v>124</v>
      </c>
      <c r="T1" s="8" t="s">
        <v>125</v>
      </c>
      <c r="U1" s="8" t="s">
        <v>126</v>
      </c>
      <c r="V1" s="8" t="s">
        <v>127</v>
      </c>
      <c r="W1" s="8" t="s">
        <v>128</v>
      </c>
      <c r="X1" s="8" t="s">
        <v>129</v>
      </c>
      <c r="Y1" s="8" t="s">
        <v>130</v>
      </c>
      <c r="Z1" s="8" t="s">
        <v>25</v>
      </c>
    </row>
    <row r="2">
      <c r="A2" s="3" t="s">
        <v>350</v>
      </c>
      <c r="B2" s="3" t="s">
        <v>932</v>
      </c>
      <c r="C2" s="3" t="s">
        <v>933</v>
      </c>
      <c r="D2" s="3" t="s">
        <v>934</v>
      </c>
      <c r="E2" s="3" t="s">
        <v>30</v>
      </c>
      <c r="F2" s="4">
        <v>42264.0</v>
      </c>
      <c r="G2" s="3" t="s">
        <v>31</v>
      </c>
      <c r="H2" s="5">
        <v>2.54E9</v>
      </c>
      <c r="I2" s="4">
        <v>-6.3812338</v>
      </c>
      <c r="J2" s="4">
        <v>105.8391124</v>
      </c>
      <c r="K2" s="6" t="s">
        <v>935</v>
      </c>
      <c r="L2" s="10" t="str">
        <f t="shared" ref="L2:L38" si="1">IFERROR(MEDIAN(M2:Y2),"")</f>
        <v/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8" t="s">
        <v>33</v>
      </c>
    </row>
    <row r="3">
      <c r="A3" s="3" t="s">
        <v>40</v>
      </c>
      <c r="B3" s="3" t="s">
        <v>936</v>
      </c>
      <c r="C3" s="3" t="s">
        <v>937</v>
      </c>
      <c r="D3" s="3" t="s">
        <v>938</v>
      </c>
      <c r="E3" s="3" t="s">
        <v>30</v>
      </c>
      <c r="F3" s="4">
        <v>42211.0</v>
      </c>
      <c r="G3" s="3" t="s">
        <v>31</v>
      </c>
      <c r="H3" s="5">
        <v>8.57E10</v>
      </c>
      <c r="I3" s="4">
        <v>-6.3293399</v>
      </c>
      <c r="J3" s="4">
        <v>106.0893646</v>
      </c>
      <c r="K3" s="6" t="s">
        <v>939</v>
      </c>
      <c r="L3" s="10" t="str">
        <f t="shared" si="1"/>
        <v/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8" t="s">
        <v>33</v>
      </c>
    </row>
    <row r="4">
      <c r="A4" s="3" t="s">
        <v>26</v>
      </c>
      <c r="B4" s="3" t="s">
        <v>940</v>
      </c>
      <c r="C4" s="3" t="s">
        <v>941</v>
      </c>
      <c r="D4" s="3" t="s">
        <v>942</v>
      </c>
      <c r="E4" s="3" t="s">
        <v>30</v>
      </c>
      <c r="F4" s="3" t="s">
        <v>37</v>
      </c>
      <c r="G4" s="3" t="s">
        <v>31</v>
      </c>
      <c r="H4" s="3" t="s">
        <v>37</v>
      </c>
      <c r="I4" s="4">
        <v>-6.3868127</v>
      </c>
      <c r="J4" s="4">
        <v>105.8399214</v>
      </c>
      <c r="K4" s="6" t="s">
        <v>943</v>
      </c>
      <c r="L4" s="10" t="str">
        <f t="shared" si="1"/>
        <v/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8" t="s">
        <v>33</v>
      </c>
    </row>
    <row r="5">
      <c r="A5" s="3" t="s">
        <v>86</v>
      </c>
      <c r="B5" s="3" t="s">
        <v>944</v>
      </c>
      <c r="C5" s="3" t="s">
        <v>945</v>
      </c>
      <c r="D5" s="3" t="s">
        <v>938</v>
      </c>
      <c r="E5" s="3" t="s">
        <v>30</v>
      </c>
      <c r="F5" s="4">
        <v>42217.0</v>
      </c>
      <c r="G5" s="3" t="s">
        <v>31</v>
      </c>
      <c r="H5" s="3" t="s">
        <v>37</v>
      </c>
      <c r="I5" s="4">
        <v>-6.3272341</v>
      </c>
      <c r="J5" s="4">
        <v>106.0879249</v>
      </c>
      <c r="K5" s="6" t="s">
        <v>946</v>
      </c>
      <c r="L5" s="10" t="str">
        <f t="shared" si="1"/>
        <v/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8" t="s">
        <v>33</v>
      </c>
    </row>
    <row r="6">
      <c r="A6" s="3" t="s">
        <v>26</v>
      </c>
      <c r="B6" s="3" t="s">
        <v>947</v>
      </c>
      <c r="C6" s="3" t="s">
        <v>948</v>
      </c>
      <c r="D6" s="3" t="s">
        <v>949</v>
      </c>
      <c r="E6" s="3" t="s">
        <v>30</v>
      </c>
      <c r="F6" s="4">
        <v>42273.0</v>
      </c>
      <c r="G6" s="3" t="s">
        <v>31</v>
      </c>
      <c r="H6" s="3" t="s">
        <v>37</v>
      </c>
      <c r="I6" s="4">
        <v>-6.3988842</v>
      </c>
      <c r="J6" s="4">
        <v>105.9662485</v>
      </c>
      <c r="K6" s="6" t="s">
        <v>950</v>
      </c>
      <c r="L6" s="10" t="str">
        <f t="shared" si="1"/>
        <v/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8" t="s">
        <v>33</v>
      </c>
    </row>
    <row r="7">
      <c r="A7" s="3" t="s">
        <v>40</v>
      </c>
      <c r="B7" s="3" t="s">
        <v>951</v>
      </c>
      <c r="C7" s="3" t="s">
        <v>952</v>
      </c>
      <c r="D7" s="3" t="s">
        <v>953</v>
      </c>
      <c r="E7" s="3" t="s">
        <v>30</v>
      </c>
      <c r="F7" s="4">
        <v>42271.0</v>
      </c>
      <c r="G7" s="3" t="s">
        <v>31</v>
      </c>
      <c r="H7" s="3" t="s">
        <v>37</v>
      </c>
      <c r="I7" s="4">
        <v>-6.407662</v>
      </c>
      <c r="J7" s="4">
        <v>106.0558664</v>
      </c>
      <c r="K7" s="6" t="s">
        <v>954</v>
      </c>
      <c r="L7" s="10" t="str">
        <f t="shared" si="1"/>
        <v/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8" t="s">
        <v>33</v>
      </c>
    </row>
    <row r="8">
      <c r="A8" s="3" t="s">
        <v>955</v>
      </c>
      <c r="B8" s="3" t="s">
        <v>956</v>
      </c>
      <c r="C8" s="3" t="s">
        <v>957</v>
      </c>
      <c r="D8" s="3" t="s">
        <v>958</v>
      </c>
      <c r="E8" s="3" t="s">
        <v>30</v>
      </c>
      <c r="F8" s="4">
        <v>42219.0</v>
      </c>
      <c r="G8" s="3" t="s">
        <v>31</v>
      </c>
      <c r="H8" s="3" t="s">
        <v>37</v>
      </c>
      <c r="I8" s="4">
        <v>-6.3295187</v>
      </c>
      <c r="J8" s="4">
        <v>106.0868041</v>
      </c>
      <c r="K8" s="6" t="s">
        <v>959</v>
      </c>
      <c r="L8" s="10">
        <f t="shared" si="1"/>
        <v>5056179.775</v>
      </c>
      <c r="M8" s="10">
        <f>900000000/178</f>
        <v>5056179.775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9" t="s">
        <v>960</v>
      </c>
    </row>
    <row r="9">
      <c r="A9" s="3" t="s">
        <v>961</v>
      </c>
      <c r="B9" s="3" t="s">
        <v>962</v>
      </c>
      <c r="C9" s="3" t="s">
        <v>963</v>
      </c>
      <c r="D9" s="3" t="s">
        <v>964</v>
      </c>
      <c r="E9" s="3" t="s">
        <v>30</v>
      </c>
      <c r="F9" s="4">
        <v>42219.0</v>
      </c>
      <c r="G9" s="3" t="s">
        <v>31</v>
      </c>
      <c r="H9" s="3" t="s">
        <v>37</v>
      </c>
      <c r="I9" s="4">
        <v>-6.3238452</v>
      </c>
      <c r="J9" s="4">
        <v>106.080015</v>
      </c>
      <c r="K9" s="6" t="s">
        <v>965</v>
      </c>
      <c r="L9" s="10" t="str">
        <f t="shared" si="1"/>
        <v/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8" t="s">
        <v>33</v>
      </c>
    </row>
    <row r="10">
      <c r="A10" s="3" t="s">
        <v>350</v>
      </c>
      <c r="B10" s="3" t="s">
        <v>966</v>
      </c>
      <c r="C10" s="3" t="s">
        <v>967</v>
      </c>
      <c r="D10" s="3" t="s">
        <v>968</v>
      </c>
      <c r="E10" s="3" t="s">
        <v>30</v>
      </c>
      <c r="F10" s="4">
        <v>42211.0</v>
      </c>
      <c r="G10" s="3" t="s">
        <v>31</v>
      </c>
      <c r="H10" s="3" t="s">
        <v>37</v>
      </c>
      <c r="I10" s="4">
        <v>-6.3183199</v>
      </c>
      <c r="J10" s="4">
        <v>106.0929344</v>
      </c>
      <c r="K10" s="6" t="s">
        <v>969</v>
      </c>
      <c r="L10" s="10" t="str">
        <f t="shared" si="1"/>
        <v/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8" t="s">
        <v>33</v>
      </c>
    </row>
    <row r="11">
      <c r="A11" s="3" t="s">
        <v>970</v>
      </c>
      <c r="B11" s="3" t="s">
        <v>971</v>
      </c>
      <c r="C11" s="3" t="s">
        <v>972</v>
      </c>
      <c r="D11" s="3" t="s">
        <v>938</v>
      </c>
      <c r="E11" s="3" t="s">
        <v>30</v>
      </c>
      <c r="F11" s="4">
        <v>42217.0</v>
      </c>
      <c r="G11" s="3" t="s">
        <v>31</v>
      </c>
      <c r="H11" s="3" t="s">
        <v>37</v>
      </c>
      <c r="I11" s="4">
        <v>-6.3261884</v>
      </c>
      <c r="J11" s="4">
        <v>106.0968238</v>
      </c>
      <c r="K11" s="6" t="s">
        <v>973</v>
      </c>
      <c r="L11" s="10" t="str">
        <f t="shared" si="1"/>
        <v/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8" t="s">
        <v>33</v>
      </c>
    </row>
    <row r="12">
      <c r="A12" s="3" t="s">
        <v>974</v>
      </c>
      <c r="B12" s="3" t="s">
        <v>975</v>
      </c>
      <c r="C12" s="3" t="s">
        <v>976</v>
      </c>
      <c r="D12" s="3" t="s">
        <v>977</v>
      </c>
      <c r="E12" s="3" t="s">
        <v>30</v>
      </c>
      <c r="F12" s="4">
        <v>42211.0</v>
      </c>
      <c r="G12" s="3" t="s">
        <v>31</v>
      </c>
      <c r="H12" s="3" t="s">
        <v>37</v>
      </c>
      <c r="I12" s="4">
        <v>-6.3056672</v>
      </c>
      <c r="J12" s="4">
        <v>106.0993844</v>
      </c>
      <c r="K12" s="6" t="s">
        <v>978</v>
      </c>
      <c r="L12" s="10" t="str">
        <f t="shared" si="1"/>
        <v/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8" t="s">
        <v>33</v>
      </c>
    </row>
    <row r="13">
      <c r="A13" s="3" t="s">
        <v>757</v>
      </c>
      <c r="B13" s="3" t="s">
        <v>979</v>
      </c>
      <c r="C13" s="3" t="s">
        <v>980</v>
      </c>
      <c r="D13" s="3" t="s">
        <v>981</v>
      </c>
      <c r="E13" s="3" t="s">
        <v>30</v>
      </c>
      <c r="F13" s="4">
        <v>42211.0</v>
      </c>
      <c r="G13" s="3" t="s">
        <v>31</v>
      </c>
      <c r="H13" s="5">
        <v>8.95E11</v>
      </c>
      <c r="I13" s="4">
        <v>-6.3282811</v>
      </c>
      <c r="J13" s="4">
        <v>106.0930729</v>
      </c>
      <c r="K13" s="6" t="s">
        <v>982</v>
      </c>
      <c r="L13" s="10" t="str">
        <f t="shared" si="1"/>
        <v/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8" t="s">
        <v>33</v>
      </c>
    </row>
    <row r="14">
      <c r="A14" s="3" t="s">
        <v>40</v>
      </c>
      <c r="B14" s="3" t="s">
        <v>983</v>
      </c>
      <c r="C14" s="3" t="s">
        <v>984</v>
      </c>
      <c r="D14" s="3" t="s">
        <v>985</v>
      </c>
      <c r="E14" s="3" t="s">
        <v>30</v>
      </c>
      <c r="F14" s="4">
        <v>42276.0</v>
      </c>
      <c r="G14" s="3" t="s">
        <v>31</v>
      </c>
      <c r="H14" s="3" t="s">
        <v>37</v>
      </c>
      <c r="I14" s="4">
        <v>-6.5858896</v>
      </c>
      <c r="J14" s="4">
        <v>105.9112424</v>
      </c>
      <c r="K14" s="6" t="s">
        <v>986</v>
      </c>
      <c r="L14" s="10" t="str">
        <f t="shared" si="1"/>
        <v/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8" t="s">
        <v>33</v>
      </c>
    </row>
    <row r="15">
      <c r="A15" s="3" t="s">
        <v>26</v>
      </c>
      <c r="B15" s="3" t="s">
        <v>987</v>
      </c>
      <c r="C15" s="3" t="s">
        <v>988</v>
      </c>
      <c r="D15" s="3" t="s">
        <v>989</v>
      </c>
      <c r="E15" s="3" t="s">
        <v>30</v>
      </c>
      <c r="F15" s="4">
        <v>42251.0</v>
      </c>
      <c r="G15" s="3" t="s">
        <v>31</v>
      </c>
      <c r="H15" s="5">
        <v>8.13E10</v>
      </c>
      <c r="I15" s="4">
        <v>-6.2662907</v>
      </c>
      <c r="J15" s="4">
        <v>106.1249135</v>
      </c>
      <c r="K15" s="6" t="s">
        <v>990</v>
      </c>
      <c r="L15" s="10" t="str">
        <f t="shared" si="1"/>
        <v/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8" t="s">
        <v>33</v>
      </c>
    </row>
    <row r="16">
      <c r="A16" s="3" t="s">
        <v>26</v>
      </c>
      <c r="B16" s="3" t="s">
        <v>991</v>
      </c>
      <c r="C16" s="3" t="s">
        <v>992</v>
      </c>
      <c r="D16" s="3" t="s">
        <v>993</v>
      </c>
      <c r="E16" s="3" t="s">
        <v>30</v>
      </c>
      <c r="F16" s="4">
        <v>42251.0</v>
      </c>
      <c r="G16" s="3" t="s">
        <v>31</v>
      </c>
      <c r="H16" s="5">
        <v>8.23E10</v>
      </c>
      <c r="I16" s="4">
        <v>-6.3216374</v>
      </c>
      <c r="J16" s="4">
        <v>106.1332938</v>
      </c>
      <c r="K16" s="6" t="s">
        <v>994</v>
      </c>
      <c r="L16" s="10" t="str">
        <f t="shared" si="1"/>
        <v/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8" t="s">
        <v>33</v>
      </c>
    </row>
    <row r="17">
      <c r="A17" s="3" t="s">
        <v>40</v>
      </c>
      <c r="B17" s="3" t="s">
        <v>995</v>
      </c>
      <c r="C17" s="3" t="s">
        <v>996</v>
      </c>
      <c r="D17" s="3" t="s">
        <v>997</v>
      </c>
      <c r="E17" s="3" t="s">
        <v>30</v>
      </c>
      <c r="F17" s="4">
        <v>42219.0</v>
      </c>
      <c r="G17" s="3" t="s">
        <v>31</v>
      </c>
      <c r="H17" s="3" t="s">
        <v>37</v>
      </c>
      <c r="I17" s="4">
        <v>-6.3207547</v>
      </c>
      <c r="J17" s="4">
        <v>106.0894661</v>
      </c>
      <c r="K17" s="6" t="s">
        <v>998</v>
      </c>
      <c r="L17" s="10" t="str">
        <f t="shared" si="1"/>
        <v/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8" t="s">
        <v>33</v>
      </c>
    </row>
    <row r="18">
      <c r="A18" s="3" t="s">
        <v>26</v>
      </c>
      <c r="B18" s="3" t="s">
        <v>999</v>
      </c>
      <c r="C18" s="3" t="s">
        <v>1000</v>
      </c>
      <c r="D18" s="3" t="s">
        <v>942</v>
      </c>
      <c r="E18" s="3" t="s">
        <v>30</v>
      </c>
      <c r="F18" s="3" t="s">
        <v>37</v>
      </c>
      <c r="G18" s="3" t="s">
        <v>31</v>
      </c>
      <c r="H18" s="3" t="s">
        <v>37</v>
      </c>
      <c r="I18" s="4">
        <v>-6.3229487</v>
      </c>
      <c r="J18" s="4">
        <v>106.0772101</v>
      </c>
      <c r="K18" s="6" t="s">
        <v>1001</v>
      </c>
      <c r="L18" s="10" t="str">
        <f t="shared" si="1"/>
        <v/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8" t="s">
        <v>33</v>
      </c>
    </row>
    <row r="19">
      <c r="A19" s="3" t="s">
        <v>974</v>
      </c>
      <c r="B19" s="3" t="s">
        <v>1002</v>
      </c>
      <c r="C19" s="3" t="s">
        <v>1003</v>
      </c>
      <c r="D19" s="3" t="s">
        <v>1004</v>
      </c>
      <c r="E19" s="3" t="s">
        <v>30</v>
      </c>
      <c r="F19" s="4">
        <v>42211.0</v>
      </c>
      <c r="G19" s="3" t="s">
        <v>31</v>
      </c>
      <c r="H19" s="3" t="s">
        <v>37</v>
      </c>
      <c r="I19" s="4">
        <v>-6.3253134</v>
      </c>
      <c r="J19" s="4">
        <v>106.0622982</v>
      </c>
      <c r="K19" s="6" t="s">
        <v>1005</v>
      </c>
      <c r="L19" s="10">
        <f t="shared" si="1"/>
        <v>714285.7143</v>
      </c>
      <c r="M19" s="10">
        <f>60000000/84</f>
        <v>714285.7143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9" t="s">
        <v>1006</v>
      </c>
    </row>
    <row r="20">
      <c r="A20" s="3" t="s">
        <v>26</v>
      </c>
      <c r="B20" s="3" t="s">
        <v>1007</v>
      </c>
      <c r="C20" s="3" t="s">
        <v>1008</v>
      </c>
      <c r="D20" s="3" t="s">
        <v>1009</v>
      </c>
      <c r="E20" s="3" t="s">
        <v>30</v>
      </c>
      <c r="F20" s="4">
        <v>42275.0</v>
      </c>
      <c r="G20" s="3" t="s">
        <v>31</v>
      </c>
      <c r="H20" s="5">
        <v>8.52E10</v>
      </c>
      <c r="I20" s="4">
        <v>-6.500309</v>
      </c>
      <c r="J20" s="4">
        <v>105.985657</v>
      </c>
      <c r="K20" s="6" t="s">
        <v>1010</v>
      </c>
      <c r="L20" s="10" t="str">
        <f t="shared" si="1"/>
        <v/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8" t="s">
        <v>33</v>
      </c>
    </row>
    <row r="21">
      <c r="A21" s="3" t="s">
        <v>40</v>
      </c>
      <c r="B21" s="3" t="s">
        <v>1011</v>
      </c>
      <c r="C21" s="3" t="s">
        <v>1012</v>
      </c>
      <c r="D21" s="3" t="s">
        <v>1013</v>
      </c>
      <c r="E21" s="3" t="s">
        <v>30</v>
      </c>
      <c r="F21" s="4">
        <v>42271.0</v>
      </c>
      <c r="G21" s="3" t="s">
        <v>31</v>
      </c>
      <c r="H21" s="3" t="s">
        <v>37</v>
      </c>
      <c r="I21" s="4">
        <v>-6.3906367</v>
      </c>
      <c r="J21" s="4">
        <v>105.8941744</v>
      </c>
      <c r="K21" s="6" t="s">
        <v>1014</v>
      </c>
      <c r="L21" s="10" t="str">
        <f t="shared" si="1"/>
        <v/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8" t="s">
        <v>33</v>
      </c>
    </row>
    <row r="22">
      <c r="A22" s="3" t="s">
        <v>350</v>
      </c>
      <c r="B22" s="3" t="s">
        <v>1015</v>
      </c>
      <c r="C22" s="3" t="s">
        <v>1016</v>
      </c>
      <c r="D22" s="3" t="s">
        <v>997</v>
      </c>
      <c r="E22" s="3" t="s">
        <v>30</v>
      </c>
      <c r="F22" s="4">
        <v>42219.0</v>
      </c>
      <c r="G22" s="3" t="s">
        <v>31</v>
      </c>
      <c r="H22" s="5">
        <v>8.79E10</v>
      </c>
      <c r="I22" s="4">
        <v>-6.3276275</v>
      </c>
      <c r="J22" s="4">
        <v>106.0792213</v>
      </c>
      <c r="K22" s="6" t="s">
        <v>1017</v>
      </c>
      <c r="L22" s="10" t="str">
        <f t="shared" si="1"/>
        <v/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8" t="s">
        <v>33</v>
      </c>
    </row>
    <row r="23">
      <c r="A23" s="3" t="s">
        <v>350</v>
      </c>
      <c r="B23" s="3" t="s">
        <v>1018</v>
      </c>
      <c r="C23" s="3" t="s">
        <v>1019</v>
      </c>
      <c r="D23" s="3" t="s">
        <v>1020</v>
      </c>
      <c r="E23" s="3" t="s">
        <v>30</v>
      </c>
      <c r="F23" s="4">
        <v>42219.0</v>
      </c>
      <c r="G23" s="3" t="s">
        <v>31</v>
      </c>
      <c r="H23" s="3" t="s">
        <v>37</v>
      </c>
      <c r="I23" s="4">
        <v>-6.3283721</v>
      </c>
      <c r="J23" s="4">
        <v>106.0790158</v>
      </c>
      <c r="K23" s="6" t="s">
        <v>1021</v>
      </c>
      <c r="L23" s="10" t="str">
        <f t="shared" si="1"/>
        <v/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8" t="s">
        <v>33</v>
      </c>
    </row>
    <row r="24">
      <c r="A24" s="3" t="s">
        <v>350</v>
      </c>
      <c r="B24" s="3" t="s">
        <v>1022</v>
      </c>
      <c r="C24" s="3" t="s">
        <v>1023</v>
      </c>
      <c r="D24" s="3" t="s">
        <v>942</v>
      </c>
      <c r="E24" s="3" t="s">
        <v>30</v>
      </c>
      <c r="F24" s="3" t="s">
        <v>37</v>
      </c>
      <c r="G24" s="3" t="s">
        <v>31</v>
      </c>
      <c r="H24" s="3" t="s">
        <v>37</v>
      </c>
      <c r="I24" s="4">
        <v>-6.2998469</v>
      </c>
      <c r="J24" s="4">
        <v>106.0845931</v>
      </c>
      <c r="K24" s="6" t="s">
        <v>1024</v>
      </c>
      <c r="L24" s="10" t="str">
        <f t="shared" si="1"/>
        <v/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8" t="s">
        <v>33</v>
      </c>
    </row>
    <row r="25">
      <c r="A25" s="3" t="s">
        <v>40</v>
      </c>
      <c r="B25" s="3" t="s">
        <v>1025</v>
      </c>
      <c r="C25" s="3" t="s">
        <v>1026</v>
      </c>
      <c r="D25" s="3" t="s">
        <v>942</v>
      </c>
      <c r="E25" s="3" t="s">
        <v>30</v>
      </c>
      <c r="F25" s="3" t="s">
        <v>37</v>
      </c>
      <c r="G25" s="3" t="s">
        <v>31</v>
      </c>
      <c r="H25" s="5">
        <v>8.23E10</v>
      </c>
      <c r="I25" s="4">
        <v>-6.3189079</v>
      </c>
      <c r="J25" s="4">
        <v>106.0929668</v>
      </c>
      <c r="K25" s="6" t="s">
        <v>1027</v>
      </c>
      <c r="L25" s="10" t="str">
        <f t="shared" si="1"/>
        <v/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8" t="s">
        <v>33</v>
      </c>
    </row>
    <row r="26">
      <c r="A26" s="3" t="s">
        <v>40</v>
      </c>
      <c r="B26" s="3" t="s">
        <v>1028</v>
      </c>
      <c r="C26" s="3" t="s">
        <v>1029</v>
      </c>
      <c r="D26" s="3" t="s">
        <v>1030</v>
      </c>
      <c r="E26" s="3" t="s">
        <v>30</v>
      </c>
      <c r="F26" s="4">
        <v>42352.0</v>
      </c>
      <c r="G26" s="3" t="s">
        <v>31</v>
      </c>
      <c r="H26" s="3" t="s">
        <v>37</v>
      </c>
      <c r="I26" s="4">
        <v>-6.3305341</v>
      </c>
      <c r="J26" s="4">
        <v>106.1337135</v>
      </c>
      <c r="K26" s="6" t="s">
        <v>1031</v>
      </c>
      <c r="L26" s="10">
        <f t="shared" si="1"/>
        <v>1805555.556</v>
      </c>
      <c r="M26" s="10">
        <f>130000000/72</f>
        <v>1805555.556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9" t="s">
        <v>1032</v>
      </c>
    </row>
    <row r="27">
      <c r="A27" s="3" t="s">
        <v>86</v>
      </c>
      <c r="B27" s="3" t="s">
        <v>1033</v>
      </c>
      <c r="C27" s="3" t="s">
        <v>1034</v>
      </c>
      <c r="D27" s="3" t="s">
        <v>1035</v>
      </c>
      <c r="E27" s="3" t="s">
        <v>30</v>
      </c>
      <c r="F27" s="4">
        <v>42251.0</v>
      </c>
      <c r="G27" s="3" t="s">
        <v>31</v>
      </c>
      <c r="H27" s="5">
        <v>8.13E10</v>
      </c>
      <c r="I27" s="4">
        <v>-6.296348</v>
      </c>
      <c r="J27" s="4">
        <v>106.1069035</v>
      </c>
      <c r="K27" s="6" t="s">
        <v>1036</v>
      </c>
      <c r="L27" s="10" t="str">
        <f t="shared" si="1"/>
        <v/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8" t="s">
        <v>33</v>
      </c>
    </row>
    <row r="28">
      <c r="A28" s="3" t="s">
        <v>350</v>
      </c>
      <c r="B28" s="3" t="s">
        <v>1037</v>
      </c>
      <c r="C28" s="3" t="s">
        <v>1019</v>
      </c>
      <c r="D28" s="3" t="s">
        <v>1020</v>
      </c>
      <c r="E28" s="3" t="s">
        <v>30</v>
      </c>
      <c r="F28" s="4">
        <v>42219.0</v>
      </c>
      <c r="G28" s="3" t="s">
        <v>31</v>
      </c>
      <c r="H28" s="3" t="s">
        <v>37</v>
      </c>
      <c r="I28" s="4">
        <v>-6.3161733</v>
      </c>
      <c r="J28" s="4">
        <v>106.0868608</v>
      </c>
      <c r="K28" s="6" t="s">
        <v>1038</v>
      </c>
      <c r="L28" s="10" t="str">
        <f t="shared" si="1"/>
        <v/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8" t="s">
        <v>33</v>
      </c>
    </row>
    <row r="29">
      <c r="A29" s="3" t="s">
        <v>1039</v>
      </c>
      <c r="B29" s="3" t="s">
        <v>1040</v>
      </c>
      <c r="C29" s="3" t="s">
        <v>1041</v>
      </c>
      <c r="D29" s="3" t="s">
        <v>1042</v>
      </c>
      <c r="E29" s="3" t="s">
        <v>30</v>
      </c>
      <c r="F29" s="4">
        <v>42252.0</v>
      </c>
      <c r="G29" s="3" t="s">
        <v>31</v>
      </c>
      <c r="H29" s="5">
        <v>8.78E10</v>
      </c>
      <c r="I29" s="4">
        <v>-6.3261124</v>
      </c>
      <c r="J29" s="4">
        <v>106.0595549</v>
      </c>
      <c r="K29" s="6" t="s">
        <v>1043</v>
      </c>
      <c r="L29" s="10">
        <f t="shared" si="1"/>
        <v>2119718.31</v>
      </c>
      <c r="M29" s="10">
        <f>150500000/71</f>
        <v>2119718.31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9" t="s">
        <v>1044</v>
      </c>
    </row>
    <row r="30">
      <c r="A30" s="3" t="s">
        <v>86</v>
      </c>
      <c r="B30" s="3" t="s">
        <v>1045</v>
      </c>
      <c r="C30" s="3" t="s">
        <v>1046</v>
      </c>
      <c r="D30" s="3" t="s">
        <v>942</v>
      </c>
      <c r="E30" s="3" t="s">
        <v>30</v>
      </c>
      <c r="F30" s="3" t="s">
        <v>37</v>
      </c>
      <c r="G30" s="3" t="s">
        <v>31</v>
      </c>
      <c r="H30" s="3" t="s">
        <v>37</v>
      </c>
      <c r="I30" s="4">
        <v>-6.3149704</v>
      </c>
      <c r="J30" s="4">
        <v>106.1128395</v>
      </c>
      <c r="K30" s="6" t="s">
        <v>1047</v>
      </c>
      <c r="L30" s="10" t="str">
        <f t="shared" si="1"/>
        <v/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8" t="s">
        <v>33</v>
      </c>
    </row>
    <row r="31">
      <c r="A31" s="3" t="s">
        <v>26</v>
      </c>
      <c r="B31" s="3" t="s">
        <v>1048</v>
      </c>
      <c r="C31" s="3" t="s">
        <v>1049</v>
      </c>
      <c r="D31" s="3" t="s">
        <v>1050</v>
      </c>
      <c r="E31" s="3" t="s">
        <v>30</v>
      </c>
      <c r="F31" s="4">
        <v>42265.0</v>
      </c>
      <c r="G31" s="3" t="s">
        <v>31</v>
      </c>
      <c r="H31" s="3" t="s">
        <v>37</v>
      </c>
      <c r="I31" s="4">
        <v>-6.4706573</v>
      </c>
      <c r="J31" s="4">
        <v>105.8455356</v>
      </c>
      <c r="K31" s="6" t="s">
        <v>1051</v>
      </c>
      <c r="L31" s="10" t="str">
        <f t="shared" si="1"/>
        <v/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8" t="s">
        <v>33</v>
      </c>
    </row>
    <row r="32">
      <c r="A32" s="3" t="s">
        <v>40</v>
      </c>
      <c r="B32" s="3" t="s">
        <v>1052</v>
      </c>
      <c r="C32" s="3" t="s">
        <v>1053</v>
      </c>
      <c r="D32" s="3" t="s">
        <v>942</v>
      </c>
      <c r="E32" s="3" t="s">
        <v>30</v>
      </c>
      <c r="F32" s="3" t="s">
        <v>37</v>
      </c>
      <c r="G32" s="3" t="s">
        <v>31</v>
      </c>
      <c r="H32" s="3" t="s">
        <v>37</v>
      </c>
      <c r="I32" s="4">
        <v>-6.3330732</v>
      </c>
      <c r="J32" s="4">
        <v>106.1069497</v>
      </c>
      <c r="K32" s="6" t="s">
        <v>1054</v>
      </c>
      <c r="L32" s="10">
        <f t="shared" si="1"/>
        <v>4583333.333</v>
      </c>
      <c r="M32" s="10">
        <f>275000000/60</f>
        <v>4583333.333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 t="s">
        <v>1055</v>
      </c>
    </row>
    <row r="33">
      <c r="A33" s="3" t="s">
        <v>757</v>
      </c>
      <c r="B33" s="3" t="s">
        <v>1056</v>
      </c>
      <c r="C33" s="3" t="s">
        <v>1057</v>
      </c>
      <c r="D33" s="3" t="s">
        <v>997</v>
      </c>
      <c r="E33" s="3" t="s">
        <v>30</v>
      </c>
      <c r="F33" s="4">
        <v>42219.0</v>
      </c>
      <c r="G33" s="3" t="s">
        <v>31</v>
      </c>
      <c r="H33" s="3" t="s">
        <v>37</v>
      </c>
      <c r="I33" s="4">
        <v>-6.3196481</v>
      </c>
      <c r="J33" s="4">
        <v>106.0815281</v>
      </c>
      <c r="K33" s="6" t="s">
        <v>1058</v>
      </c>
      <c r="L33" s="10" t="str">
        <f t="shared" si="1"/>
        <v/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8" t="s">
        <v>33</v>
      </c>
    </row>
    <row r="34">
      <c r="A34" s="3" t="s">
        <v>26</v>
      </c>
      <c r="B34" s="3" t="s">
        <v>1059</v>
      </c>
      <c r="C34" s="3" t="s">
        <v>1060</v>
      </c>
      <c r="D34" s="3" t="s">
        <v>942</v>
      </c>
      <c r="E34" s="3" t="s">
        <v>30</v>
      </c>
      <c r="F34" s="3" t="s">
        <v>37</v>
      </c>
      <c r="G34" s="3" t="s">
        <v>31</v>
      </c>
      <c r="H34" s="3" t="s">
        <v>37</v>
      </c>
      <c r="I34" s="4">
        <v>-6.5023976</v>
      </c>
      <c r="J34" s="4">
        <v>105.9833896</v>
      </c>
      <c r="K34" s="6" t="s">
        <v>1061</v>
      </c>
      <c r="L34" s="10" t="str">
        <f t="shared" si="1"/>
        <v/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8" t="s">
        <v>33</v>
      </c>
    </row>
    <row r="35">
      <c r="A35" s="3" t="s">
        <v>40</v>
      </c>
      <c r="B35" s="3" t="s">
        <v>1062</v>
      </c>
      <c r="C35" s="3" t="s">
        <v>1063</v>
      </c>
      <c r="D35" s="3" t="s">
        <v>942</v>
      </c>
      <c r="E35" s="3" t="s">
        <v>30</v>
      </c>
      <c r="F35" s="3" t="s">
        <v>37</v>
      </c>
      <c r="G35" s="3" t="s">
        <v>31</v>
      </c>
      <c r="H35" s="3" t="s">
        <v>37</v>
      </c>
      <c r="I35" s="4">
        <v>-6.3715146</v>
      </c>
      <c r="J35" s="4">
        <v>105.9162365</v>
      </c>
      <c r="K35" s="6" t="s">
        <v>1064</v>
      </c>
      <c r="L35" s="10" t="str">
        <f t="shared" si="1"/>
        <v/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8" t="s">
        <v>33</v>
      </c>
    </row>
    <row r="36">
      <c r="A36" s="3" t="s">
        <v>86</v>
      </c>
      <c r="B36" s="3" t="s">
        <v>1065</v>
      </c>
      <c r="C36" s="3" t="s">
        <v>1066</v>
      </c>
      <c r="D36" s="3" t="s">
        <v>1067</v>
      </c>
      <c r="E36" s="3" t="s">
        <v>30</v>
      </c>
      <c r="F36" s="4">
        <v>42251.0</v>
      </c>
      <c r="G36" s="3" t="s">
        <v>31</v>
      </c>
      <c r="H36" s="5">
        <v>8.14E10</v>
      </c>
      <c r="I36" s="4">
        <v>-6.3037609</v>
      </c>
      <c r="J36" s="4">
        <v>106.1176615</v>
      </c>
      <c r="K36" s="6" t="s">
        <v>1068</v>
      </c>
      <c r="L36" s="10" t="str">
        <f t="shared" si="1"/>
        <v/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8" t="s">
        <v>33</v>
      </c>
    </row>
    <row r="37">
      <c r="A37" s="3" t="s">
        <v>40</v>
      </c>
      <c r="B37" s="3" t="s">
        <v>1069</v>
      </c>
      <c r="C37" s="3" t="s">
        <v>1070</v>
      </c>
      <c r="D37" s="3" t="s">
        <v>1071</v>
      </c>
      <c r="E37" s="3" t="s">
        <v>30</v>
      </c>
      <c r="F37" s="4">
        <v>42262.0</v>
      </c>
      <c r="G37" s="3" t="s">
        <v>31</v>
      </c>
      <c r="H37" s="5">
        <v>8.13E10</v>
      </c>
      <c r="I37" s="4">
        <v>-6.3196744</v>
      </c>
      <c r="J37" s="4">
        <v>105.9435501</v>
      </c>
      <c r="K37" s="6" t="s">
        <v>1072</v>
      </c>
      <c r="L37" s="10" t="str">
        <f t="shared" si="1"/>
        <v/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8" t="s">
        <v>33</v>
      </c>
    </row>
    <row r="38">
      <c r="A38" s="3" t="s">
        <v>40</v>
      </c>
      <c r="B38" s="3" t="s">
        <v>1073</v>
      </c>
      <c r="C38" s="3" t="s">
        <v>1074</v>
      </c>
      <c r="D38" s="3" t="s">
        <v>1075</v>
      </c>
      <c r="E38" s="3" t="s">
        <v>30</v>
      </c>
      <c r="F38" s="4">
        <v>42262.0</v>
      </c>
      <c r="G38" s="3" t="s">
        <v>31</v>
      </c>
      <c r="H38" s="5">
        <v>8.38E10</v>
      </c>
      <c r="I38" s="4">
        <v>-6.3534818</v>
      </c>
      <c r="J38" s="4">
        <v>105.9344797</v>
      </c>
      <c r="K38" s="6" t="s">
        <v>1076</v>
      </c>
      <c r="L38" s="10" t="str">
        <f t="shared" si="1"/>
        <v/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8" t="s">
        <v>33</v>
      </c>
    </row>
    <row r="39">
      <c r="J39" s="7">
        <f>sum(K39:Y39)</f>
        <v>42</v>
      </c>
      <c r="K39" s="7">
        <f>COUNTA(K2:K38)</f>
        <v>37</v>
      </c>
      <c r="M39" s="7">
        <f t="shared" ref="M39:Y39" si="2">COUNTA(M2:M38)</f>
        <v>5</v>
      </c>
      <c r="N39" s="7">
        <f t="shared" si="2"/>
        <v>0</v>
      </c>
      <c r="O39" s="7">
        <f t="shared" si="2"/>
        <v>0</v>
      </c>
      <c r="P39" s="7">
        <f t="shared" si="2"/>
        <v>0</v>
      </c>
      <c r="Q39" s="7">
        <f t="shared" si="2"/>
        <v>0</v>
      </c>
      <c r="R39" s="7">
        <f t="shared" si="2"/>
        <v>0</v>
      </c>
      <c r="S39" s="7">
        <f t="shared" si="2"/>
        <v>0</v>
      </c>
      <c r="T39" s="7">
        <f t="shared" si="2"/>
        <v>0</v>
      </c>
      <c r="U39" s="7">
        <f t="shared" si="2"/>
        <v>0</v>
      </c>
      <c r="V39" s="7">
        <f t="shared" si="2"/>
        <v>0</v>
      </c>
      <c r="W39" s="7">
        <f t="shared" si="2"/>
        <v>0</v>
      </c>
      <c r="X39" s="7">
        <f t="shared" si="2"/>
        <v>0</v>
      </c>
      <c r="Y39" s="7">
        <f t="shared" si="2"/>
        <v>0</v>
      </c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Z8"/>
    <hyperlink r:id="rId9" ref="K9"/>
    <hyperlink r:id="rId10" ref="K10"/>
    <hyperlink r:id="rId11" ref="K11"/>
    <hyperlink r:id="rId12" ref="K12"/>
    <hyperlink r:id="rId13" ref="K13"/>
    <hyperlink r:id="rId14" ref="K14"/>
    <hyperlink r:id="rId15" ref="K15"/>
    <hyperlink r:id="rId16" ref="K16"/>
    <hyperlink r:id="rId17" ref="K17"/>
    <hyperlink r:id="rId18" ref="K18"/>
    <hyperlink r:id="rId19" ref="K19"/>
    <hyperlink r:id="rId20" ref="Z19"/>
    <hyperlink r:id="rId21" ref="K20"/>
    <hyperlink r:id="rId22" ref="K21"/>
    <hyperlink r:id="rId23" ref="K22"/>
    <hyperlink r:id="rId24" ref="K23"/>
    <hyperlink r:id="rId25" ref="K24"/>
    <hyperlink r:id="rId26" ref="K25"/>
    <hyperlink r:id="rId27" ref="K26"/>
    <hyperlink r:id="rId28" ref="Z26"/>
    <hyperlink r:id="rId29" ref="K27"/>
    <hyperlink r:id="rId30" ref="K28"/>
    <hyperlink r:id="rId31" ref="K29"/>
    <hyperlink r:id="rId32" ref="Z29"/>
    <hyperlink r:id="rId33" ref="K30"/>
    <hyperlink r:id="rId34" ref="K31"/>
    <hyperlink r:id="rId35" ref="K32"/>
    <hyperlink r:id="rId36" ref="Z32"/>
    <hyperlink r:id="rId37" ref="K33"/>
    <hyperlink r:id="rId38" ref="K34"/>
    <hyperlink r:id="rId39" ref="K35"/>
    <hyperlink r:id="rId40" ref="K36"/>
    <hyperlink r:id="rId41" ref="K37"/>
    <hyperlink r:id="rId42" ref="K38"/>
  </hyperlinks>
  <drawing r:id="rId4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12" t="s">
        <v>26</v>
      </c>
      <c r="B2" s="12" t="s">
        <v>1077</v>
      </c>
      <c r="C2" s="12" t="s">
        <v>1078</v>
      </c>
      <c r="D2" s="12" t="s">
        <v>1079</v>
      </c>
      <c r="E2" s="12" t="s">
        <v>30</v>
      </c>
      <c r="F2" s="4">
        <v>42186.0</v>
      </c>
      <c r="G2" s="12" t="s">
        <v>31</v>
      </c>
      <c r="H2" s="5">
        <v>8.89E9</v>
      </c>
      <c r="I2" s="4">
        <v>-6.2053515</v>
      </c>
      <c r="J2" s="4">
        <v>106.3280987</v>
      </c>
      <c r="K2" s="13" t="s">
        <v>1080</v>
      </c>
      <c r="L2" s="7" t="str">
        <f t="shared" ref="L2:L55" si="1">IFERROR(MEDIAN(M2:Y2),"")</f>
        <v/>
      </c>
      <c r="Z2" s="8" t="s">
        <v>33</v>
      </c>
    </row>
    <row r="3">
      <c r="A3" s="12" t="s">
        <v>26</v>
      </c>
      <c r="B3" s="12" t="s">
        <v>137</v>
      </c>
      <c r="C3" s="12" t="s">
        <v>138</v>
      </c>
      <c r="D3" s="12" t="s">
        <v>139</v>
      </c>
      <c r="E3" s="12" t="s">
        <v>30</v>
      </c>
      <c r="F3" s="4">
        <v>42124.0</v>
      </c>
      <c r="G3" s="12" t="s">
        <v>31</v>
      </c>
      <c r="H3" s="12" t="s">
        <v>37</v>
      </c>
      <c r="I3" s="4">
        <v>-6.1068994</v>
      </c>
      <c r="J3" s="4">
        <v>106.2006436</v>
      </c>
      <c r="K3" s="13" t="s">
        <v>140</v>
      </c>
      <c r="L3" s="7">
        <f t="shared" si="1"/>
        <v>5172413.793</v>
      </c>
      <c r="M3" s="7">
        <f>450000000/87</f>
        <v>5172413.793</v>
      </c>
      <c r="Z3" s="9" t="s">
        <v>141</v>
      </c>
    </row>
    <row r="4">
      <c r="A4" s="12" t="s">
        <v>26</v>
      </c>
      <c r="B4" s="12" t="s">
        <v>1081</v>
      </c>
      <c r="C4" s="12" t="s">
        <v>1082</v>
      </c>
      <c r="D4" s="12" t="s">
        <v>1083</v>
      </c>
      <c r="E4" s="12" t="s">
        <v>30</v>
      </c>
      <c r="F4" s="4">
        <v>42162.0</v>
      </c>
      <c r="G4" s="12" t="s">
        <v>31</v>
      </c>
      <c r="H4" s="12" t="s">
        <v>37</v>
      </c>
      <c r="I4" s="4">
        <v>-6.1085478</v>
      </c>
      <c r="J4" s="4">
        <v>106.1281633</v>
      </c>
      <c r="K4" s="13" t="s">
        <v>1084</v>
      </c>
      <c r="L4" s="7" t="str">
        <f t="shared" si="1"/>
        <v/>
      </c>
      <c r="Z4" s="8" t="s">
        <v>33</v>
      </c>
    </row>
    <row r="5">
      <c r="A5" s="12" t="s">
        <v>26</v>
      </c>
      <c r="B5" s="12" t="s">
        <v>1085</v>
      </c>
      <c r="C5" s="12" t="s">
        <v>1086</v>
      </c>
      <c r="D5" s="12" t="s">
        <v>1087</v>
      </c>
      <c r="E5" s="12" t="s">
        <v>30</v>
      </c>
      <c r="F5" s="4">
        <v>42186.0</v>
      </c>
      <c r="G5" s="12" t="s">
        <v>31</v>
      </c>
      <c r="H5" s="12" t="s">
        <v>37</v>
      </c>
      <c r="I5" s="4">
        <v>-6.227229</v>
      </c>
      <c r="J5" s="4">
        <v>106.3500217</v>
      </c>
      <c r="K5" s="13" t="s">
        <v>1088</v>
      </c>
      <c r="L5" s="7" t="str">
        <f t="shared" si="1"/>
        <v/>
      </c>
      <c r="Z5" s="8" t="s">
        <v>33</v>
      </c>
    </row>
    <row r="6">
      <c r="A6" s="12" t="s">
        <v>26</v>
      </c>
      <c r="B6" s="12" t="s">
        <v>1089</v>
      </c>
      <c r="C6" s="12" t="s">
        <v>1090</v>
      </c>
      <c r="D6" s="12" t="s">
        <v>1091</v>
      </c>
      <c r="E6" s="12" t="s">
        <v>30</v>
      </c>
      <c r="F6" s="4">
        <v>42166.0</v>
      </c>
      <c r="G6" s="12" t="s">
        <v>31</v>
      </c>
      <c r="H6" s="12" t="s">
        <v>37</v>
      </c>
      <c r="I6" s="4">
        <v>-6.0568828</v>
      </c>
      <c r="J6" s="4">
        <v>105.9160051</v>
      </c>
      <c r="K6" s="13" t="s">
        <v>1092</v>
      </c>
      <c r="L6" s="7" t="str">
        <f t="shared" si="1"/>
        <v/>
      </c>
      <c r="Z6" s="8" t="s">
        <v>33</v>
      </c>
    </row>
    <row r="7">
      <c r="A7" s="12" t="s">
        <v>40</v>
      </c>
      <c r="B7" s="12" t="s">
        <v>1093</v>
      </c>
      <c r="C7" s="12" t="s">
        <v>1094</v>
      </c>
      <c r="D7" s="12" t="s">
        <v>1095</v>
      </c>
      <c r="E7" s="12" t="s">
        <v>30</v>
      </c>
      <c r="F7" s="4">
        <v>42178.0</v>
      </c>
      <c r="G7" s="12" t="s">
        <v>31</v>
      </c>
      <c r="H7" s="12" t="s">
        <v>37</v>
      </c>
      <c r="I7" s="4">
        <v>-6.3205311</v>
      </c>
      <c r="J7" s="4">
        <v>106.3786049</v>
      </c>
      <c r="K7" s="13" t="s">
        <v>1096</v>
      </c>
      <c r="L7" s="7">
        <f t="shared" si="1"/>
        <v>2508333.333</v>
      </c>
      <c r="M7" s="7">
        <f t="shared" ref="M7:M8" si="2">150500000/60</f>
        <v>2508333.333</v>
      </c>
      <c r="Z7" s="9" t="s">
        <v>1097</v>
      </c>
    </row>
    <row r="8">
      <c r="A8" s="12" t="s">
        <v>26</v>
      </c>
      <c r="B8" s="12" t="s">
        <v>1098</v>
      </c>
      <c r="C8" s="12" t="s">
        <v>1099</v>
      </c>
      <c r="D8" s="12" t="s">
        <v>1100</v>
      </c>
      <c r="E8" s="12" t="s">
        <v>30</v>
      </c>
      <c r="F8" s="4">
        <v>42184.0</v>
      </c>
      <c r="G8" s="12" t="s">
        <v>31</v>
      </c>
      <c r="H8" s="5">
        <v>8.57E10</v>
      </c>
      <c r="I8" s="4">
        <v>-6.1516143</v>
      </c>
      <c r="J8" s="4">
        <v>106.2761536</v>
      </c>
      <c r="K8" s="13" t="s">
        <v>1101</v>
      </c>
      <c r="L8" s="7">
        <f t="shared" si="1"/>
        <v>2508333.333</v>
      </c>
      <c r="M8" s="7">
        <f t="shared" si="2"/>
        <v>2508333.333</v>
      </c>
      <c r="Z8" s="9" t="s">
        <v>1102</v>
      </c>
    </row>
    <row r="9">
      <c r="A9" s="12" t="s">
        <v>40</v>
      </c>
      <c r="B9" s="12" t="s">
        <v>1103</v>
      </c>
      <c r="C9" s="12" t="s">
        <v>1104</v>
      </c>
      <c r="D9" s="12" t="s">
        <v>1105</v>
      </c>
      <c r="E9" s="12" t="s">
        <v>30</v>
      </c>
      <c r="F9" s="4">
        <v>42164.0</v>
      </c>
      <c r="G9" s="12" t="s">
        <v>31</v>
      </c>
      <c r="H9" s="12" t="s">
        <v>37</v>
      </c>
      <c r="I9" s="4">
        <v>-6.2319034</v>
      </c>
      <c r="J9" s="4">
        <v>106.0153305</v>
      </c>
      <c r="K9" s="13" t="s">
        <v>1106</v>
      </c>
      <c r="L9" s="7" t="str">
        <f t="shared" si="1"/>
        <v/>
      </c>
      <c r="Z9" s="8" t="s">
        <v>33</v>
      </c>
    </row>
    <row r="10">
      <c r="A10" s="12" t="s">
        <v>225</v>
      </c>
      <c r="B10" s="12" t="s">
        <v>1107</v>
      </c>
      <c r="C10" s="12" t="s">
        <v>1108</v>
      </c>
      <c r="D10" s="12" t="s">
        <v>1109</v>
      </c>
      <c r="E10" s="12" t="s">
        <v>30</v>
      </c>
      <c r="F10" s="4">
        <v>42183.0</v>
      </c>
      <c r="G10" s="12" t="s">
        <v>31</v>
      </c>
      <c r="H10" s="12" t="s">
        <v>37</v>
      </c>
      <c r="I10" s="4">
        <v>-6.1433866</v>
      </c>
      <c r="J10" s="4">
        <v>106.2258616</v>
      </c>
      <c r="K10" s="13" t="s">
        <v>1110</v>
      </c>
      <c r="L10" s="7">
        <f t="shared" si="1"/>
        <v>972222.2222</v>
      </c>
      <c r="M10" s="7">
        <f>70000000/72</f>
        <v>972222.2222</v>
      </c>
      <c r="Z10" s="9" t="s">
        <v>1111</v>
      </c>
    </row>
    <row r="11">
      <c r="A11" s="12" t="s">
        <v>26</v>
      </c>
      <c r="B11" s="12" t="s">
        <v>1112</v>
      </c>
      <c r="C11" s="12" t="s">
        <v>1113</v>
      </c>
      <c r="D11" s="12" t="s">
        <v>1114</v>
      </c>
      <c r="E11" s="12" t="s">
        <v>30</v>
      </c>
      <c r="F11" s="4">
        <v>42183.0</v>
      </c>
      <c r="G11" s="12" t="s">
        <v>31</v>
      </c>
      <c r="H11" s="5">
        <v>8.14E10</v>
      </c>
      <c r="I11" s="4">
        <v>-6.175192</v>
      </c>
      <c r="J11" s="4">
        <v>106.2200596</v>
      </c>
      <c r="K11" s="13" t="s">
        <v>1115</v>
      </c>
      <c r="L11" s="7" t="str">
        <f t="shared" si="1"/>
        <v/>
      </c>
      <c r="Z11" s="8" t="s">
        <v>33</v>
      </c>
    </row>
    <row r="12">
      <c r="A12" s="12" t="s">
        <v>26</v>
      </c>
      <c r="B12" s="12" t="s">
        <v>1116</v>
      </c>
      <c r="C12" s="12" t="s">
        <v>1117</v>
      </c>
      <c r="D12" s="12" t="s">
        <v>1118</v>
      </c>
      <c r="E12" s="12" t="s">
        <v>30</v>
      </c>
      <c r="F12" s="4">
        <v>42196.0</v>
      </c>
      <c r="G12" s="12" t="s">
        <v>31</v>
      </c>
      <c r="H12" s="12" t="s">
        <v>37</v>
      </c>
      <c r="I12" s="4">
        <v>-6.1343601</v>
      </c>
      <c r="J12" s="4">
        <v>106.3759995</v>
      </c>
      <c r="K12" s="13" t="s">
        <v>1119</v>
      </c>
      <c r="L12" s="7" t="str">
        <f t="shared" si="1"/>
        <v/>
      </c>
      <c r="Z12" s="8" t="s">
        <v>33</v>
      </c>
    </row>
    <row r="13">
      <c r="A13" s="12" t="s">
        <v>26</v>
      </c>
      <c r="B13" s="12" t="s">
        <v>1120</v>
      </c>
      <c r="C13" s="12" t="s">
        <v>1121</v>
      </c>
      <c r="D13" s="12" t="s">
        <v>1122</v>
      </c>
      <c r="E13" s="12" t="s">
        <v>30</v>
      </c>
      <c r="F13" s="4">
        <v>42616.0</v>
      </c>
      <c r="G13" s="12" t="s">
        <v>31</v>
      </c>
      <c r="H13" s="12" t="s">
        <v>37</v>
      </c>
      <c r="I13" s="4">
        <v>-6.0683401</v>
      </c>
      <c r="J13" s="4">
        <v>106.1135886</v>
      </c>
      <c r="K13" s="13" t="s">
        <v>1123</v>
      </c>
      <c r="L13" s="7">
        <f t="shared" si="1"/>
        <v>4608294.931</v>
      </c>
      <c r="M13" s="7">
        <f>1000000000/217</f>
        <v>4608294.931</v>
      </c>
      <c r="Z13" s="9" t="s">
        <v>1124</v>
      </c>
    </row>
    <row r="14">
      <c r="A14" s="12" t="s">
        <v>26</v>
      </c>
      <c r="B14" s="12" t="s">
        <v>1125</v>
      </c>
      <c r="C14" s="12" t="s">
        <v>1126</v>
      </c>
      <c r="D14" s="12" t="s">
        <v>1127</v>
      </c>
      <c r="E14" s="12" t="s">
        <v>30</v>
      </c>
      <c r="F14" s="4">
        <v>42184.0</v>
      </c>
      <c r="G14" s="12" t="s">
        <v>31</v>
      </c>
      <c r="H14" s="5">
        <v>8.79E10</v>
      </c>
      <c r="I14" s="4">
        <v>-6.1435983</v>
      </c>
      <c r="J14" s="4">
        <v>106.2646567</v>
      </c>
      <c r="K14" s="13" t="s">
        <v>1128</v>
      </c>
      <c r="L14" s="7">
        <f t="shared" si="1"/>
        <v>2508333.333</v>
      </c>
      <c r="M14" s="7">
        <f>150500000/60</f>
        <v>2508333.333</v>
      </c>
      <c r="Z14" s="9" t="s">
        <v>1129</v>
      </c>
    </row>
    <row r="15">
      <c r="A15" s="12" t="s">
        <v>26</v>
      </c>
      <c r="B15" s="12" t="s">
        <v>1130</v>
      </c>
      <c r="C15" s="12" t="s">
        <v>1131</v>
      </c>
      <c r="D15" s="12" t="s">
        <v>1122</v>
      </c>
      <c r="E15" s="12" t="s">
        <v>30</v>
      </c>
      <c r="F15" s="4">
        <v>42161.0</v>
      </c>
      <c r="G15" s="12" t="s">
        <v>31</v>
      </c>
      <c r="H15" s="12" t="s">
        <v>37</v>
      </c>
      <c r="I15" s="4">
        <v>-6.069851</v>
      </c>
      <c r="J15" s="4">
        <v>106.1126864</v>
      </c>
      <c r="K15" s="13" t="s">
        <v>1132</v>
      </c>
      <c r="L15" s="7">
        <f t="shared" si="1"/>
        <v>2666666.667</v>
      </c>
      <c r="M15" s="7">
        <f>160000000/60</f>
        <v>2666666.667</v>
      </c>
      <c r="Z15" s="9" t="s">
        <v>1133</v>
      </c>
    </row>
    <row r="16">
      <c r="A16" s="12" t="s">
        <v>40</v>
      </c>
      <c r="B16" s="12" t="s">
        <v>1134</v>
      </c>
      <c r="C16" s="12" t="s">
        <v>1135</v>
      </c>
      <c r="D16" s="12" t="s">
        <v>1136</v>
      </c>
      <c r="E16" s="12" t="s">
        <v>30</v>
      </c>
      <c r="F16" s="4">
        <v>42163.0</v>
      </c>
      <c r="G16" s="12" t="s">
        <v>31</v>
      </c>
      <c r="H16" s="12" t="s">
        <v>37</v>
      </c>
      <c r="I16" s="4">
        <v>-6.2021107</v>
      </c>
      <c r="J16" s="4">
        <v>106.0913873</v>
      </c>
      <c r="K16" s="13" t="s">
        <v>1137</v>
      </c>
      <c r="L16" s="7" t="str">
        <f t="shared" si="1"/>
        <v/>
      </c>
      <c r="Z16" s="8" t="s">
        <v>33</v>
      </c>
    </row>
    <row r="17">
      <c r="A17" s="12" t="s">
        <v>225</v>
      </c>
      <c r="B17" s="12" t="s">
        <v>1138</v>
      </c>
      <c r="C17" s="12" t="s">
        <v>1139</v>
      </c>
      <c r="D17" s="12" t="s">
        <v>1140</v>
      </c>
      <c r="E17" s="12" t="s">
        <v>30</v>
      </c>
      <c r="F17" s="4">
        <v>42185.0</v>
      </c>
      <c r="G17" s="12" t="s">
        <v>31</v>
      </c>
      <c r="H17" s="5">
        <v>8.78E10</v>
      </c>
      <c r="I17" s="4">
        <v>-6.1750783</v>
      </c>
      <c r="J17" s="4">
        <v>106.2999974</v>
      </c>
      <c r="K17" s="13" t="s">
        <v>1141</v>
      </c>
      <c r="L17" s="7" t="str">
        <f t="shared" si="1"/>
        <v/>
      </c>
      <c r="Z17" s="8" t="s">
        <v>33</v>
      </c>
    </row>
    <row r="18">
      <c r="A18" s="12" t="s">
        <v>26</v>
      </c>
      <c r="B18" s="12" t="s">
        <v>1142</v>
      </c>
      <c r="C18" s="12" t="s">
        <v>1143</v>
      </c>
      <c r="D18" s="12" t="s">
        <v>1144</v>
      </c>
      <c r="E18" s="12" t="s">
        <v>30</v>
      </c>
      <c r="F18" s="4">
        <v>42167.0</v>
      </c>
      <c r="G18" s="12" t="s">
        <v>31</v>
      </c>
      <c r="H18" s="5">
        <v>8.11E9</v>
      </c>
      <c r="I18" s="4">
        <v>-6.1309452</v>
      </c>
      <c r="J18" s="4">
        <v>105.8693389</v>
      </c>
      <c r="K18" s="13" t="s">
        <v>1145</v>
      </c>
      <c r="L18" s="7" t="str">
        <f t="shared" si="1"/>
        <v/>
      </c>
      <c r="Z18" s="8" t="s">
        <v>33</v>
      </c>
    </row>
    <row r="19">
      <c r="A19" s="12" t="s">
        <v>26</v>
      </c>
      <c r="B19" s="12" t="s">
        <v>1146</v>
      </c>
      <c r="C19" s="12" t="s">
        <v>1147</v>
      </c>
      <c r="D19" s="12" t="s">
        <v>1148</v>
      </c>
      <c r="E19" s="12" t="s">
        <v>30</v>
      </c>
      <c r="F19" s="4">
        <v>42182.0</v>
      </c>
      <c r="G19" s="12" t="s">
        <v>31</v>
      </c>
      <c r="H19" s="5">
        <v>2.54E8</v>
      </c>
      <c r="I19" s="4">
        <v>-6.1187179</v>
      </c>
      <c r="J19" s="4">
        <v>106.2368758</v>
      </c>
      <c r="K19" s="13" t="s">
        <v>1149</v>
      </c>
      <c r="L19" s="7">
        <f t="shared" si="1"/>
        <v>2857142.857</v>
      </c>
      <c r="M19" s="7">
        <f>240000000/84</f>
        <v>2857142.857</v>
      </c>
      <c r="Z19" s="9" t="s">
        <v>1150</v>
      </c>
    </row>
    <row r="20">
      <c r="A20" s="12" t="s">
        <v>26</v>
      </c>
      <c r="B20" s="12" t="s">
        <v>1151</v>
      </c>
      <c r="C20" s="12" t="s">
        <v>1152</v>
      </c>
      <c r="D20" s="12" t="s">
        <v>1140</v>
      </c>
      <c r="E20" s="12" t="s">
        <v>30</v>
      </c>
      <c r="F20" s="4">
        <v>42185.0</v>
      </c>
      <c r="G20" s="12" t="s">
        <v>31</v>
      </c>
      <c r="H20" s="5">
        <v>8.57E10</v>
      </c>
      <c r="I20" s="4">
        <v>-6.1324603</v>
      </c>
      <c r="J20" s="4">
        <v>106.314989</v>
      </c>
      <c r="K20" s="13" t="s">
        <v>1153</v>
      </c>
      <c r="L20" s="7" t="str">
        <f t="shared" si="1"/>
        <v/>
      </c>
      <c r="Z20" s="8" t="s">
        <v>33</v>
      </c>
    </row>
    <row r="21">
      <c r="A21" s="12" t="s">
        <v>26</v>
      </c>
      <c r="B21" s="12" t="s">
        <v>1154</v>
      </c>
      <c r="C21" s="12" t="s">
        <v>1155</v>
      </c>
      <c r="D21" s="12" t="s">
        <v>1156</v>
      </c>
      <c r="E21" s="12" t="s">
        <v>30</v>
      </c>
      <c r="F21" s="4">
        <v>42186.0</v>
      </c>
      <c r="G21" s="12" t="s">
        <v>31</v>
      </c>
      <c r="H21" s="12" t="s">
        <v>37</v>
      </c>
      <c r="I21" s="4">
        <v>-6.2246249</v>
      </c>
      <c r="J21" s="4">
        <v>106.3435354</v>
      </c>
      <c r="K21" s="13" t="s">
        <v>1157</v>
      </c>
      <c r="L21" s="7" t="str">
        <f t="shared" si="1"/>
        <v/>
      </c>
      <c r="Z21" s="8" t="s">
        <v>33</v>
      </c>
    </row>
    <row r="22">
      <c r="A22" s="12" t="s">
        <v>26</v>
      </c>
      <c r="B22" s="12" t="s">
        <v>1158</v>
      </c>
      <c r="C22" s="12" t="s">
        <v>1159</v>
      </c>
      <c r="D22" s="12" t="s">
        <v>1160</v>
      </c>
      <c r="E22" s="12" t="s">
        <v>30</v>
      </c>
      <c r="F22" s="4">
        <v>42184.0</v>
      </c>
      <c r="G22" s="12" t="s">
        <v>31</v>
      </c>
      <c r="H22" s="12" t="s">
        <v>37</v>
      </c>
      <c r="I22" s="4">
        <v>-6.152676</v>
      </c>
      <c r="J22" s="4">
        <v>106.2704965</v>
      </c>
      <c r="K22" s="13" t="s">
        <v>1161</v>
      </c>
      <c r="L22" s="7" t="str">
        <f t="shared" si="1"/>
        <v/>
      </c>
      <c r="Z22" s="8" t="s">
        <v>33</v>
      </c>
    </row>
    <row r="23">
      <c r="A23" s="12" t="s">
        <v>26</v>
      </c>
      <c r="B23" s="12" t="s">
        <v>1162</v>
      </c>
      <c r="C23" s="12" t="s">
        <v>1163</v>
      </c>
      <c r="D23" s="12" t="s">
        <v>1164</v>
      </c>
      <c r="E23" s="12" t="s">
        <v>30</v>
      </c>
      <c r="F23" s="4">
        <v>42161.0</v>
      </c>
      <c r="G23" s="12" t="s">
        <v>31</v>
      </c>
      <c r="H23" s="12" t="s">
        <v>37</v>
      </c>
      <c r="I23" s="4">
        <v>-6.0702578</v>
      </c>
      <c r="J23" s="4">
        <v>106.1070241</v>
      </c>
      <c r="K23" s="13" t="s">
        <v>1165</v>
      </c>
      <c r="L23" s="7">
        <f t="shared" si="1"/>
        <v>5833333.333</v>
      </c>
      <c r="M23" s="7">
        <f>350000000/60</f>
        <v>5833333.333</v>
      </c>
      <c r="Z23" s="9" t="s">
        <v>1166</v>
      </c>
    </row>
    <row r="24">
      <c r="A24" s="12" t="s">
        <v>26</v>
      </c>
      <c r="B24" s="12" t="s">
        <v>1167</v>
      </c>
      <c r="C24" s="12" t="s">
        <v>1168</v>
      </c>
      <c r="D24" s="12" t="s">
        <v>1169</v>
      </c>
      <c r="E24" s="12" t="s">
        <v>30</v>
      </c>
      <c r="F24" s="4">
        <v>42186.0</v>
      </c>
      <c r="G24" s="12" t="s">
        <v>31</v>
      </c>
      <c r="H24" s="12" t="s">
        <v>37</v>
      </c>
      <c r="I24" s="4">
        <v>-6.2273391</v>
      </c>
      <c r="J24" s="4">
        <v>106.3488503</v>
      </c>
      <c r="K24" s="13" t="s">
        <v>1170</v>
      </c>
      <c r="L24" s="7">
        <f t="shared" si="1"/>
        <v>2000000</v>
      </c>
      <c r="M24" s="7">
        <f>120000000/60</f>
        <v>2000000</v>
      </c>
      <c r="Z24" s="9" t="s">
        <v>1171</v>
      </c>
    </row>
    <row r="25">
      <c r="A25" s="12" t="s">
        <v>26</v>
      </c>
      <c r="B25" s="12" t="s">
        <v>1172</v>
      </c>
      <c r="C25" s="12" t="s">
        <v>1173</v>
      </c>
      <c r="D25" s="12" t="s">
        <v>1174</v>
      </c>
      <c r="E25" s="12" t="s">
        <v>30</v>
      </c>
      <c r="F25" s="12" t="s">
        <v>37</v>
      </c>
      <c r="G25" s="12" t="s">
        <v>31</v>
      </c>
      <c r="H25" s="12" t="s">
        <v>37</v>
      </c>
      <c r="I25" s="4">
        <v>-6.1092261</v>
      </c>
      <c r="J25" s="4">
        <v>106.2277297</v>
      </c>
      <c r="K25" s="13" t="s">
        <v>1175</v>
      </c>
      <c r="L25" s="7" t="str">
        <f t="shared" si="1"/>
        <v/>
      </c>
      <c r="Z25" s="8" t="s">
        <v>33</v>
      </c>
    </row>
    <row r="26">
      <c r="A26" s="12" t="s">
        <v>26</v>
      </c>
      <c r="B26" s="12" t="s">
        <v>1176</v>
      </c>
      <c r="C26" s="12" t="s">
        <v>1177</v>
      </c>
      <c r="D26" s="12" t="s">
        <v>1178</v>
      </c>
      <c r="E26" s="12" t="s">
        <v>30</v>
      </c>
      <c r="F26" s="4">
        <v>42186.0</v>
      </c>
      <c r="G26" s="12" t="s">
        <v>31</v>
      </c>
      <c r="H26" s="12" t="s">
        <v>37</v>
      </c>
      <c r="I26" s="4">
        <v>-6.2149271</v>
      </c>
      <c r="J26" s="4">
        <v>106.3584823</v>
      </c>
      <c r="K26" s="13" t="s">
        <v>1179</v>
      </c>
      <c r="L26" s="7" t="str">
        <f t="shared" si="1"/>
        <v/>
      </c>
      <c r="Z26" s="8" t="s">
        <v>33</v>
      </c>
    </row>
    <row r="27">
      <c r="A27" s="12" t="s">
        <v>26</v>
      </c>
      <c r="B27" s="12" t="s">
        <v>1180</v>
      </c>
      <c r="C27" s="12" t="s">
        <v>1181</v>
      </c>
      <c r="D27" s="12" t="s">
        <v>1182</v>
      </c>
      <c r="E27" s="12" t="s">
        <v>30</v>
      </c>
      <c r="F27" s="4">
        <v>42184.0</v>
      </c>
      <c r="G27" s="12" t="s">
        <v>31</v>
      </c>
      <c r="H27" s="5">
        <v>8.82E9</v>
      </c>
      <c r="I27" s="4">
        <v>-6.1553153</v>
      </c>
      <c r="J27" s="4">
        <v>106.2728423</v>
      </c>
      <c r="K27" s="13" t="s">
        <v>1183</v>
      </c>
      <c r="L27" s="7" t="str">
        <f t="shared" si="1"/>
        <v/>
      </c>
      <c r="Z27" s="8" t="s">
        <v>33</v>
      </c>
    </row>
    <row r="28">
      <c r="A28" s="12" t="s">
        <v>26</v>
      </c>
      <c r="B28" s="12" t="s">
        <v>1184</v>
      </c>
      <c r="C28" s="12" t="s">
        <v>1185</v>
      </c>
      <c r="D28" s="12" t="s">
        <v>1186</v>
      </c>
      <c r="E28" s="12" t="s">
        <v>30</v>
      </c>
      <c r="F28" s="4">
        <v>42166.0</v>
      </c>
      <c r="G28" s="12" t="s">
        <v>31</v>
      </c>
      <c r="H28" s="5">
        <v>8.18E9</v>
      </c>
      <c r="I28" s="4">
        <v>-6.0650111</v>
      </c>
      <c r="J28" s="4">
        <v>105.9224054</v>
      </c>
      <c r="K28" s="13" t="s">
        <v>1187</v>
      </c>
      <c r="L28" s="7">
        <f t="shared" si="1"/>
        <v>3055555.556</v>
      </c>
      <c r="M28" s="7">
        <f>220000000/72</f>
        <v>3055555.556</v>
      </c>
      <c r="Z28" s="9" t="s">
        <v>1188</v>
      </c>
    </row>
    <row r="29">
      <c r="A29" s="12" t="s">
        <v>26</v>
      </c>
      <c r="B29" s="12" t="s">
        <v>1189</v>
      </c>
      <c r="C29" s="12" t="s">
        <v>1190</v>
      </c>
      <c r="D29" s="12" t="s">
        <v>1174</v>
      </c>
      <c r="E29" s="12" t="s">
        <v>30</v>
      </c>
      <c r="F29" s="12" t="s">
        <v>37</v>
      </c>
      <c r="G29" s="12" t="s">
        <v>31</v>
      </c>
      <c r="H29" s="12" t="s">
        <v>37</v>
      </c>
      <c r="I29" s="4">
        <v>-6.2074947</v>
      </c>
      <c r="J29" s="4">
        <v>106.1376641</v>
      </c>
      <c r="K29" s="13" t="s">
        <v>1191</v>
      </c>
      <c r="L29" s="7" t="str">
        <f t="shared" si="1"/>
        <v/>
      </c>
      <c r="Z29" s="8" t="s">
        <v>33</v>
      </c>
    </row>
    <row r="30">
      <c r="A30" s="12" t="s">
        <v>225</v>
      </c>
      <c r="B30" s="12" t="s">
        <v>1192</v>
      </c>
      <c r="C30" s="12" t="s">
        <v>1193</v>
      </c>
      <c r="D30" s="12" t="s">
        <v>1194</v>
      </c>
      <c r="E30" s="12" t="s">
        <v>30</v>
      </c>
      <c r="F30" s="4">
        <v>42174.0</v>
      </c>
      <c r="G30" s="12" t="s">
        <v>31</v>
      </c>
      <c r="H30" s="5">
        <v>8.13E10</v>
      </c>
      <c r="I30" s="4">
        <v>-6.2827263</v>
      </c>
      <c r="J30" s="4">
        <v>106.197524</v>
      </c>
      <c r="K30" s="13" t="s">
        <v>1195</v>
      </c>
      <c r="L30" s="7" t="str">
        <f t="shared" si="1"/>
        <v/>
      </c>
      <c r="Z30" s="8" t="s">
        <v>33</v>
      </c>
    </row>
    <row r="31">
      <c r="A31" s="12" t="s">
        <v>26</v>
      </c>
      <c r="B31" s="12" t="s">
        <v>1196</v>
      </c>
      <c r="C31" s="12" t="s">
        <v>1197</v>
      </c>
      <c r="D31" s="12" t="s">
        <v>1198</v>
      </c>
      <c r="E31" s="12" t="s">
        <v>30</v>
      </c>
      <c r="F31" s="4">
        <v>42161.0</v>
      </c>
      <c r="G31" s="12" t="s">
        <v>31</v>
      </c>
      <c r="H31" s="5">
        <v>8.79E10</v>
      </c>
      <c r="I31" s="4">
        <v>-6.0767306</v>
      </c>
      <c r="J31" s="4">
        <v>106.0961945</v>
      </c>
      <c r="K31" s="13" t="s">
        <v>1199</v>
      </c>
      <c r="L31" s="7">
        <f t="shared" si="1"/>
        <v>2333333.333</v>
      </c>
      <c r="M31" s="7">
        <f>325000000/100</f>
        <v>3250000</v>
      </c>
      <c r="N31" s="7">
        <f>85000000/60</f>
        <v>1416666.667</v>
      </c>
      <c r="Z31" s="9" t="s">
        <v>1200</v>
      </c>
    </row>
    <row r="32">
      <c r="A32" s="12" t="s">
        <v>26</v>
      </c>
      <c r="B32" s="12" t="s">
        <v>1201</v>
      </c>
      <c r="C32" s="12" t="s">
        <v>1202</v>
      </c>
      <c r="D32" s="12" t="s">
        <v>1100</v>
      </c>
      <c r="E32" s="12" t="s">
        <v>30</v>
      </c>
      <c r="F32" s="4">
        <v>42184.0</v>
      </c>
      <c r="G32" s="12" t="s">
        <v>31</v>
      </c>
      <c r="H32" s="5">
        <v>8.11E10</v>
      </c>
      <c r="I32" s="4">
        <v>-6.1733032</v>
      </c>
      <c r="J32" s="4">
        <v>106.2587119</v>
      </c>
      <c r="K32" s="13" t="s">
        <v>1203</v>
      </c>
      <c r="L32" s="7">
        <f t="shared" si="1"/>
        <v>2800000</v>
      </c>
      <c r="M32" s="7">
        <f>168000000/60</f>
        <v>2800000</v>
      </c>
      <c r="Z32" s="9" t="s">
        <v>1204</v>
      </c>
    </row>
    <row r="33">
      <c r="A33" s="12" t="s">
        <v>26</v>
      </c>
      <c r="B33" s="12" t="s">
        <v>1205</v>
      </c>
      <c r="C33" s="12" t="s">
        <v>1202</v>
      </c>
      <c r="D33" s="12" t="s">
        <v>1100</v>
      </c>
      <c r="E33" s="12" t="s">
        <v>30</v>
      </c>
      <c r="F33" s="4">
        <v>42184.0</v>
      </c>
      <c r="G33" s="12" t="s">
        <v>31</v>
      </c>
      <c r="H33" s="5">
        <v>2.55E9</v>
      </c>
      <c r="I33" s="4">
        <v>-6.166591</v>
      </c>
      <c r="J33" s="4">
        <v>106.2657189</v>
      </c>
      <c r="K33" s="13" t="s">
        <v>1206</v>
      </c>
      <c r="L33" s="7" t="str">
        <f t="shared" si="1"/>
        <v/>
      </c>
      <c r="Z33" s="8" t="s">
        <v>33</v>
      </c>
    </row>
    <row r="34">
      <c r="A34" s="12" t="s">
        <v>225</v>
      </c>
      <c r="B34" s="12" t="s">
        <v>1207</v>
      </c>
      <c r="C34" s="12" t="s">
        <v>1208</v>
      </c>
      <c r="D34" s="12" t="s">
        <v>1209</v>
      </c>
      <c r="E34" s="12" t="s">
        <v>30</v>
      </c>
      <c r="F34" s="4">
        <v>42172.0</v>
      </c>
      <c r="G34" s="12" t="s">
        <v>31</v>
      </c>
      <c r="H34" s="5">
        <v>8.23E10</v>
      </c>
      <c r="I34" s="4">
        <v>-6.2718626</v>
      </c>
      <c r="J34" s="4">
        <v>106.2121137</v>
      </c>
      <c r="K34" s="13" t="s">
        <v>1210</v>
      </c>
      <c r="L34" s="7">
        <f t="shared" si="1"/>
        <v>1440677.966</v>
      </c>
      <c r="M34" s="7">
        <f>850000000/590</f>
        <v>1440677.966</v>
      </c>
      <c r="Z34" s="9" t="s">
        <v>1211</v>
      </c>
    </row>
    <row r="35">
      <c r="A35" s="12" t="s">
        <v>26</v>
      </c>
      <c r="B35" s="12" t="s">
        <v>1212</v>
      </c>
      <c r="C35" s="12" t="s">
        <v>1213</v>
      </c>
      <c r="D35" s="12" t="s">
        <v>1214</v>
      </c>
      <c r="E35" s="12" t="s">
        <v>30</v>
      </c>
      <c r="F35" s="4">
        <v>42186.0</v>
      </c>
      <c r="G35" s="12" t="s">
        <v>31</v>
      </c>
      <c r="H35" s="12" t="s">
        <v>37</v>
      </c>
      <c r="I35" s="4">
        <v>-6.2231175</v>
      </c>
      <c r="J35" s="4">
        <v>106.3519986</v>
      </c>
      <c r="K35" s="13" t="s">
        <v>1215</v>
      </c>
      <c r="L35" s="7">
        <f t="shared" si="1"/>
        <v>1229508.197</v>
      </c>
      <c r="M35" s="7">
        <f>150000000/122</f>
        <v>1229508.197</v>
      </c>
      <c r="Z35" s="9" t="s">
        <v>1216</v>
      </c>
    </row>
    <row r="36">
      <c r="A36" s="12" t="s">
        <v>40</v>
      </c>
      <c r="B36" s="12" t="s">
        <v>1217</v>
      </c>
      <c r="C36" s="12" t="s">
        <v>1218</v>
      </c>
      <c r="D36" s="12" t="s">
        <v>1219</v>
      </c>
      <c r="E36" s="12" t="s">
        <v>30</v>
      </c>
      <c r="F36" s="4">
        <v>42186.0</v>
      </c>
      <c r="G36" s="12" t="s">
        <v>31</v>
      </c>
      <c r="H36" s="5">
        <v>8.21E10</v>
      </c>
      <c r="I36" s="4">
        <v>-6.2205792</v>
      </c>
      <c r="J36" s="4">
        <v>106.3340017</v>
      </c>
      <c r="K36" s="13" t="s">
        <v>1220</v>
      </c>
      <c r="L36" s="7">
        <f t="shared" si="1"/>
        <v>2500000</v>
      </c>
      <c r="M36" s="7">
        <f>165000000/66</f>
        <v>2500000</v>
      </c>
      <c r="Z36" s="9" t="s">
        <v>1221</v>
      </c>
    </row>
    <row r="37">
      <c r="A37" s="12" t="s">
        <v>26</v>
      </c>
      <c r="B37" s="12" t="s">
        <v>1222</v>
      </c>
      <c r="C37" s="12" t="s">
        <v>1223</v>
      </c>
      <c r="D37" s="12" t="s">
        <v>1224</v>
      </c>
      <c r="E37" s="12" t="s">
        <v>30</v>
      </c>
      <c r="F37" s="4">
        <v>42453.0</v>
      </c>
      <c r="G37" s="12" t="s">
        <v>31</v>
      </c>
      <c r="H37" s="5">
        <v>8.96E10</v>
      </c>
      <c r="I37" s="4">
        <v>-6.0708985</v>
      </c>
      <c r="J37" s="4">
        <v>106.0625141</v>
      </c>
      <c r="K37" s="13" t="s">
        <v>1225</v>
      </c>
      <c r="L37" s="7">
        <f t="shared" si="1"/>
        <v>2666666.667</v>
      </c>
      <c r="M37" s="7">
        <f>160000000/60</f>
        <v>2666666.667</v>
      </c>
      <c r="Z37" s="9" t="s">
        <v>1226</v>
      </c>
    </row>
    <row r="38">
      <c r="A38" s="12" t="s">
        <v>26</v>
      </c>
      <c r="B38" s="12" t="s">
        <v>1227</v>
      </c>
      <c r="C38" s="12" t="s">
        <v>1228</v>
      </c>
      <c r="D38" s="12" t="s">
        <v>1164</v>
      </c>
      <c r="E38" s="12" t="s">
        <v>30</v>
      </c>
      <c r="F38" s="4">
        <v>42161.0</v>
      </c>
      <c r="G38" s="12" t="s">
        <v>31</v>
      </c>
      <c r="H38" s="5">
        <v>8.59E10</v>
      </c>
      <c r="I38" s="4">
        <v>-6.0737366</v>
      </c>
      <c r="J38" s="4">
        <v>106.0946451</v>
      </c>
      <c r="K38" s="13" t="s">
        <v>1229</v>
      </c>
      <c r="L38" s="7">
        <f t="shared" si="1"/>
        <v>5303030.303</v>
      </c>
      <c r="M38" s="7">
        <f>350000000/66</f>
        <v>5303030.303</v>
      </c>
      <c r="Z38" s="9" t="s">
        <v>1230</v>
      </c>
    </row>
    <row r="39">
      <c r="A39" s="12" t="s">
        <v>26</v>
      </c>
      <c r="B39" s="12" t="s">
        <v>1231</v>
      </c>
      <c r="C39" s="12" t="s">
        <v>1232</v>
      </c>
      <c r="D39" s="12" t="s">
        <v>1233</v>
      </c>
      <c r="E39" s="12" t="s">
        <v>30</v>
      </c>
      <c r="F39" s="4">
        <v>42119.0</v>
      </c>
      <c r="G39" s="12" t="s">
        <v>31</v>
      </c>
      <c r="H39" s="5">
        <v>8.14E10</v>
      </c>
      <c r="I39" s="4">
        <v>-6.1232869</v>
      </c>
      <c r="J39" s="4">
        <v>106.2195369</v>
      </c>
      <c r="K39" s="13" t="s">
        <v>1234</v>
      </c>
      <c r="L39" s="7" t="str">
        <f t="shared" si="1"/>
        <v/>
      </c>
      <c r="Z39" s="8" t="s">
        <v>33</v>
      </c>
    </row>
    <row r="40">
      <c r="A40" s="12" t="s">
        <v>26</v>
      </c>
      <c r="B40" s="12" t="s">
        <v>1235</v>
      </c>
      <c r="C40" s="12" t="s">
        <v>1236</v>
      </c>
      <c r="D40" s="12" t="s">
        <v>1237</v>
      </c>
      <c r="E40" s="12" t="s">
        <v>30</v>
      </c>
      <c r="F40" s="4">
        <v>42454.0</v>
      </c>
      <c r="G40" s="12" t="s">
        <v>31</v>
      </c>
      <c r="H40" s="12" t="s">
        <v>37</v>
      </c>
      <c r="I40" s="4">
        <v>-5.9903578</v>
      </c>
      <c r="J40" s="4">
        <v>106.0767032</v>
      </c>
      <c r="K40" s="13" t="s">
        <v>1238</v>
      </c>
      <c r="L40" s="7" t="str">
        <f t="shared" si="1"/>
        <v/>
      </c>
      <c r="Z40" s="8" t="s">
        <v>33</v>
      </c>
    </row>
    <row r="41">
      <c r="A41" s="12" t="s">
        <v>26</v>
      </c>
      <c r="B41" s="12" t="s">
        <v>1239</v>
      </c>
      <c r="C41" s="12" t="s">
        <v>1240</v>
      </c>
      <c r="D41" s="12" t="s">
        <v>1241</v>
      </c>
      <c r="E41" s="12" t="s">
        <v>30</v>
      </c>
      <c r="F41" s="4">
        <v>42186.0</v>
      </c>
      <c r="G41" s="12" t="s">
        <v>31</v>
      </c>
      <c r="H41" s="12" t="s">
        <v>37</v>
      </c>
      <c r="I41" s="4">
        <v>-6.2299757</v>
      </c>
      <c r="J41" s="4">
        <v>106.3452386</v>
      </c>
      <c r="K41" s="13" t="s">
        <v>1242</v>
      </c>
      <c r="L41" s="7" t="str">
        <f t="shared" si="1"/>
        <v/>
      </c>
      <c r="Z41" s="8" t="s">
        <v>33</v>
      </c>
    </row>
    <row r="42">
      <c r="A42" s="12" t="s">
        <v>26</v>
      </c>
      <c r="B42" s="12" t="s">
        <v>1243</v>
      </c>
      <c r="C42" s="12" t="s">
        <v>1244</v>
      </c>
      <c r="D42" s="12" t="s">
        <v>1245</v>
      </c>
      <c r="E42" s="12" t="s">
        <v>30</v>
      </c>
      <c r="F42" s="4">
        <v>42171.0</v>
      </c>
      <c r="G42" s="12" t="s">
        <v>31</v>
      </c>
      <c r="H42" s="12" t="s">
        <v>37</v>
      </c>
      <c r="I42" s="4">
        <v>-6.1815547</v>
      </c>
      <c r="J42" s="4">
        <v>106.1646183</v>
      </c>
      <c r="K42" s="13" t="s">
        <v>1246</v>
      </c>
      <c r="L42" s="7">
        <f t="shared" si="1"/>
        <v>2333333.333</v>
      </c>
      <c r="M42" s="7">
        <f>140000000/60</f>
        <v>2333333.333</v>
      </c>
      <c r="Z42" s="9" t="s">
        <v>1247</v>
      </c>
    </row>
    <row r="43">
      <c r="A43" s="12" t="s">
        <v>26</v>
      </c>
      <c r="B43" s="12" t="s">
        <v>1248</v>
      </c>
      <c r="C43" s="12" t="s">
        <v>1249</v>
      </c>
      <c r="D43" s="12" t="s">
        <v>1250</v>
      </c>
      <c r="E43" s="12" t="s">
        <v>30</v>
      </c>
      <c r="F43" s="4">
        <v>42182.0</v>
      </c>
      <c r="G43" s="12" t="s">
        <v>31</v>
      </c>
      <c r="H43" s="5">
        <v>8.16E10</v>
      </c>
      <c r="I43" s="4">
        <v>-6.1224611</v>
      </c>
      <c r="J43" s="4">
        <v>106.2347466</v>
      </c>
      <c r="K43" s="13" t="s">
        <v>1251</v>
      </c>
      <c r="L43" s="7" t="str">
        <f t="shared" si="1"/>
        <v/>
      </c>
      <c r="Z43" s="8" t="s">
        <v>33</v>
      </c>
    </row>
    <row r="44">
      <c r="A44" s="12" t="s">
        <v>26</v>
      </c>
      <c r="B44" s="12" t="s">
        <v>1252</v>
      </c>
      <c r="C44" s="12" t="s">
        <v>1253</v>
      </c>
      <c r="D44" s="12" t="s">
        <v>1254</v>
      </c>
      <c r="E44" s="12" t="s">
        <v>30</v>
      </c>
      <c r="F44" s="4">
        <v>42186.0</v>
      </c>
      <c r="G44" s="12" t="s">
        <v>31</v>
      </c>
      <c r="H44" s="5">
        <v>8.53E10</v>
      </c>
      <c r="I44" s="4">
        <v>-6.2024466</v>
      </c>
      <c r="J44" s="4">
        <v>106.3429943</v>
      </c>
      <c r="K44" s="13" t="s">
        <v>1255</v>
      </c>
      <c r="L44" s="7">
        <f t="shared" si="1"/>
        <v>2700000</v>
      </c>
      <c r="M44" s="7">
        <f>162000000/60</f>
        <v>2700000</v>
      </c>
      <c r="Z44" s="9" t="s">
        <v>1256</v>
      </c>
    </row>
    <row r="45">
      <c r="A45" s="12" t="s">
        <v>26</v>
      </c>
      <c r="B45" s="12" t="s">
        <v>1257</v>
      </c>
      <c r="C45" s="12" t="s">
        <v>1258</v>
      </c>
      <c r="D45" s="12" t="s">
        <v>1259</v>
      </c>
      <c r="E45" s="12" t="s">
        <v>30</v>
      </c>
      <c r="F45" s="4">
        <v>42177.0</v>
      </c>
      <c r="G45" s="12" t="s">
        <v>31</v>
      </c>
      <c r="H45" s="5">
        <v>8.21E10</v>
      </c>
      <c r="I45" s="4">
        <v>-6.2643849</v>
      </c>
      <c r="J45" s="4">
        <v>106.3662729</v>
      </c>
      <c r="K45" s="13" t="s">
        <v>1260</v>
      </c>
      <c r="L45" s="7">
        <f t="shared" si="1"/>
        <v>2766666.667</v>
      </c>
      <c r="M45" s="7">
        <f>166000000/60</f>
        <v>2766666.667</v>
      </c>
      <c r="Z45" s="9" t="s">
        <v>1261</v>
      </c>
    </row>
    <row r="46">
      <c r="A46" s="12" t="s">
        <v>26</v>
      </c>
      <c r="B46" s="12" t="s">
        <v>1262</v>
      </c>
      <c r="C46" s="12" t="s">
        <v>1263</v>
      </c>
      <c r="D46" s="12" t="s">
        <v>1264</v>
      </c>
      <c r="E46" s="12" t="s">
        <v>30</v>
      </c>
      <c r="F46" s="4">
        <v>42182.0</v>
      </c>
      <c r="G46" s="12" t="s">
        <v>31</v>
      </c>
      <c r="H46" s="5">
        <v>8.19E10</v>
      </c>
      <c r="I46" s="4">
        <v>-6.10724</v>
      </c>
      <c r="J46" s="4">
        <v>106.2532289</v>
      </c>
      <c r="K46" s="13" t="s">
        <v>1265</v>
      </c>
      <c r="L46" s="7">
        <f t="shared" si="1"/>
        <v>2880555.556</v>
      </c>
      <c r="M46" s="7">
        <f>161000000/60</f>
        <v>2683333.333</v>
      </c>
      <c r="N46" s="7">
        <f>277000000/90</f>
        <v>3077777.778</v>
      </c>
      <c r="Z46" s="9" t="s">
        <v>1266</v>
      </c>
    </row>
    <row r="47">
      <c r="A47" s="12" t="s">
        <v>26</v>
      </c>
      <c r="B47" s="12" t="s">
        <v>1267</v>
      </c>
      <c r="C47" s="12" t="s">
        <v>1268</v>
      </c>
      <c r="D47" s="12" t="s">
        <v>1174</v>
      </c>
      <c r="E47" s="12" t="s">
        <v>30</v>
      </c>
      <c r="F47" s="12" t="s">
        <v>37</v>
      </c>
      <c r="G47" s="12" t="s">
        <v>31</v>
      </c>
      <c r="H47" s="5">
        <v>8.79E10</v>
      </c>
      <c r="I47" s="4">
        <v>-6.1174808</v>
      </c>
      <c r="J47" s="4">
        <v>106.3026952</v>
      </c>
      <c r="K47" s="13" t="s">
        <v>1269</v>
      </c>
      <c r="L47" s="7">
        <f t="shared" si="1"/>
        <v>3333333.338</v>
      </c>
      <c r="M47" s="7">
        <f>266666667/80</f>
        <v>3333333.338</v>
      </c>
      <c r="Z47" s="9" t="s">
        <v>1270</v>
      </c>
    </row>
    <row r="48">
      <c r="A48" s="12" t="s">
        <v>26</v>
      </c>
      <c r="B48" s="12" t="s">
        <v>1271</v>
      </c>
      <c r="C48" s="12" t="s">
        <v>1272</v>
      </c>
      <c r="D48" s="12" t="s">
        <v>1273</v>
      </c>
      <c r="E48" s="12" t="s">
        <v>30</v>
      </c>
      <c r="F48" s="4">
        <v>42453.0</v>
      </c>
      <c r="G48" s="12" t="s">
        <v>31</v>
      </c>
      <c r="H48" s="5">
        <v>8.95E11</v>
      </c>
      <c r="I48" s="4">
        <v>-6.0670342</v>
      </c>
      <c r="J48" s="4">
        <v>106.0704389</v>
      </c>
      <c r="K48" s="13" t="s">
        <v>1274</v>
      </c>
      <c r="L48" s="7">
        <f t="shared" si="1"/>
        <v>2766666.667</v>
      </c>
      <c r="M48" s="7">
        <f>166000000/60</f>
        <v>2766666.667</v>
      </c>
      <c r="Z48" s="9" t="s">
        <v>1275</v>
      </c>
    </row>
    <row r="49">
      <c r="A49" s="12" t="s">
        <v>26</v>
      </c>
      <c r="B49" s="12" t="s">
        <v>1276</v>
      </c>
      <c r="C49" s="12" t="s">
        <v>1277</v>
      </c>
      <c r="D49" s="12" t="s">
        <v>1278</v>
      </c>
      <c r="E49" s="12" t="s">
        <v>30</v>
      </c>
      <c r="F49" s="4">
        <v>42185.0</v>
      </c>
      <c r="G49" s="12" t="s">
        <v>31</v>
      </c>
      <c r="H49" s="12" t="s">
        <v>37</v>
      </c>
      <c r="I49" s="4">
        <v>-6.1461989</v>
      </c>
      <c r="J49" s="4">
        <v>106.3194255</v>
      </c>
      <c r="K49" s="13" t="s">
        <v>1279</v>
      </c>
      <c r="L49" s="7" t="str">
        <f t="shared" si="1"/>
        <v/>
      </c>
      <c r="Z49" s="8" t="s">
        <v>33</v>
      </c>
    </row>
    <row r="50">
      <c r="A50" s="12" t="s">
        <v>26</v>
      </c>
      <c r="B50" s="12" t="s">
        <v>1280</v>
      </c>
      <c r="C50" s="12" t="s">
        <v>1281</v>
      </c>
      <c r="D50" s="12" t="s">
        <v>1282</v>
      </c>
      <c r="E50" s="12" t="s">
        <v>30</v>
      </c>
      <c r="F50" s="4">
        <v>42186.0</v>
      </c>
      <c r="G50" s="12" t="s">
        <v>31</v>
      </c>
      <c r="H50" s="5">
        <v>8.13E10</v>
      </c>
      <c r="I50" s="4">
        <v>-6.2212019</v>
      </c>
      <c r="J50" s="4">
        <v>106.3358751</v>
      </c>
      <c r="K50" s="13" t="s">
        <v>1283</v>
      </c>
      <c r="L50" s="7">
        <f t="shared" si="1"/>
        <v>1623376.623</v>
      </c>
      <c r="M50" s="7">
        <f>125000000/77</f>
        <v>1623376.623</v>
      </c>
      <c r="Z50" s="9" t="s">
        <v>1284</v>
      </c>
    </row>
    <row r="51">
      <c r="A51" s="12" t="s">
        <v>26</v>
      </c>
      <c r="B51" s="12" t="s">
        <v>1285</v>
      </c>
      <c r="C51" s="12" t="s">
        <v>1286</v>
      </c>
      <c r="D51" s="12" t="s">
        <v>1287</v>
      </c>
      <c r="E51" s="12" t="s">
        <v>30</v>
      </c>
      <c r="F51" s="4">
        <v>42173.0</v>
      </c>
      <c r="G51" s="12" t="s">
        <v>31</v>
      </c>
      <c r="H51" s="5">
        <v>8.12E10</v>
      </c>
      <c r="I51" s="4">
        <v>-6.2071811</v>
      </c>
      <c r="J51" s="4">
        <v>106.1357296</v>
      </c>
      <c r="K51" s="13" t="s">
        <v>1288</v>
      </c>
      <c r="L51" s="7">
        <f t="shared" si="1"/>
        <v>4166666.667</v>
      </c>
      <c r="M51" s="7">
        <f>300000000/72</f>
        <v>4166666.667</v>
      </c>
      <c r="Z51" s="9" t="s">
        <v>1289</v>
      </c>
    </row>
    <row r="52">
      <c r="A52" s="12" t="s">
        <v>26</v>
      </c>
      <c r="B52" s="12" t="s">
        <v>1290</v>
      </c>
      <c r="C52" s="12" t="s">
        <v>1291</v>
      </c>
      <c r="D52" s="12" t="s">
        <v>1292</v>
      </c>
      <c r="E52" s="12" t="s">
        <v>30</v>
      </c>
      <c r="F52" s="4">
        <v>42162.0</v>
      </c>
      <c r="G52" s="12" t="s">
        <v>31</v>
      </c>
      <c r="H52" s="5">
        <v>2.54E8</v>
      </c>
      <c r="I52" s="4">
        <v>-6.1425879</v>
      </c>
      <c r="J52" s="4">
        <v>106.1343536</v>
      </c>
      <c r="K52" s="13" t="s">
        <v>1293</v>
      </c>
      <c r="L52" s="7">
        <f t="shared" si="1"/>
        <v>4833333.333</v>
      </c>
      <c r="M52" s="7">
        <f>290000000/60</f>
        <v>4833333.333</v>
      </c>
      <c r="Z52" s="9" t="s">
        <v>1294</v>
      </c>
    </row>
    <row r="53">
      <c r="A53" s="12" t="s">
        <v>26</v>
      </c>
      <c r="B53" s="12" t="s">
        <v>1295</v>
      </c>
      <c r="C53" s="12" t="s">
        <v>1296</v>
      </c>
      <c r="D53" s="12" t="s">
        <v>1297</v>
      </c>
      <c r="E53" s="12" t="s">
        <v>30</v>
      </c>
      <c r="F53" s="4">
        <v>42182.0</v>
      </c>
      <c r="G53" s="12" t="s">
        <v>31</v>
      </c>
      <c r="H53" s="12" t="s">
        <v>37</v>
      </c>
      <c r="I53" s="4">
        <v>-6.1283877</v>
      </c>
      <c r="J53" s="4">
        <v>106.2241934</v>
      </c>
      <c r="K53" s="13" t="s">
        <v>1298</v>
      </c>
      <c r="L53" s="7">
        <f t="shared" si="1"/>
        <v>4270833.333</v>
      </c>
      <c r="M53" s="7">
        <f>80000000/60</f>
        <v>1333333.333</v>
      </c>
      <c r="N53" s="7">
        <f>650000000/96</f>
        <v>6770833.333</v>
      </c>
      <c r="O53" s="7">
        <f>200000000/60</f>
        <v>3333333.333</v>
      </c>
      <c r="P53" s="7">
        <f>750000000/144</f>
        <v>5208333.333</v>
      </c>
      <c r="Z53" s="9" t="s">
        <v>1299</v>
      </c>
    </row>
    <row r="54">
      <c r="A54" s="12" t="s">
        <v>26</v>
      </c>
      <c r="B54" s="12" t="s">
        <v>1300</v>
      </c>
      <c r="C54" s="12" t="s">
        <v>1301</v>
      </c>
      <c r="D54" s="12" t="s">
        <v>1302</v>
      </c>
      <c r="E54" s="12" t="s">
        <v>30</v>
      </c>
      <c r="F54" s="4">
        <v>42116.0</v>
      </c>
      <c r="G54" s="12" t="s">
        <v>31</v>
      </c>
      <c r="H54" s="12" t="s">
        <v>37</v>
      </c>
      <c r="I54" s="4">
        <v>-6.1296564</v>
      </c>
      <c r="J54" s="4">
        <v>106.1533141</v>
      </c>
      <c r="K54" s="13" t="s">
        <v>1303</v>
      </c>
      <c r="L54" s="7">
        <f t="shared" si="1"/>
        <v>4888888.889</v>
      </c>
      <c r="M54" s="7">
        <f>1300000000/240</f>
        <v>5416666.667</v>
      </c>
      <c r="N54" s="7">
        <f>1100000000/225</f>
        <v>4888888.889</v>
      </c>
      <c r="O54" s="7">
        <f>1750000000/480</f>
        <v>3645833.333</v>
      </c>
      <c r="Z54" s="9" t="s">
        <v>1304</v>
      </c>
    </row>
    <row r="55">
      <c r="A55" s="12" t="s">
        <v>40</v>
      </c>
      <c r="B55" s="12" t="s">
        <v>1305</v>
      </c>
      <c r="C55" s="12" t="s">
        <v>1306</v>
      </c>
      <c r="D55" s="12" t="s">
        <v>1287</v>
      </c>
      <c r="E55" s="12" t="s">
        <v>30</v>
      </c>
      <c r="F55" s="4">
        <v>42173.0</v>
      </c>
      <c r="G55" s="12" t="s">
        <v>31</v>
      </c>
      <c r="H55" s="12" t="s">
        <v>37</v>
      </c>
      <c r="I55" s="4">
        <v>-6.2051125</v>
      </c>
      <c r="J55" s="4">
        <v>106.1365469</v>
      </c>
      <c r="K55" s="13" t="s">
        <v>1307</v>
      </c>
      <c r="L55" s="7" t="str">
        <f t="shared" si="1"/>
        <v/>
      </c>
      <c r="Z55" s="8" t="s">
        <v>33</v>
      </c>
    </row>
    <row r="56">
      <c r="J56" s="7">
        <f>sum(K56:Y56)</f>
        <v>90</v>
      </c>
      <c r="K56" s="7">
        <f>COUNTA(K2:K55)</f>
        <v>54</v>
      </c>
      <c r="M56" s="7">
        <f t="shared" ref="M56:Y56" si="3">COUNTA(M2:M55)</f>
        <v>29</v>
      </c>
      <c r="N56" s="7">
        <f t="shared" si="3"/>
        <v>4</v>
      </c>
      <c r="O56" s="7">
        <f t="shared" si="3"/>
        <v>2</v>
      </c>
      <c r="P56" s="7">
        <f t="shared" si="3"/>
        <v>1</v>
      </c>
      <c r="Q56" s="7">
        <f t="shared" si="3"/>
        <v>0</v>
      </c>
      <c r="R56" s="7">
        <f t="shared" si="3"/>
        <v>0</v>
      </c>
      <c r="S56" s="7">
        <f t="shared" si="3"/>
        <v>0</v>
      </c>
      <c r="T56" s="7">
        <f t="shared" si="3"/>
        <v>0</v>
      </c>
      <c r="U56" s="7">
        <f t="shared" si="3"/>
        <v>0</v>
      </c>
      <c r="V56" s="7">
        <f t="shared" si="3"/>
        <v>0</v>
      </c>
      <c r="W56" s="7">
        <f t="shared" si="3"/>
        <v>0</v>
      </c>
      <c r="X56" s="7">
        <f t="shared" si="3"/>
        <v>0</v>
      </c>
      <c r="Y56" s="7">
        <f t="shared" si="3"/>
        <v>0</v>
      </c>
    </row>
  </sheetData>
  <hyperlinks>
    <hyperlink r:id="rId1" ref="K2"/>
    <hyperlink r:id="rId2" ref="K3"/>
    <hyperlink r:id="rId3" ref="Z3"/>
    <hyperlink r:id="rId4" ref="K4"/>
    <hyperlink r:id="rId5" ref="K5"/>
    <hyperlink r:id="rId6" ref="K6"/>
    <hyperlink r:id="rId7" ref="K7"/>
    <hyperlink r:id="rId8" ref="Z7"/>
    <hyperlink r:id="rId9" ref="K8"/>
    <hyperlink r:id="rId10" ref="Z8"/>
    <hyperlink r:id="rId11" ref="K9"/>
    <hyperlink r:id="rId12" ref="K10"/>
    <hyperlink r:id="rId13" ref="Z10"/>
    <hyperlink r:id="rId14" ref="K11"/>
    <hyperlink r:id="rId15" ref="K12"/>
    <hyperlink r:id="rId16" ref="K13"/>
    <hyperlink r:id="rId17" ref="Z13"/>
    <hyperlink r:id="rId18" ref="K14"/>
    <hyperlink r:id="rId19" ref="Z14"/>
    <hyperlink r:id="rId20" ref="K15"/>
    <hyperlink r:id="rId21" ref="Z15"/>
    <hyperlink r:id="rId22" ref="K16"/>
    <hyperlink r:id="rId23" ref="K17"/>
    <hyperlink r:id="rId24" ref="K18"/>
    <hyperlink r:id="rId25" ref="K19"/>
    <hyperlink r:id="rId26" ref="Z19"/>
    <hyperlink r:id="rId27" ref="K20"/>
    <hyperlink r:id="rId28" ref="K21"/>
    <hyperlink r:id="rId29" ref="K22"/>
    <hyperlink r:id="rId30" ref="K23"/>
    <hyperlink r:id="rId31" ref="Z23"/>
    <hyperlink r:id="rId32" ref="K24"/>
    <hyperlink r:id="rId33" ref="Z24"/>
    <hyperlink r:id="rId34" ref="K25"/>
    <hyperlink r:id="rId35" ref="K26"/>
    <hyperlink r:id="rId36" ref="K27"/>
    <hyperlink r:id="rId37" ref="K28"/>
    <hyperlink r:id="rId38" ref="Z28"/>
    <hyperlink r:id="rId39" ref="K29"/>
    <hyperlink r:id="rId40" ref="K30"/>
    <hyperlink r:id="rId41" ref="K31"/>
    <hyperlink r:id="rId42" ref="Z31"/>
    <hyperlink r:id="rId43" ref="K32"/>
    <hyperlink r:id="rId44" ref="Z32"/>
    <hyperlink r:id="rId45" ref="K33"/>
    <hyperlink r:id="rId46" ref="K34"/>
    <hyperlink r:id="rId47" ref="Z34"/>
    <hyperlink r:id="rId48" ref="K35"/>
    <hyperlink r:id="rId49" ref="Z35"/>
    <hyperlink r:id="rId50" ref="K36"/>
    <hyperlink r:id="rId51" ref="Z36"/>
    <hyperlink r:id="rId52" ref="K37"/>
    <hyperlink r:id="rId53" ref="Z37"/>
    <hyperlink r:id="rId54" ref="K38"/>
    <hyperlink r:id="rId55" ref="Z38"/>
    <hyperlink r:id="rId56" ref="K39"/>
    <hyperlink r:id="rId57" ref="K40"/>
    <hyperlink r:id="rId58" ref="K41"/>
    <hyperlink r:id="rId59" ref="K42"/>
    <hyperlink r:id="rId60" ref="Z42"/>
    <hyperlink r:id="rId61" ref="K43"/>
    <hyperlink r:id="rId62" ref="K44"/>
    <hyperlink r:id="rId63" ref="Z44"/>
    <hyperlink r:id="rId64" ref="K45"/>
    <hyperlink r:id="rId65" ref="Z45"/>
    <hyperlink r:id="rId66" ref="K46"/>
    <hyperlink r:id="rId67" ref="Z46"/>
    <hyperlink r:id="rId68" ref="K47"/>
    <hyperlink r:id="rId69" ref="Z47"/>
    <hyperlink r:id="rId70" ref="K48"/>
    <hyperlink r:id="rId71" ref="Z48"/>
    <hyperlink r:id="rId72" ref="K49"/>
    <hyperlink r:id="rId73" ref="K50"/>
    <hyperlink r:id="rId74" ref="Z50"/>
    <hyperlink r:id="rId75" ref="K51"/>
    <hyperlink r:id="rId76" ref="Z51"/>
    <hyperlink r:id="rId77" ref="K52"/>
    <hyperlink r:id="rId78" ref="Z52"/>
    <hyperlink r:id="rId79" ref="K53"/>
    <hyperlink r:id="rId80" ref="Z53"/>
    <hyperlink r:id="rId81" ref="K54"/>
    <hyperlink r:id="rId82" ref="Z54"/>
    <hyperlink r:id="rId83" ref="K55"/>
  </hyperlinks>
  <drawing r:id="rId8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44.25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8" t="s">
        <v>11</v>
      </c>
      <c r="M1" s="8" t="s">
        <v>118</v>
      </c>
      <c r="N1" s="8" t="s">
        <v>119</v>
      </c>
      <c r="O1" s="8" t="s">
        <v>120</v>
      </c>
      <c r="P1" s="8" t="s">
        <v>121</v>
      </c>
      <c r="Q1" s="8" t="s">
        <v>122</v>
      </c>
      <c r="R1" s="8" t="s">
        <v>123</v>
      </c>
      <c r="S1" s="8" t="s">
        <v>124</v>
      </c>
      <c r="T1" s="8" t="s">
        <v>125</v>
      </c>
      <c r="U1" s="8" t="s">
        <v>126</v>
      </c>
      <c r="V1" s="8" t="s">
        <v>127</v>
      </c>
      <c r="W1" s="8" t="s">
        <v>128</v>
      </c>
      <c r="X1" s="8" t="s">
        <v>129</v>
      </c>
      <c r="Y1" s="8" t="s">
        <v>130</v>
      </c>
      <c r="Z1" s="8" t="s">
        <v>25</v>
      </c>
    </row>
    <row r="2">
      <c r="A2" s="12" t="s">
        <v>26</v>
      </c>
      <c r="B2" s="12" t="s">
        <v>1308</v>
      </c>
      <c r="C2" s="12" t="s">
        <v>1309</v>
      </c>
      <c r="D2" s="12" t="s">
        <v>1310</v>
      </c>
      <c r="E2" s="12" t="s">
        <v>30</v>
      </c>
      <c r="F2" s="4">
        <v>15341.0</v>
      </c>
      <c r="G2" s="12" t="s">
        <v>31</v>
      </c>
      <c r="H2" s="12" t="s">
        <v>37</v>
      </c>
      <c r="I2" s="4">
        <v>-6.3392641</v>
      </c>
      <c r="J2" s="4">
        <v>106.6365956</v>
      </c>
      <c r="K2" s="13" t="s">
        <v>1311</v>
      </c>
      <c r="L2" s="10" t="str">
        <f t="shared" ref="L2:L44" si="1">IFERROR(MEDIAN(M2:Y2),"")</f>
        <v/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8" t="s">
        <v>33</v>
      </c>
    </row>
    <row r="3">
      <c r="A3" s="12" t="s">
        <v>86</v>
      </c>
      <c r="B3" s="12" t="s">
        <v>1312</v>
      </c>
      <c r="C3" s="12" t="s">
        <v>1313</v>
      </c>
      <c r="D3" s="12" t="s">
        <v>1314</v>
      </c>
      <c r="E3" s="12" t="s">
        <v>30</v>
      </c>
      <c r="F3" s="4">
        <v>15710.0</v>
      </c>
      <c r="G3" s="12" t="s">
        <v>31</v>
      </c>
      <c r="H3" s="12" t="s">
        <v>37</v>
      </c>
      <c r="I3" s="4">
        <v>-6.208826</v>
      </c>
      <c r="J3" s="4">
        <v>106.5197156</v>
      </c>
      <c r="K3" s="13" t="s">
        <v>1315</v>
      </c>
      <c r="L3" s="10">
        <f t="shared" si="1"/>
        <v>8496732.026</v>
      </c>
      <c r="M3" s="10">
        <f>630000000/133</f>
        <v>4736842.105</v>
      </c>
      <c r="N3" s="10">
        <f>1300000000/150</f>
        <v>8666666.667</v>
      </c>
      <c r="O3" s="10">
        <f>1300000000/153</f>
        <v>8496732.026</v>
      </c>
      <c r="P3" s="10">
        <f>600000000/84</f>
        <v>7142857.143</v>
      </c>
      <c r="Q3" s="10">
        <f>870000000/90</f>
        <v>9666666.667</v>
      </c>
      <c r="R3" s="10">
        <f>870000000/84</f>
        <v>10357142.86</v>
      </c>
      <c r="S3" s="10">
        <f t="shared" ref="S3:T3" si="2">1600000000/120</f>
        <v>13333333.33</v>
      </c>
      <c r="T3" s="10">
        <f t="shared" si="2"/>
        <v>13333333.33</v>
      </c>
      <c r="U3" s="10">
        <f>2000000000/120</f>
        <v>16666666.67</v>
      </c>
      <c r="V3" s="10">
        <f>950000000/167</f>
        <v>5688622.754</v>
      </c>
      <c r="W3" s="10">
        <f>600000000/84</f>
        <v>7142857.143</v>
      </c>
      <c r="X3" s="10">
        <f>750000000/90</f>
        <v>8333333.333</v>
      </c>
      <c r="Y3" s="10">
        <f>970000000/163</f>
        <v>5950920.245</v>
      </c>
      <c r="Z3" s="9" t="s">
        <v>1316</v>
      </c>
    </row>
    <row r="4">
      <c r="A4" s="12" t="s">
        <v>26</v>
      </c>
      <c r="B4" s="12" t="s">
        <v>1317</v>
      </c>
      <c r="C4" s="12" t="s">
        <v>1318</v>
      </c>
      <c r="D4" s="12" t="s">
        <v>1319</v>
      </c>
      <c r="E4" s="12" t="s">
        <v>30</v>
      </c>
      <c r="F4" s="4">
        <v>15341.0</v>
      </c>
      <c r="G4" s="12" t="s">
        <v>31</v>
      </c>
      <c r="H4" s="12" t="s">
        <v>37</v>
      </c>
      <c r="I4" s="4">
        <v>-6.3358401</v>
      </c>
      <c r="J4" s="4">
        <v>106.6126701</v>
      </c>
      <c r="K4" s="13" t="s">
        <v>1320</v>
      </c>
      <c r="L4" s="10">
        <f t="shared" si="1"/>
        <v>13333333.33</v>
      </c>
      <c r="M4" s="10">
        <f>800000000/60</f>
        <v>13333333.33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9" t="s">
        <v>1321</v>
      </c>
    </row>
    <row r="5">
      <c r="A5" s="12" t="s">
        <v>26</v>
      </c>
      <c r="B5" s="12" t="s">
        <v>1322</v>
      </c>
      <c r="C5" s="12" t="s">
        <v>1323</v>
      </c>
      <c r="D5" s="12" t="s">
        <v>1324</v>
      </c>
      <c r="E5" s="12" t="s">
        <v>30</v>
      </c>
      <c r="F5" s="4">
        <v>15342.0</v>
      </c>
      <c r="G5" s="12" t="s">
        <v>31</v>
      </c>
      <c r="H5" s="12" t="s">
        <v>37</v>
      </c>
      <c r="I5" s="4">
        <v>-6.3457732</v>
      </c>
      <c r="J5" s="4">
        <v>106.6285788</v>
      </c>
      <c r="K5" s="13" t="s">
        <v>1325</v>
      </c>
      <c r="L5" s="10">
        <f t="shared" si="1"/>
        <v>7894736.842</v>
      </c>
      <c r="M5" s="10">
        <f>600000000/76</f>
        <v>7894736.842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9" t="s">
        <v>1326</v>
      </c>
    </row>
    <row r="6">
      <c r="A6" s="12" t="s">
        <v>26</v>
      </c>
      <c r="B6" s="12" t="s">
        <v>1327</v>
      </c>
      <c r="C6" s="12" t="s">
        <v>1328</v>
      </c>
      <c r="D6" s="12" t="s">
        <v>1324</v>
      </c>
      <c r="E6" s="12" t="s">
        <v>30</v>
      </c>
      <c r="F6" s="4">
        <v>15343.0</v>
      </c>
      <c r="G6" s="12" t="s">
        <v>31</v>
      </c>
      <c r="H6" s="5">
        <v>8.11E10</v>
      </c>
      <c r="I6" s="4">
        <v>-6.35128</v>
      </c>
      <c r="J6" s="4">
        <v>106.6287021</v>
      </c>
      <c r="K6" s="13" t="s">
        <v>1329</v>
      </c>
      <c r="L6" s="10">
        <f t="shared" si="1"/>
        <v>10175308.64</v>
      </c>
      <c r="M6" s="10">
        <f>880200000/90</f>
        <v>9780000</v>
      </c>
      <c r="N6" s="10">
        <f>824200000/81</f>
        <v>10175308.64</v>
      </c>
      <c r="O6" s="10">
        <f>718300000/64</f>
        <v>11223437.5</v>
      </c>
      <c r="P6" s="10">
        <f>548600000/63</f>
        <v>8707936.508</v>
      </c>
      <c r="Q6" s="10">
        <f>746900000/72</f>
        <v>10373611.11</v>
      </c>
      <c r="R6" s="10"/>
      <c r="S6" s="10"/>
      <c r="T6" s="10"/>
      <c r="U6" s="10"/>
      <c r="V6" s="10"/>
      <c r="W6" s="10"/>
      <c r="X6" s="10"/>
      <c r="Y6" s="10"/>
      <c r="Z6" s="9" t="s">
        <v>1330</v>
      </c>
    </row>
    <row r="7">
      <c r="A7" s="12" t="s">
        <v>26</v>
      </c>
      <c r="B7" s="12" t="s">
        <v>1331</v>
      </c>
      <c r="C7" s="12" t="s">
        <v>1332</v>
      </c>
      <c r="D7" s="12" t="s">
        <v>1333</v>
      </c>
      <c r="E7" s="12" t="s">
        <v>30</v>
      </c>
      <c r="F7" s="4">
        <v>15342.0</v>
      </c>
      <c r="G7" s="12" t="s">
        <v>31</v>
      </c>
      <c r="H7" s="12" t="s">
        <v>37</v>
      </c>
      <c r="I7" s="4">
        <v>-6.3537657</v>
      </c>
      <c r="J7" s="4">
        <v>106.6293627</v>
      </c>
      <c r="K7" s="13" t="s">
        <v>1334</v>
      </c>
      <c r="L7" s="10">
        <f t="shared" si="1"/>
        <v>11944444.44</v>
      </c>
      <c r="M7" s="10">
        <f>860000000/72</f>
        <v>11944444.44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9" t="s">
        <v>1335</v>
      </c>
    </row>
    <row r="8">
      <c r="A8" s="12" t="s">
        <v>26</v>
      </c>
      <c r="B8" s="12" t="s">
        <v>1336</v>
      </c>
      <c r="C8" s="12" t="s">
        <v>1337</v>
      </c>
      <c r="D8" s="12" t="s">
        <v>1324</v>
      </c>
      <c r="E8" s="12" t="s">
        <v>30</v>
      </c>
      <c r="F8" s="4">
        <v>15342.0</v>
      </c>
      <c r="G8" s="12" t="s">
        <v>31</v>
      </c>
      <c r="H8" s="12" t="s">
        <v>37</v>
      </c>
      <c r="I8" s="4">
        <v>-6.3538262</v>
      </c>
      <c r="J8" s="4">
        <v>106.6278133</v>
      </c>
      <c r="K8" s="13" t="s">
        <v>1338</v>
      </c>
      <c r="L8" s="10">
        <f t="shared" si="1"/>
        <v>10972222.22</v>
      </c>
      <c r="M8" s="10">
        <f>790000000/72</f>
        <v>10972222.22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9" t="s">
        <v>1339</v>
      </c>
    </row>
    <row r="9">
      <c r="A9" s="12" t="s">
        <v>86</v>
      </c>
      <c r="B9" s="12" t="s">
        <v>1340</v>
      </c>
      <c r="C9" s="12" t="s">
        <v>1341</v>
      </c>
      <c r="D9" s="12" t="s">
        <v>1342</v>
      </c>
      <c r="E9" s="12" t="s">
        <v>30</v>
      </c>
      <c r="F9" s="4">
        <v>15610.0</v>
      </c>
      <c r="G9" s="12" t="s">
        <v>31</v>
      </c>
      <c r="H9" s="12" t="s">
        <v>37</v>
      </c>
      <c r="I9" s="4">
        <v>-6.1821493</v>
      </c>
      <c r="J9" s="4">
        <v>106.4559145</v>
      </c>
      <c r="K9" s="13" t="s">
        <v>1343</v>
      </c>
      <c r="L9" s="10">
        <f t="shared" si="1"/>
        <v>8142857.143</v>
      </c>
      <c r="M9" s="10">
        <f>570000000/70</f>
        <v>8142857.143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9" t="s">
        <v>1344</v>
      </c>
    </row>
    <row r="10">
      <c r="A10" s="12" t="s">
        <v>26</v>
      </c>
      <c r="B10" s="12" t="s">
        <v>1345</v>
      </c>
      <c r="C10" s="12" t="s">
        <v>1346</v>
      </c>
      <c r="D10" s="12" t="s">
        <v>1347</v>
      </c>
      <c r="E10" s="12" t="s">
        <v>30</v>
      </c>
      <c r="F10" s="4">
        <v>15341.0</v>
      </c>
      <c r="G10" s="12" t="s">
        <v>31</v>
      </c>
      <c r="H10" s="5">
        <v>8.13E10</v>
      </c>
      <c r="I10" s="4">
        <v>-6.3391745</v>
      </c>
      <c r="J10" s="4">
        <v>106.6144301</v>
      </c>
      <c r="K10" s="13" t="s">
        <v>1348</v>
      </c>
      <c r="L10" s="10" t="str">
        <f t="shared" si="1"/>
        <v/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8" t="s">
        <v>33</v>
      </c>
    </row>
    <row r="11">
      <c r="A11" s="12" t="s">
        <v>86</v>
      </c>
      <c r="B11" s="12" t="s">
        <v>1349</v>
      </c>
      <c r="C11" s="12" t="s">
        <v>1350</v>
      </c>
      <c r="D11" s="12" t="s">
        <v>1351</v>
      </c>
      <c r="E11" s="12" t="s">
        <v>30</v>
      </c>
      <c r="F11" s="4">
        <v>15610.0</v>
      </c>
      <c r="G11" s="12" t="s">
        <v>31</v>
      </c>
      <c r="H11" s="12" t="s">
        <v>37</v>
      </c>
      <c r="I11" s="4">
        <v>-6.1486302</v>
      </c>
      <c r="J11" s="4">
        <v>106.4446718</v>
      </c>
      <c r="K11" s="13" t="s">
        <v>1352</v>
      </c>
      <c r="L11" s="10">
        <f t="shared" si="1"/>
        <v>2966666.667</v>
      </c>
      <c r="M11" s="10">
        <f>178000000/60</f>
        <v>2966666.667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9" t="s">
        <v>1353</v>
      </c>
    </row>
    <row r="12">
      <c r="A12" s="12" t="s">
        <v>86</v>
      </c>
      <c r="B12" s="12" t="s">
        <v>1354</v>
      </c>
      <c r="C12" s="12" t="s">
        <v>1355</v>
      </c>
      <c r="D12" s="12" t="s">
        <v>1356</v>
      </c>
      <c r="E12" s="12" t="s">
        <v>30</v>
      </c>
      <c r="F12" s="4">
        <v>15710.0</v>
      </c>
      <c r="G12" s="12" t="s">
        <v>31</v>
      </c>
      <c r="H12" s="12" t="s">
        <v>37</v>
      </c>
      <c r="I12" s="4">
        <v>-6.2647443</v>
      </c>
      <c r="J12" s="4">
        <v>106.5327649</v>
      </c>
      <c r="K12" s="13" t="s">
        <v>1357</v>
      </c>
      <c r="L12" s="10">
        <f t="shared" si="1"/>
        <v>5269852.941</v>
      </c>
      <c r="M12" s="10">
        <f>716700000/136</f>
        <v>5269852.941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9" t="s">
        <v>1358</v>
      </c>
    </row>
    <row r="13">
      <c r="A13" s="12" t="s">
        <v>26</v>
      </c>
      <c r="B13" s="12" t="s">
        <v>1359</v>
      </c>
      <c r="C13" s="12" t="s">
        <v>1360</v>
      </c>
      <c r="D13" s="12" t="s">
        <v>1361</v>
      </c>
      <c r="E13" s="12" t="s">
        <v>30</v>
      </c>
      <c r="F13" s="4">
        <v>15340.0</v>
      </c>
      <c r="G13" s="12" t="s">
        <v>31</v>
      </c>
      <c r="H13" s="12" t="s">
        <v>37</v>
      </c>
      <c r="I13" s="4">
        <v>-6.342757</v>
      </c>
      <c r="J13" s="4">
        <v>106.601328</v>
      </c>
      <c r="K13" s="13" t="s">
        <v>1362</v>
      </c>
      <c r="L13" s="10" t="str">
        <f t="shared" si="1"/>
        <v/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8" t="s">
        <v>33</v>
      </c>
    </row>
    <row r="14">
      <c r="A14" s="12" t="s">
        <v>26</v>
      </c>
      <c r="B14" s="12" t="s">
        <v>1363</v>
      </c>
      <c r="C14" s="12" t="s">
        <v>1364</v>
      </c>
      <c r="D14" s="12" t="s">
        <v>1347</v>
      </c>
      <c r="E14" s="12" t="s">
        <v>30</v>
      </c>
      <c r="F14" s="4">
        <v>15341.0</v>
      </c>
      <c r="G14" s="12" t="s">
        <v>31</v>
      </c>
      <c r="H14" s="12" t="s">
        <v>37</v>
      </c>
      <c r="I14" s="4">
        <v>-6.3324657</v>
      </c>
      <c r="J14" s="4">
        <v>106.6314611</v>
      </c>
      <c r="K14" s="13" t="s">
        <v>1365</v>
      </c>
      <c r="L14" s="10">
        <f t="shared" si="1"/>
        <v>4444444.444</v>
      </c>
      <c r="M14" s="10">
        <f>320000000/72</f>
        <v>4444444.444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9" t="s">
        <v>1366</v>
      </c>
    </row>
    <row r="15">
      <c r="A15" s="12" t="s">
        <v>26</v>
      </c>
      <c r="B15" s="12" t="s">
        <v>1367</v>
      </c>
      <c r="C15" s="12" t="s">
        <v>1368</v>
      </c>
      <c r="D15" s="12" t="s">
        <v>1369</v>
      </c>
      <c r="E15" s="12" t="s">
        <v>30</v>
      </c>
      <c r="F15" s="4">
        <v>15341.0</v>
      </c>
      <c r="G15" s="12" t="s">
        <v>31</v>
      </c>
      <c r="H15" s="5">
        <v>8.13E10</v>
      </c>
      <c r="I15" s="4">
        <v>-6.3281525</v>
      </c>
      <c r="J15" s="4">
        <v>106.6401866</v>
      </c>
      <c r="K15" s="13" t="s">
        <v>1370</v>
      </c>
      <c r="L15" s="10">
        <f t="shared" si="1"/>
        <v>10666666.67</v>
      </c>
      <c r="M15" s="10">
        <f>1120000000/105</f>
        <v>10666666.67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9" t="s">
        <v>1371</v>
      </c>
    </row>
    <row r="16">
      <c r="A16" s="12" t="s">
        <v>86</v>
      </c>
      <c r="B16" s="12" t="s">
        <v>1372</v>
      </c>
      <c r="C16" s="12" t="s">
        <v>1373</v>
      </c>
      <c r="D16" s="12" t="s">
        <v>1374</v>
      </c>
      <c r="E16" s="12" t="s">
        <v>30</v>
      </c>
      <c r="F16" s="4">
        <v>15610.0</v>
      </c>
      <c r="G16" s="12" t="s">
        <v>31</v>
      </c>
      <c r="H16" s="5">
        <v>8.14E10</v>
      </c>
      <c r="I16" s="4">
        <v>-6.17265</v>
      </c>
      <c r="J16" s="4">
        <v>106.4299689</v>
      </c>
      <c r="K16" s="13" t="s">
        <v>1375</v>
      </c>
      <c r="L16" s="10">
        <f t="shared" si="1"/>
        <v>5833333.333</v>
      </c>
      <c r="M16" s="10">
        <f>350000000/60</f>
        <v>5833333.333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9" t="s">
        <v>1376</v>
      </c>
    </row>
    <row r="17">
      <c r="A17" s="12" t="s">
        <v>26</v>
      </c>
      <c r="B17" s="12" t="s">
        <v>1377</v>
      </c>
      <c r="C17" s="12" t="s">
        <v>1378</v>
      </c>
      <c r="D17" s="12" t="s">
        <v>1347</v>
      </c>
      <c r="E17" s="12" t="s">
        <v>30</v>
      </c>
      <c r="F17" s="4">
        <v>15341.0</v>
      </c>
      <c r="G17" s="12" t="s">
        <v>31</v>
      </c>
      <c r="H17" s="12" t="s">
        <v>37</v>
      </c>
      <c r="I17" s="4">
        <v>-6.3275699</v>
      </c>
      <c r="J17" s="4">
        <v>106.6323538</v>
      </c>
      <c r="K17" s="13" t="s">
        <v>1379</v>
      </c>
      <c r="L17" s="10">
        <f t="shared" si="1"/>
        <v>6952380.952</v>
      </c>
      <c r="M17" s="10">
        <f>584000000/84</f>
        <v>6952380.952</v>
      </c>
      <c r="N17" s="10">
        <f>700000000/80</f>
        <v>8750000</v>
      </c>
      <c r="O17" s="10">
        <f>850000000/100</f>
        <v>8500000</v>
      </c>
      <c r="P17" s="10">
        <f>625000000/91</f>
        <v>6868131.868</v>
      </c>
      <c r="Q17" s="10">
        <f>445000000/70</f>
        <v>6357142.857</v>
      </c>
      <c r="R17" s="10"/>
      <c r="S17" s="10"/>
      <c r="T17" s="10"/>
      <c r="U17" s="10"/>
      <c r="V17" s="10"/>
      <c r="W17" s="10"/>
      <c r="X17" s="10"/>
      <c r="Y17" s="10"/>
      <c r="Z17" s="9" t="s">
        <v>1380</v>
      </c>
    </row>
    <row r="18">
      <c r="A18" s="12" t="s">
        <v>26</v>
      </c>
      <c r="B18" s="12" t="s">
        <v>1381</v>
      </c>
      <c r="C18" s="12" t="s">
        <v>1382</v>
      </c>
      <c r="D18" s="12" t="s">
        <v>1324</v>
      </c>
      <c r="E18" s="12" t="s">
        <v>30</v>
      </c>
      <c r="F18" s="4">
        <v>15342.0</v>
      </c>
      <c r="G18" s="12" t="s">
        <v>31</v>
      </c>
      <c r="H18" s="12" t="s">
        <v>37</v>
      </c>
      <c r="I18" s="4">
        <v>-6.3503009</v>
      </c>
      <c r="J18" s="4">
        <v>106.6282154</v>
      </c>
      <c r="K18" s="13" t="s">
        <v>1383</v>
      </c>
      <c r="L18" s="10">
        <f t="shared" si="1"/>
        <v>8055555.556</v>
      </c>
      <c r="M18" s="10">
        <f t="shared" ref="M18:Q18" si="3">580000000/72</f>
        <v>8055555.556</v>
      </c>
      <c r="N18" s="10">
        <f t="shared" si="3"/>
        <v>8055555.556</v>
      </c>
      <c r="O18" s="10">
        <f t="shared" si="3"/>
        <v>8055555.556</v>
      </c>
      <c r="P18" s="10">
        <f t="shared" si="3"/>
        <v>8055555.556</v>
      </c>
      <c r="Q18" s="10">
        <f t="shared" si="3"/>
        <v>8055555.556</v>
      </c>
      <c r="R18" s="10">
        <f>800000000/72</f>
        <v>11111111.11</v>
      </c>
      <c r="S18" s="10">
        <f>650000000/90</f>
        <v>7222222.222</v>
      </c>
      <c r="T18" s="10">
        <f>560000000/72</f>
        <v>7777777.778</v>
      </c>
      <c r="U18" s="10"/>
      <c r="V18" s="10"/>
      <c r="W18" s="10"/>
      <c r="X18" s="10"/>
      <c r="Y18" s="10"/>
      <c r="Z18" s="9" t="s">
        <v>1384</v>
      </c>
    </row>
    <row r="19">
      <c r="A19" s="12" t="s">
        <v>26</v>
      </c>
      <c r="B19" s="12" t="s">
        <v>1385</v>
      </c>
      <c r="C19" s="12" t="s">
        <v>1386</v>
      </c>
      <c r="D19" s="12" t="s">
        <v>1387</v>
      </c>
      <c r="E19" s="12" t="s">
        <v>30</v>
      </c>
      <c r="F19" s="4">
        <v>15341.0</v>
      </c>
      <c r="G19" s="12" t="s">
        <v>31</v>
      </c>
      <c r="H19" s="5">
        <v>8.79E10</v>
      </c>
      <c r="I19" s="4">
        <v>-6.3315567</v>
      </c>
      <c r="J19" s="4">
        <v>106.6375651</v>
      </c>
      <c r="K19" s="13" t="s">
        <v>1388</v>
      </c>
      <c r="L19" s="10">
        <f t="shared" si="1"/>
        <v>14433638.44</v>
      </c>
      <c r="M19" s="10">
        <f>900000000/69</f>
        <v>13043478.26</v>
      </c>
      <c r="N19" s="10">
        <f>1100000000/74</f>
        <v>14864864.86</v>
      </c>
      <c r="O19" s="10">
        <f>1400000000/95</f>
        <v>14736842.11</v>
      </c>
      <c r="P19" s="10">
        <f>1300000000/92</f>
        <v>14130434.78</v>
      </c>
      <c r="Q19" s="10"/>
      <c r="R19" s="10"/>
      <c r="S19" s="10"/>
      <c r="T19" s="10"/>
      <c r="U19" s="10"/>
      <c r="V19" s="10"/>
      <c r="W19" s="10"/>
      <c r="X19" s="10"/>
      <c r="Y19" s="10"/>
      <c r="Z19" s="9" t="s">
        <v>1389</v>
      </c>
    </row>
    <row r="20">
      <c r="A20" s="12" t="s">
        <v>26</v>
      </c>
      <c r="B20" s="12" t="s">
        <v>1390</v>
      </c>
      <c r="C20" s="12" t="s">
        <v>1391</v>
      </c>
      <c r="D20" s="12" t="s">
        <v>1392</v>
      </c>
      <c r="E20" s="12" t="s">
        <v>30</v>
      </c>
      <c r="F20" s="4">
        <v>15610.0</v>
      </c>
      <c r="G20" s="12" t="s">
        <v>31</v>
      </c>
      <c r="H20" s="12" t="s">
        <v>37</v>
      </c>
      <c r="I20" s="4">
        <v>-6.1754345</v>
      </c>
      <c r="J20" s="4">
        <v>106.4553135</v>
      </c>
      <c r="K20" s="13" t="s">
        <v>1393</v>
      </c>
      <c r="L20" s="10">
        <f t="shared" si="1"/>
        <v>6666666.667</v>
      </c>
      <c r="M20" s="10">
        <f>400000000/60</f>
        <v>6666666.667</v>
      </c>
      <c r="N20" s="10">
        <f>235000000/60</f>
        <v>3916666.667</v>
      </c>
      <c r="O20" s="10">
        <f>700000000/90</f>
        <v>7777777.778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9" t="s">
        <v>1394</v>
      </c>
    </row>
    <row r="21">
      <c r="A21" s="12" t="s">
        <v>86</v>
      </c>
      <c r="B21" s="12" t="s">
        <v>1395</v>
      </c>
      <c r="C21" s="12" t="s">
        <v>1396</v>
      </c>
      <c r="D21" s="12" t="s">
        <v>1397</v>
      </c>
      <c r="E21" s="12" t="s">
        <v>30</v>
      </c>
      <c r="F21" s="4">
        <v>15710.0</v>
      </c>
      <c r="G21" s="12" t="s">
        <v>31</v>
      </c>
      <c r="H21" s="12" t="s">
        <v>37</v>
      </c>
      <c r="I21" s="4">
        <v>-6.2456858</v>
      </c>
      <c r="J21" s="4">
        <v>106.5124306</v>
      </c>
      <c r="K21" s="13" t="s">
        <v>1398</v>
      </c>
      <c r="L21" s="10" t="str">
        <f t="shared" si="1"/>
        <v/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8" t="s">
        <v>33</v>
      </c>
    </row>
    <row r="22">
      <c r="A22" s="12" t="s">
        <v>26</v>
      </c>
      <c r="B22" s="12" t="s">
        <v>1399</v>
      </c>
      <c r="C22" s="12" t="s">
        <v>1400</v>
      </c>
      <c r="D22" s="12" t="s">
        <v>1401</v>
      </c>
      <c r="E22" s="12" t="s">
        <v>30</v>
      </c>
      <c r="F22" s="4">
        <v>15710.0</v>
      </c>
      <c r="G22" s="12" t="s">
        <v>31</v>
      </c>
      <c r="H22" s="5">
        <v>8.14E10</v>
      </c>
      <c r="I22" s="4">
        <v>-6.2287765</v>
      </c>
      <c r="J22" s="4">
        <v>106.5436567</v>
      </c>
      <c r="K22" s="13" t="s">
        <v>1402</v>
      </c>
      <c r="L22" s="10" t="str">
        <f t="shared" si="1"/>
        <v/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8" t="s">
        <v>33</v>
      </c>
    </row>
    <row r="23">
      <c r="A23" s="12" t="s">
        <v>26</v>
      </c>
      <c r="B23" s="12" t="s">
        <v>1403</v>
      </c>
      <c r="C23" s="12" t="s">
        <v>1404</v>
      </c>
      <c r="D23" s="12" t="s">
        <v>1405</v>
      </c>
      <c r="E23" s="12" t="s">
        <v>30</v>
      </c>
      <c r="F23" s="4">
        <v>15710.0</v>
      </c>
      <c r="G23" s="12" t="s">
        <v>31</v>
      </c>
      <c r="H23" s="12" t="s">
        <v>37</v>
      </c>
      <c r="I23" s="4">
        <v>-6.2153185</v>
      </c>
      <c r="J23" s="4">
        <v>106.5245437</v>
      </c>
      <c r="K23" s="13" t="s">
        <v>1406</v>
      </c>
      <c r="L23" s="10">
        <f t="shared" si="1"/>
        <v>5833333.333</v>
      </c>
      <c r="M23" s="10">
        <f>350000000/60</f>
        <v>5833333.333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9" t="s">
        <v>1407</v>
      </c>
    </row>
    <row r="24">
      <c r="A24" s="12" t="s">
        <v>26</v>
      </c>
      <c r="B24" s="12" t="s">
        <v>1408</v>
      </c>
      <c r="C24" s="12" t="s">
        <v>1409</v>
      </c>
      <c r="D24" s="12" t="s">
        <v>1410</v>
      </c>
      <c r="E24" s="12" t="s">
        <v>30</v>
      </c>
      <c r="F24" s="4">
        <v>15610.0</v>
      </c>
      <c r="G24" s="12" t="s">
        <v>31</v>
      </c>
      <c r="H24" s="12" t="s">
        <v>37</v>
      </c>
      <c r="I24" s="4">
        <v>-6.1768423</v>
      </c>
      <c r="J24" s="4">
        <v>106.4560926</v>
      </c>
      <c r="K24" s="13" t="s">
        <v>1411</v>
      </c>
      <c r="L24" s="10">
        <f t="shared" si="1"/>
        <v>3214285.714</v>
      </c>
      <c r="M24" s="10">
        <f>225000000/70</f>
        <v>3214285.714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9" t="s">
        <v>1412</v>
      </c>
    </row>
    <row r="25">
      <c r="A25" s="12" t="s">
        <v>26</v>
      </c>
      <c r="B25" s="12" t="s">
        <v>1413</v>
      </c>
      <c r="C25" s="12" t="s">
        <v>1414</v>
      </c>
      <c r="D25" s="12" t="s">
        <v>1415</v>
      </c>
      <c r="E25" s="12" t="s">
        <v>30</v>
      </c>
      <c r="F25" s="4">
        <v>15340.0</v>
      </c>
      <c r="G25" s="12" t="s">
        <v>31</v>
      </c>
      <c r="H25" s="12" t="s">
        <v>37</v>
      </c>
      <c r="I25" s="4">
        <v>-6.3453817</v>
      </c>
      <c r="J25" s="4">
        <v>106.603771</v>
      </c>
      <c r="K25" s="13" t="s">
        <v>1416</v>
      </c>
      <c r="L25" s="10" t="str">
        <f t="shared" si="1"/>
        <v/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8" t="s">
        <v>33</v>
      </c>
    </row>
    <row r="26">
      <c r="A26" s="12" t="s">
        <v>26</v>
      </c>
      <c r="B26" s="12" t="s">
        <v>1417</v>
      </c>
      <c r="C26" s="12" t="s">
        <v>1418</v>
      </c>
      <c r="D26" s="12" t="s">
        <v>1419</v>
      </c>
      <c r="E26" s="12" t="s">
        <v>30</v>
      </c>
      <c r="F26" s="4">
        <v>15710.0</v>
      </c>
      <c r="G26" s="12" t="s">
        <v>31</v>
      </c>
      <c r="H26" s="12" t="s">
        <v>37</v>
      </c>
      <c r="I26" s="4">
        <v>-6.2380061</v>
      </c>
      <c r="J26" s="4">
        <v>106.5237246</v>
      </c>
      <c r="K26" s="13" t="s">
        <v>1420</v>
      </c>
      <c r="L26" s="10">
        <f t="shared" si="1"/>
        <v>8333333.333</v>
      </c>
      <c r="M26" s="10">
        <f>1000000000/98</f>
        <v>10204081.63</v>
      </c>
      <c r="N26" s="10">
        <f>1000000000/63</f>
        <v>15873015.87</v>
      </c>
      <c r="O26" s="10">
        <f>950000000/112</f>
        <v>8482142.857</v>
      </c>
      <c r="P26" s="10">
        <f>999000000/160</f>
        <v>6243750</v>
      </c>
      <c r="Q26" s="10">
        <f>1000000000/160</f>
        <v>6250000</v>
      </c>
      <c r="R26" s="10">
        <f>3000000000/240</f>
        <v>12500000</v>
      </c>
      <c r="S26" s="10">
        <f>1000000000/112</f>
        <v>8928571.429</v>
      </c>
      <c r="T26" s="10">
        <f>799000000/96</f>
        <v>8322916.667</v>
      </c>
      <c r="U26" s="10">
        <f>750000000/97</f>
        <v>7731958.763</v>
      </c>
      <c r="V26" s="10">
        <f>625000000/75</f>
        <v>8333333.333</v>
      </c>
      <c r="W26" s="10">
        <f>4000000000/280</f>
        <v>14285714.29</v>
      </c>
      <c r="X26" s="10">
        <f>600000000/90</f>
        <v>6666666.667</v>
      </c>
      <c r="Y26" s="10">
        <f>550000000/220</f>
        <v>2500000</v>
      </c>
      <c r="Z26" s="9" t="s">
        <v>1421</v>
      </c>
    </row>
    <row r="27">
      <c r="A27" s="12" t="s">
        <v>26</v>
      </c>
      <c r="B27" s="12" t="s">
        <v>1422</v>
      </c>
      <c r="C27" s="12" t="s">
        <v>1423</v>
      </c>
      <c r="D27" s="12" t="s">
        <v>1424</v>
      </c>
      <c r="E27" s="12" t="s">
        <v>30</v>
      </c>
      <c r="F27" s="4">
        <v>15341.0</v>
      </c>
      <c r="G27" s="12" t="s">
        <v>31</v>
      </c>
      <c r="H27" s="5">
        <v>8.19E10</v>
      </c>
      <c r="I27" s="4">
        <v>-6.3403676</v>
      </c>
      <c r="J27" s="4">
        <v>106.6215468</v>
      </c>
      <c r="K27" s="13" t="s">
        <v>1425</v>
      </c>
      <c r="L27" s="10">
        <f t="shared" si="1"/>
        <v>11038571.43</v>
      </c>
      <c r="M27" s="10">
        <f>811800000/70</f>
        <v>11597142.86</v>
      </c>
      <c r="N27" s="10">
        <f>628800000/60</f>
        <v>10480000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9" t="s">
        <v>1426</v>
      </c>
    </row>
    <row r="28">
      <c r="A28" s="12" t="s">
        <v>26</v>
      </c>
      <c r="B28" s="12" t="s">
        <v>1427</v>
      </c>
      <c r="C28" s="12" t="s">
        <v>1428</v>
      </c>
      <c r="D28" s="12" t="s">
        <v>1429</v>
      </c>
      <c r="E28" s="12" t="s">
        <v>30</v>
      </c>
      <c r="F28" s="4">
        <v>15610.0</v>
      </c>
      <c r="G28" s="12" t="s">
        <v>31</v>
      </c>
      <c r="H28" s="12" t="s">
        <v>37</v>
      </c>
      <c r="I28" s="4">
        <v>-6.1671353</v>
      </c>
      <c r="J28" s="4">
        <v>106.4581725</v>
      </c>
      <c r="K28" s="13" t="s">
        <v>1430</v>
      </c>
      <c r="L28" s="10" t="str">
        <f t="shared" si="1"/>
        <v/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8" t="s">
        <v>33</v>
      </c>
    </row>
    <row r="29">
      <c r="A29" s="12" t="s">
        <v>26</v>
      </c>
      <c r="B29" s="12" t="s">
        <v>1431</v>
      </c>
      <c r="C29" s="12" t="s">
        <v>1432</v>
      </c>
      <c r="D29" s="12" t="s">
        <v>1310</v>
      </c>
      <c r="E29" s="12" t="s">
        <v>30</v>
      </c>
      <c r="F29" s="4">
        <v>15344.0</v>
      </c>
      <c r="G29" s="12" t="s">
        <v>31</v>
      </c>
      <c r="H29" s="12" t="s">
        <v>37</v>
      </c>
      <c r="I29" s="4">
        <v>-6.3253316</v>
      </c>
      <c r="J29" s="4">
        <v>106.6486185</v>
      </c>
      <c r="K29" s="13" t="s">
        <v>1433</v>
      </c>
      <c r="L29" s="10">
        <f t="shared" si="1"/>
        <v>6936416.185</v>
      </c>
      <c r="M29" s="10">
        <f>1200000000/173</f>
        <v>6936416.185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9" t="s">
        <v>1434</v>
      </c>
    </row>
    <row r="30">
      <c r="A30" s="12" t="s">
        <v>26</v>
      </c>
      <c r="B30" s="12" t="s">
        <v>1435</v>
      </c>
      <c r="C30" s="12" t="s">
        <v>1436</v>
      </c>
      <c r="D30" s="12" t="s">
        <v>1437</v>
      </c>
      <c r="E30" s="12" t="s">
        <v>30</v>
      </c>
      <c r="F30" s="4">
        <v>15710.0</v>
      </c>
      <c r="G30" s="12" t="s">
        <v>31</v>
      </c>
      <c r="H30" s="5">
        <v>8.13E10</v>
      </c>
      <c r="I30" s="4">
        <v>-6.208215</v>
      </c>
      <c r="J30" s="4">
        <v>106.5317634</v>
      </c>
      <c r="K30" s="13" t="s">
        <v>1438</v>
      </c>
      <c r="L30" s="10" t="str">
        <f t="shared" si="1"/>
        <v/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8" t="s">
        <v>33</v>
      </c>
    </row>
    <row r="31">
      <c r="A31" s="12" t="s">
        <v>26</v>
      </c>
      <c r="B31" s="12" t="s">
        <v>1439</v>
      </c>
      <c r="C31" s="12" t="s">
        <v>1440</v>
      </c>
      <c r="D31" s="12" t="s">
        <v>1441</v>
      </c>
      <c r="E31" s="12" t="s">
        <v>30</v>
      </c>
      <c r="F31" s="4">
        <v>15710.0</v>
      </c>
      <c r="G31" s="12" t="s">
        <v>31</v>
      </c>
      <c r="H31" s="12" t="s">
        <v>37</v>
      </c>
      <c r="I31" s="4">
        <v>-6.2584704</v>
      </c>
      <c r="J31" s="4">
        <v>106.5137671</v>
      </c>
      <c r="K31" s="13" t="s">
        <v>1442</v>
      </c>
      <c r="L31" s="10" t="str">
        <f t="shared" si="1"/>
        <v/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8" t="s">
        <v>33</v>
      </c>
    </row>
    <row r="32">
      <c r="A32" s="12" t="s">
        <v>86</v>
      </c>
      <c r="B32" s="14" t="s">
        <v>1443</v>
      </c>
      <c r="C32" s="12" t="s">
        <v>1444</v>
      </c>
      <c r="D32" s="12" t="s">
        <v>1415</v>
      </c>
      <c r="E32" s="12" t="s">
        <v>30</v>
      </c>
      <c r="F32" s="4">
        <v>15340.0</v>
      </c>
      <c r="G32" s="12" t="s">
        <v>31</v>
      </c>
      <c r="H32" s="12" t="s">
        <v>37</v>
      </c>
      <c r="I32" s="4">
        <v>-6.3423511</v>
      </c>
      <c r="J32" s="4">
        <v>106.6016751</v>
      </c>
      <c r="K32" s="13" t="s">
        <v>1445</v>
      </c>
      <c r="L32" s="10" t="str">
        <f t="shared" si="1"/>
        <v/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8" t="s">
        <v>33</v>
      </c>
    </row>
    <row r="33">
      <c r="A33" s="12" t="s">
        <v>26</v>
      </c>
      <c r="B33" s="12" t="s">
        <v>1446</v>
      </c>
      <c r="C33" s="12" t="s">
        <v>1447</v>
      </c>
      <c r="D33" s="12" t="s">
        <v>1448</v>
      </c>
      <c r="E33" s="12" t="s">
        <v>30</v>
      </c>
      <c r="F33" s="4">
        <v>15610.0</v>
      </c>
      <c r="G33" s="12" t="s">
        <v>31</v>
      </c>
      <c r="H33" s="12" t="s">
        <v>37</v>
      </c>
      <c r="I33" s="4">
        <v>-6.16521</v>
      </c>
      <c r="J33" s="4">
        <v>106.4532498</v>
      </c>
      <c r="K33" s="13" t="s">
        <v>1449</v>
      </c>
      <c r="L33" s="10" t="str">
        <f t="shared" si="1"/>
        <v/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8" t="s">
        <v>33</v>
      </c>
    </row>
    <row r="34">
      <c r="A34" s="12" t="s">
        <v>26</v>
      </c>
      <c r="B34" s="12" t="s">
        <v>1450</v>
      </c>
      <c r="C34" s="12" t="s">
        <v>1451</v>
      </c>
      <c r="D34" s="12" t="s">
        <v>1405</v>
      </c>
      <c r="E34" s="12" t="s">
        <v>30</v>
      </c>
      <c r="F34" s="4">
        <v>15710.0</v>
      </c>
      <c r="G34" s="12" t="s">
        <v>31</v>
      </c>
      <c r="H34" s="12" t="s">
        <v>37</v>
      </c>
      <c r="I34" s="4">
        <v>-6.2399331</v>
      </c>
      <c r="J34" s="4">
        <v>106.5412466</v>
      </c>
      <c r="K34" s="13" t="s">
        <v>1452</v>
      </c>
      <c r="L34" s="10">
        <f t="shared" si="1"/>
        <v>5250000</v>
      </c>
      <c r="M34" s="10">
        <f t="shared" ref="M34:N34" si="4">420000000/80</f>
        <v>5250000</v>
      </c>
      <c r="N34" s="10">
        <f t="shared" si="4"/>
        <v>5250000</v>
      </c>
      <c r="O34" s="10">
        <f>680000000/60</f>
        <v>11333333.33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9" t="s">
        <v>1453</v>
      </c>
    </row>
    <row r="35">
      <c r="A35" s="12" t="s">
        <v>26</v>
      </c>
      <c r="B35" s="12" t="s">
        <v>1454</v>
      </c>
      <c r="C35" s="12" t="s">
        <v>1455</v>
      </c>
      <c r="D35" s="12" t="s">
        <v>1456</v>
      </c>
      <c r="E35" s="12" t="s">
        <v>30</v>
      </c>
      <c r="F35" s="4">
        <v>15610.0</v>
      </c>
      <c r="G35" s="12" t="s">
        <v>31</v>
      </c>
      <c r="H35" s="12" t="s">
        <v>37</v>
      </c>
      <c r="I35" s="4">
        <v>-6.1694317</v>
      </c>
      <c r="J35" s="4">
        <v>106.456908</v>
      </c>
      <c r="K35" s="13" t="s">
        <v>1457</v>
      </c>
      <c r="L35" s="10">
        <f t="shared" si="1"/>
        <v>2950000</v>
      </c>
      <c r="M35" s="10">
        <f>265500000/90</f>
        <v>2950000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 t="s">
        <v>1458</v>
      </c>
    </row>
    <row r="36">
      <c r="A36" s="12" t="s">
        <v>26</v>
      </c>
      <c r="B36" s="12" t="s">
        <v>1459</v>
      </c>
      <c r="C36" s="12" t="s">
        <v>1460</v>
      </c>
      <c r="D36" s="12" t="s">
        <v>1461</v>
      </c>
      <c r="E36" s="12" t="s">
        <v>30</v>
      </c>
      <c r="F36" s="4">
        <v>15610.0</v>
      </c>
      <c r="G36" s="12" t="s">
        <v>31</v>
      </c>
      <c r="H36" s="5">
        <v>8.96E10</v>
      </c>
      <c r="I36" s="4">
        <v>-6.2123253</v>
      </c>
      <c r="J36" s="4">
        <v>106.375474</v>
      </c>
      <c r="K36" s="13" t="s">
        <v>1462</v>
      </c>
      <c r="L36" s="10" t="str">
        <f t="shared" si="1"/>
        <v/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8" t="s">
        <v>33</v>
      </c>
    </row>
    <row r="37">
      <c r="A37" s="12" t="s">
        <v>26</v>
      </c>
      <c r="B37" s="12" t="s">
        <v>1463</v>
      </c>
      <c r="C37" s="12" t="s">
        <v>1464</v>
      </c>
      <c r="D37" s="12" t="s">
        <v>1465</v>
      </c>
      <c r="E37" s="12" t="s">
        <v>30</v>
      </c>
      <c r="F37" s="4">
        <v>15610.0</v>
      </c>
      <c r="G37" s="12" t="s">
        <v>31</v>
      </c>
      <c r="H37" s="5">
        <v>8.13E10</v>
      </c>
      <c r="I37" s="4">
        <v>-6.1875684</v>
      </c>
      <c r="J37" s="4">
        <v>106.411982</v>
      </c>
      <c r="K37" s="13" t="s">
        <v>1466</v>
      </c>
      <c r="L37" s="10" t="str">
        <f t="shared" si="1"/>
        <v/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8" t="s">
        <v>33</v>
      </c>
    </row>
    <row r="38">
      <c r="A38" s="12" t="s">
        <v>26</v>
      </c>
      <c r="B38" s="12" t="s">
        <v>1467</v>
      </c>
      <c r="C38" s="12" t="s">
        <v>1468</v>
      </c>
      <c r="D38" s="12" t="s">
        <v>1310</v>
      </c>
      <c r="E38" s="12" t="s">
        <v>30</v>
      </c>
      <c r="F38" s="4">
        <v>15344.0</v>
      </c>
      <c r="G38" s="12" t="s">
        <v>31</v>
      </c>
      <c r="H38" s="5">
        <v>8.15E10</v>
      </c>
      <c r="I38" s="4">
        <v>-6.3380754</v>
      </c>
      <c r="J38" s="4">
        <v>106.6386997</v>
      </c>
      <c r="K38" s="13" t="s">
        <v>1469</v>
      </c>
      <c r="L38" s="10" t="str">
        <f t="shared" si="1"/>
        <v/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8" t="s">
        <v>33</v>
      </c>
    </row>
    <row r="39">
      <c r="A39" s="12" t="s">
        <v>26</v>
      </c>
      <c r="B39" s="12" t="s">
        <v>1470</v>
      </c>
      <c r="C39" s="12" t="s">
        <v>1471</v>
      </c>
      <c r="D39" s="12" t="s">
        <v>1472</v>
      </c>
      <c r="E39" s="12" t="s">
        <v>30</v>
      </c>
      <c r="F39" s="4">
        <v>15610.0</v>
      </c>
      <c r="G39" s="12" t="s">
        <v>31</v>
      </c>
      <c r="H39" s="12" t="s">
        <v>37</v>
      </c>
      <c r="I39" s="4">
        <v>-6.1765659</v>
      </c>
      <c r="J39" s="4">
        <v>106.4416794</v>
      </c>
      <c r="K39" s="13" t="s">
        <v>1473</v>
      </c>
      <c r="L39" s="10" t="str">
        <f t="shared" si="1"/>
        <v/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8" t="s">
        <v>33</v>
      </c>
    </row>
    <row r="40">
      <c r="A40" s="12" t="s">
        <v>26</v>
      </c>
      <c r="B40" s="12" t="s">
        <v>1474</v>
      </c>
      <c r="C40" s="12" t="s">
        <v>1475</v>
      </c>
      <c r="D40" s="12" t="s">
        <v>1476</v>
      </c>
      <c r="E40" s="12" t="s">
        <v>30</v>
      </c>
      <c r="F40" s="4">
        <v>15341.0</v>
      </c>
      <c r="G40" s="12" t="s">
        <v>31</v>
      </c>
      <c r="H40" s="5">
        <v>8.52E10</v>
      </c>
      <c r="I40" s="4">
        <v>-6.3301478</v>
      </c>
      <c r="J40" s="4">
        <v>106.6323558</v>
      </c>
      <c r="K40" s="13" t="s">
        <v>1477</v>
      </c>
      <c r="L40" s="10">
        <f t="shared" si="1"/>
        <v>23036880.93</v>
      </c>
      <c r="M40" s="10">
        <f>1650000000/687</f>
        <v>2401746.725</v>
      </c>
      <c r="N40" s="10">
        <f>1490000000/65</f>
        <v>22923076.92</v>
      </c>
      <c r="O40" s="10">
        <f>1690000000/65</f>
        <v>26000000</v>
      </c>
      <c r="P40" s="10">
        <f>1690000000/73</f>
        <v>23150684.93</v>
      </c>
      <c r="Q40" s="10"/>
      <c r="R40" s="10"/>
      <c r="S40" s="10"/>
      <c r="T40" s="10"/>
      <c r="U40" s="10"/>
      <c r="V40" s="10"/>
      <c r="W40" s="10"/>
      <c r="X40" s="10"/>
      <c r="Y40" s="10"/>
      <c r="Z40" s="9" t="s">
        <v>1478</v>
      </c>
    </row>
    <row r="41">
      <c r="A41" s="12" t="s">
        <v>26</v>
      </c>
      <c r="B41" s="12" t="s">
        <v>1479</v>
      </c>
      <c r="C41" s="12" t="s">
        <v>1480</v>
      </c>
      <c r="D41" s="12" t="s">
        <v>1424</v>
      </c>
      <c r="E41" s="12" t="s">
        <v>30</v>
      </c>
      <c r="F41" s="4">
        <v>15342.0</v>
      </c>
      <c r="G41" s="12" t="s">
        <v>31</v>
      </c>
      <c r="H41" s="5">
        <v>8.89E9</v>
      </c>
      <c r="I41" s="4">
        <v>-6.3434009</v>
      </c>
      <c r="J41" s="4">
        <v>106.6144091</v>
      </c>
      <c r="K41" s="13" t="s">
        <v>1481</v>
      </c>
      <c r="L41" s="10" t="str">
        <f t="shared" si="1"/>
        <v/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8" t="s">
        <v>33</v>
      </c>
    </row>
    <row r="42">
      <c r="A42" s="12" t="s">
        <v>86</v>
      </c>
      <c r="B42" s="12" t="s">
        <v>1482</v>
      </c>
      <c r="C42" s="12" t="s">
        <v>1483</v>
      </c>
      <c r="D42" s="12" t="s">
        <v>1484</v>
      </c>
      <c r="E42" s="12" t="s">
        <v>30</v>
      </c>
      <c r="F42" s="4">
        <v>15610.0</v>
      </c>
      <c r="G42" s="12" t="s">
        <v>31</v>
      </c>
      <c r="H42" s="12" t="s">
        <v>37</v>
      </c>
      <c r="I42" s="4">
        <v>-6.1752693</v>
      </c>
      <c r="J42" s="4">
        <v>106.4479099</v>
      </c>
      <c r="K42" s="13" t="s">
        <v>1485</v>
      </c>
      <c r="L42" s="10">
        <f t="shared" si="1"/>
        <v>5395833.333</v>
      </c>
      <c r="M42" s="10">
        <f>335000000/60</f>
        <v>5583333.333</v>
      </c>
      <c r="N42" s="10">
        <f>375000000/72</f>
        <v>5208333.333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 t="s">
        <v>1486</v>
      </c>
    </row>
    <row r="43">
      <c r="A43" s="12" t="s">
        <v>26</v>
      </c>
      <c r="B43" s="12" t="s">
        <v>1487</v>
      </c>
      <c r="C43" s="12" t="s">
        <v>1488</v>
      </c>
      <c r="D43" s="12" t="s">
        <v>1415</v>
      </c>
      <c r="E43" s="12" t="s">
        <v>30</v>
      </c>
      <c r="F43" s="4">
        <v>15340.0</v>
      </c>
      <c r="G43" s="12" t="s">
        <v>31</v>
      </c>
      <c r="H43" s="12" t="s">
        <v>37</v>
      </c>
      <c r="I43" s="4">
        <v>-6.3420113</v>
      </c>
      <c r="J43" s="4">
        <v>106.606449</v>
      </c>
      <c r="K43" s="13" t="s">
        <v>1489</v>
      </c>
      <c r="L43" s="10" t="str">
        <f t="shared" si="1"/>
        <v/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8" t="s">
        <v>33</v>
      </c>
    </row>
    <row r="44">
      <c r="A44" s="12" t="s">
        <v>26</v>
      </c>
      <c r="B44" s="12" t="s">
        <v>1490</v>
      </c>
      <c r="C44" s="12" t="s">
        <v>1491</v>
      </c>
      <c r="D44" s="12" t="s">
        <v>1492</v>
      </c>
      <c r="E44" s="12" t="s">
        <v>30</v>
      </c>
      <c r="F44" s="4">
        <v>15710.0</v>
      </c>
      <c r="G44" s="12" t="s">
        <v>31</v>
      </c>
      <c r="H44" s="5">
        <v>8.89E10</v>
      </c>
      <c r="I44" s="4">
        <v>-6.2375471</v>
      </c>
      <c r="J44" s="4">
        <v>106.5171377</v>
      </c>
      <c r="K44" s="13" t="s">
        <v>1493</v>
      </c>
      <c r="L44" s="10">
        <f t="shared" si="1"/>
        <v>5388888.889</v>
      </c>
      <c r="M44" s="10">
        <f>485000000/90</f>
        <v>5388888.889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 t="s">
        <v>1494</v>
      </c>
    </row>
    <row r="45">
      <c r="J45" s="7">
        <f>sum(K45:Y45)</f>
        <v>120</v>
      </c>
      <c r="K45" s="7">
        <f>COUNTA(K2:K44)</f>
        <v>43</v>
      </c>
      <c r="M45" s="7">
        <f t="shared" ref="M45:Y45" si="5">COUNTA(M2:M44)</f>
        <v>26</v>
      </c>
      <c r="N45" s="7">
        <f t="shared" si="5"/>
        <v>11</v>
      </c>
      <c r="O45" s="7">
        <f t="shared" si="5"/>
        <v>9</v>
      </c>
      <c r="P45" s="7">
        <f t="shared" si="5"/>
        <v>7</v>
      </c>
      <c r="Q45" s="7">
        <f t="shared" si="5"/>
        <v>5</v>
      </c>
      <c r="R45" s="7">
        <f t="shared" si="5"/>
        <v>3</v>
      </c>
      <c r="S45" s="7">
        <f t="shared" si="5"/>
        <v>3</v>
      </c>
      <c r="T45" s="7">
        <f t="shared" si="5"/>
        <v>3</v>
      </c>
      <c r="U45" s="7">
        <f t="shared" si="5"/>
        <v>2</v>
      </c>
      <c r="V45" s="7">
        <f t="shared" si="5"/>
        <v>2</v>
      </c>
      <c r="W45" s="7">
        <f t="shared" si="5"/>
        <v>2</v>
      </c>
      <c r="X45" s="7">
        <f t="shared" si="5"/>
        <v>2</v>
      </c>
      <c r="Y45" s="7">
        <f t="shared" si="5"/>
        <v>2</v>
      </c>
    </row>
  </sheetData>
  <hyperlinks>
    <hyperlink r:id="rId1" ref="K2"/>
    <hyperlink r:id="rId2" ref="K3"/>
    <hyperlink r:id="rId3" ref="Z3"/>
    <hyperlink r:id="rId4" ref="K4"/>
    <hyperlink r:id="rId5" ref="Z4"/>
    <hyperlink r:id="rId6" ref="K5"/>
    <hyperlink r:id="rId7" ref="Z5"/>
    <hyperlink r:id="rId8" ref="K6"/>
    <hyperlink r:id="rId9" ref="Z6"/>
    <hyperlink r:id="rId10" ref="K7"/>
    <hyperlink r:id="rId11" ref="Z7"/>
    <hyperlink r:id="rId12" ref="K8"/>
    <hyperlink r:id="rId13" ref="Z8"/>
    <hyperlink r:id="rId14" ref="K9"/>
    <hyperlink r:id="rId15" ref="Z9"/>
    <hyperlink r:id="rId16" ref="K10"/>
    <hyperlink r:id="rId17" ref="K11"/>
    <hyperlink r:id="rId18" ref="Z11"/>
    <hyperlink r:id="rId19" ref="K12"/>
    <hyperlink r:id="rId20" ref="Z12"/>
    <hyperlink r:id="rId21" ref="K13"/>
    <hyperlink r:id="rId22" ref="K14"/>
    <hyperlink r:id="rId23" ref="Z14"/>
    <hyperlink r:id="rId24" ref="K15"/>
    <hyperlink r:id="rId25" ref="Z15"/>
    <hyperlink r:id="rId26" ref="K16"/>
    <hyperlink r:id="rId27" location=":~:text=Mengenai%20Properti%20ini,adalah%20Sertifikat%20Hak%20Guna%20Bangunan." ref="Z16"/>
    <hyperlink r:id="rId28" ref="K17"/>
    <hyperlink r:id="rId29" ref="Z17"/>
    <hyperlink r:id="rId30" ref="K18"/>
    <hyperlink r:id="rId31" ref="Z18"/>
    <hyperlink r:id="rId32" ref="K19"/>
    <hyperlink r:id="rId33" ref="Z19"/>
    <hyperlink r:id="rId34" ref="K20"/>
    <hyperlink r:id="rId35" ref="Z20"/>
    <hyperlink r:id="rId36" ref="K21"/>
    <hyperlink r:id="rId37" ref="K22"/>
    <hyperlink r:id="rId38" ref="K23"/>
    <hyperlink r:id="rId39" ref="Z23"/>
    <hyperlink r:id="rId40" ref="K24"/>
    <hyperlink r:id="rId41" ref="Z24"/>
    <hyperlink r:id="rId42" ref="K25"/>
    <hyperlink r:id="rId43" ref="K26"/>
    <hyperlink r:id="rId44" ref="Z26"/>
    <hyperlink r:id="rId45" ref="K27"/>
    <hyperlink r:id="rId46" ref="Z27"/>
    <hyperlink r:id="rId47" ref="K28"/>
    <hyperlink r:id="rId48" ref="K29"/>
    <hyperlink r:id="rId49" ref="Z29"/>
    <hyperlink r:id="rId50" ref="K30"/>
    <hyperlink r:id="rId51" ref="K31"/>
    <hyperlink r:id="rId52" ref="K32"/>
    <hyperlink r:id="rId53" ref="K33"/>
    <hyperlink r:id="rId54" ref="K34"/>
    <hyperlink r:id="rId55" ref="Z34"/>
    <hyperlink r:id="rId56" ref="K35"/>
    <hyperlink r:id="rId57" ref="Z35"/>
    <hyperlink r:id="rId58" ref="K36"/>
    <hyperlink r:id="rId59" ref="K37"/>
    <hyperlink r:id="rId60" ref="K38"/>
    <hyperlink r:id="rId61" ref="K39"/>
    <hyperlink r:id="rId62" ref="K40"/>
    <hyperlink r:id="rId63" ref="Z40"/>
    <hyperlink r:id="rId64" ref="K41"/>
    <hyperlink r:id="rId65" ref="K42"/>
    <hyperlink r:id="rId66" ref="Z42"/>
    <hyperlink r:id="rId67" ref="K43"/>
    <hyperlink r:id="rId68" ref="K44"/>
    <hyperlink r:id="rId69" ref="Z44"/>
  </hyperlinks>
  <drawing r:id="rId70"/>
</worksheet>
</file>